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PF\25-26\Sep 2025\AXIS\Update\Pranita\22697 - Eternia Towers A to D\"/>
    </mc:Choice>
  </mc:AlternateContent>
  <bookViews>
    <workbookView xWindow="0" yWindow="0" windowWidth="20490" windowHeight="7320" tabRatio="849"/>
  </bookViews>
  <sheets>
    <sheet name="Report (2)" sheetId="1" r:id="rId1"/>
    <sheet name="Note" sheetId="12" r:id="rId2"/>
    <sheet name="VALUATION" sheetId="13" r:id="rId3"/>
  </sheets>
  <definedNames>
    <definedName name="_xlnm.Print_Area" localSheetId="0">'Report (2)'!$A$1:$J$642</definedName>
  </definedNames>
  <calcPr calcId="162913"/>
</workbook>
</file>

<file path=xl/calcChain.xml><?xml version="1.0" encoding="utf-8"?>
<calcChain xmlns="http://schemas.openxmlformats.org/spreadsheetml/2006/main">
  <c r="L126" i="1" l="1"/>
  <c r="N128" i="1"/>
  <c r="L124" i="1"/>
  <c r="L125" i="1"/>
  <c r="D122" i="1" l="1"/>
  <c r="K119" i="1"/>
  <c r="K140" i="1"/>
  <c r="K405" i="1" l="1"/>
  <c r="K377" i="1"/>
  <c r="K355" i="1"/>
  <c r="K143" i="1"/>
  <c r="K221" i="1"/>
  <c r="K193" i="1"/>
  <c r="K164" i="1"/>
  <c r="E520" i="1"/>
  <c r="H520" i="1" s="1"/>
  <c r="E519" i="1"/>
  <c r="H519" i="1" s="1"/>
  <c r="E518" i="1"/>
  <c r="H518" i="1" s="1"/>
  <c r="E517" i="1"/>
  <c r="H517" i="1" s="1"/>
  <c r="I516" i="1"/>
  <c r="E516" i="1"/>
  <c r="H516" i="1" s="1"/>
  <c r="E425" i="1"/>
  <c r="H425" i="1" s="1"/>
  <c r="E423" i="1"/>
  <c r="H423" i="1" s="1"/>
  <c r="E422" i="1"/>
  <c r="H422" i="1" s="1"/>
  <c r="E421" i="1"/>
  <c r="H421" i="1" s="1"/>
  <c r="I420" i="1"/>
  <c r="E420" i="1"/>
  <c r="H420" i="1" s="1"/>
  <c r="E416" i="1"/>
  <c r="H416" i="1" s="1"/>
  <c r="E415" i="1"/>
  <c r="H415" i="1" s="1"/>
  <c r="E414" i="1"/>
  <c r="H414" i="1" s="1"/>
  <c r="I413" i="1"/>
  <c r="E413" i="1"/>
  <c r="H413" i="1" s="1"/>
  <c r="E513" i="1"/>
  <c r="H513" i="1" s="1"/>
  <c r="E512" i="1"/>
  <c r="H512" i="1" s="1"/>
  <c r="E511" i="1"/>
  <c r="H511" i="1" s="1"/>
  <c r="E510" i="1"/>
  <c r="H510" i="1" s="1"/>
  <c r="I509" i="1"/>
  <c r="E509" i="1"/>
  <c r="H509" i="1" s="1"/>
  <c r="E507" i="1"/>
  <c r="H507" i="1" s="1"/>
  <c r="E506" i="1"/>
  <c r="H506" i="1" s="1"/>
  <c r="E505" i="1"/>
  <c r="H505" i="1" s="1"/>
  <c r="E504" i="1"/>
  <c r="H504" i="1" s="1"/>
  <c r="E503" i="1"/>
  <c r="H503" i="1" s="1"/>
  <c r="I502" i="1"/>
  <c r="E502" i="1"/>
  <c r="H502" i="1" s="1"/>
  <c r="E411" i="1"/>
  <c r="H411" i="1" s="1"/>
  <c r="E410" i="1"/>
  <c r="H410" i="1" s="1"/>
  <c r="E409" i="1"/>
  <c r="H409" i="1" s="1"/>
  <c r="E408" i="1"/>
  <c r="H408" i="1" s="1"/>
  <c r="E407" i="1"/>
  <c r="H407" i="1" s="1"/>
  <c r="I406" i="1"/>
  <c r="E406" i="1"/>
  <c r="H406" i="1" s="1"/>
  <c r="E486" i="1"/>
  <c r="H486" i="1" s="1"/>
  <c r="E485" i="1"/>
  <c r="H485" i="1" s="1"/>
  <c r="E484" i="1"/>
  <c r="H484" i="1" s="1"/>
  <c r="E483" i="1"/>
  <c r="H483" i="1" s="1"/>
  <c r="E482" i="1"/>
  <c r="H482" i="1" s="1"/>
  <c r="I481" i="1"/>
  <c r="E481" i="1"/>
  <c r="H481" i="1" s="1"/>
  <c r="E390" i="1"/>
  <c r="H390" i="1" s="1"/>
  <c r="E389" i="1"/>
  <c r="H389" i="1" s="1"/>
  <c r="E388" i="1"/>
  <c r="H388" i="1" s="1"/>
  <c r="E387" i="1"/>
  <c r="H387" i="1" s="1"/>
  <c r="E386" i="1"/>
  <c r="H386" i="1" s="1"/>
  <c r="I385" i="1"/>
  <c r="E385" i="1"/>
  <c r="H385" i="1" s="1"/>
  <c r="E449" i="1"/>
  <c r="H449" i="1" s="1"/>
  <c r="E443" i="1"/>
  <c r="H443" i="1" s="1"/>
  <c r="E442" i="1"/>
  <c r="H442" i="1" s="1"/>
  <c r="E448" i="1"/>
  <c r="H448" i="1" s="1"/>
  <c r="E447" i="1"/>
  <c r="H447" i="1" s="1"/>
  <c r="K352" i="1"/>
  <c r="E351" i="1"/>
  <c r="H351" i="1" s="1"/>
  <c r="E350" i="1"/>
  <c r="H350" i="1" s="1"/>
  <c r="E348" i="1"/>
  <c r="H348" i="1" s="1"/>
  <c r="E347" i="1"/>
  <c r="H347" i="1" s="1"/>
  <c r="E346" i="1"/>
  <c r="H346" i="1" s="1"/>
  <c r="E345" i="1"/>
  <c r="H345" i="1" s="1"/>
  <c r="E344" i="1"/>
  <c r="H344" i="1" s="1"/>
  <c r="I343" i="1"/>
  <c r="E343" i="1"/>
  <c r="H343" i="1" s="1"/>
  <c r="E441" i="1"/>
  <c r="H441" i="1" s="1"/>
  <c r="E440" i="1"/>
  <c r="H440" i="1" s="1"/>
  <c r="E439" i="1"/>
  <c r="H439" i="1" s="1"/>
  <c r="E438" i="1"/>
  <c r="H438" i="1" s="1"/>
  <c r="I438" i="1"/>
  <c r="E232" i="1"/>
  <c r="H232" i="1" s="1"/>
  <c r="E231" i="1"/>
  <c r="H231" i="1" s="1"/>
  <c r="E230" i="1"/>
  <c r="H230" i="1" s="1"/>
  <c r="I229" i="1"/>
  <c r="E229" i="1"/>
  <c r="H229" i="1" s="1"/>
  <c r="E323" i="1"/>
  <c r="H323" i="1" s="1"/>
  <c r="E322" i="1"/>
  <c r="H322" i="1" s="1"/>
  <c r="E321" i="1"/>
  <c r="H321" i="1" s="1"/>
  <c r="E320" i="1"/>
  <c r="H320" i="1" s="1"/>
  <c r="E319" i="1"/>
  <c r="H319" i="1" s="1"/>
  <c r="A319" i="1"/>
  <c r="A320" i="1" s="1"/>
  <c r="A321" i="1" s="1"/>
  <c r="A322" i="1" s="1"/>
  <c r="A323" i="1" s="1"/>
  <c r="I318" i="1"/>
  <c r="E318" i="1"/>
  <c r="H318" i="1" s="1"/>
  <c r="E227" i="1"/>
  <c r="H227" i="1" s="1"/>
  <c r="E226" i="1"/>
  <c r="H226" i="1" s="1"/>
  <c r="E225" i="1"/>
  <c r="H225" i="1" s="1"/>
  <c r="E224" i="1"/>
  <c r="H224" i="1" s="1"/>
  <c r="E223" i="1"/>
  <c r="H223" i="1" s="1"/>
  <c r="I222" i="1"/>
  <c r="E222" i="1"/>
  <c r="H222" i="1" s="1"/>
  <c r="E302" i="1"/>
  <c r="H302" i="1" s="1"/>
  <c r="E301" i="1"/>
  <c r="H301" i="1" s="1"/>
  <c r="E300" i="1"/>
  <c r="H300" i="1" s="1"/>
  <c r="E299" i="1"/>
  <c r="H299" i="1" s="1"/>
  <c r="E298" i="1"/>
  <c r="H298" i="1" s="1"/>
  <c r="A298" i="1"/>
  <c r="A299" i="1" s="1"/>
  <c r="A300" i="1" s="1"/>
  <c r="A301" i="1" s="1"/>
  <c r="A302" i="1" s="1"/>
  <c r="I297" i="1"/>
  <c r="E297" i="1"/>
  <c r="H297" i="1" s="1"/>
  <c r="E206" i="1"/>
  <c r="H206" i="1" s="1"/>
  <c r="E205" i="1"/>
  <c r="H205" i="1" s="1"/>
  <c r="E204" i="1"/>
  <c r="H204" i="1" s="1"/>
  <c r="E203" i="1"/>
  <c r="H203" i="1" s="1"/>
  <c r="E202" i="1"/>
  <c r="H202" i="1" s="1"/>
  <c r="I201" i="1"/>
  <c r="E201" i="1"/>
  <c r="H201" i="1" s="1"/>
  <c r="L194" i="1"/>
  <c r="K194" i="1"/>
  <c r="E156" i="1"/>
  <c r="H156" i="1" s="1"/>
  <c r="E155" i="1"/>
  <c r="H155" i="1" s="1"/>
  <c r="E154" i="1"/>
  <c r="H154" i="1" s="1"/>
  <c r="E153" i="1"/>
  <c r="H153" i="1" s="1"/>
  <c r="I152" i="1"/>
  <c r="E166" i="1"/>
  <c r="H166" i="1" s="1"/>
  <c r="E165" i="1"/>
  <c r="H165" i="1" s="1"/>
  <c r="E159" i="1"/>
  <c r="H159" i="1" s="1"/>
  <c r="E158" i="1"/>
  <c r="H158" i="1" s="1"/>
  <c r="M194" i="1" l="1"/>
  <c r="D129" i="1" l="1"/>
  <c r="C106" i="1" l="1"/>
  <c r="C92" i="1"/>
  <c r="C78" i="1"/>
  <c r="F80" i="1" s="1"/>
  <c r="C64" i="1"/>
  <c r="C76" i="1" l="1"/>
  <c r="D49" i="1" l="1"/>
  <c r="C104" i="1"/>
  <c r="C90" i="1"/>
  <c r="C62" i="1"/>
  <c r="K38" i="1" l="1"/>
  <c r="D532" i="1"/>
  <c r="E329" i="1" l="1"/>
  <c r="H329" i="1" s="1"/>
  <c r="E328" i="1"/>
  <c r="H328" i="1" s="1"/>
  <c r="E327" i="1"/>
  <c r="H327" i="1" s="1"/>
  <c r="E326" i="1"/>
  <c r="H326" i="1" s="1"/>
  <c r="A326" i="1"/>
  <c r="A327" i="1" s="1"/>
  <c r="A328" i="1" s="1"/>
  <c r="A329" i="1" s="1"/>
  <c r="A330" i="1" s="1"/>
  <c r="I325" i="1"/>
  <c r="E325" i="1"/>
  <c r="H325" i="1" s="1"/>
  <c r="E314" i="1"/>
  <c r="H314" i="1" s="1"/>
  <c r="E313" i="1"/>
  <c r="H313" i="1" s="1"/>
  <c r="E312" i="1"/>
  <c r="H312" i="1" s="1"/>
  <c r="A312" i="1"/>
  <c r="A313" i="1" s="1"/>
  <c r="A314" i="1" s="1"/>
  <c r="A315" i="1" s="1"/>
  <c r="A316" i="1" s="1"/>
  <c r="I311" i="1"/>
  <c r="E311" i="1"/>
  <c r="H311" i="1" s="1"/>
  <c r="E308" i="1"/>
  <c r="H308" i="1" s="1"/>
  <c r="E307" i="1"/>
  <c r="H307" i="1" s="1"/>
  <c r="E306" i="1"/>
  <c r="H306" i="1" s="1"/>
  <c r="E305" i="1"/>
  <c r="H305" i="1" s="1"/>
  <c r="A305" i="1"/>
  <c r="A306" i="1" s="1"/>
  <c r="A307" i="1" s="1"/>
  <c r="A308" i="1" s="1"/>
  <c r="A309" i="1" s="1"/>
  <c r="I304" i="1"/>
  <c r="E304" i="1"/>
  <c r="H304" i="1" s="1"/>
  <c r="E295" i="1"/>
  <c r="H295" i="1" s="1"/>
  <c r="E294" i="1"/>
  <c r="H294" i="1" s="1"/>
  <c r="E292" i="1"/>
  <c r="H292" i="1" s="1"/>
  <c r="E293" i="1"/>
  <c r="H293" i="1" s="1"/>
  <c r="E291" i="1"/>
  <c r="H291" i="1" s="1"/>
  <c r="E290" i="1"/>
  <c r="H290" i="1" s="1"/>
  <c r="A291" i="1"/>
  <c r="A292" i="1" s="1"/>
  <c r="A293" i="1" s="1"/>
  <c r="A294" i="1" s="1"/>
  <c r="A295" i="1" s="1"/>
  <c r="I290" i="1"/>
  <c r="E287" i="1"/>
  <c r="H287" i="1" s="1"/>
  <c r="E286" i="1"/>
  <c r="H286" i="1" s="1"/>
  <c r="E285" i="1"/>
  <c r="H285" i="1" s="1"/>
  <c r="E284" i="1"/>
  <c r="H284" i="1" s="1"/>
  <c r="A284" i="1"/>
  <c r="A285" i="1" s="1"/>
  <c r="A286" i="1" s="1"/>
  <c r="A287" i="1" s="1"/>
  <c r="A288" i="1" s="1"/>
  <c r="I283" i="1"/>
  <c r="E283" i="1"/>
  <c r="H283" i="1" s="1"/>
  <c r="E279" i="1"/>
  <c r="H279" i="1" s="1"/>
  <c r="E278" i="1"/>
  <c r="H278" i="1" s="1"/>
  <c r="E277" i="1"/>
  <c r="H277" i="1" s="1"/>
  <c r="A277" i="1"/>
  <c r="A278" i="1" s="1"/>
  <c r="A279" i="1" s="1"/>
  <c r="A280" i="1" s="1"/>
  <c r="A281" i="1" s="1"/>
  <c r="I276" i="1"/>
  <c r="E276" i="1"/>
  <c r="H276" i="1" s="1"/>
  <c r="E272" i="1"/>
  <c r="H272" i="1" s="1"/>
  <c r="E271" i="1"/>
  <c r="H271" i="1" s="1"/>
  <c r="E270" i="1"/>
  <c r="H270" i="1" s="1"/>
  <c r="E269" i="1"/>
  <c r="H269" i="1" s="1"/>
  <c r="A269" i="1"/>
  <c r="A270" i="1" s="1"/>
  <c r="A271" i="1" s="1"/>
  <c r="A272" i="1" s="1"/>
  <c r="A273" i="1" s="1"/>
  <c r="I268" i="1"/>
  <c r="E268" i="1"/>
  <c r="H268" i="1" s="1"/>
  <c r="E265" i="1"/>
  <c r="H265" i="1" s="1"/>
  <c r="E258" i="1"/>
  <c r="H258" i="1" s="1"/>
  <c r="E266" i="1"/>
  <c r="H266" i="1" s="1"/>
  <c r="E264" i="1"/>
  <c r="H264" i="1" s="1"/>
  <c r="E263" i="1"/>
  <c r="H263" i="1" s="1"/>
  <c r="E262" i="1"/>
  <c r="H262" i="1" s="1"/>
  <c r="A262" i="1"/>
  <c r="A263" i="1" s="1"/>
  <c r="A264" i="1" s="1"/>
  <c r="A265" i="1" s="1"/>
  <c r="A266" i="1" s="1"/>
  <c r="I261" i="1"/>
  <c r="E261" i="1"/>
  <c r="H261" i="1" s="1"/>
  <c r="E257" i="1"/>
  <c r="H257" i="1" s="1"/>
  <c r="E256" i="1"/>
  <c r="H256" i="1" s="1"/>
  <c r="E255" i="1"/>
  <c r="H255" i="1" s="1"/>
  <c r="A255" i="1"/>
  <c r="A256" i="1" s="1"/>
  <c r="A257" i="1" s="1"/>
  <c r="A258" i="1" s="1"/>
  <c r="A259" i="1" s="1"/>
  <c r="I254" i="1"/>
  <c r="E254" i="1"/>
  <c r="H254" i="1" s="1"/>
  <c r="E248" i="1"/>
  <c r="H248" i="1" s="1"/>
  <c r="E252" i="1"/>
  <c r="H252" i="1" s="1"/>
  <c r="A248" i="1"/>
  <c r="A249" i="1" s="1"/>
  <c r="A250" i="1" s="1"/>
  <c r="A251" i="1" s="1"/>
  <c r="A252" i="1" s="1"/>
  <c r="I247" i="1"/>
  <c r="E247" i="1"/>
  <c r="H247" i="1" s="1"/>
  <c r="E245" i="1"/>
  <c r="H245" i="1" s="1"/>
  <c r="E241" i="1"/>
  <c r="E240" i="1"/>
  <c r="I240" i="1"/>
  <c r="A241" i="1"/>
  <c r="A242" i="1" s="1"/>
  <c r="A243" i="1" s="1"/>
  <c r="A244" i="1" s="1"/>
  <c r="A245" i="1" s="1"/>
  <c r="D133" i="1" l="1"/>
  <c r="F133" i="1"/>
  <c r="L121" i="1"/>
  <c r="L147" i="1"/>
  <c r="F3" i="1" l="1"/>
  <c r="D68" i="1" l="1"/>
  <c r="M115" i="1" l="1"/>
  <c r="M101" i="1"/>
  <c r="M87" i="1"/>
  <c r="D117" i="1" l="1"/>
  <c r="D113" i="1"/>
  <c r="M109" i="1"/>
  <c r="M107" i="1"/>
  <c r="D110" i="1"/>
  <c r="M108" i="1"/>
  <c r="M110" i="1"/>
  <c r="M111" i="1" s="1"/>
  <c r="D116" i="1"/>
  <c r="D112" i="1"/>
  <c r="D114" i="1"/>
  <c r="D115" i="1"/>
  <c r="D111" i="1"/>
  <c r="D103" i="1"/>
  <c r="D99" i="1"/>
  <c r="M95" i="1"/>
  <c r="M93" i="1"/>
  <c r="M94" i="1"/>
  <c r="M96" i="1"/>
  <c r="M97" i="1" s="1"/>
  <c r="D96" i="1"/>
  <c r="D102" i="1"/>
  <c r="D98" i="1"/>
  <c r="D101" i="1"/>
  <c r="D97" i="1"/>
  <c r="D100" i="1"/>
  <c r="D89" i="1"/>
  <c r="D85" i="1"/>
  <c r="M81" i="1"/>
  <c r="C80" i="1" s="1"/>
  <c r="D80" i="1" s="1"/>
  <c r="M79" i="1"/>
  <c r="M80" i="1"/>
  <c r="D88" i="1"/>
  <c r="D84" i="1"/>
  <c r="M82" i="1"/>
  <c r="M83" i="1" s="1"/>
  <c r="D82" i="1"/>
  <c r="D87" i="1"/>
  <c r="D83" i="1"/>
  <c r="D86" i="1"/>
  <c r="C94" i="1" l="1"/>
  <c r="D94" i="1" s="1"/>
  <c r="C108" i="1"/>
  <c r="D108" i="1" s="1"/>
  <c r="M112" i="1"/>
  <c r="M113" i="1" s="1"/>
  <c r="M114" i="1" s="1"/>
  <c r="M98" i="1"/>
  <c r="M99" i="1" s="1"/>
  <c r="M100" i="1" s="1"/>
  <c r="M84" i="1"/>
  <c r="M85" i="1" s="1"/>
  <c r="M86" i="1" s="1"/>
  <c r="D75" i="1"/>
  <c r="D71" i="1"/>
  <c r="M67" i="1"/>
  <c r="C66" i="1" s="1"/>
  <c r="D66" i="1" s="1"/>
  <c r="M65" i="1"/>
  <c r="M66" i="1"/>
  <c r="M68" i="1"/>
  <c r="M69" i="1" s="1"/>
  <c r="M70" i="1" s="1"/>
  <c r="M71" i="1" s="1"/>
  <c r="M72" i="1" s="1"/>
  <c r="M73" i="1" s="1"/>
  <c r="D74" i="1"/>
  <c r="D70" i="1"/>
  <c r="D73" i="1"/>
  <c r="D69" i="1"/>
  <c r="D72" i="1"/>
  <c r="M116" i="1" l="1"/>
  <c r="M117" i="1" s="1"/>
  <c r="M102" i="1"/>
  <c r="M103" i="1" s="1"/>
  <c r="M88" i="1"/>
  <c r="M89" i="1" s="1"/>
  <c r="C81" i="1" s="1"/>
  <c r="K76" i="1" s="1"/>
  <c r="M74" i="1"/>
  <c r="M75" i="1" s="1"/>
  <c r="C67" i="1" s="1"/>
  <c r="D67" i="1" s="1"/>
  <c r="C109" i="1" l="1"/>
  <c r="K104" i="1" s="1"/>
  <c r="F108" i="1" s="1"/>
  <c r="C95" i="1"/>
  <c r="K90" i="1" s="1"/>
  <c r="F94" i="1" s="1"/>
  <c r="D81" i="1"/>
  <c r="H80" i="1"/>
  <c r="H66" i="1"/>
  <c r="K62" i="1"/>
  <c r="D109" i="1" l="1"/>
  <c r="F66" i="1"/>
  <c r="H94" i="1"/>
  <c r="D95" i="1"/>
  <c r="H108" i="1"/>
  <c r="E498" i="1"/>
  <c r="H498" i="1" s="1"/>
  <c r="E497" i="1"/>
  <c r="H497" i="1" s="1"/>
  <c r="E496" i="1"/>
  <c r="H496" i="1" s="1"/>
  <c r="I495" i="1"/>
  <c r="E495" i="1"/>
  <c r="H495" i="1" s="1"/>
  <c r="E492" i="1"/>
  <c r="H492" i="1" s="1"/>
  <c r="E491" i="1"/>
  <c r="H491" i="1" s="1"/>
  <c r="E490" i="1"/>
  <c r="H490" i="1" s="1"/>
  <c r="E489" i="1"/>
  <c r="H489" i="1" s="1"/>
  <c r="I488" i="1"/>
  <c r="E488" i="1"/>
  <c r="H488" i="1" s="1"/>
  <c r="E479" i="1"/>
  <c r="H479" i="1" s="1"/>
  <c r="E478" i="1"/>
  <c r="H478" i="1" s="1"/>
  <c r="E477" i="1"/>
  <c r="H477" i="1" s="1"/>
  <c r="E476" i="1"/>
  <c r="H476" i="1" s="1"/>
  <c r="E475" i="1"/>
  <c r="H475" i="1" s="1"/>
  <c r="I474" i="1"/>
  <c r="E474" i="1"/>
  <c r="H474" i="1" s="1"/>
  <c r="E470" i="1"/>
  <c r="H470" i="1" s="1"/>
  <c r="E469" i="1"/>
  <c r="H469" i="1" s="1"/>
  <c r="E468" i="1"/>
  <c r="H468" i="1" s="1"/>
  <c r="I467" i="1"/>
  <c r="E467" i="1"/>
  <c r="H467" i="1" s="1"/>
  <c r="E463" i="1"/>
  <c r="H463" i="1" s="1"/>
  <c r="E462" i="1"/>
  <c r="H462" i="1" s="1"/>
  <c r="E461" i="1"/>
  <c r="H461" i="1" s="1"/>
  <c r="E460" i="1"/>
  <c r="H460" i="1" s="1"/>
  <c r="I459" i="1"/>
  <c r="E459" i="1"/>
  <c r="H459" i="1" s="1"/>
  <c r="E457" i="1"/>
  <c r="H457" i="1" s="1"/>
  <c r="E456" i="1"/>
  <c r="H456" i="1" s="1"/>
  <c r="E455" i="1"/>
  <c r="H455" i="1" s="1"/>
  <c r="E454" i="1"/>
  <c r="H454" i="1" s="1"/>
  <c r="E453" i="1"/>
  <c r="H453" i="1" s="1"/>
  <c r="I452" i="1"/>
  <c r="E452" i="1"/>
  <c r="H452" i="1" s="1"/>
  <c r="E446" i="1"/>
  <c r="H446" i="1" s="1"/>
  <c r="I445" i="1"/>
  <c r="E445" i="1"/>
  <c r="E436" i="1"/>
  <c r="H436" i="1" s="1"/>
  <c r="E434" i="1"/>
  <c r="H434" i="1" s="1"/>
  <c r="E433" i="1"/>
  <c r="H433" i="1" s="1"/>
  <c r="I432" i="1"/>
  <c r="E432" i="1"/>
  <c r="E402" i="1"/>
  <c r="H402" i="1" s="1"/>
  <c r="E401" i="1"/>
  <c r="H401" i="1" s="1"/>
  <c r="E400" i="1"/>
  <c r="H400" i="1" s="1"/>
  <c r="I399" i="1"/>
  <c r="E399" i="1"/>
  <c r="H399" i="1" s="1"/>
  <c r="E395" i="1"/>
  <c r="H395" i="1" s="1"/>
  <c r="E394" i="1"/>
  <c r="H394" i="1" s="1"/>
  <c r="E393" i="1"/>
  <c r="H393" i="1" s="1"/>
  <c r="I392" i="1"/>
  <c r="E392" i="1"/>
  <c r="H392" i="1" s="1"/>
  <c r="E383" i="1"/>
  <c r="H383" i="1" s="1"/>
  <c r="E382" i="1"/>
  <c r="H382" i="1" s="1"/>
  <c r="E381" i="1"/>
  <c r="H381" i="1" s="1"/>
  <c r="E380" i="1"/>
  <c r="H380" i="1" s="1"/>
  <c r="E379" i="1"/>
  <c r="H379" i="1" s="1"/>
  <c r="I378" i="1"/>
  <c r="E378" i="1"/>
  <c r="H378" i="1" s="1"/>
  <c r="E374" i="1"/>
  <c r="H374" i="1" s="1"/>
  <c r="E373" i="1"/>
  <c r="H373" i="1" s="1"/>
  <c r="E372" i="1"/>
  <c r="H372" i="1" s="1"/>
  <c r="I371" i="1"/>
  <c r="E371" i="1"/>
  <c r="H371" i="1" s="1"/>
  <c r="E366" i="1"/>
  <c r="H366" i="1" s="1"/>
  <c r="E365" i="1"/>
  <c r="H365" i="1" s="1"/>
  <c r="E364" i="1"/>
  <c r="H364" i="1" s="1"/>
  <c r="I363" i="1"/>
  <c r="E363" i="1"/>
  <c r="H363" i="1" s="1"/>
  <c r="E361" i="1"/>
  <c r="H361" i="1" s="1"/>
  <c r="E360" i="1"/>
  <c r="H360" i="1" s="1"/>
  <c r="E359" i="1"/>
  <c r="H359" i="1" s="1"/>
  <c r="E358" i="1"/>
  <c r="H358" i="1" s="1"/>
  <c r="E357" i="1"/>
  <c r="H357" i="1" s="1"/>
  <c r="I356" i="1"/>
  <c r="E356" i="1"/>
  <c r="H356" i="1" s="1"/>
  <c r="E353" i="1"/>
  <c r="H353" i="1" s="1"/>
  <c r="E352" i="1"/>
  <c r="I350" i="1"/>
  <c r="E341" i="1"/>
  <c r="H341" i="1" s="1"/>
  <c r="E340" i="1"/>
  <c r="H340" i="1" s="1"/>
  <c r="I339" i="1"/>
  <c r="E339" i="1"/>
  <c r="E337" i="1"/>
  <c r="H337" i="1" s="1"/>
  <c r="I336" i="1"/>
  <c r="E336" i="1"/>
  <c r="H240" i="1"/>
  <c r="E211" i="1"/>
  <c r="H211" i="1" s="1"/>
  <c r="E210" i="1"/>
  <c r="H210" i="1" s="1"/>
  <c r="E209" i="1"/>
  <c r="H209" i="1" s="1"/>
  <c r="I208" i="1"/>
  <c r="E208" i="1"/>
  <c r="H208" i="1" s="1"/>
  <c r="E218" i="1"/>
  <c r="H218" i="1" s="1"/>
  <c r="E217" i="1"/>
  <c r="H217" i="1" s="1"/>
  <c r="E216" i="1"/>
  <c r="H216" i="1" s="1"/>
  <c r="I215" i="1"/>
  <c r="E215" i="1"/>
  <c r="H215" i="1" s="1"/>
  <c r="E199" i="1"/>
  <c r="H199" i="1" s="1"/>
  <c r="E198" i="1"/>
  <c r="H198" i="1" s="1"/>
  <c r="E197" i="1"/>
  <c r="H197" i="1" s="1"/>
  <c r="E196" i="1"/>
  <c r="H196" i="1" s="1"/>
  <c r="E195" i="1"/>
  <c r="H195" i="1" s="1"/>
  <c r="I194" i="1"/>
  <c r="E194" i="1"/>
  <c r="H194" i="1" s="1"/>
  <c r="E190" i="1"/>
  <c r="H190" i="1" s="1"/>
  <c r="E189" i="1"/>
  <c r="H189" i="1" s="1"/>
  <c r="E188" i="1"/>
  <c r="H188" i="1" s="1"/>
  <c r="I187" i="1"/>
  <c r="E187" i="1"/>
  <c r="H187" i="1" s="1"/>
  <c r="E183" i="1"/>
  <c r="H183" i="1" s="1"/>
  <c r="E182" i="1"/>
  <c r="H182" i="1" s="1"/>
  <c r="E181" i="1"/>
  <c r="H181" i="1" s="1"/>
  <c r="I180" i="1"/>
  <c r="E180" i="1"/>
  <c r="H180" i="1" s="1"/>
  <c r="E175" i="1"/>
  <c r="H175" i="1" s="1"/>
  <c r="E174" i="1"/>
  <c r="H174" i="1" s="1"/>
  <c r="E173" i="1"/>
  <c r="H173" i="1" s="1"/>
  <c r="I172" i="1"/>
  <c r="E172" i="1"/>
  <c r="H172" i="1" s="1"/>
  <c r="E170" i="1"/>
  <c r="H170" i="1" s="1"/>
  <c r="E169" i="1"/>
  <c r="H169" i="1" s="1"/>
  <c r="E168" i="1"/>
  <c r="H168" i="1" s="1"/>
  <c r="E167" i="1"/>
  <c r="H167" i="1" s="1"/>
  <c r="I165" i="1"/>
  <c r="E161" i="1"/>
  <c r="E160" i="1"/>
  <c r="H160" i="1" s="1"/>
  <c r="I158" i="1"/>
  <c r="E150" i="1"/>
  <c r="H150" i="1" s="1"/>
  <c r="E149" i="1"/>
  <c r="E148" i="1"/>
  <c r="H148" i="1" s="1"/>
  <c r="I146" i="1"/>
  <c r="E147" i="1"/>
  <c r="C136" i="1"/>
  <c r="F39" i="1"/>
  <c r="F40" i="1" s="1"/>
  <c r="D132" i="1" l="1"/>
  <c r="F132" i="1"/>
  <c r="H336" i="1"/>
  <c r="D134" i="1"/>
  <c r="F134" i="1"/>
  <c r="H432" i="1"/>
  <c r="F135" i="1"/>
  <c r="D135" i="1"/>
  <c r="H147" i="1"/>
  <c r="K147" i="1"/>
  <c r="H352" i="1"/>
  <c r="H149" i="1"/>
  <c r="H339" i="1"/>
  <c r="H161" i="1"/>
  <c r="H241" i="1"/>
  <c r="H133" i="1" s="1"/>
  <c r="H445" i="1"/>
  <c r="H134" i="1" l="1"/>
  <c r="H135" i="1"/>
  <c r="H132" i="1"/>
  <c r="D136" i="1"/>
  <c r="F136" i="1"/>
  <c r="G136" i="1" l="1"/>
  <c r="H136" i="1"/>
  <c r="G6" i="13"/>
  <c r="G7" i="13"/>
  <c r="G5" i="13"/>
  <c r="G8" i="13" s="1"/>
  <c r="D51" i="1" l="1"/>
  <c r="C45" i="1" l="1"/>
  <c r="F7" i="1"/>
</calcChain>
</file>

<file path=xl/sharedStrings.xml><?xml version="1.0" encoding="utf-8"?>
<sst xmlns="http://schemas.openxmlformats.org/spreadsheetml/2006/main" count="946" uniqueCount="275">
  <si>
    <t xml:space="preserve">Valuation Report </t>
  </si>
  <si>
    <t>Date:</t>
  </si>
  <si>
    <t>CPC Name:</t>
  </si>
  <si>
    <t>Date Of Property Visit</t>
  </si>
  <si>
    <t>Name of the builder group</t>
  </si>
  <si>
    <t>Name of the builder company</t>
  </si>
  <si>
    <t>Docouments Provided</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</si>
  <si>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</si>
  <si>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</si>
  <si>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</si>
  <si>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</si>
  <si>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</si>
  <si>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</si>
  <si>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</si>
  <si>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</si>
  <si>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</si>
  <si>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</si>
  <si>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</si>
  <si>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</si>
  <si>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</si>
  <si>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</si>
  <si>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</si>
  <si>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</si>
  <si>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</si>
  <si>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</si>
  <si>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</si>
  <si>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</si>
  <si>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</si>
  <si>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</si>
  <si>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</si>
  <si>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</si>
  <si>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</si>
  <si>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</si>
  <si>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</si>
  <si>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</si>
  <si>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</si>
  <si>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</si>
  <si>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</si>
  <si>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</si>
  <si>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</si>
  <si>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</si>
  <si>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</si>
  <si>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</si>
  <si>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</si>
  <si>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</si>
  <si>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</si>
  <si>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</si>
  <si>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</si>
  <si>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</si>
  <si>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</si>
  <si>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</si>
  <si>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</si>
  <si>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</si>
  <si>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</si>
  <si>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</si>
  <si>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</si>
  <si>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</si>
  <si>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</si>
  <si>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Type of Work</t>
  </si>
  <si>
    <t>Plinth</t>
  </si>
  <si>
    <t>Recommended Rates of the Property :</t>
  </si>
  <si>
    <t>Authorized Signatory
                                                                                                                                                                                                                                                                                     Name &amp; Seal of the agency</t>
  </si>
  <si>
    <t>Google Map :</t>
  </si>
  <si>
    <t>Axis Sanpada</t>
  </si>
  <si>
    <t>04 Wings</t>
  </si>
  <si>
    <t>Oberoi Eternia</t>
  </si>
  <si>
    <t>Ms. Kirti Chadha - 7738146009</t>
  </si>
  <si>
    <t>P51800006141</t>
  </si>
  <si>
    <t>Oberoi Eternia, Proposed Residential Building No.1 on land bearing C.T.S No. 543, of Village Nahur, Opp Johnson &amp; Johnson, L.B.S Marg, Mulund West - 400080.</t>
  </si>
  <si>
    <t>C.T.S No.</t>
  </si>
  <si>
    <t>Opp Johnson &amp; Johnson.</t>
  </si>
  <si>
    <t>L.B.S Marg</t>
  </si>
  <si>
    <t>Mulund West</t>
  </si>
  <si>
    <t>Mumbai</t>
  </si>
  <si>
    <t>Developed</t>
  </si>
  <si>
    <t>Other Building</t>
  </si>
  <si>
    <t>Gas Pump</t>
  </si>
  <si>
    <t>Total Fungible Area to Project</t>
  </si>
  <si>
    <t>Subvention Rate</t>
  </si>
  <si>
    <t>Proposed no of Floors</t>
  </si>
  <si>
    <t>24/09/2020.</t>
  </si>
  <si>
    <t>Pratiksha</t>
  </si>
  <si>
    <t>Market Research Data</t>
  </si>
  <si>
    <t>Source</t>
  </si>
  <si>
    <t>Distance from proposed property</t>
  </si>
  <si>
    <t>Flat</t>
  </si>
  <si>
    <t>Net Carpet</t>
  </si>
  <si>
    <t>Saleable Area</t>
  </si>
  <si>
    <t>Rate on Saleable</t>
  </si>
  <si>
    <t>Market Value</t>
  </si>
  <si>
    <t>Magic Brick</t>
  </si>
  <si>
    <t>3BHK</t>
  </si>
  <si>
    <t>Average</t>
  </si>
  <si>
    <t xml:space="preserve">Valuation Adopted </t>
  </si>
  <si>
    <t>Flat No. as per Approved  Plan</t>
  </si>
  <si>
    <t>Description</t>
  </si>
  <si>
    <t>Floor</t>
  </si>
  <si>
    <t>Tower A</t>
  </si>
  <si>
    <t>2</t>
  </si>
  <si>
    <t>3</t>
  </si>
  <si>
    <t>4</t>
  </si>
  <si>
    <t>5</t>
  </si>
  <si>
    <t>1</t>
  </si>
  <si>
    <t>Refuge Area</t>
  </si>
  <si>
    <t>6</t>
  </si>
  <si>
    <t>15th Floor (Part Refuge Area)</t>
  </si>
  <si>
    <t>23rd Floor (Part Refuge Area)</t>
  </si>
  <si>
    <t>30th Floor (Part Refuge Area)</t>
  </si>
  <si>
    <t>31st to 36th, 38th to 43rd, 45th to 48th Floor</t>
  </si>
  <si>
    <t>49th &amp; 50th Floor</t>
  </si>
  <si>
    <t>Tower B</t>
  </si>
  <si>
    <t>Tower C</t>
  </si>
  <si>
    <t>3rd Floor for Parking &amp; Residential</t>
  </si>
  <si>
    <t>10th Floor (Part Refuge Area)</t>
  </si>
  <si>
    <t>17th Floor (Part Refuge Area)</t>
  </si>
  <si>
    <t>24th Floor for Fire Check</t>
  </si>
  <si>
    <t>25th Floor (Part Refuge Area)</t>
  </si>
  <si>
    <t>31st, 33rd to 38th, 40th to 45th, 47th &amp; 48th Floor</t>
  </si>
  <si>
    <t>32nd &amp; 39th Floor (Part Refuge Area)</t>
  </si>
  <si>
    <t>46th Floor (Part Refuge Area)</t>
  </si>
  <si>
    <t>Tower D</t>
  </si>
  <si>
    <t xml:space="preserve">3rd Floor for Parking </t>
  </si>
  <si>
    <t>Nahur</t>
  </si>
  <si>
    <t>Upper Class</t>
  </si>
  <si>
    <t>Residential Area Details :</t>
  </si>
  <si>
    <t>Building &amp; Wing</t>
  </si>
  <si>
    <t>No. of Units</t>
  </si>
  <si>
    <t>Total Carpet Area</t>
  </si>
  <si>
    <t>Total Saleable Area</t>
  </si>
  <si>
    <t>Total</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</si>
  <si>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</si>
  <si>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</si>
  <si>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</si>
  <si>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</si>
  <si>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</si>
  <si>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</si>
  <si>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</si>
  <si>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</si>
  <si>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</si>
  <si>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</si>
  <si>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</si>
  <si>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</si>
  <si>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</si>
  <si>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</si>
  <si>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</si>
  <si>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</si>
  <si>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</si>
  <si>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</si>
  <si>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</si>
  <si>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</si>
  <si>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</si>
  <si>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</si>
  <si>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</si>
  <si>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</si>
  <si>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</si>
  <si>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</si>
  <si>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</si>
  <si>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</si>
  <si>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</si>
  <si>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</si>
  <si>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</si>
  <si>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</si>
  <si>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</si>
  <si>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</si>
  <si>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</si>
  <si>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</si>
  <si>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</si>
  <si>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</si>
  <si>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</si>
  <si>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</si>
  <si>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Club House Charges</t>
  </si>
  <si>
    <t>Development Charges</t>
  </si>
  <si>
    <t>Corpus Fund</t>
  </si>
  <si>
    <t>Society Formation Charges</t>
  </si>
  <si>
    <t>All changes done by akash on 13/04/2022 by cost sheet</t>
  </si>
  <si>
    <t>Eternia Towers A to D</t>
  </si>
  <si>
    <t>Valid Upto : 02/07/2023</t>
  </si>
  <si>
    <t xml:space="preserve">Part O. Certificate No.: </t>
  </si>
  <si>
    <t>Parking</t>
  </si>
  <si>
    <t>9th to 14th, 16th to 21st &amp; 24th to 29th Floor</t>
  </si>
  <si>
    <t>Pressure Break Tanks Area</t>
  </si>
  <si>
    <t>23rd Floor for Residential (Part Refuge Area &amp; Pressure Break Tank Area)</t>
  </si>
  <si>
    <t>30th Floor for Residential (Part Refuge Area)</t>
  </si>
  <si>
    <t>37th &amp; 51st Floor for Residential (Part Refuge Area)</t>
  </si>
  <si>
    <t>58th Floor for Residential (Part Refuge Area)</t>
  </si>
  <si>
    <t>Valid Upto : 02/07/2024</t>
  </si>
  <si>
    <t>Golf Simulator, Skating Rink, Steam Room, Jacuzzi, Mini Theatre, Salon, Spa, Café,Gymnasium, Squash Courts, Cricket Pitch, Multi-purpose Court, Indoor Games Area, Swimming Pool, Yoga/Meditation Room, Jogging Track, Landscaped Garden, Party Lawn, Kids Play Area, Multipurpose Hall, Library, etc</t>
  </si>
  <si>
    <t>Tower B Updated only</t>
  </si>
  <si>
    <t>Location Link</t>
  </si>
  <si>
    <t>Other Plot</t>
  </si>
  <si>
    <t>Lal Bhadur Shastri Marg</t>
  </si>
  <si>
    <t>Tansa Pipe Line</t>
  </si>
  <si>
    <t>Layout :</t>
  </si>
  <si>
    <t xml:space="preserve">
</t>
  </si>
  <si>
    <t xml:space="preserve">PHOTOGRAPHS OF PROPERTY : </t>
  </si>
  <si>
    <t>About 2.30 Km from Mulund
Railway Station</t>
  </si>
  <si>
    <t>Approved Upto: Part OCC for Resi. 
Bldg.No.1,Tower-A i.e .basements B1,B2,B3+Gr.(pt.) &amp; 1stflr.(pt.)parking +2nd to 51stupr. Resi. flrs. ,
Tower-B i.e basementsB1,B2,B3+ Gr.(pt)&amp;1st flr.(pt.) parking+2nd to 48thupr. Resi. flrs,
Tower-C i.e.basements  B1,B2+ Gr.(pt.)&amp; 1stflr. (pt.)+2ndflr. parking +3rd to 51stupr.  Resi. flrs. &amp; 
Tower-D i.e. basement B1+Gr. (pt.) &amp;1 stflr.(pt.) parking+2nd&amp; 3rdflrs. parking+4th to 48thupr. Resi. flrs. along with club house, swimming pool incl. fire check flrs</t>
  </si>
  <si>
    <t xml:space="preserve">Rs 120/- Floor rise from 2nd Floor </t>
  </si>
  <si>
    <t xml:space="preserve">Rs 180/- Floor rise from 2nd Floor </t>
  </si>
  <si>
    <t>All changes done by rushikesh &amp; Sanket on 22/11/2023 by verbal Flat No. B4502, C4703, D4803</t>
  </si>
  <si>
    <t>Contact Details ( Name &amp; Contact No.)</t>
  </si>
  <si>
    <t xml:space="preserve">Proposed Amenities : </t>
  </si>
  <si>
    <t xml:space="preserve">Material laying at Site: </t>
  </si>
  <si>
    <t xml:space="preserve">Wheather the construction is as per approved Building plan : </t>
  </si>
  <si>
    <t xml:space="preserve">Violations Observed if any : </t>
  </si>
  <si>
    <t>Completed</t>
  </si>
  <si>
    <t>Nothing</t>
  </si>
  <si>
    <t>Distressed valuation of the Property</t>
  </si>
  <si>
    <t>M/s. Oberoi Construction Ltd.</t>
  </si>
  <si>
    <t>CE/4853/BPES/AT/OCC/1/New</t>
  </si>
  <si>
    <t xml:space="preserve">Tower A, B, C &amp; D </t>
  </si>
  <si>
    <t>Approved Plans, CC &amp; Part OC</t>
  </si>
  <si>
    <t>19.171239,72.939564</t>
  </si>
  <si>
    <t>https://maps.app.goo.gl/767tgdsLFHVwM5gXA</t>
  </si>
  <si>
    <t>As per Layout</t>
  </si>
  <si>
    <t>Runwal Sanctuary</t>
  </si>
  <si>
    <t>CE/4853/BPES/AT/337/19/Amend</t>
  </si>
  <si>
    <t>CE/4853/BPES/AT/FCC/9/Amend
C.C. is re-endorsement (i.e. Full C.C.) for Tower A, B, C and D as per approved amended plans dated 10/01/2024.</t>
  </si>
  <si>
    <t xml:space="preserve">Commencement Certificate No
Valid Up to: </t>
  </si>
  <si>
    <t>CE/4853/BPES/AT/FCC/7/Amend
C.C is re-endorsed  up to top of 59th floors for Tower ‘A’ &amp; ‘C’ and up to top of 58th floors for Tower ‘B’ &amp; ‘D’ as per approved amended plans dated 30.09.2022 .</t>
  </si>
  <si>
    <t xml:space="preserve">Commencement Certificate No.
Valid Up to: </t>
  </si>
  <si>
    <t>Tower A &amp; B = 3B + Gr + 1st to 62nd Floor
Tower C = 2B + Gr + 1st to 62nd Floor
Tower D = B + Gr + 1st to 62nd Floor</t>
  </si>
  <si>
    <t>Tower A &amp; B = 3B + Gr + 1st to 62nd Floor</t>
  </si>
  <si>
    <t>Tower C = 2B + Gr + 1st to 62nd Floor</t>
  </si>
  <si>
    <t>Tower D = B + Gr + 1st to 62nd Floor</t>
  </si>
  <si>
    <t xml:space="preserve">Quality of construction: </t>
  </si>
  <si>
    <t>60 Years</t>
  </si>
  <si>
    <t>Projected life of the structure</t>
  </si>
  <si>
    <t>Building Details Floor Wise</t>
  </si>
  <si>
    <t xml:space="preserve">Details of Residential in Building   </t>
  </si>
  <si>
    <t>Gross Carpet Area</t>
  </si>
  <si>
    <t>Attached Terrace Area</t>
  </si>
  <si>
    <t>Ground Floor For Parking</t>
  </si>
  <si>
    <t>1st Floor For Parking</t>
  </si>
  <si>
    <t>3rd to 1st Basement Floor For Pump Room &amp; Parking</t>
  </si>
  <si>
    <t xml:space="preserve">Ground Floor For Lobby, Meter Room &amp; Parking </t>
  </si>
  <si>
    <t>Parking Area</t>
  </si>
  <si>
    <t>2nd to 6th Floor For Residential &amp; Part Parking Area</t>
  </si>
  <si>
    <t>8th Floor (Part Refuge Area)</t>
  </si>
  <si>
    <t xml:space="preserve">7th Floor For Residential &amp; Podium Parking </t>
  </si>
  <si>
    <t>8th Floor For Residential (Part Refuge Area)</t>
  </si>
  <si>
    <t>7th Floor For Residential &amp; Part Parking Area</t>
  </si>
  <si>
    <t xml:space="preserve">Podium Parking </t>
  </si>
  <si>
    <t>22nd Floor For Fire Check Area</t>
  </si>
  <si>
    <t>44th Floor (Part Refuge Area)</t>
  </si>
  <si>
    <t>52th to 57th &amp; 59th to 62nd Floor</t>
  </si>
  <si>
    <t>58th Floor For Residential (Part Refuge Area)</t>
  </si>
  <si>
    <t>44th Floor For Residential (Part Refuge Area &amp; Pressure Break Tanks Area)</t>
  </si>
  <si>
    <t>2nd &amp; 1st Basement Floor For Parking</t>
  </si>
  <si>
    <t>Basement Floor For Parking</t>
  </si>
  <si>
    <t>1st &amp; 2nd Podium Floor For Parking</t>
  </si>
  <si>
    <t>-</t>
  </si>
  <si>
    <t>4th to 8th Floor For Parking &amp; Residential</t>
  </si>
  <si>
    <t>9th Floor  For Residential</t>
  </si>
  <si>
    <t>4th to 8th Floor for Parking &amp; Residential</t>
  </si>
  <si>
    <t>11th to 16th, 18th to 23rd &amp; 26th to 30th Floor</t>
  </si>
  <si>
    <t>24th Floor For Fire Check Area</t>
  </si>
  <si>
    <t>25th Floor (Part Refuge Area &amp; Pressure Break Tanks Area)</t>
  </si>
  <si>
    <t>49th to 51st Floor</t>
  </si>
  <si>
    <t>46th Floor (Part Refuge Area &amp; Pressure Break Tanks Area)</t>
  </si>
  <si>
    <t>53rd Floor (Part Refuge Area)</t>
  </si>
  <si>
    <t>60th Floor (Part Refuge Area)</t>
  </si>
  <si>
    <t>52nd, 54th to 59th &amp; 61st &amp; 62nd Floor</t>
  </si>
  <si>
    <r>
      <rPr>
        <b/>
        <sz val="12"/>
        <rFont val="Times New Roman"/>
        <family val="1"/>
      </rPr>
      <t>Tower A</t>
    </r>
    <r>
      <rPr>
        <sz val="12"/>
        <rFont val="Times New Roman"/>
        <family val="1"/>
      </rPr>
      <t xml:space="preserve"> - Rs 25,670/- per sqft on RERA Carpet Area + Rs 145/- Floor rise from 2nd Floor (Including Other charges)
</t>
    </r>
    <r>
      <rPr>
        <b/>
        <sz val="12"/>
        <rFont val="Times New Roman"/>
        <family val="1"/>
      </rPr>
      <t>Tower B</t>
    </r>
    <r>
      <rPr>
        <sz val="12"/>
        <rFont val="Times New Roman"/>
        <family val="1"/>
      </rPr>
      <t xml:space="preserve"> - Rs. 23,860/- per sqft on RERA Carpet Area + Rs 185/- Floor rise from 2nd Floor (Including Other charges)
</t>
    </r>
    <r>
      <rPr>
        <b/>
        <sz val="12"/>
        <rFont val="Times New Roman"/>
        <family val="1"/>
      </rPr>
      <t>Tower C</t>
    </r>
    <r>
      <rPr>
        <sz val="12"/>
        <rFont val="Times New Roman"/>
        <family val="1"/>
      </rPr>
      <t xml:space="preserve"> - Rs. 23,870/- per sqft on RERA Carpet Area + Rs 205/- Floor rise from 2nd Floor (Including Other charges)
</t>
    </r>
    <r>
      <rPr>
        <b/>
        <sz val="12"/>
        <rFont val="Times New Roman"/>
        <family val="1"/>
      </rPr>
      <t>Tower D</t>
    </r>
    <r>
      <rPr>
        <sz val="12"/>
        <rFont val="Times New Roman"/>
        <family val="1"/>
      </rPr>
      <t xml:space="preserve"> - Rs. 24,535/- per sqft on RERA Carpet Area + Rs 185/- Floor rise from 2nd Floor (Including Other charges)</t>
    </r>
  </si>
  <si>
    <t>Name / No of the Building</t>
  </si>
  <si>
    <t>Name of the Project (As per Builder)</t>
  </si>
  <si>
    <t>Name of the Project (As per RERA)</t>
  </si>
  <si>
    <t>Rate of Flats on per sqft 
(on Saleable Area)</t>
  </si>
  <si>
    <t>Rate of Flats on per sqft 
(on RERA Carpet Area)</t>
  </si>
  <si>
    <t>Floor rise on per sqft 
(on RERA Carpet Area)</t>
  </si>
  <si>
    <t>Floor rise on per sqft 
(on Saleable Area)</t>
  </si>
  <si>
    <t>as per dicuss with sir total 15Lakh O.C ON 03/10/2025</t>
  </si>
  <si>
    <t xml:space="preserve">Recommended Rate of Parking </t>
  </si>
  <si>
    <t xml:space="preserve">Office No. 1031, Wing J, Akshar Business Park, Plot No. 03 Sector 25, Near APMC Market,
Vashi, Navi Mumbai, Maharashtra 400703 TEL: 022-46090378/79/80                                                                       
E mail : vsjcapf@gmail.com. Web site : www.vsjadon.com   </t>
  </si>
  <si>
    <r>
      <t xml:space="preserve">Remarks:  
1. All work Completed. Part OC Received.
   Please provide full OC.
2. We considered Saleable area as per our calculation.
3. We considered Carpet area as per Approved Plan.
4. We considered Gross carpet area = Net carpet + Enclose balcony 
5.  We considered Flat rate as per Market Inquire.
6. Car parking is subjected to authentic documentation.
7. We have updated approved Plans &amp; C.C. For Tower B. (on 16/10/2023).
8. We have updated latest CC from MCGM site (On 29/03/2024).
9. We have updated Part OC &amp; latest approved plans for Tower A to D from MCGM site on 26/09/2025.
10. Please check for Fire Noc, Airport Noc &amp; EC.
11. Recommended Rate &amp; Other charges of the Property have been revised on 30/09/2025 &amp; 03/10/2025
10. </t>
    </r>
    <r>
      <rPr>
        <b/>
        <sz val="12"/>
        <color rgb="FFFF0000"/>
        <rFont val="Times New Roman"/>
        <family val="1"/>
      </rPr>
      <t>As per RERA, completion period of project Oberoi Eternia is expired on 30/12/2023 but still project is under construction.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</si>
</sst>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
    <numFmt numFmtId="167"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color indexed="8"/>
      <name val="Calibri"/>
      <family val="2"/>
    </font>
    <font>
      <b/>
      <sz val="11"/>
      <color theme="1"/>
      <name val="Times New Roman"/>
      <family val="1"/>
    </font>
    <font>
      <sz val="11"/>
      <color rgb="FFFF0000"/>
      <name val="Calibri"/>
      <family val="2"/>
      <scheme val="minor"/>
    </font>
    <font>
      <b/>
      <sz val="11"/>
      <color theme="1"/>
      <name val="Calibri"/>
      <family val="2"/>
      <scheme val="minor"/>
    </font>
    <font>
      <sz val="11"/>
      <color rgb="FFFF0000"/>
      <name val="Calibri"/>
      <family val="2"/>
    </font>
    <font>
      <sz val="10"/>
      <name val="Arial"/>
      <family val="2"/>
    </font>
    <font>
      <sz val="11"/>
      <color rgb="FF000000"/>
      <name val="Calibri"/>
      <family val="2"/>
    </font>
    <font>
      <sz val="11"/>
      <color rgb="FF000000"/>
      <name val="Times New Roman"/>
      <family val="1"/>
    </font>
    <font>
      <u/>
      <sz val="11"/>
      <color theme="10"/>
      <name val="Calibri"/>
      <family val="2"/>
    </font>
    <font>
      <b/>
      <sz val="12"/>
      <color rgb="FFFF0000"/>
      <name val="Times New Roman"/>
      <family val="1"/>
    </font>
    <font>
      <b/>
      <sz val="12"/>
      <name val="Times New Roman"/>
      <family val="1"/>
    </font>
    <font>
      <b/>
      <sz val="12"/>
      <color indexed="8"/>
      <name val="Times New Roman"/>
      <family val="1"/>
    </font>
    <font>
      <sz val="12"/>
      <color indexed="8"/>
      <name val="Times New Roman"/>
      <family val="1"/>
    </font>
    <font>
      <sz val="12"/>
      <name val="Times New Roman"/>
      <family val="1"/>
    </font>
    <font>
      <sz val="12"/>
      <color theme="1"/>
      <name val="Times New Roman"/>
      <family val="1"/>
    </font>
    <font>
      <sz val="12"/>
      <color rgb="FFFF0000"/>
      <name val="Times New Roman"/>
      <family val="1"/>
    </font>
    <font>
      <b/>
      <sz val="12"/>
      <color theme="1"/>
      <name val="Times New Roman"/>
      <family val="1"/>
    </font>
    <font>
      <u/>
      <sz val="12"/>
      <color theme="10"/>
      <name val="Calibri"/>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0" fontId="8" fillId="0" borderId="0"/>
    <xf numFmtId="0" fontId="2" fillId="0" borderId="0"/>
    <xf numFmtId="0" fontId="1" fillId="0" borderId="0"/>
    <xf numFmtId="0" fontId="1" fillId="0" borderId="0"/>
    <xf numFmtId="0" fontId="8" fillId="0" borderId="0"/>
    <xf numFmtId="0" fontId="1" fillId="0" borderId="0"/>
    <xf numFmtId="164" fontId="8" fillId="0" borderId="0" applyFont="0" applyFill="0" applyBorder="0" applyAlignment="0" applyProtection="0"/>
    <xf numFmtId="0" fontId="13" fillId="0" borderId="0"/>
    <xf numFmtId="0" fontId="16" fillId="0" borderId="0" applyNumberFormat="0" applyFill="0" applyBorder="0" applyAlignment="0" applyProtection="0"/>
    <xf numFmtId="9" fontId="14" fillId="0" borderId="0" applyFont="0" applyFill="0" applyBorder="0" applyAlignment="0" applyProtection="0"/>
  </cellStyleXfs>
  <cellXfs count="272">
    <xf numFmtId="0" fontId="0" fillId="0" borderId="0" xfId="0"/>
    <xf numFmtId="0" fontId="0" fillId="0" borderId="0" xfId="0"/>
    <xf numFmtId="0" fontId="8" fillId="0" borderId="0" xfId="6" applyFont="1"/>
    <xf numFmtId="0" fontId="1" fillId="0" borderId="0" xfId="7"/>
    <xf numFmtId="0" fontId="11" fillId="0" borderId="4" xfId="7" applyFont="1" applyBorder="1" applyAlignment="1">
      <alignment horizontal="center" vertical="top" wrapText="1"/>
    </xf>
    <xf numFmtId="0" fontId="12"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7" fontId="1" fillId="0" borderId="4" xfId="8" applyNumberFormat="1" applyFont="1" applyBorder="1" applyAlignment="1">
      <alignment horizontal="right" vertical="center"/>
    </xf>
    <xf numFmtId="0" fontId="11" fillId="0" borderId="4" xfId="7" applyFont="1" applyBorder="1" applyAlignment="1">
      <alignment horizontal="center" vertical="center"/>
    </xf>
    <xf numFmtId="1" fontId="10" fillId="0" borderId="4" xfId="7" applyNumberFormat="1" applyFont="1" applyBorder="1" applyAlignment="1">
      <alignment horizontal="center" vertical="center"/>
    </xf>
    <xf numFmtId="0" fontId="1" fillId="0" borderId="4" xfId="7" applyFont="1" applyBorder="1" applyAlignment="1">
      <alignment horizontal="center" vertical="center"/>
    </xf>
    <xf numFmtId="0" fontId="8" fillId="0" borderId="4" xfId="6" applyFont="1" applyBorder="1" applyAlignment="1">
      <alignment horizontal="center" vertical="center"/>
    </xf>
    <xf numFmtId="0" fontId="5" fillId="0" borderId="0" xfId="1" applyFont="1" applyFill="1"/>
    <xf numFmtId="0" fontId="5" fillId="0" borderId="16" xfId="1" applyFont="1" applyFill="1" applyBorder="1" applyProtection="1">
      <protection hidden="1"/>
    </xf>
    <xf numFmtId="0" fontId="5" fillId="0" borderId="17" xfId="1" applyFont="1" applyFill="1" applyBorder="1" applyProtection="1">
      <protection hidden="1"/>
    </xf>
    <xf numFmtId="0" fontId="5" fillId="0" borderId="0" xfId="1" applyFont="1" applyFill="1" applyProtection="1">
      <protection hidden="1"/>
    </xf>
    <xf numFmtId="0" fontId="5" fillId="0" borderId="20" xfId="1" applyFont="1" applyFill="1" applyBorder="1" applyProtection="1">
      <protection hidden="1"/>
    </xf>
    <xf numFmtId="0" fontId="15" fillId="0" borderId="0" xfId="0" applyFont="1" applyFill="1" applyProtection="1">
      <protection hidden="1"/>
    </xf>
    <xf numFmtId="0" fontId="5" fillId="0" borderId="20" xfId="1" applyFont="1" applyFill="1" applyBorder="1"/>
    <xf numFmtId="9" fontId="15" fillId="0" borderId="0" xfId="0" applyNumberFormat="1" applyFont="1" applyFill="1" applyProtection="1">
      <protection hidden="1"/>
    </xf>
    <xf numFmtId="0" fontId="15" fillId="0" borderId="20" xfId="0" applyFont="1" applyFill="1" applyBorder="1" applyProtection="1">
      <protection hidden="1"/>
    </xf>
    <xf numFmtId="1" fontId="14" fillId="0" borderId="20" xfId="0" applyNumberFormat="1" applyFont="1" applyFill="1" applyBorder="1"/>
    <xf numFmtId="1" fontId="14" fillId="0" borderId="0" xfId="0" applyNumberFormat="1" applyFont="1" applyFill="1"/>
    <xf numFmtId="165" fontId="14" fillId="0" borderId="0" xfId="0" applyNumberFormat="1" applyFont="1" applyFill="1"/>
    <xf numFmtId="1" fontId="14" fillId="0" borderId="20" xfId="0" applyNumberFormat="1" applyFont="1" applyFill="1" applyBorder="1" applyAlignment="1">
      <alignment horizontal="right"/>
    </xf>
    <xf numFmtId="0" fontId="14" fillId="0" borderId="0" xfId="0" applyFont="1" applyFill="1"/>
    <xf numFmtId="0" fontId="14" fillId="0" borderId="20" xfId="0" applyFont="1" applyFill="1" applyBorder="1"/>
    <xf numFmtId="0" fontId="15" fillId="0" borderId="24" xfId="0" applyFont="1" applyFill="1" applyBorder="1" applyProtection="1">
      <protection hidden="1"/>
    </xf>
    <xf numFmtId="9" fontId="15" fillId="0" borderId="24" xfId="0" applyNumberFormat="1" applyFont="1" applyFill="1" applyBorder="1" applyProtection="1">
      <protection hidden="1"/>
    </xf>
    <xf numFmtId="1" fontId="14" fillId="0" borderId="25" xfId="0" applyNumberFormat="1" applyFont="1" applyFill="1" applyBorder="1"/>
    <xf numFmtId="0" fontId="0" fillId="0" borderId="0" xfId="0" applyFont="1" applyFill="1"/>
    <xf numFmtId="0" fontId="11" fillId="0" borderId="0" xfId="0" applyFont="1" applyFill="1"/>
    <xf numFmtId="0" fontId="5" fillId="0" borderId="0" xfId="0" applyFont="1" applyFill="1"/>
    <xf numFmtId="0" fontId="0" fillId="0" borderId="0" xfId="0" applyFill="1"/>
    <xf numFmtId="0" fontId="9" fillId="0" borderId="0" xfId="1" applyFont="1" applyFill="1"/>
    <xf numFmtId="0" fontId="5" fillId="2" borderId="0" xfId="1" applyFont="1" applyFill="1"/>
    <xf numFmtId="0" fontId="7" fillId="0" borderId="0" xfId="1" applyFont="1" applyFill="1"/>
    <xf numFmtId="0" fontId="5" fillId="3" borderId="0" xfId="1" applyFont="1" applyFill="1"/>
    <xf numFmtId="1" fontId="6" fillId="0" borderId="4" xfId="1" applyNumberFormat="1" applyFont="1" applyFill="1" applyBorder="1" applyAlignment="1" applyProtection="1">
      <alignment horizontal="center" vertical="center" wrapText="1"/>
      <protection locked="0"/>
    </xf>
    <xf numFmtId="9" fontId="18" fillId="0" borderId="27" xfId="11" applyFont="1" applyFill="1" applyBorder="1" applyAlignment="1" applyProtection="1">
      <alignment horizontal="center" vertical="top" wrapText="1"/>
      <protection locked="0"/>
    </xf>
    <xf numFmtId="0" fontId="20" fillId="0" borderId="3" xfId="1" applyFont="1" applyFill="1" applyBorder="1" applyAlignment="1">
      <alignment horizontal="left" vertical="top"/>
    </xf>
    <xf numFmtId="0" fontId="23" fillId="0" borderId="3" xfId="1" applyFont="1" applyFill="1" applyBorder="1" applyAlignment="1">
      <alignment vertical="top" wrapText="1"/>
    </xf>
    <xf numFmtId="0" fontId="20" fillId="0" borderId="3" xfId="1" applyFont="1" applyFill="1" applyBorder="1" applyAlignment="1">
      <alignment vertical="top" wrapText="1"/>
    </xf>
    <xf numFmtId="0" fontId="20" fillId="0" borderId="4" xfId="1" applyFont="1" applyFill="1" applyBorder="1" applyAlignment="1">
      <alignment horizontal="left" vertical="top"/>
    </xf>
    <xf numFmtId="0" fontId="20" fillId="0" borderId="4" xfId="1" applyFont="1" applyFill="1" applyBorder="1" applyAlignment="1">
      <alignment vertical="top"/>
    </xf>
    <xf numFmtId="14" fontId="20" fillId="0" borderId="4" xfId="1" applyNumberFormat="1" applyFont="1" applyFill="1" applyBorder="1" applyAlignment="1">
      <alignment horizontal="left" vertical="top" wrapText="1"/>
    </xf>
    <xf numFmtId="0" fontId="19" fillId="0" borderId="4" xfId="1" applyFont="1" applyFill="1" applyBorder="1" applyAlignment="1">
      <alignment horizontal="left" vertical="top"/>
    </xf>
    <xf numFmtId="0" fontId="20" fillId="0" borderId="10" xfId="1" applyFont="1" applyFill="1" applyBorder="1" applyAlignment="1">
      <alignment horizontal="left" vertical="top" wrapText="1"/>
    </xf>
    <xf numFmtId="0" fontId="21" fillId="0" borderId="18" xfId="1" applyFont="1" applyFill="1" applyBorder="1" applyAlignment="1" applyProtection="1">
      <alignment horizontal="center" vertical="top"/>
      <protection locked="0"/>
    </xf>
    <xf numFmtId="0" fontId="21" fillId="0" borderId="4" xfId="1" applyFont="1" applyFill="1" applyBorder="1" applyAlignment="1" applyProtection="1">
      <alignment horizontal="center" vertical="top"/>
      <protection locked="0"/>
    </xf>
    <xf numFmtId="0" fontId="21" fillId="0" borderId="1" xfId="1" applyFont="1" applyFill="1" applyBorder="1" applyAlignment="1" applyProtection="1">
      <alignment horizontal="center" vertical="top"/>
      <protection locked="0"/>
    </xf>
    <xf numFmtId="0" fontId="21" fillId="0" borderId="4" xfId="1" applyFont="1" applyFill="1" applyBorder="1" applyAlignment="1" applyProtection="1">
      <alignment horizontal="center" vertical="top" wrapText="1"/>
      <protection locked="0"/>
    </xf>
    <xf numFmtId="0" fontId="21" fillId="0" borderId="4" xfId="1" applyFont="1" applyFill="1" applyBorder="1" applyAlignment="1" applyProtection="1">
      <alignment horizontal="center" wrapText="1"/>
      <protection locked="0"/>
    </xf>
    <xf numFmtId="1" fontId="21" fillId="0" borderId="4" xfId="1" applyNumberFormat="1" applyFont="1" applyFill="1" applyBorder="1" applyAlignment="1" applyProtection="1">
      <alignment horizontal="center" wrapText="1"/>
      <protection locked="0"/>
    </xf>
    <xf numFmtId="0" fontId="21" fillId="0" borderId="22" xfId="1" applyFont="1" applyFill="1" applyBorder="1" applyAlignment="1" applyProtection="1">
      <alignment horizontal="center" wrapText="1"/>
      <protection locked="0"/>
    </xf>
    <xf numFmtId="1" fontId="19" fillId="0" borderId="26" xfId="1" applyNumberFormat="1" applyFont="1" applyFill="1" applyBorder="1" applyAlignment="1">
      <alignment horizontal="center" vertical="top" wrapText="1"/>
    </xf>
    <xf numFmtId="1" fontId="20" fillId="0" borderId="4" xfId="1" applyNumberFormat="1" applyFont="1" applyFill="1" applyBorder="1" applyAlignment="1" applyProtection="1">
      <alignment horizontal="center" vertical="center" wrapText="1"/>
      <protection locked="0"/>
    </xf>
    <xf numFmtId="1" fontId="21" fillId="0" borderId="4" xfId="1" applyNumberFormat="1" applyFont="1" applyFill="1" applyBorder="1" applyAlignment="1" applyProtection="1">
      <alignment horizontal="center" vertical="center" wrapText="1"/>
      <protection locked="0"/>
    </xf>
    <xf numFmtId="0" fontId="24" fillId="0" borderId="0" xfId="1" applyFont="1" applyFill="1"/>
    <xf numFmtId="0" fontId="22" fillId="0" borderId="0" xfId="1" applyFont="1" applyFill="1"/>
    <xf numFmtId="0" fontId="19" fillId="0" borderId="0" xfId="1" applyFont="1" applyFill="1" applyBorder="1" applyAlignment="1">
      <alignment vertical="top" wrapText="1"/>
    </xf>
    <xf numFmtId="0" fontId="19" fillId="0" borderId="0" xfId="1" applyFont="1" applyFill="1" applyBorder="1" applyAlignment="1">
      <alignment vertical="top"/>
    </xf>
    <xf numFmtId="0" fontId="20" fillId="0" borderId="1" xfId="1" applyFont="1" applyFill="1" applyBorder="1" applyAlignment="1">
      <alignment horizontal="left" vertical="top" wrapText="1"/>
    </xf>
    <xf numFmtId="0" fontId="20" fillId="0" borderId="3" xfId="1" applyFont="1" applyFill="1" applyBorder="1" applyAlignment="1">
      <alignment horizontal="left" vertical="top" wrapText="1"/>
    </xf>
    <xf numFmtId="0" fontId="20" fillId="0" borderId="2" xfId="1" applyFont="1" applyFill="1" applyBorder="1" applyAlignment="1">
      <alignment horizontal="left" vertical="top"/>
    </xf>
    <xf numFmtId="0" fontId="20" fillId="0" borderId="3" xfId="1" applyFont="1" applyFill="1" applyBorder="1" applyAlignment="1">
      <alignment horizontal="left" vertical="top"/>
    </xf>
    <xf numFmtId="0" fontId="20" fillId="0" borderId="2" xfId="1" applyFont="1" applyFill="1" applyBorder="1" applyAlignment="1">
      <alignment horizontal="left" vertical="top" wrapText="1"/>
    </xf>
    <xf numFmtId="1" fontId="19" fillId="0" borderId="4" xfId="1" applyNumberFormat="1" applyFont="1" applyFill="1" applyBorder="1" applyAlignment="1" applyProtection="1">
      <alignment horizontal="center" vertical="center" wrapText="1"/>
      <protection locked="0"/>
    </xf>
    <xf numFmtId="49" fontId="20" fillId="0" borderId="4" xfId="1" quotePrefix="1" applyNumberFormat="1" applyFont="1" applyFill="1" applyBorder="1" applyAlignment="1" applyProtection="1">
      <alignment horizontal="center" vertical="center" wrapText="1"/>
      <protection locked="0"/>
    </xf>
    <xf numFmtId="1" fontId="20" fillId="0" borderId="4" xfId="1" applyNumberFormat="1" applyFont="1" applyFill="1" applyBorder="1" applyAlignment="1" applyProtection="1">
      <alignment horizontal="center" vertical="center" wrapText="1"/>
      <protection locked="0"/>
    </xf>
    <xf numFmtId="1" fontId="20" fillId="0" borderId="1" xfId="1" applyNumberFormat="1" applyFont="1" applyFill="1" applyBorder="1" applyAlignment="1" applyProtection="1">
      <alignment horizontal="center" vertical="center" wrapText="1"/>
      <protection locked="0"/>
    </xf>
    <xf numFmtId="1" fontId="20" fillId="0" borderId="3" xfId="1" applyNumberFormat="1" applyFont="1" applyFill="1" applyBorder="1" applyAlignment="1" applyProtection="1">
      <alignment horizontal="center" vertical="center" wrapText="1"/>
      <protection locked="0"/>
    </xf>
    <xf numFmtId="1" fontId="20" fillId="0" borderId="5" xfId="1" applyNumberFormat="1" applyFont="1" applyFill="1" applyBorder="1" applyAlignment="1" applyProtection="1">
      <alignment horizontal="center" vertical="center" wrapText="1"/>
      <protection locked="0"/>
    </xf>
    <xf numFmtId="1" fontId="20" fillId="0" borderId="7" xfId="1" applyNumberFormat="1" applyFont="1" applyFill="1" applyBorder="1" applyAlignment="1" applyProtection="1">
      <alignment horizontal="center" vertical="center" wrapText="1"/>
      <protection locked="0"/>
    </xf>
    <xf numFmtId="1" fontId="20" fillId="0" borderId="11" xfId="1" applyNumberFormat="1" applyFont="1" applyFill="1" applyBorder="1" applyAlignment="1" applyProtection="1">
      <alignment horizontal="center" vertical="center" wrapText="1"/>
      <protection locked="0"/>
    </xf>
    <xf numFmtId="1" fontId="20" fillId="0" borderId="12" xfId="1" applyNumberFormat="1" applyFont="1" applyFill="1" applyBorder="1" applyAlignment="1" applyProtection="1">
      <alignment horizontal="center" vertical="center" wrapText="1"/>
      <protection locked="0"/>
    </xf>
    <xf numFmtId="1" fontId="20" fillId="0" borderId="8" xfId="1" applyNumberFormat="1" applyFont="1" applyFill="1" applyBorder="1" applyAlignment="1" applyProtection="1">
      <alignment horizontal="center" vertical="center" wrapText="1"/>
      <protection locked="0"/>
    </xf>
    <xf numFmtId="1" fontId="20" fillId="0" borderId="10" xfId="1" applyNumberFormat="1" applyFont="1" applyFill="1" applyBorder="1" applyAlignment="1" applyProtection="1">
      <alignment horizontal="center" vertical="center" wrapText="1"/>
      <protection locked="0"/>
    </xf>
    <xf numFmtId="1" fontId="20" fillId="0" borderId="2" xfId="1" applyNumberFormat="1" applyFont="1" applyFill="1" applyBorder="1" applyAlignment="1" applyProtection="1">
      <alignment horizontal="center" vertical="center" wrapText="1"/>
      <protection locked="0"/>
    </xf>
    <xf numFmtId="1" fontId="20" fillId="0" borderId="6" xfId="1" applyNumberFormat="1" applyFont="1" applyFill="1" applyBorder="1" applyAlignment="1" applyProtection="1">
      <alignment horizontal="center" vertical="center" wrapText="1"/>
      <protection locked="0"/>
    </xf>
    <xf numFmtId="1" fontId="20" fillId="0" borderId="9" xfId="1" applyNumberFormat="1" applyFont="1" applyFill="1" applyBorder="1" applyAlignment="1" applyProtection="1">
      <alignment horizontal="center" vertical="center" wrapText="1"/>
      <protection locked="0"/>
    </xf>
    <xf numFmtId="1" fontId="21" fillId="0" borderId="1" xfId="1" applyNumberFormat="1" applyFont="1" applyFill="1" applyBorder="1" applyAlignment="1" applyProtection="1">
      <alignment horizontal="center" vertical="center" wrapText="1"/>
      <protection locked="0"/>
    </xf>
    <xf numFmtId="1" fontId="21" fillId="0" borderId="2" xfId="1" applyNumberFormat="1" applyFont="1" applyFill="1" applyBorder="1" applyAlignment="1" applyProtection="1">
      <alignment horizontal="center" vertical="center" wrapText="1"/>
      <protection locked="0"/>
    </xf>
    <xf numFmtId="1" fontId="21" fillId="0" borderId="3" xfId="1" applyNumberFormat="1" applyFont="1" applyFill="1" applyBorder="1" applyAlignment="1" applyProtection="1">
      <alignment horizontal="center" vertical="center" wrapText="1"/>
      <protection locked="0"/>
    </xf>
    <xf numFmtId="1" fontId="19" fillId="0" borderId="1" xfId="1" applyNumberFormat="1" applyFont="1" applyFill="1" applyBorder="1" applyAlignment="1" applyProtection="1">
      <alignment horizontal="center" vertical="center" wrapText="1"/>
      <protection locked="0"/>
    </xf>
    <xf numFmtId="1" fontId="19" fillId="0" borderId="2" xfId="1" applyNumberFormat="1" applyFont="1" applyFill="1" applyBorder="1" applyAlignment="1" applyProtection="1">
      <alignment horizontal="center" vertical="center" wrapText="1"/>
      <protection locked="0"/>
    </xf>
    <xf numFmtId="1" fontId="19" fillId="0" borderId="3" xfId="1" applyNumberFormat="1" applyFont="1" applyFill="1" applyBorder="1" applyAlignment="1" applyProtection="1">
      <alignment horizontal="center" vertical="center" wrapText="1"/>
      <protection locked="0"/>
    </xf>
    <xf numFmtId="1" fontId="18" fillId="4" borderId="4" xfId="1" applyNumberFormat="1" applyFont="1" applyFill="1" applyBorder="1" applyAlignment="1">
      <alignment horizontal="center" vertical="center" wrapText="1"/>
    </xf>
    <xf numFmtId="1" fontId="19" fillId="0" borderId="4" xfId="1" applyNumberFormat="1" applyFont="1" applyFill="1" applyBorder="1" applyAlignment="1">
      <alignment horizontal="center" vertical="center" wrapText="1"/>
    </xf>
    <xf numFmtId="1" fontId="4" fillId="0" borderId="4" xfId="1" applyNumberFormat="1" applyFont="1" applyFill="1" applyBorder="1" applyAlignment="1" applyProtection="1">
      <alignment horizontal="center" vertical="center" wrapText="1"/>
      <protection locked="0"/>
    </xf>
    <xf numFmtId="0" fontId="21" fillId="0" borderId="4" xfId="1" quotePrefix="1" applyNumberFormat="1" applyFont="1" applyFill="1" applyBorder="1" applyAlignment="1" applyProtection="1">
      <alignment horizontal="center" vertical="center" wrapText="1"/>
      <protection locked="0"/>
    </xf>
    <xf numFmtId="1" fontId="21" fillId="0" borderId="4" xfId="1" applyNumberFormat="1" applyFont="1" applyFill="1" applyBorder="1" applyAlignment="1" applyProtection="1">
      <alignment horizontal="center" vertical="center" wrapText="1"/>
      <protection locked="0"/>
    </xf>
    <xf numFmtId="1" fontId="21" fillId="0" borderId="5" xfId="1" applyNumberFormat="1" applyFont="1" applyFill="1" applyBorder="1" applyAlignment="1" applyProtection="1">
      <alignment horizontal="center" vertical="center" wrapText="1"/>
      <protection locked="0"/>
    </xf>
    <xf numFmtId="1" fontId="21" fillId="0" borderId="7" xfId="1" applyNumberFormat="1" applyFont="1" applyFill="1" applyBorder="1" applyAlignment="1" applyProtection="1">
      <alignment horizontal="center" vertical="center" wrapText="1"/>
      <protection locked="0"/>
    </xf>
    <xf numFmtId="1" fontId="21" fillId="0" borderId="11" xfId="1" applyNumberFormat="1" applyFont="1" applyFill="1" applyBorder="1" applyAlignment="1" applyProtection="1">
      <alignment horizontal="center" vertical="center" wrapText="1"/>
      <protection locked="0"/>
    </xf>
    <xf numFmtId="1" fontId="21" fillId="0" borderId="12" xfId="1" applyNumberFormat="1" applyFont="1" applyFill="1" applyBorder="1" applyAlignment="1" applyProtection="1">
      <alignment horizontal="center" vertical="center" wrapText="1"/>
      <protection locked="0"/>
    </xf>
    <xf numFmtId="1" fontId="21" fillId="0" borderId="8" xfId="1" applyNumberFormat="1" applyFont="1" applyFill="1" applyBorder="1" applyAlignment="1" applyProtection="1">
      <alignment horizontal="center" vertical="center" wrapText="1"/>
      <protection locked="0"/>
    </xf>
    <xf numFmtId="1" fontId="21" fillId="0" borderId="10" xfId="1" applyNumberFormat="1" applyFont="1" applyFill="1" applyBorder="1" applyAlignment="1" applyProtection="1">
      <alignment horizontal="center" vertical="center" wrapText="1"/>
      <protection locked="0"/>
    </xf>
    <xf numFmtId="1" fontId="18" fillId="0" borderId="4" xfId="1" applyNumberFormat="1" applyFont="1" applyFill="1" applyBorder="1" applyAlignment="1">
      <alignment horizontal="center" vertical="center" wrapText="1"/>
    </xf>
    <xf numFmtId="0" fontId="20" fillId="0" borderId="1" xfId="1" applyFont="1" applyFill="1" applyBorder="1" applyAlignment="1">
      <alignment horizontal="left" vertical="top"/>
    </xf>
    <xf numFmtId="0" fontId="20" fillId="0" borderId="9" xfId="1" applyFont="1" applyFill="1" applyBorder="1" applyAlignment="1">
      <alignment horizontal="left" vertical="top"/>
    </xf>
    <xf numFmtId="0" fontId="20" fillId="0" borderId="8" xfId="1" applyFont="1" applyFill="1" applyBorder="1" applyAlignment="1">
      <alignment horizontal="left" vertical="top" wrapText="1"/>
    </xf>
    <xf numFmtId="0" fontId="20" fillId="0" borderId="9" xfId="1" applyFont="1" applyFill="1" applyBorder="1" applyAlignment="1">
      <alignment horizontal="left" vertical="top" wrapText="1"/>
    </xf>
    <xf numFmtId="1" fontId="19" fillId="0" borderId="5" xfId="1" applyNumberFormat="1" applyFont="1" applyFill="1" applyBorder="1" applyAlignment="1">
      <alignment horizontal="center" vertical="top" wrapText="1"/>
    </xf>
    <xf numFmtId="1" fontId="19" fillId="0" borderId="7" xfId="1" applyNumberFormat="1" applyFont="1" applyFill="1" applyBorder="1" applyAlignment="1">
      <alignment horizontal="center" vertical="top" wrapText="1"/>
    </xf>
    <xf numFmtId="1" fontId="19" fillId="0" borderId="8" xfId="1" applyNumberFormat="1" applyFont="1" applyFill="1" applyBorder="1" applyAlignment="1">
      <alignment horizontal="center" vertical="top" wrapText="1"/>
    </xf>
    <xf numFmtId="1" fontId="19" fillId="0" borderId="10" xfId="1" applyNumberFormat="1" applyFont="1" applyFill="1" applyBorder="1" applyAlignment="1">
      <alignment horizontal="center" vertical="top" wrapText="1"/>
    </xf>
    <xf numFmtId="1" fontId="19" fillId="0" borderId="6" xfId="1" applyNumberFormat="1" applyFont="1" applyFill="1" applyBorder="1" applyAlignment="1">
      <alignment horizontal="center" vertical="top" wrapText="1"/>
    </xf>
    <xf numFmtId="1" fontId="19" fillId="0" borderId="9" xfId="1" applyNumberFormat="1" applyFont="1" applyFill="1" applyBorder="1" applyAlignment="1">
      <alignment horizontal="center" vertical="top" wrapText="1"/>
    </xf>
    <xf numFmtId="0" fontId="21" fillId="0" borderId="1" xfId="1" applyFont="1" applyFill="1" applyBorder="1" applyAlignment="1">
      <alignment horizontal="left" vertical="top" wrapText="1"/>
    </xf>
    <xf numFmtId="0" fontId="21" fillId="0" borderId="2" xfId="1" applyFont="1" applyFill="1" applyBorder="1" applyAlignment="1">
      <alignment horizontal="left" vertical="top" wrapText="1"/>
    </xf>
    <xf numFmtId="0" fontId="21" fillId="0" borderId="3" xfId="1" applyFont="1" applyFill="1" applyBorder="1" applyAlignment="1">
      <alignment horizontal="left" vertical="top" wrapText="1"/>
    </xf>
    <xf numFmtId="0" fontId="21" fillId="0" borderId="5" xfId="1" applyFont="1" applyFill="1" applyBorder="1" applyAlignment="1">
      <alignment horizontal="left" vertical="top" wrapText="1"/>
    </xf>
    <xf numFmtId="0" fontId="21" fillId="0" borderId="6" xfId="1" applyFont="1" applyFill="1" applyBorder="1" applyAlignment="1">
      <alignment horizontal="left" vertical="top" wrapText="1"/>
    </xf>
    <xf numFmtId="0" fontId="21" fillId="0" borderId="7" xfId="1" applyFont="1" applyFill="1" applyBorder="1" applyAlignment="1">
      <alignment horizontal="left" vertical="top" wrapText="1"/>
    </xf>
    <xf numFmtId="0" fontId="21" fillId="0" borderId="11" xfId="1" applyFont="1" applyFill="1" applyBorder="1" applyAlignment="1">
      <alignment horizontal="left" vertical="top" wrapText="1"/>
    </xf>
    <xf numFmtId="0" fontId="21" fillId="0" borderId="0" xfId="1" applyFont="1" applyFill="1" applyBorder="1" applyAlignment="1">
      <alignment horizontal="left" vertical="top" wrapText="1"/>
    </xf>
    <xf numFmtId="0" fontId="21" fillId="0" borderId="12" xfId="1" applyFont="1" applyFill="1" applyBorder="1" applyAlignment="1">
      <alignment horizontal="left" vertical="top" wrapText="1"/>
    </xf>
    <xf numFmtId="0" fontId="21" fillId="0" borderId="8" xfId="1" applyFont="1" applyFill="1" applyBorder="1" applyAlignment="1">
      <alignment horizontal="left" vertical="top" wrapText="1"/>
    </xf>
    <xf numFmtId="0" fontId="21" fillId="0" borderId="9" xfId="1" applyFont="1" applyFill="1" applyBorder="1" applyAlignment="1">
      <alignment horizontal="left" vertical="top" wrapText="1"/>
    </xf>
    <xf numFmtId="0" fontId="21" fillId="0" borderId="10" xfId="1" applyFont="1" applyFill="1" applyBorder="1" applyAlignment="1">
      <alignment horizontal="left" vertical="top" wrapText="1"/>
    </xf>
    <xf numFmtId="0" fontId="19" fillId="0" borderId="5" xfId="1" applyFont="1" applyFill="1" applyBorder="1" applyAlignment="1">
      <alignment horizontal="left" vertical="top" wrapText="1"/>
    </xf>
    <xf numFmtId="0" fontId="19" fillId="0" borderId="7" xfId="1"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3" xfId="1" applyFont="1" applyFill="1" applyBorder="1" applyAlignment="1">
      <alignment horizontal="left" vertical="top" wrapText="1"/>
    </xf>
    <xf numFmtId="0" fontId="21" fillId="0" borderId="1" xfId="1" applyFont="1" applyFill="1" applyBorder="1" applyAlignment="1" applyProtection="1">
      <alignment horizontal="center" vertical="top"/>
      <protection locked="0"/>
    </xf>
    <xf numFmtId="0" fontId="21" fillId="0" borderId="3" xfId="1" applyFont="1" applyFill="1" applyBorder="1" applyAlignment="1" applyProtection="1">
      <alignment horizontal="center" vertical="top"/>
      <protection locked="0"/>
    </xf>
    <xf numFmtId="0" fontId="21" fillId="0" borderId="4" xfId="1" applyFont="1" applyFill="1" applyBorder="1" applyAlignment="1" applyProtection="1">
      <alignment horizontal="center" vertical="top"/>
      <protection locked="0"/>
    </xf>
    <xf numFmtId="0" fontId="21" fillId="0" borderId="19" xfId="1" applyFont="1" applyFill="1" applyBorder="1" applyAlignment="1" applyProtection="1">
      <alignment horizontal="center" vertical="top"/>
      <protection locked="0"/>
    </xf>
    <xf numFmtId="0" fontId="19" fillId="0" borderId="5" xfId="1" applyFont="1" applyFill="1" applyBorder="1" applyAlignment="1">
      <alignment horizontal="center" vertical="top" wrapText="1"/>
    </xf>
    <xf numFmtId="0" fontId="19" fillId="0" borderId="6" xfId="1" applyFont="1" applyFill="1" applyBorder="1" applyAlignment="1">
      <alignment horizontal="center" vertical="top" wrapText="1"/>
    </xf>
    <xf numFmtId="0" fontId="19" fillId="0" borderId="7" xfId="1" applyFont="1" applyFill="1" applyBorder="1" applyAlignment="1">
      <alignment horizontal="center" vertical="top" wrapText="1"/>
    </xf>
    <xf numFmtId="0" fontId="19" fillId="0" borderId="11" xfId="1" applyFont="1" applyFill="1" applyBorder="1" applyAlignment="1">
      <alignment horizontal="center" vertical="top" wrapText="1"/>
    </xf>
    <xf numFmtId="0" fontId="19" fillId="0" borderId="0" xfId="1" applyFont="1" applyFill="1" applyBorder="1" applyAlignment="1">
      <alignment horizontal="center" vertical="top" wrapText="1"/>
    </xf>
    <xf numFmtId="0" fontId="19" fillId="0" borderId="12" xfId="1" applyFont="1" applyFill="1" applyBorder="1" applyAlignment="1">
      <alignment horizontal="center" vertical="top" wrapText="1"/>
    </xf>
    <xf numFmtId="0" fontId="19" fillId="0" borderId="8" xfId="1" applyFont="1" applyFill="1" applyBorder="1" applyAlignment="1">
      <alignment horizontal="center" vertical="top" wrapText="1"/>
    </xf>
    <xf numFmtId="0" fontId="19" fillId="0" borderId="9" xfId="1" applyFont="1" applyFill="1" applyBorder="1" applyAlignment="1">
      <alignment horizontal="center" vertical="top" wrapText="1"/>
    </xf>
    <xf numFmtId="0" fontId="19" fillId="0" borderId="10" xfId="1" applyFont="1" applyFill="1" applyBorder="1" applyAlignment="1">
      <alignment horizontal="center" vertical="top" wrapText="1"/>
    </xf>
    <xf numFmtId="0" fontId="18" fillId="0" borderId="4" xfId="2" applyFont="1" applyFill="1" applyBorder="1" applyAlignment="1">
      <alignment horizontal="left" vertical="top" wrapText="1"/>
    </xf>
    <xf numFmtId="0" fontId="20" fillId="0" borderId="10" xfId="1" applyFont="1" applyFill="1" applyBorder="1" applyAlignment="1">
      <alignment horizontal="left" vertical="top" wrapText="1"/>
    </xf>
    <xf numFmtId="0" fontId="21" fillId="0" borderId="4" xfId="1" applyFont="1" applyFill="1" applyBorder="1" applyAlignment="1">
      <alignment horizontal="left" vertical="top"/>
    </xf>
    <xf numFmtId="0" fontId="21" fillId="0" borderId="4" xfId="1" applyFont="1" applyFill="1" applyBorder="1" applyAlignment="1">
      <alignment horizontal="center" vertical="top"/>
    </xf>
    <xf numFmtId="0" fontId="21" fillId="0" borderId="1" xfId="1" applyFont="1" applyFill="1" applyBorder="1" applyAlignment="1">
      <alignment horizontal="left" vertical="top"/>
    </xf>
    <xf numFmtId="0" fontId="21" fillId="0" borderId="3" xfId="1" applyFont="1" applyFill="1" applyBorder="1" applyAlignment="1">
      <alignment horizontal="left"/>
    </xf>
    <xf numFmtId="14" fontId="21" fillId="0" borderId="1" xfId="1" applyNumberFormat="1" applyFont="1" applyFill="1" applyBorder="1" applyAlignment="1">
      <alignment horizontal="left" vertical="top"/>
    </xf>
    <xf numFmtId="0" fontId="21" fillId="0" borderId="2" xfId="1" applyFont="1" applyFill="1" applyBorder="1" applyAlignment="1">
      <alignment horizontal="left" vertical="top"/>
    </xf>
    <xf numFmtId="0" fontId="21" fillId="0" borderId="3" xfId="1" applyFont="1" applyFill="1" applyBorder="1" applyAlignment="1">
      <alignment horizontal="left" vertical="top"/>
    </xf>
    <xf numFmtId="0" fontId="18" fillId="0" borderId="1" xfId="1" applyFont="1" applyFill="1" applyBorder="1" applyAlignment="1">
      <alignment vertical="top"/>
    </xf>
    <xf numFmtId="0" fontId="18" fillId="0" borderId="2" xfId="1" applyFont="1" applyFill="1" applyBorder="1" applyAlignment="1">
      <alignment vertical="top"/>
    </xf>
    <xf numFmtId="0" fontId="18" fillId="0" borderId="3" xfId="1" applyFont="1" applyFill="1" applyBorder="1" applyAlignment="1">
      <alignment vertical="top"/>
    </xf>
    <xf numFmtId="4" fontId="21" fillId="0" borderId="1" xfId="1" applyNumberFormat="1" applyFont="1" applyFill="1" applyBorder="1" applyAlignment="1">
      <alignment horizontal="left" vertical="top"/>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18" fillId="0" borderId="13" xfId="1" applyFont="1" applyFill="1" applyBorder="1" applyAlignment="1" applyProtection="1">
      <alignment horizontal="center" vertical="top" wrapText="1"/>
      <protection locked="0"/>
    </xf>
    <xf numFmtId="0" fontId="18" fillId="0" borderId="14" xfId="1" applyFont="1" applyFill="1" applyBorder="1" applyAlignment="1" applyProtection="1">
      <alignment horizontal="center" vertical="top" wrapText="1"/>
      <protection locked="0"/>
    </xf>
    <xf numFmtId="0" fontId="18" fillId="0" borderId="14" xfId="1" applyFont="1" applyFill="1" applyBorder="1" applyAlignment="1" applyProtection="1">
      <alignment horizontal="left" vertical="top" wrapText="1"/>
      <protection locked="0"/>
    </xf>
    <xf numFmtId="0" fontId="18" fillId="0" borderId="15" xfId="1" applyFont="1" applyFill="1" applyBorder="1" applyAlignment="1" applyProtection="1">
      <alignment horizontal="left" vertical="top" wrapText="1"/>
      <protection locked="0"/>
    </xf>
    <xf numFmtId="1" fontId="21" fillId="0" borderId="1" xfId="0" applyNumberFormat="1" applyFont="1" applyFill="1" applyBorder="1" applyAlignment="1" applyProtection="1">
      <alignment horizontal="center" vertical="center" wrapText="1"/>
      <protection locked="0"/>
    </xf>
    <xf numFmtId="1" fontId="21" fillId="0" borderId="2" xfId="0" applyNumberFormat="1" applyFont="1" applyFill="1" applyBorder="1" applyAlignment="1" applyProtection="1">
      <alignment horizontal="center" vertical="center" wrapText="1"/>
      <protection locked="0"/>
    </xf>
    <xf numFmtId="1" fontId="21" fillId="0" borderId="3" xfId="0" applyNumberFormat="1" applyFont="1" applyFill="1" applyBorder="1" applyAlignment="1" applyProtection="1">
      <alignment horizontal="center" vertical="center" wrapText="1"/>
      <protection locked="0"/>
    </xf>
    <xf numFmtId="1" fontId="21" fillId="0" borderId="2" xfId="0" applyNumberFormat="1" applyFont="1" applyFill="1" applyBorder="1" applyAlignment="1">
      <alignment horizontal="center" vertical="top" wrapText="1"/>
    </xf>
    <xf numFmtId="1" fontId="21" fillId="0" borderId="3" xfId="0" applyNumberFormat="1" applyFont="1" applyFill="1" applyBorder="1" applyAlignment="1">
      <alignment horizontal="center" vertical="top" wrapText="1"/>
    </xf>
    <xf numFmtId="1" fontId="21" fillId="0" borderId="1" xfId="0" applyNumberFormat="1" applyFont="1" applyFill="1" applyBorder="1" applyAlignment="1">
      <alignment horizontal="center" vertical="top" wrapText="1"/>
    </xf>
    <xf numFmtId="165" fontId="20" fillId="0" borderId="1" xfId="1" applyNumberFormat="1" applyFont="1" applyFill="1" applyBorder="1" applyAlignment="1">
      <alignment horizontal="left" vertical="top"/>
    </xf>
    <xf numFmtId="165" fontId="20" fillId="0" borderId="2" xfId="1" applyNumberFormat="1" applyFont="1" applyFill="1" applyBorder="1" applyAlignment="1">
      <alignment horizontal="left" vertical="top"/>
    </xf>
    <xf numFmtId="165" fontId="20" fillId="0" borderId="3" xfId="1" applyNumberFormat="1" applyFont="1" applyFill="1" applyBorder="1" applyAlignment="1">
      <alignment horizontal="left" vertical="top"/>
    </xf>
    <xf numFmtId="166" fontId="20" fillId="0" borderId="1" xfId="1" applyNumberFormat="1" applyFont="1" applyFill="1" applyBorder="1" applyAlignment="1">
      <alignment horizontal="left" vertical="top"/>
    </xf>
    <xf numFmtId="166" fontId="20" fillId="0" borderId="2" xfId="1" applyNumberFormat="1" applyFont="1" applyFill="1" applyBorder="1" applyAlignment="1">
      <alignment horizontal="left" vertical="top"/>
    </xf>
    <xf numFmtId="166" fontId="20" fillId="0" borderId="3" xfId="1" applyNumberFormat="1" applyFont="1" applyFill="1" applyBorder="1" applyAlignment="1">
      <alignment horizontal="left" vertical="top"/>
    </xf>
    <xf numFmtId="165" fontId="20" fillId="0" borderId="1" xfId="1" applyNumberFormat="1" applyFont="1" applyFill="1" applyBorder="1" applyAlignment="1">
      <alignment horizontal="left" vertical="top" wrapText="1"/>
    </xf>
    <xf numFmtId="165" fontId="20" fillId="0" borderId="2" xfId="1" applyNumberFormat="1" applyFont="1" applyFill="1" applyBorder="1" applyAlignment="1">
      <alignment horizontal="left" vertical="top" wrapText="1"/>
    </xf>
    <xf numFmtId="165" fontId="20" fillId="0" borderId="3" xfId="1" applyNumberFormat="1" applyFont="1" applyFill="1" applyBorder="1" applyAlignment="1">
      <alignment horizontal="left" vertical="top" wrapText="1"/>
    </xf>
    <xf numFmtId="0" fontId="19" fillId="0" borderId="2" xfId="1" applyFont="1" applyFill="1" applyBorder="1" applyAlignment="1">
      <alignment horizontal="left" vertical="top"/>
    </xf>
    <xf numFmtId="0" fontId="19" fillId="0" borderId="3" xfId="1" applyFont="1" applyFill="1" applyBorder="1" applyAlignment="1">
      <alignment horizontal="left" vertical="top"/>
    </xf>
    <xf numFmtId="14" fontId="19" fillId="0" borderId="1" xfId="1" applyNumberFormat="1" applyFont="1" applyFill="1" applyBorder="1" applyAlignment="1">
      <alignment horizontal="left" vertical="top" wrapText="1"/>
    </xf>
    <xf numFmtId="0" fontId="19" fillId="0" borderId="1" xfId="1" applyFont="1" applyFill="1" applyBorder="1" applyAlignment="1">
      <alignment horizontal="left" vertical="top"/>
    </xf>
    <xf numFmtId="14" fontId="20" fillId="0" borderId="1" xfId="1" applyNumberFormat="1" applyFont="1" applyFill="1" applyBorder="1" applyAlignment="1">
      <alignment horizontal="left" vertical="top" wrapText="1"/>
    </xf>
    <xf numFmtId="0" fontId="21" fillId="0" borderId="18" xfId="1" applyFont="1" applyFill="1" applyBorder="1" applyAlignment="1" applyProtection="1">
      <alignment horizontal="center" vertical="top" wrapText="1"/>
      <protection locked="0"/>
    </xf>
    <xf numFmtId="0" fontId="21" fillId="0" borderId="4" xfId="1" applyFont="1" applyFill="1" applyBorder="1" applyAlignment="1" applyProtection="1">
      <alignment horizontal="center" vertical="top" wrapText="1"/>
      <protection locked="0"/>
    </xf>
    <xf numFmtId="9" fontId="21" fillId="0" borderId="4" xfId="1" applyNumberFormat="1" applyFont="1" applyFill="1" applyBorder="1" applyAlignment="1" applyProtection="1">
      <alignment horizontal="center" vertical="center" wrapText="1"/>
      <protection hidden="1"/>
    </xf>
    <xf numFmtId="0" fontId="19" fillId="0" borderId="1" xfId="1" applyFont="1" applyFill="1" applyBorder="1" applyAlignment="1">
      <alignment horizontal="center" vertical="center"/>
    </xf>
    <xf numFmtId="0" fontId="19" fillId="0" borderId="3" xfId="1" applyFont="1" applyFill="1" applyBorder="1" applyAlignment="1">
      <alignment horizontal="center" vertical="center"/>
    </xf>
    <xf numFmtId="0" fontId="20" fillId="0" borderId="1"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1" xfId="1" applyFont="1" applyFill="1" applyBorder="1" applyAlignment="1">
      <alignment horizontal="center" vertical="center"/>
    </xf>
    <xf numFmtId="0" fontId="20" fillId="0" borderId="3" xfId="1" applyFont="1" applyFill="1" applyBorder="1" applyAlignment="1">
      <alignment horizontal="center" vertical="center"/>
    </xf>
    <xf numFmtId="0" fontId="21" fillId="0" borderId="1" xfId="1" applyFont="1" applyFill="1" applyBorder="1" applyAlignment="1" applyProtection="1">
      <alignment horizontal="left" vertical="center" wrapText="1"/>
      <protection locked="0"/>
    </xf>
    <xf numFmtId="0" fontId="21" fillId="0" borderId="2" xfId="1" applyFont="1" applyFill="1" applyBorder="1" applyAlignment="1" applyProtection="1">
      <alignment horizontal="left" vertical="center" wrapText="1"/>
      <protection locked="0"/>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25" fillId="0" borderId="1" xfId="10" applyFont="1" applyFill="1" applyBorder="1" applyAlignment="1">
      <alignment horizontal="left" vertical="top"/>
    </xf>
    <xf numFmtId="0" fontId="18" fillId="0" borderId="1" xfId="1" applyFont="1" applyFill="1" applyBorder="1" applyAlignment="1">
      <alignment horizontal="left" vertical="top" wrapText="1"/>
    </xf>
    <xf numFmtId="0" fontId="19" fillId="0" borderId="1" xfId="1" applyFont="1" applyFill="1" applyBorder="1" applyAlignment="1">
      <alignment horizontal="center" vertical="top" wrapText="1"/>
    </xf>
    <xf numFmtId="0" fontId="19" fillId="0" borderId="2" xfId="1" applyFont="1" applyFill="1" applyBorder="1" applyAlignment="1">
      <alignment horizontal="center" vertical="top" wrapText="1"/>
    </xf>
    <xf numFmtId="0" fontId="19" fillId="0" borderId="3" xfId="1" applyFont="1" applyFill="1" applyBorder="1" applyAlignment="1">
      <alignment horizontal="center" vertical="top" wrapText="1"/>
    </xf>
    <xf numFmtId="0" fontId="19" fillId="0" borderId="1" xfId="1" applyFont="1" applyFill="1" applyBorder="1" applyAlignment="1">
      <alignment horizontal="center" vertical="top"/>
    </xf>
    <xf numFmtId="0" fontId="19" fillId="0" borderId="2" xfId="1" applyFont="1" applyFill="1" applyBorder="1" applyAlignment="1">
      <alignment horizontal="center" vertical="top"/>
    </xf>
    <xf numFmtId="0" fontId="19" fillId="0" borderId="3" xfId="1" applyFont="1" applyFill="1" applyBorder="1" applyAlignment="1">
      <alignment horizontal="center" vertical="top"/>
    </xf>
    <xf numFmtId="14" fontId="21" fillId="0" borderId="2" xfId="1" applyNumberFormat="1" applyFont="1" applyFill="1" applyBorder="1" applyAlignment="1">
      <alignment horizontal="left" vertical="top"/>
    </xf>
    <xf numFmtId="14" fontId="21" fillId="0" borderId="3" xfId="1" applyNumberFormat="1" applyFont="1" applyFill="1" applyBorder="1" applyAlignment="1">
      <alignment horizontal="left" vertical="top"/>
    </xf>
    <xf numFmtId="0" fontId="22" fillId="0" borderId="1" xfId="1" applyFont="1" applyFill="1" applyBorder="1" applyAlignment="1" applyProtection="1">
      <alignment horizontal="left" vertical="center" wrapText="1"/>
      <protection locked="0"/>
    </xf>
    <xf numFmtId="0" fontId="22" fillId="0" borderId="2" xfId="1" applyFont="1" applyFill="1" applyBorder="1" applyAlignment="1" applyProtection="1">
      <alignment horizontal="left" vertical="center" wrapText="1"/>
      <protection locked="0"/>
    </xf>
    <xf numFmtId="0" fontId="20" fillId="0" borderId="1" xfId="1" applyFont="1" applyFill="1" applyBorder="1" applyAlignment="1">
      <alignment vertical="top"/>
    </xf>
    <xf numFmtId="0" fontId="20" fillId="0" borderId="2" xfId="1" applyFont="1" applyFill="1" applyBorder="1" applyAlignment="1">
      <alignment vertical="top"/>
    </xf>
    <xf numFmtId="0" fontId="20" fillId="0" borderId="3" xfId="1" applyFont="1" applyFill="1" applyBorder="1" applyAlignment="1">
      <alignment vertical="top"/>
    </xf>
    <xf numFmtId="0" fontId="24" fillId="0" borderId="1" xfId="1" applyFont="1" applyFill="1" applyBorder="1" applyAlignment="1">
      <alignment horizontal="center" vertical="top"/>
    </xf>
    <xf numFmtId="0" fontId="24" fillId="0" borderId="3" xfId="1" applyFont="1" applyFill="1" applyBorder="1" applyAlignment="1">
      <alignment horizontal="center" vertical="top"/>
    </xf>
    <xf numFmtId="0" fontId="20" fillId="0" borderId="4" xfId="1" applyFont="1" applyFill="1" applyBorder="1" applyAlignment="1">
      <alignment horizontal="left" vertical="top"/>
    </xf>
    <xf numFmtId="0" fontId="20" fillId="0" borderId="4" xfId="1" applyFont="1" applyFill="1" applyBorder="1" applyAlignment="1">
      <alignment horizontal="left" vertical="top" wrapText="1"/>
    </xf>
    <xf numFmtId="0" fontId="23" fillId="0" borderId="2" xfId="1" applyFont="1" applyFill="1" applyBorder="1" applyAlignment="1">
      <alignment horizontal="left" vertical="top" wrapText="1"/>
    </xf>
    <xf numFmtId="0" fontId="23" fillId="0" borderId="3" xfId="1"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6" xfId="1"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5" xfId="1" applyFont="1" applyFill="1" applyBorder="1" applyAlignment="1">
      <alignment horizontal="left" vertical="top"/>
    </xf>
    <xf numFmtId="0" fontId="20" fillId="0" borderId="6" xfId="1" applyFont="1" applyFill="1" applyBorder="1" applyAlignment="1">
      <alignment horizontal="left" vertical="top"/>
    </xf>
    <xf numFmtId="0" fontId="20" fillId="0" borderId="7" xfId="1" applyFont="1" applyFill="1" applyBorder="1" applyAlignment="1">
      <alignment horizontal="left" vertical="top"/>
    </xf>
    <xf numFmtId="0" fontId="20" fillId="0" borderId="8" xfId="1" applyFont="1" applyFill="1" applyBorder="1" applyAlignment="1">
      <alignment horizontal="left" vertical="top"/>
    </xf>
    <xf numFmtId="0" fontId="20" fillId="0" borderId="10" xfId="1" applyFont="1" applyFill="1" applyBorder="1" applyAlignment="1">
      <alignment horizontal="left" vertical="top"/>
    </xf>
    <xf numFmtId="1" fontId="19" fillId="0" borderId="1" xfId="0" applyNumberFormat="1" applyFont="1" applyFill="1" applyBorder="1" applyAlignment="1">
      <alignment horizontal="center" vertical="center" wrapText="1"/>
    </xf>
    <xf numFmtId="1" fontId="19" fillId="0" borderId="2" xfId="0" applyNumberFormat="1"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 fontId="18" fillId="0" borderId="1" xfId="0" applyNumberFormat="1" applyFont="1" applyFill="1" applyBorder="1" applyAlignment="1" applyProtection="1">
      <alignment horizontal="center" vertical="top" wrapText="1"/>
      <protection locked="0"/>
    </xf>
    <xf numFmtId="1" fontId="18" fillId="0" borderId="2" xfId="0" applyNumberFormat="1" applyFont="1" applyFill="1" applyBorder="1" applyAlignment="1" applyProtection="1">
      <alignment horizontal="center" vertical="top" wrapText="1"/>
      <protection locked="0"/>
    </xf>
    <xf numFmtId="1" fontId="18" fillId="0" borderId="3" xfId="0" applyNumberFormat="1" applyFont="1" applyFill="1" applyBorder="1" applyAlignment="1" applyProtection="1">
      <alignment horizontal="center" vertical="top" wrapText="1"/>
      <protection locked="0"/>
    </xf>
    <xf numFmtId="0" fontId="18" fillId="0" borderId="4"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3" xfId="0" applyFont="1" applyFill="1" applyBorder="1" applyAlignment="1">
      <alignment horizontal="center" vertical="top" wrapText="1"/>
    </xf>
    <xf numFmtId="1" fontId="18" fillId="0" borderId="1" xfId="0" applyNumberFormat="1" applyFont="1" applyFill="1" applyBorder="1" applyAlignment="1">
      <alignment horizontal="center" vertical="top" wrapText="1"/>
    </xf>
    <xf numFmtId="1" fontId="18" fillId="0" borderId="2" xfId="0" applyNumberFormat="1" applyFont="1" applyFill="1" applyBorder="1" applyAlignment="1">
      <alignment horizontal="center" vertical="top" wrapText="1"/>
    </xf>
    <xf numFmtId="1" fontId="18" fillId="0" borderId="3" xfId="0" applyNumberFormat="1" applyFont="1" applyFill="1" applyBorder="1" applyAlignment="1">
      <alignment horizontal="center" vertical="top" wrapText="1"/>
    </xf>
    <xf numFmtId="0" fontId="20" fillId="0" borderId="1" xfId="0" applyFont="1" applyFill="1" applyBorder="1" applyAlignment="1">
      <alignment horizontal="left" vertical="top"/>
    </xf>
    <xf numFmtId="0" fontId="20" fillId="0" borderId="2" xfId="0" applyFont="1" applyFill="1" applyBorder="1" applyAlignment="1">
      <alignment horizontal="left" vertical="top"/>
    </xf>
    <xf numFmtId="0" fontId="20" fillId="0" borderId="3" xfId="0" applyFont="1" applyFill="1" applyBorder="1" applyAlignment="1">
      <alignment horizontal="left" vertical="top"/>
    </xf>
    <xf numFmtId="0" fontId="19" fillId="0" borderId="8" xfId="1" applyFont="1" applyFill="1" applyBorder="1" applyAlignment="1">
      <alignment horizontal="left" vertical="top"/>
    </xf>
    <xf numFmtId="0" fontId="19" fillId="0" borderId="9" xfId="1" applyFont="1" applyFill="1" applyBorder="1" applyAlignment="1">
      <alignment horizontal="left" vertical="top"/>
    </xf>
    <xf numFmtId="0" fontId="19" fillId="0" borderId="10" xfId="1" applyFont="1" applyFill="1" applyBorder="1" applyAlignment="1">
      <alignment horizontal="left" vertical="top"/>
    </xf>
    <xf numFmtId="1" fontId="18" fillId="0" borderId="4" xfId="0" applyNumberFormat="1" applyFont="1" applyFill="1" applyBorder="1" applyAlignment="1">
      <alignment horizontal="center" vertical="top" wrapText="1"/>
    </xf>
    <xf numFmtId="0" fontId="18" fillId="0" borderId="1" xfId="1" applyFont="1" applyFill="1" applyBorder="1" applyAlignment="1">
      <alignment horizontal="center" vertical="top"/>
    </xf>
    <xf numFmtId="0" fontId="18" fillId="0" borderId="2" xfId="1" applyFont="1" applyFill="1" applyBorder="1" applyAlignment="1">
      <alignment horizontal="center" vertical="top"/>
    </xf>
    <xf numFmtId="0" fontId="18" fillId="0" borderId="3" xfId="1" applyFont="1" applyFill="1" applyBorder="1" applyAlignment="1">
      <alignment horizontal="center" vertical="top"/>
    </xf>
    <xf numFmtId="0" fontId="19" fillId="0" borderId="6" xfId="1" applyFont="1" applyFill="1" applyBorder="1" applyAlignment="1">
      <alignment horizontal="center" vertical="top"/>
    </xf>
    <xf numFmtId="1" fontId="19" fillId="4" borderId="4" xfId="1" applyNumberFormat="1" applyFont="1" applyFill="1" applyBorder="1" applyAlignment="1">
      <alignment horizontal="center" vertical="center" wrapText="1"/>
    </xf>
    <xf numFmtId="1" fontId="19" fillId="4" borderId="27" xfId="1" applyNumberFormat="1" applyFont="1" applyFill="1" applyBorder="1" applyAlignment="1">
      <alignment horizontal="center" vertical="center" wrapText="1"/>
    </xf>
    <xf numFmtId="49" fontId="20" fillId="0" borderId="1" xfId="1" quotePrefix="1" applyNumberFormat="1" applyFont="1" applyFill="1" applyBorder="1" applyAlignment="1" applyProtection="1">
      <alignment horizontal="center" vertical="center" wrapText="1"/>
      <protection locked="0"/>
    </xf>
    <xf numFmtId="49" fontId="20" fillId="0" borderId="3" xfId="1" quotePrefix="1" applyNumberFormat="1" applyFont="1" applyFill="1" applyBorder="1" applyAlignment="1" applyProtection="1">
      <alignment horizontal="center" vertical="center" wrapText="1"/>
      <protection locked="0"/>
    </xf>
    <xf numFmtId="1" fontId="21" fillId="0" borderId="6" xfId="1" applyNumberFormat="1" applyFont="1" applyFill="1" applyBorder="1" applyAlignment="1" applyProtection="1">
      <alignment horizontal="center" vertical="center" wrapText="1"/>
      <protection locked="0"/>
    </xf>
    <xf numFmtId="1" fontId="21" fillId="0" borderId="0" xfId="1" applyNumberFormat="1" applyFont="1" applyFill="1" applyBorder="1" applyAlignment="1" applyProtection="1">
      <alignment horizontal="center" vertical="center" wrapText="1"/>
      <protection locked="0"/>
    </xf>
    <xf numFmtId="1" fontId="21" fillId="0" borderId="9" xfId="1" applyNumberFormat="1" applyFont="1" applyFill="1" applyBorder="1" applyAlignment="1" applyProtection="1">
      <alignment horizontal="center" vertical="center" wrapText="1"/>
      <protection locked="0"/>
    </xf>
    <xf numFmtId="1" fontId="18" fillId="0" borderId="4" xfId="1" applyNumberFormat="1" applyFont="1" applyFill="1" applyBorder="1" applyAlignment="1" applyProtection="1">
      <alignment horizontal="center" vertical="center" wrapText="1"/>
      <protection locked="0"/>
    </xf>
    <xf numFmtId="49" fontId="21" fillId="0" borderId="4" xfId="1" quotePrefix="1" applyNumberFormat="1" applyFont="1" applyFill="1" applyBorder="1" applyAlignment="1" applyProtection="1">
      <alignment horizontal="center" vertical="center" wrapText="1"/>
      <protection locked="0"/>
    </xf>
    <xf numFmtId="0" fontId="21" fillId="0" borderId="21" xfId="1" applyFont="1" applyFill="1" applyBorder="1" applyAlignment="1" applyProtection="1">
      <alignment horizontal="center" vertical="top" wrapText="1"/>
      <protection locked="0"/>
    </xf>
    <xf numFmtId="0" fontId="21" fillId="0" borderId="22" xfId="1" applyFont="1" applyFill="1" applyBorder="1" applyAlignment="1" applyProtection="1">
      <alignment horizontal="center" vertical="top" wrapText="1"/>
      <protection locked="0"/>
    </xf>
    <xf numFmtId="9" fontId="21" fillId="0" borderId="22" xfId="1" applyNumberFormat="1" applyFont="1" applyFill="1" applyBorder="1" applyAlignment="1" applyProtection="1">
      <alignment horizontal="center" vertical="center" wrapText="1"/>
      <protection hidden="1"/>
    </xf>
    <xf numFmtId="0" fontId="18" fillId="0" borderId="18" xfId="1" applyFont="1" applyFill="1" applyBorder="1" applyAlignment="1" applyProtection="1">
      <alignment horizontal="left" vertical="top"/>
      <protection locked="0"/>
    </xf>
    <xf numFmtId="0" fontId="18" fillId="0" borderId="4" xfId="1" applyFont="1" applyFill="1" applyBorder="1" applyAlignment="1" applyProtection="1">
      <alignment horizontal="left" vertical="top"/>
      <protection locked="0"/>
    </xf>
    <xf numFmtId="0" fontId="18" fillId="0" borderId="4" xfId="1" applyFont="1" applyFill="1" applyBorder="1" applyAlignment="1" applyProtection="1">
      <alignment horizontal="left" vertical="top" wrapText="1"/>
      <protection locked="0"/>
    </xf>
    <xf numFmtId="0" fontId="18" fillId="0" borderId="19" xfId="1" applyFont="1" applyFill="1" applyBorder="1" applyAlignment="1" applyProtection="1">
      <alignment horizontal="left" vertical="top" wrapText="1"/>
      <protection locked="0"/>
    </xf>
    <xf numFmtId="0" fontId="21" fillId="0" borderId="19" xfId="1" applyFont="1" applyFill="1" applyBorder="1" applyAlignment="1" applyProtection="1">
      <alignment horizontal="center" vertical="top" wrapText="1"/>
      <protection locked="0"/>
    </xf>
    <xf numFmtId="9" fontId="21" fillId="0" borderId="19" xfId="1" applyNumberFormat="1" applyFont="1" applyFill="1" applyBorder="1" applyAlignment="1" applyProtection="1">
      <alignment horizontal="center" vertical="center" wrapText="1"/>
      <protection hidden="1"/>
    </xf>
    <xf numFmtId="9" fontId="21" fillId="0" borderId="23" xfId="1" applyNumberFormat="1" applyFont="1" applyFill="1" applyBorder="1" applyAlignment="1" applyProtection="1">
      <alignment horizontal="center" vertical="center" wrapText="1"/>
      <protection hidden="1"/>
    </xf>
    <xf numFmtId="0" fontId="18" fillId="0" borderId="4" xfId="1" applyFont="1" applyFill="1" applyBorder="1" applyAlignment="1" applyProtection="1">
      <alignment horizontal="center" vertical="top" wrapText="1"/>
      <protection locked="0"/>
    </xf>
    <xf numFmtId="0" fontId="18" fillId="0" borderId="2" xfId="1" applyFont="1" applyFill="1" applyBorder="1" applyAlignment="1">
      <alignment horizontal="left" vertical="top" wrapText="1"/>
    </xf>
    <xf numFmtId="0" fontId="18" fillId="0" borderId="3" xfId="1" applyFont="1" applyFill="1" applyBorder="1" applyAlignment="1">
      <alignment horizontal="left" vertical="top" wrapText="1"/>
    </xf>
    <xf numFmtId="0" fontId="11" fillId="0" borderId="4" xfId="7" applyFont="1" applyBorder="1" applyAlignment="1">
      <alignment horizontal="left"/>
    </xf>
    <xf numFmtId="3" fontId="21" fillId="0" borderId="1" xfId="1" applyNumberFormat="1" applyFont="1" applyFill="1" applyBorder="1" applyAlignment="1">
      <alignment horizontal="left" vertical="top" wrapText="1"/>
    </xf>
  </cellXfs>
  <cellStyles count="12">
    <cellStyle name="Comma 2" xfId="8"/>
    <cellStyle name="Excel Built-in Normal" xfId="2"/>
    <cellStyle name="Excel Built-in Normal 2" xfId="6"/>
    <cellStyle name="Hyperlink" xfId="10" builtinId="8"/>
    <cellStyle name="Normal" xfId="0" builtinId="0"/>
    <cellStyle name="Normal 2" xfId="3"/>
    <cellStyle name="Normal 2 2" xfId="5"/>
    <cellStyle name="Normal 3" xfId="1"/>
    <cellStyle name="Normal 3 2" xfId="4"/>
    <cellStyle name="Normal 3 3" xfId="9"/>
    <cellStyle name="Normal 4" xfId="7"/>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360538</xdr:colOff>
      <xdr:row>608</xdr:row>
      <xdr:rowOff>137235</xdr:rowOff>
    </xdr:from>
    <xdr:to>
      <xdr:col>8</xdr:col>
      <xdr:colOff>414617</xdr:colOff>
      <xdr:row>640</xdr:row>
      <xdr:rowOff>44822</xdr:rowOff>
    </xdr:to>
    <xdr:grpSp>
      <xdr:nvGrpSpPr>
        <xdr:cNvPr id="22" name="Group 21"/>
        <xdr:cNvGrpSpPr/>
      </xdr:nvGrpSpPr>
      <xdr:grpSpPr>
        <a:xfrm>
          <a:off x="360538" y="127860158"/>
          <a:ext cx="5432041" cy="6003587"/>
          <a:chOff x="876008" y="130192707"/>
          <a:chExt cx="5015363" cy="5682508"/>
        </a:xfrm>
      </xdr:grpSpPr>
      <xdr:pic>
        <xdr:nvPicPr>
          <xdr:cNvPr id="17" name="Picture 16"/>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154" t="4173" r="1375" b="3032"/>
          <a:stretch/>
        </xdr:blipFill>
        <xdr:spPr>
          <a:xfrm>
            <a:off x="876008" y="132868628"/>
            <a:ext cx="5015363" cy="3006587"/>
          </a:xfrm>
          <a:prstGeom prst="rect">
            <a:avLst/>
          </a:prstGeom>
          <a:ln>
            <a:solidFill>
              <a:schemeClr val="tx1"/>
            </a:solidFill>
          </a:ln>
        </xdr:spPr>
      </xdr:pic>
      <xdr:grpSp>
        <xdr:nvGrpSpPr>
          <xdr:cNvPr id="5" name="Group 4"/>
          <xdr:cNvGrpSpPr/>
        </xdr:nvGrpSpPr>
        <xdr:grpSpPr>
          <a:xfrm>
            <a:off x="929863" y="130192707"/>
            <a:ext cx="4891124" cy="2542761"/>
            <a:chOff x="869673" y="120677608"/>
            <a:chExt cx="5209761" cy="2542761"/>
          </a:xfrm>
        </xdr:grpSpPr>
        <xdr:pic>
          <xdr:nvPicPr>
            <xdr:cNvPr id="16" name="Picture 15"/>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8932" t="14827" r="5941" b="6693"/>
            <a:stretch/>
          </xdr:blipFill>
          <xdr:spPr>
            <a:xfrm>
              <a:off x="869673" y="120677608"/>
              <a:ext cx="5209761" cy="2542761"/>
            </a:xfrm>
            <a:prstGeom prst="rect">
              <a:avLst/>
            </a:prstGeom>
            <a:ln>
              <a:solidFill>
                <a:schemeClr val="tx1"/>
              </a:solidFill>
            </a:ln>
          </xdr:spPr>
        </xdr:pic>
        <xdr:sp macro="" textlink="">
          <xdr:nvSpPr>
            <xdr:cNvPr id="18" name="Rectangle 17"/>
            <xdr:cNvSpPr/>
          </xdr:nvSpPr>
          <xdr:spPr>
            <a:xfrm rot="7650182">
              <a:off x="2826411" y="120788005"/>
              <a:ext cx="825343" cy="208978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11</xdr:col>
      <xdr:colOff>244928</xdr:colOff>
      <xdr:row>422</xdr:row>
      <xdr:rowOff>0</xdr:rowOff>
    </xdr:from>
    <xdr:to>
      <xdr:col>21</xdr:col>
      <xdr:colOff>239941</xdr:colOff>
      <xdr:row>449</xdr:row>
      <xdr:rowOff>92559</xdr:rowOff>
    </xdr:to>
    <xdr:grpSp>
      <xdr:nvGrpSpPr>
        <xdr:cNvPr id="4" name="Group 3"/>
        <xdr:cNvGrpSpPr/>
      </xdr:nvGrpSpPr>
      <xdr:grpSpPr>
        <a:xfrm>
          <a:off x="7161543" y="87937731"/>
          <a:ext cx="6574590" cy="5433886"/>
          <a:chOff x="95250" y="93160850"/>
          <a:chExt cx="6403070" cy="5589845"/>
        </a:xfrm>
      </xdr:grpSpPr>
      <xdr:pic>
        <xdr:nvPicPr>
          <xdr:cNvPr id="40" name="Picture 3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440596" y="96014695"/>
            <a:ext cx="2057724"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95250" y="96014695"/>
            <a:ext cx="2057724"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40596" y="93160850"/>
            <a:ext cx="2057724"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267923" y="93160850"/>
            <a:ext cx="2057724"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5250" y="93160850"/>
            <a:ext cx="2057724"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67923" y="96014695"/>
            <a:ext cx="2057724" cy="2736000"/>
          </a:xfrm>
          <a:prstGeom prst="rect">
            <a:avLst/>
          </a:prstGeom>
          <a:ln>
            <a:solidFill>
              <a:schemeClr val="tx1"/>
            </a:solidFill>
          </a:ln>
        </xdr:spPr>
      </xdr:pic>
    </xdr:grpSp>
    <xdr:clientData/>
  </xdr:twoCellAnchor>
  <xdr:twoCellAnchor editAs="oneCell">
    <xdr:from>
      <xdr:col>12</xdr:col>
      <xdr:colOff>171450</xdr:colOff>
      <xdr:row>0</xdr:row>
      <xdr:rowOff>0</xdr:rowOff>
    </xdr:from>
    <xdr:to>
      <xdr:col>23</xdr:col>
      <xdr:colOff>43593</xdr:colOff>
      <xdr:row>15</xdr:row>
      <xdr:rowOff>144479</xdr:rowOff>
    </xdr:to>
    <xdr:pic>
      <xdr:nvPicPr>
        <xdr:cNvPr id="46" name="Picture 4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039100" y="0"/>
          <a:ext cx="6857143" cy="3600000"/>
        </a:xfrm>
        <a:prstGeom prst="rect">
          <a:avLst/>
        </a:prstGeom>
        <a:ln>
          <a:solidFill>
            <a:schemeClr val="tx1"/>
          </a:solidFill>
        </a:ln>
      </xdr:spPr>
    </xdr:pic>
    <xdr:clientData/>
  </xdr:twoCellAnchor>
  <xdr:twoCellAnchor editAs="oneCell">
    <xdr:from>
      <xdr:col>11</xdr:col>
      <xdr:colOff>219075</xdr:colOff>
      <xdr:row>3</xdr:row>
      <xdr:rowOff>76200</xdr:rowOff>
    </xdr:from>
    <xdr:to>
      <xdr:col>17</xdr:col>
      <xdr:colOff>276813</xdr:colOff>
      <xdr:row>19</xdr:row>
      <xdr:rowOff>172524</xdr:rowOff>
    </xdr:to>
    <xdr:pic>
      <xdr:nvPicPr>
        <xdr:cNvPr id="6" name="Picture 5"/>
        <xdr:cNvPicPr>
          <a:picLocks noChangeAspect="1"/>
        </xdr:cNvPicPr>
      </xdr:nvPicPr>
      <xdr:blipFill>
        <a:blip xmlns:r="http://schemas.openxmlformats.org/officeDocument/2006/relationships" r:embed="rId10"/>
        <a:stretch>
          <a:fillRect/>
        </a:stretch>
      </xdr:blipFill>
      <xdr:spPr>
        <a:xfrm>
          <a:off x="7134225" y="1009650"/>
          <a:ext cx="4210638" cy="3677163"/>
        </a:xfrm>
        <a:prstGeom prst="rect">
          <a:avLst/>
        </a:prstGeom>
      </xdr:spPr>
    </xdr:pic>
    <xdr:clientData/>
  </xdr:twoCellAnchor>
  <xdr:twoCellAnchor editAs="oneCell">
    <xdr:from>
      <xdr:col>10</xdr:col>
      <xdr:colOff>257175</xdr:colOff>
      <xdr:row>12</xdr:row>
      <xdr:rowOff>28575</xdr:rowOff>
    </xdr:from>
    <xdr:to>
      <xdr:col>29</xdr:col>
      <xdr:colOff>192176</xdr:colOff>
      <xdr:row>21</xdr:row>
      <xdr:rowOff>22154</xdr:rowOff>
    </xdr:to>
    <xdr:pic>
      <xdr:nvPicPr>
        <xdr:cNvPr id="7" name="Picture 6"/>
        <xdr:cNvPicPr>
          <a:picLocks noChangeAspect="1"/>
        </xdr:cNvPicPr>
      </xdr:nvPicPr>
      <xdr:blipFill>
        <a:blip xmlns:r="http://schemas.openxmlformats.org/officeDocument/2006/relationships" r:embed="rId11"/>
        <a:stretch>
          <a:fillRect/>
        </a:stretch>
      </xdr:blipFill>
      <xdr:spPr>
        <a:xfrm>
          <a:off x="6562725" y="2676525"/>
          <a:ext cx="12012701" cy="2162477"/>
        </a:xfrm>
        <a:prstGeom prst="rect">
          <a:avLst/>
        </a:prstGeom>
      </xdr:spPr>
    </xdr:pic>
    <xdr:clientData/>
  </xdr:twoCellAnchor>
  <xdr:twoCellAnchor>
    <xdr:from>
      <xdr:col>0</xdr:col>
      <xdr:colOff>209958</xdr:colOff>
      <xdr:row>577</xdr:row>
      <xdr:rowOff>146791</xdr:rowOff>
    </xdr:from>
    <xdr:to>
      <xdr:col>8</xdr:col>
      <xdr:colOff>570996</xdr:colOff>
      <xdr:row>605</xdr:row>
      <xdr:rowOff>133780</xdr:rowOff>
    </xdr:to>
    <xdr:grpSp>
      <xdr:nvGrpSpPr>
        <xdr:cNvPr id="9" name="Group 8"/>
        <xdr:cNvGrpSpPr/>
      </xdr:nvGrpSpPr>
      <xdr:grpSpPr>
        <a:xfrm>
          <a:off x="209958" y="121737079"/>
          <a:ext cx="5739000" cy="5526143"/>
          <a:chOff x="315061" y="105802033"/>
          <a:chExt cx="5727883" cy="5320989"/>
        </a:xfrm>
      </xdr:grpSpPr>
      <xdr:grpSp>
        <xdr:nvGrpSpPr>
          <xdr:cNvPr id="8" name="Group 7"/>
          <xdr:cNvGrpSpPr/>
        </xdr:nvGrpSpPr>
        <xdr:grpSpPr>
          <a:xfrm>
            <a:off x="315061" y="105802033"/>
            <a:ext cx="5727883" cy="5320989"/>
            <a:chOff x="315061" y="105904262"/>
            <a:chExt cx="5730757" cy="5320989"/>
          </a:xfrm>
        </xdr:grpSpPr>
        <xdr:pic>
          <xdr:nvPicPr>
            <xdr:cNvPr id="14" name="Picture 13"/>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315061" y="105904262"/>
              <a:ext cx="5730757" cy="2625969"/>
            </a:xfrm>
            <a:prstGeom prst="rect">
              <a:avLst/>
            </a:prstGeom>
            <a:ln>
              <a:solidFill>
                <a:schemeClr val="tx1"/>
              </a:solidFill>
            </a:ln>
          </xdr:spPr>
        </xdr:pic>
        <xdr:pic>
          <xdr:nvPicPr>
            <xdr:cNvPr id="15" name="Picture 14"/>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rot="16200000">
              <a:off x="1816567" y="108001049"/>
              <a:ext cx="2597056" cy="3851347"/>
            </a:xfrm>
            <a:prstGeom prst="rect">
              <a:avLst/>
            </a:prstGeom>
            <a:ln>
              <a:solidFill>
                <a:schemeClr val="tx1"/>
              </a:solidFill>
            </a:ln>
          </xdr:spPr>
        </xdr:pic>
        <xdr:sp macro="" textlink="">
          <xdr:nvSpPr>
            <xdr:cNvPr id="2" name="Rectangle 1"/>
            <xdr:cNvSpPr/>
          </xdr:nvSpPr>
          <xdr:spPr>
            <a:xfrm>
              <a:off x="3245748" y="107083259"/>
              <a:ext cx="759670" cy="6874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 name="TextBox 2"/>
            <xdr:cNvSpPr txBox="1"/>
          </xdr:nvSpPr>
          <xdr:spPr>
            <a:xfrm>
              <a:off x="3250406" y="106826498"/>
              <a:ext cx="846706" cy="287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latin typeface="Times New Roman" panose="02020603050405020304" pitchFamily="18" charset="0"/>
                  <a:cs typeface="Times New Roman" panose="02020603050405020304" pitchFamily="18" charset="0"/>
                </a:rPr>
                <a:t>Tower B</a:t>
              </a:r>
            </a:p>
          </xdr:txBody>
        </xdr:sp>
        <xdr:sp macro="" textlink="">
          <xdr:nvSpPr>
            <xdr:cNvPr id="27" name="Rectangle 26"/>
            <xdr:cNvSpPr/>
          </xdr:nvSpPr>
          <xdr:spPr>
            <a:xfrm>
              <a:off x="4046358" y="107077816"/>
              <a:ext cx="759499" cy="6874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5" name="TextBox 34"/>
            <xdr:cNvSpPr txBox="1"/>
          </xdr:nvSpPr>
          <xdr:spPr>
            <a:xfrm>
              <a:off x="4062745" y="106802716"/>
              <a:ext cx="856567" cy="287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latin typeface="Times New Roman" panose="02020603050405020304" pitchFamily="18" charset="0"/>
                  <a:cs typeface="Times New Roman" panose="02020603050405020304" pitchFamily="18" charset="0"/>
                </a:rPr>
                <a:t>Tower A</a:t>
              </a:r>
            </a:p>
          </xdr:txBody>
        </xdr:sp>
        <xdr:sp macro="" textlink="">
          <xdr:nvSpPr>
            <xdr:cNvPr id="36" name="Rectangle 35"/>
            <xdr:cNvSpPr/>
          </xdr:nvSpPr>
          <xdr:spPr>
            <a:xfrm>
              <a:off x="1809003" y="106783902"/>
              <a:ext cx="765624" cy="6874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7" name="Rectangle 36"/>
            <xdr:cNvSpPr/>
          </xdr:nvSpPr>
          <xdr:spPr>
            <a:xfrm>
              <a:off x="995636" y="106778459"/>
              <a:ext cx="766984" cy="6874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TextBox 37"/>
            <xdr:cNvSpPr txBox="1"/>
          </xdr:nvSpPr>
          <xdr:spPr>
            <a:xfrm>
              <a:off x="1066630" y="106565240"/>
              <a:ext cx="760461" cy="2593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a:solidFill>
                    <a:srgbClr val="FF0000"/>
                  </a:solidFill>
                  <a:latin typeface="Times New Roman" panose="02020603050405020304" pitchFamily="18" charset="0"/>
                  <a:cs typeface="Times New Roman" panose="02020603050405020304" pitchFamily="18" charset="0"/>
                </a:rPr>
                <a:t>Tower D</a:t>
              </a:r>
            </a:p>
          </xdr:txBody>
        </xdr:sp>
        <xdr:sp macro="" textlink="">
          <xdr:nvSpPr>
            <xdr:cNvPr id="39" name="TextBox 38"/>
            <xdr:cNvSpPr txBox="1"/>
          </xdr:nvSpPr>
          <xdr:spPr>
            <a:xfrm>
              <a:off x="1901768" y="106559798"/>
              <a:ext cx="760461" cy="2593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a:solidFill>
                    <a:srgbClr val="FF0000"/>
                  </a:solidFill>
                  <a:latin typeface="Times New Roman" panose="02020603050405020304" pitchFamily="18" charset="0"/>
                  <a:cs typeface="Times New Roman" panose="02020603050405020304" pitchFamily="18" charset="0"/>
                </a:rPr>
                <a:t>Tower C</a:t>
              </a:r>
            </a:p>
          </xdr:txBody>
        </xdr:sp>
      </xdr:grpSp>
      <xdr:grpSp>
        <xdr:nvGrpSpPr>
          <xdr:cNvPr id="47" name="Group 46"/>
          <xdr:cNvGrpSpPr/>
        </xdr:nvGrpSpPr>
        <xdr:grpSpPr>
          <a:xfrm>
            <a:off x="1523751" y="107691621"/>
            <a:ext cx="479784" cy="513141"/>
            <a:chOff x="128425" y="-143412"/>
            <a:chExt cx="474784" cy="1083382"/>
          </a:xfrm>
        </xdr:grpSpPr>
        <xdr:sp macro="" textlink="">
          <xdr:nvSpPr>
            <xdr:cNvPr id="48" name="Right Arrow 47"/>
            <xdr:cNvSpPr/>
          </xdr:nvSpPr>
          <xdr:spPr>
            <a:xfrm rot="16200000">
              <a:off x="225896" y="666661"/>
              <a:ext cx="386862" cy="159756"/>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49" name="TextBox 7"/>
            <xdr:cNvSpPr txBox="1"/>
          </xdr:nvSpPr>
          <xdr:spPr>
            <a:xfrm>
              <a:off x="128425" y="-143412"/>
              <a:ext cx="474784" cy="8175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a:latin typeface="Times New Roman" panose="02020603050405020304" pitchFamily="18" charset="0"/>
                  <a:cs typeface="Times New Roman" panose="02020603050405020304" pitchFamily="18" charset="0"/>
                </a:rPr>
                <a:t>N</a:t>
              </a:r>
              <a:endParaRPr lang="en-IN" sz="2000" b="1">
                <a:latin typeface="Times New Roman" panose="02020603050405020304" pitchFamily="18" charset="0"/>
                <a:cs typeface="Times New Roman" panose="02020603050405020304" pitchFamily="18" charset="0"/>
              </a:endParaRPr>
            </a:p>
          </xdr:txBody>
        </xdr:sp>
      </xdr:grpSp>
      <xdr:grpSp>
        <xdr:nvGrpSpPr>
          <xdr:cNvPr id="50" name="Group 49"/>
          <xdr:cNvGrpSpPr/>
        </xdr:nvGrpSpPr>
        <xdr:grpSpPr>
          <a:xfrm rot="16360557">
            <a:off x="4315562" y="108998846"/>
            <a:ext cx="479784" cy="513141"/>
            <a:chOff x="128425" y="-143412"/>
            <a:chExt cx="474784" cy="1083382"/>
          </a:xfrm>
        </xdr:grpSpPr>
        <xdr:sp macro="" textlink="">
          <xdr:nvSpPr>
            <xdr:cNvPr id="51" name="Right Arrow 50"/>
            <xdr:cNvSpPr/>
          </xdr:nvSpPr>
          <xdr:spPr>
            <a:xfrm rot="16200000">
              <a:off x="225896" y="666661"/>
              <a:ext cx="386862" cy="159756"/>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52" name="TextBox 7"/>
            <xdr:cNvSpPr txBox="1"/>
          </xdr:nvSpPr>
          <xdr:spPr>
            <a:xfrm>
              <a:off x="128425" y="-143412"/>
              <a:ext cx="474784" cy="8175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000" b="1">
                  <a:latin typeface="Times New Roman" panose="02020603050405020304" pitchFamily="18" charset="0"/>
                  <a:cs typeface="Times New Roman" panose="02020603050405020304" pitchFamily="18" charset="0"/>
                </a:rPr>
                <a:t>N</a:t>
              </a:r>
              <a:endParaRPr lang="en-IN" sz="20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10</xdr:col>
      <xdr:colOff>200025</xdr:colOff>
      <xdr:row>47</xdr:row>
      <xdr:rowOff>1857375</xdr:rowOff>
    </xdr:from>
    <xdr:to>
      <xdr:col>22</xdr:col>
      <xdr:colOff>591692</xdr:colOff>
      <xdr:row>53</xdr:row>
      <xdr:rowOff>138375</xdr:rowOff>
    </xdr:to>
    <xdr:pic>
      <xdr:nvPicPr>
        <xdr:cNvPr id="10" name="Picture 9"/>
        <xdr:cNvPicPr>
          <a:picLocks noChangeAspect="1"/>
        </xdr:cNvPicPr>
      </xdr:nvPicPr>
      <xdr:blipFill>
        <a:blip xmlns:r="http://schemas.openxmlformats.org/officeDocument/2006/relationships" r:embed="rId14"/>
        <a:stretch>
          <a:fillRect/>
        </a:stretch>
      </xdr:blipFill>
      <xdr:spPr>
        <a:xfrm>
          <a:off x="6505575" y="13449300"/>
          <a:ext cx="8202167" cy="1727929"/>
        </a:xfrm>
        <a:prstGeom prst="rect">
          <a:avLst/>
        </a:prstGeom>
      </xdr:spPr>
    </xdr:pic>
    <xdr:clientData/>
  </xdr:twoCellAnchor>
  <xdr:twoCellAnchor editAs="oneCell">
    <xdr:from>
      <xdr:col>13</xdr:col>
      <xdr:colOff>337298</xdr:colOff>
      <xdr:row>131</xdr:row>
      <xdr:rowOff>117100</xdr:rowOff>
    </xdr:from>
    <xdr:to>
      <xdr:col>20</xdr:col>
      <xdr:colOff>242630</xdr:colOff>
      <xdr:row>153</xdr:row>
      <xdr:rowOff>164271</xdr:rowOff>
    </xdr:to>
    <xdr:pic>
      <xdr:nvPicPr>
        <xdr:cNvPr id="11" name="Picture 10"/>
        <xdr:cNvPicPr>
          <a:picLocks noChangeAspect="1"/>
        </xdr:cNvPicPr>
      </xdr:nvPicPr>
      <xdr:blipFill>
        <a:blip xmlns:r="http://schemas.openxmlformats.org/officeDocument/2006/relationships" r:embed="rId15"/>
        <a:stretch>
          <a:fillRect/>
        </a:stretch>
      </xdr:blipFill>
      <xdr:spPr>
        <a:xfrm>
          <a:off x="8461563" y="29644600"/>
          <a:ext cx="4141155" cy="4798465"/>
        </a:xfrm>
        <a:prstGeom prst="rect">
          <a:avLst/>
        </a:prstGeom>
      </xdr:spPr>
    </xdr:pic>
    <xdr:clientData/>
  </xdr:twoCellAnchor>
  <xdr:twoCellAnchor editAs="oneCell">
    <xdr:from>
      <xdr:col>16</xdr:col>
      <xdr:colOff>63312</xdr:colOff>
      <xdr:row>151</xdr:row>
      <xdr:rowOff>12328</xdr:rowOff>
    </xdr:from>
    <xdr:to>
      <xdr:col>21</xdr:col>
      <xdr:colOff>578160</xdr:colOff>
      <xdr:row>164</xdr:row>
      <xdr:rowOff>194253</xdr:rowOff>
    </xdr:to>
    <xdr:pic>
      <xdr:nvPicPr>
        <xdr:cNvPr id="12" name="Picture 11"/>
        <xdr:cNvPicPr>
          <a:picLocks noChangeAspect="1"/>
        </xdr:cNvPicPr>
      </xdr:nvPicPr>
      <xdr:blipFill>
        <a:blip xmlns:r="http://schemas.openxmlformats.org/officeDocument/2006/relationships" r:embed="rId16"/>
        <a:stretch>
          <a:fillRect/>
        </a:stretch>
      </xdr:blipFill>
      <xdr:spPr>
        <a:xfrm>
          <a:off x="10002930" y="33742034"/>
          <a:ext cx="3540436" cy="2804103"/>
        </a:xfrm>
        <a:prstGeom prst="rect">
          <a:avLst/>
        </a:prstGeom>
      </xdr:spPr>
    </xdr:pic>
    <xdr:clientData/>
  </xdr:twoCellAnchor>
  <xdr:twoCellAnchor editAs="oneCell">
    <xdr:from>
      <xdr:col>14</xdr:col>
      <xdr:colOff>556533</xdr:colOff>
      <xdr:row>136</xdr:row>
      <xdr:rowOff>151040</xdr:rowOff>
    </xdr:from>
    <xdr:to>
      <xdr:col>25</xdr:col>
      <xdr:colOff>366942</xdr:colOff>
      <xdr:row>144</xdr:row>
      <xdr:rowOff>152027</xdr:rowOff>
    </xdr:to>
    <xdr:pic>
      <xdr:nvPicPr>
        <xdr:cNvPr id="13" name="Picture 12"/>
        <xdr:cNvPicPr>
          <a:picLocks noChangeAspect="1"/>
        </xdr:cNvPicPr>
      </xdr:nvPicPr>
      <xdr:blipFill>
        <a:blip xmlns:r="http://schemas.openxmlformats.org/officeDocument/2006/relationships" r:embed="rId17"/>
        <a:stretch>
          <a:fillRect/>
        </a:stretch>
      </xdr:blipFill>
      <xdr:spPr>
        <a:xfrm>
          <a:off x="9795783" y="31707365"/>
          <a:ext cx="6516009" cy="1925037"/>
        </a:xfrm>
        <a:prstGeom prst="rect">
          <a:avLst/>
        </a:prstGeom>
      </xdr:spPr>
    </xdr:pic>
    <xdr:clientData/>
  </xdr:twoCellAnchor>
  <xdr:twoCellAnchor editAs="oneCell">
    <xdr:from>
      <xdr:col>14</xdr:col>
      <xdr:colOff>25053</xdr:colOff>
      <xdr:row>128</xdr:row>
      <xdr:rowOff>141114</xdr:rowOff>
    </xdr:from>
    <xdr:to>
      <xdr:col>23</xdr:col>
      <xdr:colOff>130608</xdr:colOff>
      <xdr:row>138</xdr:row>
      <xdr:rowOff>480741</xdr:rowOff>
    </xdr:to>
    <xdr:pic>
      <xdr:nvPicPr>
        <xdr:cNvPr id="19" name="Picture 18"/>
        <xdr:cNvPicPr>
          <a:picLocks noChangeAspect="1"/>
        </xdr:cNvPicPr>
      </xdr:nvPicPr>
      <xdr:blipFill>
        <a:blip xmlns:r="http://schemas.openxmlformats.org/officeDocument/2006/relationships" r:embed="rId18"/>
        <a:stretch>
          <a:fillRect/>
        </a:stretch>
      </xdr:blipFill>
      <xdr:spPr>
        <a:xfrm>
          <a:off x="8754435" y="29074702"/>
          <a:ext cx="5551614" cy="2356687"/>
        </a:xfrm>
        <a:prstGeom prst="rect">
          <a:avLst/>
        </a:prstGeom>
      </xdr:spPr>
    </xdr:pic>
    <xdr:clientData/>
  </xdr:twoCellAnchor>
  <xdr:twoCellAnchor editAs="oneCell">
    <xdr:from>
      <xdr:col>10</xdr:col>
      <xdr:colOff>504825</xdr:colOff>
      <xdr:row>131</xdr:row>
      <xdr:rowOff>180975</xdr:rowOff>
    </xdr:from>
    <xdr:to>
      <xdr:col>13</xdr:col>
      <xdr:colOff>324149</xdr:colOff>
      <xdr:row>136</xdr:row>
      <xdr:rowOff>103224</xdr:rowOff>
    </xdr:to>
    <xdr:pic>
      <xdr:nvPicPr>
        <xdr:cNvPr id="20" name="Picture 19"/>
        <xdr:cNvPicPr>
          <a:picLocks noChangeAspect="1"/>
        </xdr:cNvPicPr>
      </xdr:nvPicPr>
      <xdr:blipFill>
        <a:blip xmlns:r="http://schemas.openxmlformats.org/officeDocument/2006/relationships" r:embed="rId19"/>
        <a:stretch>
          <a:fillRect/>
        </a:stretch>
      </xdr:blipFill>
      <xdr:spPr>
        <a:xfrm>
          <a:off x="6810375" y="29698950"/>
          <a:ext cx="2143424" cy="924054"/>
        </a:xfrm>
        <a:prstGeom prst="rect">
          <a:avLst/>
        </a:prstGeom>
      </xdr:spPr>
    </xdr:pic>
    <xdr:clientData/>
  </xdr:twoCellAnchor>
  <xdr:twoCellAnchor>
    <xdr:from>
      <xdr:col>0</xdr:col>
      <xdr:colOff>685800</xdr:colOff>
      <xdr:row>532</xdr:row>
      <xdr:rowOff>257175</xdr:rowOff>
    </xdr:from>
    <xdr:to>
      <xdr:col>8</xdr:col>
      <xdr:colOff>381000</xdr:colOff>
      <xdr:row>575</xdr:row>
      <xdr:rowOff>76200</xdr:rowOff>
    </xdr:to>
    <xdr:grpSp>
      <xdr:nvGrpSpPr>
        <xdr:cNvPr id="53" name="Group 52"/>
        <xdr:cNvGrpSpPr/>
      </xdr:nvGrpSpPr>
      <xdr:grpSpPr>
        <a:xfrm>
          <a:off x="685800" y="112740098"/>
          <a:ext cx="5073162" cy="8530737"/>
          <a:chOff x="876878" y="631825"/>
          <a:chExt cx="4572648" cy="8188325"/>
        </a:xfrm>
      </xdr:grpSpPr>
      <xdr:pic>
        <xdr:nvPicPr>
          <xdr:cNvPr id="54" name="Picture 53" descr="https://vsjcllp.vsjadon.com/upload/insp-249097-152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926545" y="7003550"/>
            <a:ext cx="1366251" cy="1816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9097-843.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117004" y="4180838"/>
            <a:ext cx="2046198" cy="2720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9097-874.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284268" y="4180838"/>
            <a:ext cx="2046198" cy="2720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9097-883.jp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76878" y="631825"/>
            <a:ext cx="4572648" cy="34469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49097-931.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465044" y="7003550"/>
            <a:ext cx="1366251" cy="1816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9097-851.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24979" y="7003550"/>
            <a:ext cx="1366251" cy="1816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13</xdr:col>
      <xdr:colOff>587188</xdr:colOff>
      <xdr:row>133</xdr:row>
      <xdr:rowOff>146797</xdr:rowOff>
    </xdr:from>
    <xdr:to>
      <xdr:col>16</xdr:col>
      <xdr:colOff>216192</xdr:colOff>
      <xdr:row>137</xdr:row>
      <xdr:rowOff>194539</xdr:rowOff>
    </xdr:to>
    <xdr:pic>
      <xdr:nvPicPr>
        <xdr:cNvPr id="21" name="Picture 20"/>
        <xdr:cNvPicPr>
          <a:picLocks noChangeAspect="1"/>
        </xdr:cNvPicPr>
      </xdr:nvPicPr>
      <xdr:blipFill rotWithShape="1">
        <a:blip xmlns:r="http://schemas.openxmlformats.org/officeDocument/2006/relationships" r:embed="rId26"/>
        <a:srcRect l="57492"/>
        <a:stretch/>
      </xdr:blipFill>
      <xdr:spPr>
        <a:xfrm>
          <a:off x="9216838" y="31103047"/>
          <a:ext cx="1457804" cy="847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7</xdr:col>
      <xdr:colOff>552000</xdr:colOff>
      <xdr:row>12</xdr:row>
      <xdr:rowOff>13320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2159100" y="-604620"/>
          <a:ext cx="2025000"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96970</xdr:colOff>
      <xdr:row>29</xdr:row>
      <xdr:rowOff>171000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2286000"/>
          <a:ext cx="6754945" cy="3600000"/>
        </a:xfrm>
        <a:prstGeom prst="rect">
          <a:avLst/>
        </a:prstGeom>
        <a:ln>
          <a:solidFill>
            <a:schemeClr val="tx1"/>
          </a:solidFill>
        </a:ln>
      </xdr:spPr>
    </xdr:pic>
    <xdr:clientData/>
  </xdr:twoCellAnchor>
  <xdr:twoCellAnchor editAs="oneCell">
    <xdr:from>
      <xdr:col>1</xdr:col>
      <xdr:colOff>0</xdr:colOff>
      <xdr:row>30</xdr:row>
      <xdr:rowOff>100393</xdr:rowOff>
    </xdr:from>
    <xdr:to>
      <xdr:col>6</xdr:col>
      <xdr:colOff>96970</xdr:colOff>
      <xdr:row>49</xdr:row>
      <xdr:rowOff>80893</xdr:rowOff>
    </xdr:to>
    <xdr:pic>
      <xdr:nvPicPr>
        <xdr:cNvPr id="3" name="Picture 2"/>
        <xdr:cNvPicPr>
          <a:picLocks noChangeAspect="1"/>
        </xdr:cNvPicPr>
      </xdr:nvPicPr>
      <xdr:blipFill>
        <a:blip xmlns:r="http://schemas.openxmlformats.org/officeDocument/2006/relationships" r:embed="rId2"/>
        <a:stretch>
          <a:fillRect/>
        </a:stretch>
      </xdr:blipFill>
      <xdr:spPr>
        <a:xfrm>
          <a:off x="609600" y="6005893"/>
          <a:ext cx="6754945" cy="3600000"/>
        </a:xfrm>
        <a:prstGeom prst="rect">
          <a:avLst/>
        </a:prstGeom>
        <a:ln>
          <a:solidFill>
            <a:schemeClr val="tx1"/>
          </a:solidFill>
        </a:ln>
      </xdr:spPr>
    </xdr:pic>
    <xdr:clientData/>
  </xdr:twoCellAnchor>
  <xdr:twoCellAnchor editAs="oneCell">
    <xdr:from>
      <xdr:col>6</xdr:col>
      <xdr:colOff>277663</xdr:colOff>
      <xdr:row>11</xdr:row>
      <xdr:rowOff>0</xdr:rowOff>
    </xdr:from>
    <xdr:to>
      <xdr:col>15</xdr:col>
      <xdr:colOff>279383</xdr:colOff>
      <xdr:row>29</xdr:row>
      <xdr:rowOff>171000</xdr:rowOff>
    </xdr:to>
    <xdr:pic>
      <xdr:nvPicPr>
        <xdr:cNvPr id="4" name="Picture 3"/>
        <xdr:cNvPicPr>
          <a:picLocks noChangeAspect="1"/>
        </xdr:cNvPicPr>
      </xdr:nvPicPr>
      <xdr:blipFill>
        <a:blip xmlns:r="http://schemas.openxmlformats.org/officeDocument/2006/relationships" r:embed="rId3"/>
        <a:stretch>
          <a:fillRect/>
        </a:stretch>
      </xdr:blipFill>
      <xdr:spPr>
        <a:xfrm>
          <a:off x="7545238" y="2286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767tgdsLFHVwM5gX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9"/>
  <sheetViews>
    <sheetView tabSelected="1" view="pageBreakPreview" topLeftCell="A121" zoomScale="130" zoomScaleNormal="100" zoomScaleSheetLayoutView="130" zoomScalePageLayoutView="85" workbookViewId="0">
      <selection activeCell="K128" sqref="K128"/>
    </sheetView>
  </sheetViews>
  <sheetFormatPr defaultRowHeight="15" x14ac:dyDescent="0.25"/>
  <cols>
    <col min="1" max="1" width="10.42578125" style="14" customWidth="1"/>
    <col min="2" max="2" width="10.85546875" style="14" customWidth="1"/>
    <col min="3" max="3" width="14.42578125" style="14" customWidth="1"/>
    <col min="4" max="4" width="7.42578125" style="14" customWidth="1"/>
    <col min="5" max="5" width="5.5703125" style="14" customWidth="1"/>
    <col min="6" max="6" width="8.85546875" style="14" customWidth="1"/>
    <col min="7" max="7" width="10.5703125" style="14" customWidth="1"/>
    <col min="8" max="8" width="12.42578125" style="14" customWidth="1"/>
    <col min="9" max="9" width="11.140625" style="14" customWidth="1"/>
    <col min="10" max="10" width="2.85546875" style="14" customWidth="1"/>
    <col min="11" max="11" width="9.140625" style="14"/>
    <col min="12" max="12" width="16.5703125" style="14" customWidth="1"/>
    <col min="13" max="253" width="9.140625" style="14"/>
    <col min="254" max="254" width="8.5703125" style="14" customWidth="1"/>
    <col min="255" max="255" width="9.85546875" style="14" customWidth="1"/>
    <col min="256" max="256" width="14.42578125" style="14" customWidth="1"/>
    <col min="257" max="257" width="7.42578125" style="14" customWidth="1"/>
    <col min="258" max="258" width="5.5703125" style="14" customWidth="1"/>
    <col min="259" max="259" width="9" style="14" customWidth="1"/>
    <col min="260" max="261" width="9.85546875" style="14" customWidth="1"/>
    <col min="262" max="262" width="11.140625" style="14" customWidth="1"/>
    <col min="263" max="263" width="2.85546875" style="14" customWidth="1"/>
    <col min="264" max="264" width="3.5703125" style="14" customWidth="1"/>
    <col min="265" max="509" width="9.140625" style="14"/>
    <col min="510" max="510" width="8.5703125" style="14" customWidth="1"/>
    <col min="511" max="511" width="9.85546875" style="14" customWidth="1"/>
    <col min="512" max="512" width="14.42578125" style="14" customWidth="1"/>
    <col min="513" max="513" width="7.42578125" style="14" customWidth="1"/>
    <col min="514" max="514" width="5.5703125" style="14" customWidth="1"/>
    <col min="515" max="515" width="9" style="14" customWidth="1"/>
    <col min="516" max="517" width="9.85546875" style="14" customWidth="1"/>
    <col min="518" max="518" width="11.140625" style="14" customWidth="1"/>
    <col min="519" max="519" width="2.85546875" style="14" customWidth="1"/>
    <col min="520" max="520" width="3.5703125" style="14" customWidth="1"/>
    <col min="521" max="765" width="9.140625" style="14"/>
    <col min="766" max="766" width="8.5703125" style="14" customWidth="1"/>
    <col min="767" max="767" width="9.85546875" style="14" customWidth="1"/>
    <col min="768" max="768" width="14.42578125" style="14" customWidth="1"/>
    <col min="769" max="769" width="7.42578125" style="14" customWidth="1"/>
    <col min="770" max="770" width="5.5703125" style="14" customWidth="1"/>
    <col min="771" max="771" width="9" style="14" customWidth="1"/>
    <col min="772" max="773" width="9.85546875" style="14" customWidth="1"/>
    <col min="774" max="774" width="11.140625" style="14" customWidth="1"/>
    <col min="775" max="775" width="2.85546875" style="14" customWidth="1"/>
    <col min="776" max="776" width="3.5703125" style="14" customWidth="1"/>
    <col min="777" max="1021" width="9.140625" style="14"/>
    <col min="1022" max="1022" width="8.5703125" style="14" customWidth="1"/>
    <col min="1023" max="1023" width="9.85546875" style="14" customWidth="1"/>
    <col min="1024" max="1024" width="14.42578125" style="14" customWidth="1"/>
    <col min="1025" max="1025" width="7.42578125" style="14" customWidth="1"/>
    <col min="1026" max="1026" width="5.5703125" style="14" customWidth="1"/>
    <col min="1027" max="1027" width="9" style="14" customWidth="1"/>
    <col min="1028" max="1029" width="9.85546875" style="14" customWidth="1"/>
    <col min="1030" max="1030" width="11.140625" style="14" customWidth="1"/>
    <col min="1031" max="1031" width="2.85546875" style="14" customWidth="1"/>
    <col min="1032" max="1032" width="3.5703125" style="14" customWidth="1"/>
    <col min="1033" max="1277" width="9.140625" style="14"/>
    <col min="1278" max="1278" width="8.5703125" style="14" customWidth="1"/>
    <col min="1279" max="1279" width="9.85546875" style="14" customWidth="1"/>
    <col min="1280" max="1280" width="14.42578125" style="14" customWidth="1"/>
    <col min="1281" max="1281" width="7.42578125" style="14" customWidth="1"/>
    <col min="1282" max="1282" width="5.5703125" style="14" customWidth="1"/>
    <col min="1283" max="1283" width="9" style="14" customWidth="1"/>
    <col min="1284" max="1285" width="9.85546875" style="14" customWidth="1"/>
    <col min="1286" max="1286" width="11.140625" style="14" customWidth="1"/>
    <col min="1287" max="1287" width="2.85546875" style="14" customWidth="1"/>
    <col min="1288" max="1288" width="3.5703125" style="14" customWidth="1"/>
    <col min="1289" max="1533" width="9.140625" style="14"/>
    <col min="1534" max="1534" width="8.5703125" style="14" customWidth="1"/>
    <col min="1535" max="1535" width="9.85546875" style="14" customWidth="1"/>
    <col min="1536" max="1536" width="14.42578125" style="14" customWidth="1"/>
    <col min="1537" max="1537" width="7.42578125" style="14" customWidth="1"/>
    <col min="1538" max="1538" width="5.5703125" style="14" customWidth="1"/>
    <col min="1539" max="1539" width="9" style="14" customWidth="1"/>
    <col min="1540" max="1541" width="9.85546875" style="14" customWidth="1"/>
    <col min="1542" max="1542" width="11.140625" style="14" customWidth="1"/>
    <col min="1543" max="1543" width="2.85546875" style="14" customWidth="1"/>
    <col min="1544" max="1544" width="3.5703125" style="14" customWidth="1"/>
    <col min="1545" max="1789" width="9.140625" style="14"/>
    <col min="1790" max="1790" width="8.5703125" style="14" customWidth="1"/>
    <col min="1791" max="1791" width="9.85546875" style="14" customWidth="1"/>
    <col min="1792" max="1792" width="14.42578125" style="14" customWidth="1"/>
    <col min="1793" max="1793" width="7.42578125" style="14" customWidth="1"/>
    <col min="1794" max="1794" width="5.5703125" style="14" customWidth="1"/>
    <col min="1795" max="1795" width="9" style="14" customWidth="1"/>
    <col min="1796" max="1797" width="9.85546875" style="14" customWidth="1"/>
    <col min="1798" max="1798" width="11.140625" style="14" customWidth="1"/>
    <col min="1799" max="1799" width="2.85546875" style="14" customWidth="1"/>
    <col min="1800" max="1800" width="3.5703125" style="14" customWidth="1"/>
    <col min="1801" max="2045" width="9.140625" style="14"/>
    <col min="2046" max="2046" width="8.5703125" style="14" customWidth="1"/>
    <col min="2047" max="2047" width="9.85546875" style="14" customWidth="1"/>
    <col min="2048" max="2048" width="14.42578125" style="14" customWidth="1"/>
    <col min="2049" max="2049" width="7.42578125" style="14" customWidth="1"/>
    <col min="2050" max="2050" width="5.5703125" style="14" customWidth="1"/>
    <col min="2051" max="2051" width="9" style="14" customWidth="1"/>
    <col min="2052" max="2053" width="9.85546875" style="14" customWidth="1"/>
    <col min="2054" max="2054" width="11.140625" style="14" customWidth="1"/>
    <col min="2055" max="2055" width="2.85546875" style="14" customWidth="1"/>
    <col min="2056" max="2056" width="3.5703125" style="14" customWidth="1"/>
    <col min="2057" max="2301" width="9.140625" style="14"/>
    <col min="2302" max="2302" width="8.5703125" style="14" customWidth="1"/>
    <col min="2303" max="2303" width="9.85546875" style="14" customWidth="1"/>
    <col min="2304" max="2304" width="14.42578125" style="14" customWidth="1"/>
    <col min="2305" max="2305" width="7.42578125" style="14" customWidth="1"/>
    <col min="2306" max="2306" width="5.5703125" style="14" customWidth="1"/>
    <col min="2307" max="2307" width="9" style="14" customWidth="1"/>
    <col min="2308" max="2309" width="9.85546875" style="14" customWidth="1"/>
    <col min="2310" max="2310" width="11.140625" style="14" customWidth="1"/>
    <col min="2311" max="2311" width="2.85546875" style="14" customWidth="1"/>
    <col min="2312" max="2312" width="3.5703125" style="14" customWidth="1"/>
    <col min="2313" max="2557" width="9.140625" style="14"/>
    <col min="2558" max="2558" width="8.5703125" style="14" customWidth="1"/>
    <col min="2559" max="2559" width="9.85546875" style="14" customWidth="1"/>
    <col min="2560" max="2560" width="14.42578125" style="14" customWidth="1"/>
    <col min="2561" max="2561" width="7.42578125" style="14" customWidth="1"/>
    <col min="2562" max="2562" width="5.5703125" style="14" customWidth="1"/>
    <col min="2563" max="2563" width="9" style="14" customWidth="1"/>
    <col min="2564" max="2565" width="9.85546875" style="14" customWidth="1"/>
    <col min="2566" max="2566" width="11.140625" style="14" customWidth="1"/>
    <col min="2567" max="2567" width="2.85546875" style="14" customWidth="1"/>
    <col min="2568" max="2568" width="3.5703125" style="14" customWidth="1"/>
    <col min="2569" max="2813" width="9.140625" style="14"/>
    <col min="2814" max="2814" width="8.5703125" style="14" customWidth="1"/>
    <col min="2815" max="2815" width="9.85546875" style="14" customWidth="1"/>
    <col min="2816" max="2816" width="14.42578125" style="14" customWidth="1"/>
    <col min="2817" max="2817" width="7.42578125" style="14" customWidth="1"/>
    <col min="2818" max="2818" width="5.5703125" style="14" customWidth="1"/>
    <col min="2819" max="2819" width="9" style="14" customWidth="1"/>
    <col min="2820" max="2821" width="9.85546875" style="14" customWidth="1"/>
    <col min="2822" max="2822" width="11.140625" style="14" customWidth="1"/>
    <col min="2823" max="2823" width="2.85546875" style="14" customWidth="1"/>
    <col min="2824" max="2824" width="3.5703125" style="14" customWidth="1"/>
    <col min="2825" max="3069" width="9.140625" style="14"/>
    <col min="3070" max="3070" width="8.5703125" style="14" customWidth="1"/>
    <col min="3071" max="3071" width="9.85546875" style="14" customWidth="1"/>
    <col min="3072" max="3072" width="14.42578125" style="14" customWidth="1"/>
    <col min="3073" max="3073" width="7.42578125" style="14" customWidth="1"/>
    <col min="3074" max="3074" width="5.5703125" style="14" customWidth="1"/>
    <col min="3075" max="3075" width="9" style="14" customWidth="1"/>
    <col min="3076" max="3077" width="9.85546875" style="14" customWidth="1"/>
    <col min="3078" max="3078" width="11.140625" style="14" customWidth="1"/>
    <col min="3079" max="3079" width="2.85546875" style="14" customWidth="1"/>
    <col min="3080" max="3080" width="3.5703125" style="14" customWidth="1"/>
    <col min="3081" max="3325" width="9.140625" style="14"/>
    <col min="3326" max="3326" width="8.5703125" style="14" customWidth="1"/>
    <col min="3327" max="3327" width="9.85546875" style="14" customWidth="1"/>
    <col min="3328" max="3328" width="14.42578125" style="14" customWidth="1"/>
    <col min="3329" max="3329" width="7.42578125" style="14" customWidth="1"/>
    <col min="3330" max="3330" width="5.5703125" style="14" customWidth="1"/>
    <col min="3331" max="3331" width="9" style="14" customWidth="1"/>
    <col min="3332" max="3333" width="9.85546875" style="14" customWidth="1"/>
    <col min="3334" max="3334" width="11.140625" style="14" customWidth="1"/>
    <col min="3335" max="3335" width="2.85546875" style="14" customWidth="1"/>
    <col min="3336" max="3336" width="3.5703125" style="14" customWidth="1"/>
    <col min="3337" max="3581" width="9.140625" style="14"/>
    <col min="3582" max="3582" width="8.5703125" style="14" customWidth="1"/>
    <col min="3583" max="3583" width="9.85546875" style="14" customWidth="1"/>
    <col min="3584" max="3584" width="14.42578125" style="14" customWidth="1"/>
    <col min="3585" max="3585" width="7.42578125" style="14" customWidth="1"/>
    <col min="3586" max="3586" width="5.5703125" style="14" customWidth="1"/>
    <col min="3587" max="3587" width="9" style="14" customWidth="1"/>
    <col min="3588" max="3589" width="9.85546875" style="14" customWidth="1"/>
    <col min="3590" max="3590" width="11.140625" style="14" customWidth="1"/>
    <col min="3591" max="3591" width="2.85546875" style="14" customWidth="1"/>
    <col min="3592" max="3592" width="3.5703125" style="14" customWidth="1"/>
    <col min="3593" max="3837" width="9.140625" style="14"/>
    <col min="3838" max="3838" width="8.5703125" style="14" customWidth="1"/>
    <col min="3839" max="3839" width="9.85546875" style="14" customWidth="1"/>
    <col min="3840" max="3840" width="14.42578125" style="14" customWidth="1"/>
    <col min="3841" max="3841" width="7.42578125" style="14" customWidth="1"/>
    <col min="3842" max="3842" width="5.5703125" style="14" customWidth="1"/>
    <col min="3843" max="3843" width="9" style="14" customWidth="1"/>
    <col min="3844" max="3845" width="9.85546875" style="14" customWidth="1"/>
    <col min="3846" max="3846" width="11.140625" style="14" customWidth="1"/>
    <col min="3847" max="3847" width="2.85546875" style="14" customWidth="1"/>
    <col min="3848" max="3848" width="3.5703125" style="14" customWidth="1"/>
    <col min="3849" max="4093" width="9.140625" style="14"/>
    <col min="4094" max="4094" width="8.5703125" style="14" customWidth="1"/>
    <col min="4095" max="4095" width="9.85546875" style="14" customWidth="1"/>
    <col min="4096" max="4096" width="14.42578125" style="14" customWidth="1"/>
    <col min="4097" max="4097" width="7.42578125" style="14" customWidth="1"/>
    <col min="4098" max="4098" width="5.5703125" style="14" customWidth="1"/>
    <col min="4099" max="4099" width="9" style="14" customWidth="1"/>
    <col min="4100" max="4101" width="9.85546875" style="14" customWidth="1"/>
    <col min="4102" max="4102" width="11.140625" style="14" customWidth="1"/>
    <col min="4103" max="4103" width="2.85546875" style="14" customWidth="1"/>
    <col min="4104" max="4104" width="3.5703125" style="14" customWidth="1"/>
    <col min="4105" max="4349" width="9.140625" style="14"/>
    <col min="4350" max="4350" width="8.5703125" style="14" customWidth="1"/>
    <col min="4351" max="4351" width="9.85546875" style="14" customWidth="1"/>
    <col min="4352" max="4352" width="14.42578125" style="14" customWidth="1"/>
    <col min="4353" max="4353" width="7.42578125" style="14" customWidth="1"/>
    <col min="4354" max="4354" width="5.5703125" style="14" customWidth="1"/>
    <col min="4355" max="4355" width="9" style="14" customWidth="1"/>
    <col min="4356" max="4357" width="9.85546875" style="14" customWidth="1"/>
    <col min="4358" max="4358" width="11.140625" style="14" customWidth="1"/>
    <col min="4359" max="4359" width="2.85546875" style="14" customWidth="1"/>
    <col min="4360" max="4360" width="3.5703125" style="14" customWidth="1"/>
    <col min="4361" max="4605" width="9.140625" style="14"/>
    <col min="4606" max="4606" width="8.5703125" style="14" customWidth="1"/>
    <col min="4607" max="4607" width="9.85546875" style="14" customWidth="1"/>
    <col min="4608" max="4608" width="14.42578125" style="14" customWidth="1"/>
    <col min="4609" max="4609" width="7.42578125" style="14" customWidth="1"/>
    <col min="4610" max="4610" width="5.5703125" style="14" customWidth="1"/>
    <col min="4611" max="4611" width="9" style="14" customWidth="1"/>
    <col min="4612" max="4613" width="9.85546875" style="14" customWidth="1"/>
    <col min="4614" max="4614" width="11.140625" style="14" customWidth="1"/>
    <col min="4615" max="4615" width="2.85546875" style="14" customWidth="1"/>
    <col min="4616" max="4616" width="3.5703125" style="14" customWidth="1"/>
    <col min="4617" max="4861" width="9.140625" style="14"/>
    <col min="4862" max="4862" width="8.5703125" style="14" customWidth="1"/>
    <col min="4863" max="4863" width="9.85546875" style="14" customWidth="1"/>
    <col min="4864" max="4864" width="14.42578125" style="14" customWidth="1"/>
    <col min="4865" max="4865" width="7.42578125" style="14" customWidth="1"/>
    <col min="4866" max="4866" width="5.5703125" style="14" customWidth="1"/>
    <col min="4867" max="4867" width="9" style="14" customWidth="1"/>
    <col min="4868" max="4869" width="9.85546875" style="14" customWidth="1"/>
    <col min="4870" max="4870" width="11.140625" style="14" customWidth="1"/>
    <col min="4871" max="4871" width="2.85546875" style="14" customWidth="1"/>
    <col min="4872" max="4872" width="3.5703125" style="14" customWidth="1"/>
    <col min="4873" max="5117" width="9.140625" style="14"/>
    <col min="5118" max="5118" width="8.5703125" style="14" customWidth="1"/>
    <col min="5119" max="5119" width="9.85546875" style="14" customWidth="1"/>
    <col min="5120" max="5120" width="14.42578125" style="14" customWidth="1"/>
    <col min="5121" max="5121" width="7.42578125" style="14" customWidth="1"/>
    <col min="5122" max="5122" width="5.5703125" style="14" customWidth="1"/>
    <col min="5123" max="5123" width="9" style="14" customWidth="1"/>
    <col min="5124" max="5125" width="9.85546875" style="14" customWidth="1"/>
    <col min="5126" max="5126" width="11.140625" style="14" customWidth="1"/>
    <col min="5127" max="5127" width="2.85546875" style="14" customWidth="1"/>
    <col min="5128" max="5128" width="3.5703125" style="14" customWidth="1"/>
    <col min="5129" max="5373" width="9.140625" style="14"/>
    <col min="5374" max="5374" width="8.5703125" style="14" customWidth="1"/>
    <col min="5375" max="5375" width="9.85546875" style="14" customWidth="1"/>
    <col min="5376" max="5376" width="14.42578125" style="14" customWidth="1"/>
    <col min="5377" max="5377" width="7.42578125" style="14" customWidth="1"/>
    <col min="5378" max="5378" width="5.5703125" style="14" customWidth="1"/>
    <col min="5379" max="5379" width="9" style="14" customWidth="1"/>
    <col min="5380" max="5381" width="9.85546875" style="14" customWidth="1"/>
    <col min="5382" max="5382" width="11.140625" style="14" customWidth="1"/>
    <col min="5383" max="5383" width="2.85546875" style="14" customWidth="1"/>
    <col min="5384" max="5384" width="3.5703125" style="14" customWidth="1"/>
    <col min="5385" max="5629" width="9.140625" style="14"/>
    <col min="5630" max="5630" width="8.5703125" style="14" customWidth="1"/>
    <col min="5631" max="5631" width="9.85546875" style="14" customWidth="1"/>
    <col min="5632" max="5632" width="14.42578125" style="14" customWidth="1"/>
    <col min="5633" max="5633" width="7.42578125" style="14" customWidth="1"/>
    <col min="5634" max="5634" width="5.5703125" style="14" customWidth="1"/>
    <col min="5635" max="5635" width="9" style="14" customWidth="1"/>
    <col min="5636" max="5637" width="9.85546875" style="14" customWidth="1"/>
    <col min="5638" max="5638" width="11.140625" style="14" customWidth="1"/>
    <col min="5639" max="5639" width="2.85546875" style="14" customWidth="1"/>
    <col min="5640" max="5640" width="3.5703125" style="14" customWidth="1"/>
    <col min="5641" max="5885" width="9.140625" style="14"/>
    <col min="5886" max="5886" width="8.5703125" style="14" customWidth="1"/>
    <col min="5887" max="5887" width="9.85546875" style="14" customWidth="1"/>
    <col min="5888" max="5888" width="14.42578125" style="14" customWidth="1"/>
    <col min="5889" max="5889" width="7.42578125" style="14" customWidth="1"/>
    <col min="5890" max="5890" width="5.5703125" style="14" customWidth="1"/>
    <col min="5891" max="5891" width="9" style="14" customWidth="1"/>
    <col min="5892" max="5893" width="9.85546875" style="14" customWidth="1"/>
    <col min="5894" max="5894" width="11.140625" style="14" customWidth="1"/>
    <col min="5895" max="5895" width="2.85546875" style="14" customWidth="1"/>
    <col min="5896" max="5896" width="3.5703125" style="14" customWidth="1"/>
    <col min="5897" max="6141" width="9.140625" style="14"/>
    <col min="6142" max="6142" width="8.5703125" style="14" customWidth="1"/>
    <col min="6143" max="6143" width="9.85546875" style="14" customWidth="1"/>
    <col min="6144" max="6144" width="14.42578125" style="14" customWidth="1"/>
    <col min="6145" max="6145" width="7.42578125" style="14" customWidth="1"/>
    <col min="6146" max="6146" width="5.5703125" style="14" customWidth="1"/>
    <col min="6147" max="6147" width="9" style="14" customWidth="1"/>
    <col min="6148" max="6149" width="9.85546875" style="14" customWidth="1"/>
    <col min="6150" max="6150" width="11.140625" style="14" customWidth="1"/>
    <col min="6151" max="6151" width="2.85546875" style="14" customWidth="1"/>
    <col min="6152" max="6152" width="3.5703125" style="14" customWidth="1"/>
    <col min="6153" max="6397" width="9.140625" style="14"/>
    <col min="6398" max="6398" width="8.5703125" style="14" customWidth="1"/>
    <col min="6399" max="6399" width="9.85546875" style="14" customWidth="1"/>
    <col min="6400" max="6400" width="14.42578125" style="14" customWidth="1"/>
    <col min="6401" max="6401" width="7.42578125" style="14" customWidth="1"/>
    <col min="6402" max="6402" width="5.5703125" style="14" customWidth="1"/>
    <col min="6403" max="6403" width="9" style="14" customWidth="1"/>
    <col min="6404" max="6405" width="9.85546875" style="14" customWidth="1"/>
    <col min="6406" max="6406" width="11.140625" style="14" customWidth="1"/>
    <col min="6407" max="6407" width="2.85546875" style="14" customWidth="1"/>
    <col min="6408" max="6408" width="3.5703125" style="14" customWidth="1"/>
    <col min="6409" max="6653" width="9.140625" style="14"/>
    <col min="6654" max="6654" width="8.5703125" style="14" customWidth="1"/>
    <col min="6655" max="6655" width="9.85546875" style="14" customWidth="1"/>
    <col min="6656" max="6656" width="14.42578125" style="14" customWidth="1"/>
    <col min="6657" max="6657" width="7.42578125" style="14" customWidth="1"/>
    <col min="6658" max="6658" width="5.5703125" style="14" customWidth="1"/>
    <col min="6659" max="6659" width="9" style="14" customWidth="1"/>
    <col min="6660" max="6661" width="9.85546875" style="14" customWidth="1"/>
    <col min="6662" max="6662" width="11.140625" style="14" customWidth="1"/>
    <col min="6663" max="6663" width="2.85546875" style="14" customWidth="1"/>
    <col min="6664" max="6664" width="3.5703125" style="14" customWidth="1"/>
    <col min="6665" max="6909" width="9.140625" style="14"/>
    <col min="6910" max="6910" width="8.5703125" style="14" customWidth="1"/>
    <col min="6911" max="6911" width="9.85546875" style="14" customWidth="1"/>
    <col min="6912" max="6912" width="14.42578125" style="14" customWidth="1"/>
    <col min="6913" max="6913" width="7.42578125" style="14" customWidth="1"/>
    <col min="6914" max="6914" width="5.5703125" style="14" customWidth="1"/>
    <col min="6915" max="6915" width="9" style="14" customWidth="1"/>
    <col min="6916" max="6917" width="9.85546875" style="14" customWidth="1"/>
    <col min="6918" max="6918" width="11.140625" style="14" customWidth="1"/>
    <col min="6919" max="6919" width="2.85546875" style="14" customWidth="1"/>
    <col min="6920" max="6920" width="3.5703125" style="14" customWidth="1"/>
    <col min="6921" max="7165" width="9.140625" style="14"/>
    <col min="7166" max="7166" width="8.5703125" style="14" customWidth="1"/>
    <col min="7167" max="7167" width="9.85546875" style="14" customWidth="1"/>
    <col min="7168" max="7168" width="14.42578125" style="14" customWidth="1"/>
    <col min="7169" max="7169" width="7.42578125" style="14" customWidth="1"/>
    <col min="7170" max="7170" width="5.5703125" style="14" customWidth="1"/>
    <col min="7171" max="7171" width="9" style="14" customWidth="1"/>
    <col min="7172" max="7173" width="9.85546875" style="14" customWidth="1"/>
    <col min="7174" max="7174" width="11.140625" style="14" customWidth="1"/>
    <col min="7175" max="7175" width="2.85546875" style="14" customWidth="1"/>
    <col min="7176" max="7176" width="3.5703125" style="14" customWidth="1"/>
    <col min="7177" max="7421" width="9.140625" style="14"/>
    <col min="7422" max="7422" width="8.5703125" style="14" customWidth="1"/>
    <col min="7423" max="7423" width="9.85546875" style="14" customWidth="1"/>
    <col min="7424" max="7424" width="14.42578125" style="14" customWidth="1"/>
    <col min="7425" max="7425" width="7.42578125" style="14" customWidth="1"/>
    <col min="7426" max="7426" width="5.5703125" style="14" customWidth="1"/>
    <col min="7427" max="7427" width="9" style="14" customWidth="1"/>
    <col min="7428" max="7429" width="9.85546875" style="14" customWidth="1"/>
    <col min="7430" max="7430" width="11.140625" style="14" customWidth="1"/>
    <col min="7431" max="7431" width="2.85546875" style="14" customWidth="1"/>
    <col min="7432" max="7432" width="3.5703125" style="14" customWidth="1"/>
    <col min="7433" max="7677" width="9.140625" style="14"/>
    <col min="7678" max="7678" width="8.5703125" style="14" customWidth="1"/>
    <col min="7679" max="7679" width="9.85546875" style="14" customWidth="1"/>
    <col min="7680" max="7680" width="14.42578125" style="14" customWidth="1"/>
    <col min="7681" max="7681" width="7.42578125" style="14" customWidth="1"/>
    <col min="7682" max="7682" width="5.5703125" style="14" customWidth="1"/>
    <col min="7683" max="7683" width="9" style="14" customWidth="1"/>
    <col min="7684" max="7685" width="9.85546875" style="14" customWidth="1"/>
    <col min="7686" max="7686" width="11.140625" style="14" customWidth="1"/>
    <col min="7687" max="7687" width="2.85546875" style="14" customWidth="1"/>
    <col min="7688" max="7688" width="3.5703125" style="14" customWidth="1"/>
    <col min="7689" max="7933" width="9.140625" style="14"/>
    <col min="7934" max="7934" width="8.5703125" style="14" customWidth="1"/>
    <col min="7935" max="7935" width="9.85546875" style="14" customWidth="1"/>
    <col min="7936" max="7936" width="14.42578125" style="14" customWidth="1"/>
    <col min="7937" max="7937" width="7.42578125" style="14" customWidth="1"/>
    <col min="7938" max="7938" width="5.5703125" style="14" customWidth="1"/>
    <col min="7939" max="7939" width="9" style="14" customWidth="1"/>
    <col min="7940" max="7941" width="9.85546875" style="14" customWidth="1"/>
    <col min="7942" max="7942" width="11.140625" style="14" customWidth="1"/>
    <col min="7943" max="7943" width="2.85546875" style="14" customWidth="1"/>
    <col min="7944" max="7944" width="3.5703125" style="14" customWidth="1"/>
    <col min="7945" max="8189" width="9.140625" style="14"/>
    <col min="8190" max="8190" width="8.5703125" style="14" customWidth="1"/>
    <col min="8191" max="8191" width="9.85546875" style="14" customWidth="1"/>
    <col min="8192" max="8192" width="14.42578125" style="14" customWidth="1"/>
    <col min="8193" max="8193" width="7.42578125" style="14" customWidth="1"/>
    <col min="8194" max="8194" width="5.5703125" style="14" customWidth="1"/>
    <col min="8195" max="8195" width="9" style="14" customWidth="1"/>
    <col min="8196" max="8197" width="9.85546875" style="14" customWidth="1"/>
    <col min="8198" max="8198" width="11.140625" style="14" customWidth="1"/>
    <col min="8199" max="8199" width="2.85546875" style="14" customWidth="1"/>
    <col min="8200" max="8200" width="3.5703125" style="14" customWidth="1"/>
    <col min="8201" max="8445" width="9.140625" style="14"/>
    <col min="8446" max="8446" width="8.5703125" style="14" customWidth="1"/>
    <col min="8447" max="8447" width="9.85546875" style="14" customWidth="1"/>
    <col min="8448" max="8448" width="14.42578125" style="14" customWidth="1"/>
    <col min="8449" max="8449" width="7.42578125" style="14" customWidth="1"/>
    <col min="8450" max="8450" width="5.5703125" style="14" customWidth="1"/>
    <col min="8451" max="8451" width="9" style="14" customWidth="1"/>
    <col min="8452" max="8453" width="9.85546875" style="14" customWidth="1"/>
    <col min="8454" max="8454" width="11.140625" style="14" customWidth="1"/>
    <col min="8455" max="8455" width="2.85546875" style="14" customWidth="1"/>
    <col min="8456" max="8456" width="3.5703125" style="14" customWidth="1"/>
    <col min="8457" max="8701" width="9.140625" style="14"/>
    <col min="8702" max="8702" width="8.5703125" style="14" customWidth="1"/>
    <col min="8703" max="8703" width="9.85546875" style="14" customWidth="1"/>
    <col min="8704" max="8704" width="14.42578125" style="14" customWidth="1"/>
    <col min="8705" max="8705" width="7.42578125" style="14" customWidth="1"/>
    <col min="8706" max="8706" width="5.5703125" style="14" customWidth="1"/>
    <col min="8707" max="8707" width="9" style="14" customWidth="1"/>
    <col min="8708" max="8709" width="9.85546875" style="14" customWidth="1"/>
    <col min="8710" max="8710" width="11.140625" style="14" customWidth="1"/>
    <col min="8711" max="8711" width="2.85546875" style="14" customWidth="1"/>
    <col min="8712" max="8712" width="3.5703125" style="14" customWidth="1"/>
    <col min="8713" max="8957" width="9.140625" style="14"/>
    <col min="8958" max="8958" width="8.5703125" style="14" customWidth="1"/>
    <col min="8959" max="8959" width="9.85546875" style="14" customWidth="1"/>
    <col min="8960" max="8960" width="14.42578125" style="14" customWidth="1"/>
    <col min="8961" max="8961" width="7.42578125" style="14" customWidth="1"/>
    <col min="8962" max="8962" width="5.5703125" style="14" customWidth="1"/>
    <col min="8963" max="8963" width="9" style="14" customWidth="1"/>
    <col min="8964" max="8965" width="9.85546875" style="14" customWidth="1"/>
    <col min="8966" max="8966" width="11.140625" style="14" customWidth="1"/>
    <col min="8967" max="8967" width="2.85546875" style="14" customWidth="1"/>
    <col min="8968" max="8968" width="3.5703125" style="14" customWidth="1"/>
    <col min="8969" max="9213" width="9.140625" style="14"/>
    <col min="9214" max="9214" width="8.5703125" style="14" customWidth="1"/>
    <col min="9215" max="9215" width="9.85546875" style="14" customWidth="1"/>
    <col min="9216" max="9216" width="14.42578125" style="14" customWidth="1"/>
    <col min="9217" max="9217" width="7.42578125" style="14" customWidth="1"/>
    <col min="9218" max="9218" width="5.5703125" style="14" customWidth="1"/>
    <col min="9219" max="9219" width="9" style="14" customWidth="1"/>
    <col min="9220" max="9221" width="9.85546875" style="14" customWidth="1"/>
    <col min="9222" max="9222" width="11.140625" style="14" customWidth="1"/>
    <col min="9223" max="9223" width="2.85546875" style="14" customWidth="1"/>
    <col min="9224" max="9224" width="3.5703125" style="14" customWidth="1"/>
    <col min="9225" max="9469" width="9.140625" style="14"/>
    <col min="9470" max="9470" width="8.5703125" style="14" customWidth="1"/>
    <col min="9471" max="9471" width="9.85546875" style="14" customWidth="1"/>
    <col min="9472" max="9472" width="14.42578125" style="14" customWidth="1"/>
    <col min="9473" max="9473" width="7.42578125" style="14" customWidth="1"/>
    <col min="9474" max="9474" width="5.5703125" style="14" customWidth="1"/>
    <col min="9475" max="9475" width="9" style="14" customWidth="1"/>
    <col min="9476" max="9477" width="9.85546875" style="14" customWidth="1"/>
    <col min="9478" max="9478" width="11.140625" style="14" customWidth="1"/>
    <col min="9479" max="9479" width="2.85546875" style="14" customWidth="1"/>
    <col min="9480" max="9480" width="3.5703125" style="14" customWidth="1"/>
    <col min="9481" max="9725" width="9.140625" style="14"/>
    <col min="9726" max="9726" width="8.5703125" style="14" customWidth="1"/>
    <col min="9727" max="9727" width="9.85546875" style="14" customWidth="1"/>
    <col min="9728" max="9728" width="14.42578125" style="14" customWidth="1"/>
    <col min="9729" max="9729" width="7.42578125" style="14" customWidth="1"/>
    <col min="9730" max="9730" width="5.5703125" style="14" customWidth="1"/>
    <col min="9731" max="9731" width="9" style="14" customWidth="1"/>
    <col min="9732" max="9733" width="9.85546875" style="14" customWidth="1"/>
    <col min="9734" max="9734" width="11.140625" style="14" customWidth="1"/>
    <col min="9735" max="9735" width="2.85546875" style="14" customWidth="1"/>
    <col min="9736" max="9736" width="3.5703125" style="14" customWidth="1"/>
    <col min="9737" max="9981" width="9.140625" style="14"/>
    <col min="9982" max="9982" width="8.5703125" style="14" customWidth="1"/>
    <col min="9983" max="9983" width="9.85546875" style="14" customWidth="1"/>
    <col min="9984" max="9984" width="14.42578125" style="14" customWidth="1"/>
    <col min="9985" max="9985" width="7.42578125" style="14" customWidth="1"/>
    <col min="9986" max="9986" width="5.5703125" style="14" customWidth="1"/>
    <col min="9987" max="9987" width="9" style="14" customWidth="1"/>
    <col min="9988" max="9989" width="9.85546875" style="14" customWidth="1"/>
    <col min="9990" max="9990" width="11.140625" style="14" customWidth="1"/>
    <col min="9991" max="9991" width="2.85546875" style="14" customWidth="1"/>
    <col min="9992" max="9992" width="3.5703125" style="14" customWidth="1"/>
    <col min="9993" max="10237" width="9.140625" style="14"/>
    <col min="10238" max="10238" width="8.5703125" style="14" customWidth="1"/>
    <col min="10239" max="10239" width="9.85546875" style="14" customWidth="1"/>
    <col min="10240" max="10240" width="14.42578125" style="14" customWidth="1"/>
    <col min="10241" max="10241" width="7.42578125" style="14" customWidth="1"/>
    <col min="10242" max="10242" width="5.5703125" style="14" customWidth="1"/>
    <col min="10243" max="10243" width="9" style="14" customWidth="1"/>
    <col min="10244" max="10245" width="9.85546875" style="14" customWidth="1"/>
    <col min="10246" max="10246" width="11.140625" style="14" customWidth="1"/>
    <col min="10247" max="10247" width="2.85546875" style="14" customWidth="1"/>
    <col min="10248" max="10248" width="3.5703125" style="14" customWidth="1"/>
    <col min="10249" max="10493" width="9.140625" style="14"/>
    <col min="10494" max="10494" width="8.5703125" style="14" customWidth="1"/>
    <col min="10495" max="10495" width="9.85546875" style="14" customWidth="1"/>
    <col min="10496" max="10496" width="14.42578125" style="14" customWidth="1"/>
    <col min="10497" max="10497" width="7.42578125" style="14" customWidth="1"/>
    <col min="10498" max="10498" width="5.5703125" style="14" customWidth="1"/>
    <col min="10499" max="10499" width="9" style="14" customWidth="1"/>
    <col min="10500" max="10501" width="9.85546875" style="14" customWidth="1"/>
    <col min="10502" max="10502" width="11.140625" style="14" customWidth="1"/>
    <col min="10503" max="10503" width="2.85546875" style="14" customWidth="1"/>
    <col min="10504" max="10504" width="3.5703125" style="14" customWidth="1"/>
    <col min="10505" max="10749" width="9.140625" style="14"/>
    <col min="10750" max="10750" width="8.5703125" style="14" customWidth="1"/>
    <col min="10751" max="10751" width="9.85546875" style="14" customWidth="1"/>
    <col min="10752" max="10752" width="14.42578125" style="14" customWidth="1"/>
    <col min="10753" max="10753" width="7.42578125" style="14" customWidth="1"/>
    <col min="10754" max="10754" width="5.5703125" style="14" customWidth="1"/>
    <col min="10755" max="10755" width="9" style="14" customWidth="1"/>
    <col min="10756" max="10757" width="9.85546875" style="14" customWidth="1"/>
    <col min="10758" max="10758" width="11.140625" style="14" customWidth="1"/>
    <col min="10759" max="10759" width="2.85546875" style="14" customWidth="1"/>
    <col min="10760" max="10760" width="3.5703125" style="14" customWidth="1"/>
    <col min="10761" max="11005" width="9.140625" style="14"/>
    <col min="11006" max="11006" width="8.5703125" style="14" customWidth="1"/>
    <col min="11007" max="11007" width="9.85546875" style="14" customWidth="1"/>
    <col min="11008" max="11008" width="14.42578125" style="14" customWidth="1"/>
    <col min="11009" max="11009" width="7.42578125" style="14" customWidth="1"/>
    <col min="11010" max="11010" width="5.5703125" style="14" customWidth="1"/>
    <col min="11011" max="11011" width="9" style="14" customWidth="1"/>
    <col min="11012" max="11013" width="9.85546875" style="14" customWidth="1"/>
    <col min="11014" max="11014" width="11.140625" style="14" customWidth="1"/>
    <col min="11015" max="11015" width="2.85546875" style="14" customWidth="1"/>
    <col min="11016" max="11016" width="3.5703125" style="14" customWidth="1"/>
    <col min="11017" max="11261" width="9.140625" style="14"/>
    <col min="11262" max="11262" width="8.5703125" style="14" customWidth="1"/>
    <col min="11263" max="11263" width="9.85546875" style="14" customWidth="1"/>
    <col min="11264" max="11264" width="14.42578125" style="14" customWidth="1"/>
    <col min="11265" max="11265" width="7.42578125" style="14" customWidth="1"/>
    <col min="11266" max="11266" width="5.5703125" style="14" customWidth="1"/>
    <col min="11267" max="11267" width="9" style="14" customWidth="1"/>
    <col min="11268" max="11269" width="9.85546875" style="14" customWidth="1"/>
    <col min="11270" max="11270" width="11.140625" style="14" customWidth="1"/>
    <col min="11271" max="11271" width="2.85546875" style="14" customWidth="1"/>
    <col min="11272" max="11272" width="3.5703125" style="14" customWidth="1"/>
    <col min="11273" max="11517" width="9.140625" style="14"/>
    <col min="11518" max="11518" width="8.5703125" style="14" customWidth="1"/>
    <col min="11519" max="11519" width="9.85546875" style="14" customWidth="1"/>
    <col min="11520" max="11520" width="14.42578125" style="14" customWidth="1"/>
    <col min="11521" max="11521" width="7.42578125" style="14" customWidth="1"/>
    <col min="11522" max="11522" width="5.5703125" style="14" customWidth="1"/>
    <col min="11523" max="11523" width="9" style="14" customWidth="1"/>
    <col min="11524" max="11525" width="9.85546875" style="14" customWidth="1"/>
    <col min="11526" max="11526" width="11.140625" style="14" customWidth="1"/>
    <col min="11527" max="11527" width="2.85546875" style="14" customWidth="1"/>
    <col min="11528" max="11528" width="3.5703125" style="14" customWidth="1"/>
    <col min="11529" max="11773" width="9.140625" style="14"/>
    <col min="11774" max="11774" width="8.5703125" style="14" customWidth="1"/>
    <col min="11775" max="11775" width="9.85546875" style="14" customWidth="1"/>
    <col min="11776" max="11776" width="14.42578125" style="14" customWidth="1"/>
    <col min="11777" max="11777" width="7.42578125" style="14" customWidth="1"/>
    <col min="11778" max="11778" width="5.5703125" style="14" customWidth="1"/>
    <col min="11779" max="11779" width="9" style="14" customWidth="1"/>
    <col min="11780" max="11781" width="9.85546875" style="14" customWidth="1"/>
    <col min="11782" max="11782" width="11.140625" style="14" customWidth="1"/>
    <col min="11783" max="11783" width="2.85546875" style="14" customWidth="1"/>
    <col min="11784" max="11784" width="3.5703125" style="14" customWidth="1"/>
    <col min="11785" max="12029" width="9.140625" style="14"/>
    <col min="12030" max="12030" width="8.5703125" style="14" customWidth="1"/>
    <col min="12031" max="12031" width="9.85546875" style="14" customWidth="1"/>
    <col min="12032" max="12032" width="14.42578125" style="14" customWidth="1"/>
    <col min="12033" max="12033" width="7.42578125" style="14" customWidth="1"/>
    <col min="12034" max="12034" width="5.5703125" style="14" customWidth="1"/>
    <col min="12035" max="12035" width="9" style="14" customWidth="1"/>
    <col min="12036" max="12037" width="9.85546875" style="14" customWidth="1"/>
    <col min="12038" max="12038" width="11.140625" style="14" customWidth="1"/>
    <col min="12039" max="12039" width="2.85546875" style="14" customWidth="1"/>
    <col min="12040" max="12040" width="3.5703125" style="14" customWidth="1"/>
    <col min="12041" max="12285" width="9.140625" style="14"/>
    <col min="12286" max="12286" width="8.5703125" style="14" customWidth="1"/>
    <col min="12287" max="12287" width="9.85546875" style="14" customWidth="1"/>
    <col min="12288" max="12288" width="14.42578125" style="14" customWidth="1"/>
    <col min="12289" max="12289" width="7.42578125" style="14" customWidth="1"/>
    <col min="12290" max="12290" width="5.5703125" style="14" customWidth="1"/>
    <col min="12291" max="12291" width="9" style="14" customWidth="1"/>
    <col min="12292" max="12293" width="9.85546875" style="14" customWidth="1"/>
    <col min="12294" max="12294" width="11.140625" style="14" customWidth="1"/>
    <col min="12295" max="12295" width="2.85546875" style="14" customWidth="1"/>
    <col min="12296" max="12296" width="3.5703125" style="14" customWidth="1"/>
    <col min="12297" max="12541" width="9.140625" style="14"/>
    <col min="12542" max="12542" width="8.5703125" style="14" customWidth="1"/>
    <col min="12543" max="12543" width="9.85546875" style="14" customWidth="1"/>
    <col min="12544" max="12544" width="14.42578125" style="14" customWidth="1"/>
    <col min="12545" max="12545" width="7.42578125" style="14" customWidth="1"/>
    <col min="12546" max="12546" width="5.5703125" style="14" customWidth="1"/>
    <col min="12547" max="12547" width="9" style="14" customWidth="1"/>
    <col min="12548" max="12549" width="9.85546875" style="14" customWidth="1"/>
    <col min="12550" max="12550" width="11.140625" style="14" customWidth="1"/>
    <col min="12551" max="12551" width="2.85546875" style="14" customWidth="1"/>
    <col min="12552" max="12552" width="3.5703125" style="14" customWidth="1"/>
    <col min="12553" max="12797" width="9.140625" style="14"/>
    <col min="12798" max="12798" width="8.5703125" style="14" customWidth="1"/>
    <col min="12799" max="12799" width="9.85546875" style="14" customWidth="1"/>
    <col min="12800" max="12800" width="14.42578125" style="14" customWidth="1"/>
    <col min="12801" max="12801" width="7.42578125" style="14" customWidth="1"/>
    <col min="12802" max="12802" width="5.5703125" style="14" customWidth="1"/>
    <col min="12803" max="12803" width="9" style="14" customWidth="1"/>
    <col min="12804" max="12805" width="9.85546875" style="14" customWidth="1"/>
    <col min="12806" max="12806" width="11.140625" style="14" customWidth="1"/>
    <col min="12807" max="12807" width="2.85546875" style="14" customWidth="1"/>
    <col min="12808" max="12808" width="3.5703125" style="14" customWidth="1"/>
    <col min="12809" max="13053" width="9.140625" style="14"/>
    <col min="13054" max="13054" width="8.5703125" style="14" customWidth="1"/>
    <col min="13055" max="13055" width="9.85546875" style="14" customWidth="1"/>
    <col min="13056" max="13056" width="14.42578125" style="14" customWidth="1"/>
    <col min="13057" max="13057" width="7.42578125" style="14" customWidth="1"/>
    <col min="13058" max="13058" width="5.5703125" style="14" customWidth="1"/>
    <col min="13059" max="13059" width="9" style="14" customWidth="1"/>
    <col min="13060" max="13061" width="9.85546875" style="14" customWidth="1"/>
    <col min="13062" max="13062" width="11.140625" style="14" customWidth="1"/>
    <col min="13063" max="13063" width="2.85546875" style="14" customWidth="1"/>
    <col min="13064" max="13064" width="3.5703125" style="14" customWidth="1"/>
    <col min="13065" max="13309" width="9.140625" style="14"/>
    <col min="13310" max="13310" width="8.5703125" style="14" customWidth="1"/>
    <col min="13311" max="13311" width="9.85546875" style="14" customWidth="1"/>
    <col min="13312" max="13312" width="14.42578125" style="14" customWidth="1"/>
    <col min="13313" max="13313" width="7.42578125" style="14" customWidth="1"/>
    <col min="13314" max="13314" width="5.5703125" style="14" customWidth="1"/>
    <col min="13315" max="13315" width="9" style="14" customWidth="1"/>
    <col min="13316" max="13317" width="9.85546875" style="14" customWidth="1"/>
    <col min="13318" max="13318" width="11.140625" style="14" customWidth="1"/>
    <col min="13319" max="13319" width="2.85546875" style="14" customWidth="1"/>
    <col min="13320" max="13320" width="3.5703125" style="14" customWidth="1"/>
    <col min="13321" max="13565" width="9.140625" style="14"/>
    <col min="13566" max="13566" width="8.5703125" style="14" customWidth="1"/>
    <col min="13567" max="13567" width="9.85546875" style="14" customWidth="1"/>
    <col min="13568" max="13568" width="14.42578125" style="14" customWidth="1"/>
    <col min="13569" max="13569" width="7.42578125" style="14" customWidth="1"/>
    <col min="13570" max="13570" width="5.5703125" style="14" customWidth="1"/>
    <col min="13571" max="13571" width="9" style="14" customWidth="1"/>
    <col min="13572" max="13573" width="9.85546875" style="14" customWidth="1"/>
    <col min="13574" max="13574" width="11.140625" style="14" customWidth="1"/>
    <col min="13575" max="13575" width="2.85546875" style="14" customWidth="1"/>
    <col min="13576" max="13576" width="3.5703125" style="14" customWidth="1"/>
    <col min="13577" max="13821" width="9.140625" style="14"/>
    <col min="13822" max="13822" width="8.5703125" style="14" customWidth="1"/>
    <col min="13823" max="13823" width="9.85546875" style="14" customWidth="1"/>
    <col min="13824" max="13824" width="14.42578125" style="14" customWidth="1"/>
    <col min="13825" max="13825" width="7.42578125" style="14" customWidth="1"/>
    <col min="13826" max="13826" width="5.5703125" style="14" customWidth="1"/>
    <col min="13827" max="13827" width="9" style="14" customWidth="1"/>
    <col min="13828" max="13829" width="9.85546875" style="14" customWidth="1"/>
    <col min="13830" max="13830" width="11.140625" style="14" customWidth="1"/>
    <col min="13831" max="13831" width="2.85546875" style="14" customWidth="1"/>
    <col min="13832" max="13832" width="3.5703125" style="14" customWidth="1"/>
    <col min="13833" max="14077" width="9.140625" style="14"/>
    <col min="14078" max="14078" width="8.5703125" style="14" customWidth="1"/>
    <col min="14079" max="14079" width="9.85546875" style="14" customWidth="1"/>
    <col min="14080" max="14080" width="14.42578125" style="14" customWidth="1"/>
    <col min="14081" max="14081" width="7.42578125" style="14" customWidth="1"/>
    <col min="14082" max="14082" width="5.5703125" style="14" customWidth="1"/>
    <col min="14083" max="14083" width="9" style="14" customWidth="1"/>
    <col min="14084" max="14085" width="9.85546875" style="14" customWidth="1"/>
    <col min="14086" max="14086" width="11.140625" style="14" customWidth="1"/>
    <col min="14087" max="14087" width="2.85546875" style="14" customWidth="1"/>
    <col min="14088" max="14088" width="3.5703125" style="14" customWidth="1"/>
    <col min="14089" max="14333" width="9.140625" style="14"/>
    <col min="14334" max="14334" width="8.5703125" style="14" customWidth="1"/>
    <col min="14335" max="14335" width="9.85546875" style="14" customWidth="1"/>
    <col min="14336" max="14336" width="14.42578125" style="14" customWidth="1"/>
    <col min="14337" max="14337" width="7.42578125" style="14" customWidth="1"/>
    <col min="14338" max="14338" width="5.5703125" style="14" customWidth="1"/>
    <col min="14339" max="14339" width="9" style="14" customWidth="1"/>
    <col min="14340" max="14341" width="9.85546875" style="14" customWidth="1"/>
    <col min="14342" max="14342" width="11.140625" style="14" customWidth="1"/>
    <col min="14343" max="14343" width="2.85546875" style="14" customWidth="1"/>
    <col min="14344" max="14344" width="3.5703125" style="14" customWidth="1"/>
    <col min="14345" max="14589" width="9.140625" style="14"/>
    <col min="14590" max="14590" width="8.5703125" style="14" customWidth="1"/>
    <col min="14591" max="14591" width="9.85546875" style="14" customWidth="1"/>
    <col min="14592" max="14592" width="14.42578125" style="14" customWidth="1"/>
    <col min="14593" max="14593" width="7.42578125" style="14" customWidth="1"/>
    <col min="14594" max="14594" width="5.5703125" style="14" customWidth="1"/>
    <col min="14595" max="14595" width="9" style="14" customWidth="1"/>
    <col min="14596" max="14597" width="9.85546875" style="14" customWidth="1"/>
    <col min="14598" max="14598" width="11.140625" style="14" customWidth="1"/>
    <col min="14599" max="14599" width="2.85546875" style="14" customWidth="1"/>
    <col min="14600" max="14600" width="3.5703125" style="14" customWidth="1"/>
    <col min="14601" max="14845" width="9.140625" style="14"/>
    <col min="14846" max="14846" width="8.5703125" style="14" customWidth="1"/>
    <col min="14847" max="14847" width="9.85546875" style="14" customWidth="1"/>
    <col min="14848" max="14848" width="14.42578125" style="14" customWidth="1"/>
    <col min="14849" max="14849" width="7.42578125" style="14" customWidth="1"/>
    <col min="14850" max="14850" width="5.5703125" style="14" customWidth="1"/>
    <col min="14851" max="14851" width="9" style="14" customWidth="1"/>
    <col min="14852" max="14853" width="9.85546875" style="14" customWidth="1"/>
    <col min="14854" max="14854" width="11.140625" style="14" customWidth="1"/>
    <col min="14855" max="14855" width="2.85546875" style="14" customWidth="1"/>
    <col min="14856" max="14856" width="3.5703125" style="14" customWidth="1"/>
    <col min="14857" max="15101" width="9.140625" style="14"/>
    <col min="15102" max="15102" width="8.5703125" style="14" customWidth="1"/>
    <col min="15103" max="15103" width="9.85546875" style="14" customWidth="1"/>
    <col min="15104" max="15104" width="14.42578125" style="14" customWidth="1"/>
    <col min="15105" max="15105" width="7.42578125" style="14" customWidth="1"/>
    <col min="15106" max="15106" width="5.5703125" style="14" customWidth="1"/>
    <col min="15107" max="15107" width="9" style="14" customWidth="1"/>
    <col min="15108" max="15109" width="9.85546875" style="14" customWidth="1"/>
    <col min="15110" max="15110" width="11.140625" style="14" customWidth="1"/>
    <col min="15111" max="15111" width="2.85546875" style="14" customWidth="1"/>
    <col min="15112" max="15112" width="3.5703125" style="14" customWidth="1"/>
    <col min="15113" max="15357" width="9.140625" style="14"/>
    <col min="15358" max="15358" width="8.5703125" style="14" customWidth="1"/>
    <col min="15359" max="15359" width="9.85546875" style="14" customWidth="1"/>
    <col min="15360" max="15360" width="14.42578125" style="14" customWidth="1"/>
    <col min="15361" max="15361" width="7.42578125" style="14" customWidth="1"/>
    <col min="15362" max="15362" width="5.5703125" style="14" customWidth="1"/>
    <col min="15363" max="15363" width="9" style="14" customWidth="1"/>
    <col min="15364" max="15365" width="9.85546875" style="14" customWidth="1"/>
    <col min="15366" max="15366" width="11.140625" style="14" customWidth="1"/>
    <col min="15367" max="15367" width="2.85546875" style="14" customWidth="1"/>
    <col min="15368" max="15368" width="3.5703125" style="14" customWidth="1"/>
    <col min="15369" max="15613" width="9.140625" style="14"/>
    <col min="15614" max="15614" width="8.5703125" style="14" customWidth="1"/>
    <col min="15615" max="15615" width="9.85546875" style="14" customWidth="1"/>
    <col min="15616" max="15616" width="14.42578125" style="14" customWidth="1"/>
    <col min="15617" max="15617" width="7.42578125" style="14" customWidth="1"/>
    <col min="15618" max="15618" width="5.5703125" style="14" customWidth="1"/>
    <col min="15619" max="15619" width="9" style="14" customWidth="1"/>
    <col min="15620" max="15621" width="9.85546875" style="14" customWidth="1"/>
    <col min="15622" max="15622" width="11.140625" style="14" customWidth="1"/>
    <col min="15623" max="15623" width="2.85546875" style="14" customWidth="1"/>
    <col min="15624" max="15624" width="3.5703125" style="14" customWidth="1"/>
    <col min="15625" max="15869" width="9.140625" style="14"/>
    <col min="15870" max="15870" width="8.5703125" style="14" customWidth="1"/>
    <col min="15871" max="15871" width="9.85546875" style="14" customWidth="1"/>
    <col min="15872" max="15872" width="14.42578125" style="14" customWidth="1"/>
    <col min="15873" max="15873" width="7.42578125" style="14" customWidth="1"/>
    <col min="15874" max="15874" width="5.5703125" style="14" customWidth="1"/>
    <col min="15875" max="15875" width="9" style="14" customWidth="1"/>
    <col min="15876" max="15877" width="9.85546875" style="14" customWidth="1"/>
    <col min="15878" max="15878" width="11.140625" style="14" customWidth="1"/>
    <col min="15879" max="15879" width="2.85546875" style="14" customWidth="1"/>
    <col min="15880" max="15880" width="3.5703125" style="14" customWidth="1"/>
    <col min="15881" max="16125" width="9.140625" style="14"/>
    <col min="16126" max="16126" width="8.5703125" style="14" customWidth="1"/>
    <col min="16127" max="16127" width="9.85546875" style="14" customWidth="1"/>
    <col min="16128" max="16128" width="14.42578125" style="14" customWidth="1"/>
    <col min="16129" max="16129" width="7.42578125" style="14" customWidth="1"/>
    <col min="16130" max="16130" width="5.5703125" style="14" customWidth="1"/>
    <col min="16131" max="16131" width="9" style="14" customWidth="1"/>
    <col min="16132" max="16133" width="9.85546875" style="14" customWidth="1"/>
    <col min="16134" max="16134" width="11.140625" style="14" customWidth="1"/>
    <col min="16135" max="16135" width="2.85546875" style="14" customWidth="1"/>
    <col min="16136" max="16136" width="3.5703125" style="14" customWidth="1"/>
    <col min="16137" max="16384" width="9.140625" style="14"/>
  </cols>
  <sheetData>
    <row r="1" spans="1:12" ht="48.75" customHeight="1" x14ac:dyDescent="0.25">
      <c r="A1" s="198" t="s">
        <v>273</v>
      </c>
      <c r="B1" s="199"/>
      <c r="C1" s="199"/>
      <c r="D1" s="199"/>
      <c r="E1" s="199"/>
      <c r="F1" s="199"/>
      <c r="G1" s="199"/>
      <c r="H1" s="199"/>
      <c r="I1" s="199"/>
      <c r="J1" s="200"/>
    </row>
    <row r="2" spans="1:12" ht="15.75" x14ac:dyDescent="0.25">
      <c r="A2" s="201" t="s">
        <v>0</v>
      </c>
      <c r="B2" s="202"/>
      <c r="C2" s="202"/>
      <c r="D2" s="202"/>
      <c r="E2" s="202"/>
      <c r="F2" s="202"/>
      <c r="G2" s="202"/>
      <c r="H2" s="202"/>
      <c r="I2" s="202"/>
      <c r="J2" s="203"/>
      <c r="L2" s="38" t="s">
        <v>187</v>
      </c>
    </row>
    <row r="3" spans="1:12" ht="15.75" x14ac:dyDescent="0.25">
      <c r="A3" s="101" t="s">
        <v>1</v>
      </c>
      <c r="B3" s="66"/>
      <c r="C3" s="66"/>
      <c r="D3" s="66"/>
      <c r="E3" s="67"/>
      <c r="F3" s="149" t="str">
        <f ca="1">TEXT(TODAY(),"DD/MM/YYYY")</f>
        <v>03/10/2025</v>
      </c>
      <c r="G3" s="204"/>
      <c r="H3" s="204"/>
      <c r="I3" s="204"/>
      <c r="J3" s="205"/>
    </row>
    <row r="4" spans="1:12" ht="15" customHeight="1" x14ac:dyDescent="0.25">
      <c r="A4" s="101" t="s">
        <v>2</v>
      </c>
      <c r="B4" s="66"/>
      <c r="C4" s="66"/>
      <c r="D4" s="66"/>
      <c r="E4" s="67"/>
      <c r="F4" s="206" t="s">
        <v>63</v>
      </c>
      <c r="G4" s="207"/>
      <c r="H4" s="207"/>
      <c r="I4" s="207"/>
      <c r="J4" s="42"/>
    </row>
    <row r="5" spans="1:12" ht="15.75" x14ac:dyDescent="0.25">
      <c r="A5" s="101" t="s">
        <v>3</v>
      </c>
      <c r="B5" s="66"/>
      <c r="C5" s="66"/>
      <c r="D5" s="66"/>
      <c r="E5" s="67"/>
      <c r="F5" s="149">
        <v>45925</v>
      </c>
      <c r="G5" s="204"/>
      <c r="H5" s="204"/>
      <c r="I5" s="204"/>
      <c r="J5" s="205"/>
    </row>
    <row r="6" spans="1:12" ht="15.75" x14ac:dyDescent="0.25">
      <c r="A6" s="101" t="s">
        <v>4</v>
      </c>
      <c r="B6" s="66"/>
      <c r="C6" s="66"/>
      <c r="D6" s="66"/>
      <c r="E6" s="67"/>
      <c r="F6" s="64" t="s">
        <v>208</v>
      </c>
      <c r="G6" s="68"/>
      <c r="H6" s="68"/>
      <c r="I6" s="68"/>
      <c r="J6" s="65"/>
    </row>
    <row r="7" spans="1:12" ht="15" customHeight="1" x14ac:dyDescent="0.25">
      <c r="A7" s="101" t="s">
        <v>5</v>
      </c>
      <c r="B7" s="66"/>
      <c r="C7" s="66"/>
      <c r="D7" s="66"/>
      <c r="E7" s="67"/>
      <c r="F7" s="64" t="str">
        <f>F6</f>
        <v>M/s. Oberoi Construction Ltd.</v>
      </c>
      <c r="G7" s="68"/>
      <c r="H7" s="68"/>
      <c r="I7" s="68"/>
      <c r="J7" s="65"/>
    </row>
    <row r="8" spans="1:12" ht="15.75" x14ac:dyDescent="0.25">
      <c r="A8" s="101" t="s">
        <v>265</v>
      </c>
      <c r="B8" s="66"/>
      <c r="C8" s="66"/>
      <c r="D8" s="66"/>
      <c r="E8" s="67"/>
      <c r="F8" s="180" t="s">
        <v>65</v>
      </c>
      <c r="G8" s="177"/>
      <c r="H8" s="177"/>
      <c r="I8" s="177"/>
      <c r="J8" s="178"/>
    </row>
    <row r="9" spans="1:12" ht="15.75" x14ac:dyDescent="0.25">
      <c r="A9" s="101" t="s">
        <v>266</v>
      </c>
      <c r="B9" s="66"/>
      <c r="C9" s="66"/>
      <c r="D9" s="66"/>
      <c r="E9" s="67"/>
      <c r="F9" s="197" t="s">
        <v>175</v>
      </c>
      <c r="G9" s="194"/>
      <c r="H9" s="194"/>
      <c r="I9" s="194"/>
      <c r="J9" s="195"/>
    </row>
    <row r="10" spans="1:12" ht="15.75" x14ac:dyDescent="0.25">
      <c r="A10" s="101" t="s">
        <v>200</v>
      </c>
      <c r="B10" s="66"/>
      <c r="C10" s="66"/>
      <c r="D10" s="66"/>
      <c r="E10" s="67"/>
      <c r="F10" s="101" t="s">
        <v>66</v>
      </c>
      <c r="G10" s="66"/>
      <c r="H10" s="66"/>
      <c r="I10" s="66"/>
      <c r="J10" s="67"/>
    </row>
    <row r="11" spans="1:12" ht="15.75" x14ac:dyDescent="0.25">
      <c r="A11" s="101" t="s">
        <v>264</v>
      </c>
      <c r="B11" s="66"/>
      <c r="C11" s="66"/>
      <c r="D11" s="66"/>
      <c r="E11" s="67"/>
      <c r="F11" s="111" t="s">
        <v>210</v>
      </c>
      <c r="G11" s="150"/>
      <c r="H11" s="150"/>
      <c r="I11" s="150"/>
      <c r="J11" s="151"/>
    </row>
    <row r="12" spans="1:12" ht="15.75" x14ac:dyDescent="0.25">
      <c r="A12" s="101" t="s">
        <v>6</v>
      </c>
      <c r="B12" s="66"/>
      <c r="C12" s="66"/>
      <c r="D12" s="66"/>
      <c r="E12" s="67"/>
      <c r="F12" s="111" t="s">
        <v>211</v>
      </c>
      <c r="G12" s="112"/>
      <c r="H12" s="112"/>
      <c r="I12" s="112"/>
      <c r="J12" s="113"/>
    </row>
    <row r="13" spans="1:12" ht="15.75" x14ac:dyDescent="0.25">
      <c r="A13" s="101" t="s">
        <v>7</v>
      </c>
      <c r="B13" s="66"/>
      <c r="C13" s="66"/>
      <c r="D13" s="66"/>
      <c r="E13" s="67"/>
      <c r="F13" s="64" t="s">
        <v>67</v>
      </c>
      <c r="G13" s="66"/>
      <c r="H13" s="66"/>
      <c r="I13" s="66"/>
      <c r="J13" s="67"/>
    </row>
    <row r="14" spans="1:12" ht="30" customHeight="1" x14ac:dyDescent="0.25">
      <c r="A14" s="214" t="s">
        <v>8</v>
      </c>
      <c r="B14" s="214"/>
      <c r="C14" s="64" t="s">
        <v>68</v>
      </c>
      <c r="D14" s="68"/>
      <c r="E14" s="68"/>
      <c r="F14" s="68"/>
      <c r="G14" s="68"/>
      <c r="H14" s="68"/>
      <c r="I14" s="68"/>
      <c r="J14" s="65"/>
    </row>
    <row r="15" spans="1:12" ht="15.75" x14ac:dyDescent="0.25">
      <c r="A15" s="213" t="s">
        <v>69</v>
      </c>
      <c r="B15" s="213"/>
      <c r="C15" s="213">
        <v>543</v>
      </c>
      <c r="D15" s="213"/>
      <c r="E15" s="213"/>
      <c r="F15" s="214" t="s">
        <v>9</v>
      </c>
      <c r="G15" s="214"/>
      <c r="H15" s="112" t="s">
        <v>122</v>
      </c>
      <c r="I15" s="215"/>
      <c r="J15" s="216"/>
    </row>
    <row r="16" spans="1:12" ht="15.75" x14ac:dyDescent="0.25">
      <c r="A16" s="213" t="s">
        <v>10</v>
      </c>
      <c r="B16" s="213"/>
      <c r="C16" s="213" t="s">
        <v>71</v>
      </c>
      <c r="D16" s="213"/>
      <c r="E16" s="213"/>
      <c r="F16" s="214" t="s">
        <v>11</v>
      </c>
      <c r="G16" s="214"/>
      <c r="H16" s="112" t="s">
        <v>73</v>
      </c>
      <c r="I16" s="215"/>
      <c r="J16" s="216"/>
    </row>
    <row r="17" spans="1:10" ht="15.75" x14ac:dyDescent="0.25">
      <c r="A17" s="213" t="s">
        <v>12</v>
      </c>
      <c r="B17" s="213"/>
      <c r="C17" s="213" t="s">
        <v>72</v>
      </c>
      <c r="D17" s="213"/>
      <c r="E17" s="213"/>
      <c r="F17" s="214" t="s">
        <v>13</v>
      </c>
      <c r="G17" s="214"/>
      <c r="H17" s="112">
        <v>400080</v>
      </c>
      <c r="I17" s="215"/>
      <c r="J17" s="216"/>
    </row>
    <row r="18" spans="1:10" ht="32.25" customHeight="1" x14ac:dyDescent="0.25">
      <c r="A18" s="213" t="s">
        <v>14</v>
      </c>
      <c r="B18" s="213"/>
      <c r="C18" s="213" t="s">
        <v>70</v>
      </c>
      <c r="D18" s="213"/>
      <c r="E18" s="213"/>
      <c r="F18" s="214" t="s">
        <v>15</v>
      </c>
      <c r="G18" s="214"/>
      <c r="H18" s="112" t="s">
        <v>195</v>
      </c>
      <c r="I18" s="215"/>
      <c r="J18" s="216"/>
    </row>
    <row r="19" spans="1:10" ht="15" customHeight="1" x14ac:dyDescent="0.25">
      <c r="A19" s="217" t="s">
        <v>16</v>
      </c>
      <c r="B19" s="218"/>
      <c r="C19" s="218"/>
      <c r="D19" s="218"/>
      <c r="E19" s="219"/>
      <c r="F19" s="220" t="s">
        <v>17</v>
      </c>
      <c r="G19" s="221"/>
      <c r="H19" s="221"/>
      <c r="I19" s="221"/>
      <c r="J19" s="222"/>
    </row>
    <row r="20" spans="1:10" x14ac:dyDescent="0.25">
      <c r="A20" s="103"/>
      <c r="B20" s="104"/>
      <c r="C20" s="104"/>
      <c r="D20" s="104"/>
      <c r="E20" s="144"/>
      <c r="F20" s="223"/>
      <c r="G20" s="102"/>
      <c r="H20" s="102"/>
      <c r="I20" s="102"/>
      <c r="J20" s="224"/>
    </row>
    <row r="21" spans="1:10" ht="15" customHeight="1" x14ac:dyDescent="0.25">
      <c r="A21" s="217" t="s">
        <v>18</v>
      </c>
      <c r="B21" s="218"/>
      <c r="C21" s="218"/>
      <c r="D21" s="218"/>
      <c r="E21" s="219"/>
      <c r="F21" s="217" t="s">
        <v>19</v>
      </c>
      <c r="G21" s="218"/>
      <c r="H21" s="218"/>
      <c r="I21" s="218"/>
      <c r="J21" s="219"/>
    </row>
    <row r="22" spans="1:10" ht="15" customHeight="1" x14ac:dyDescent="0.25">
      <c r="A22" s="101" t="s">
        <v>20</v>
      </c>
      <c r="B22" s="66"/>
      <c r="C22" s="66"/>
      <c r="D22" s="66"/>
      <c r="E22" s="67"/>
      <c r="F22" s="191" t="s">
        <v>123</v>
      </c>
      <c r="G22" s="192"/>
      <c r="H22" s="192"/>
      <c r="I22" s="192"/>
      <c r="J22" s="43"/>
    </row>
    <row r="23" spans="1:10" ht="15.75" x14ac:dyDescent="0.25">
      <c r="A23" s="101" t="s">
        <v>21</v>
      </c>
      <c r="B23" s="66"/>
      <c r="C23" s="66"/>
      <c r="D23" s="66"/>
      <c r="E23" s="67"/>
      <c r="F23" s="208" t="s">
        <v>22</v>
      </c>
      <c r="G23" s="209"/>
      <c r="H23" s="209"/>
      <c r="I23" s="209"/>
      <c r="J23" s="210"/>
    </row>
    <row r="24" spans="1:10" ht="15" customHeight="1" x14ac:dyDescent="0.25">
      <c r="A24" s="101" t="s">
        <v>23</v>
      </c>
      <c r="B24" s="66"/>
      <c r="C24" s="66"/>
      <c r="D24" s="66"/>
      <c r="E24" s="67"/>
      <c r="F24" s="191" t="s">
        <v>74</v>
      </c>
      <c r="G24" s="192"/>
      <c r="H24" s="192"/>
      <c r="I24" s="192"/>
      <c r="J24" s="43"/>
    </row>
    <row r="25" spans="1:10" ht="15.75" x14ac:dyDescent="0.25">
      <c r="A25" s="101" t="s">
        <v>24</v>
      </c>
      <c r="B25" s="66"/>
      <c r="C25" s="66"/>
      <c r="D25" s="66"/>
      <c r="E25" s="67"/>
      <c r="F25" s="208" t="s">
        <v>25</v>
      </c>
      <c r="G25" s="209"/>
      <c r="H25" s="209"/>
      <c r="I25" s="209"/>
      <c r="J25" s="210"/>
    </row>
    <row r="26" spans="1:10" ht="15.75" x14ac:dyDescent="0.25">
      <c r="A26" s="211" t="s">
        <v>26</v>
      </c>
      <c r="B26" s="212"/>
      <c r="C26" s="211" t="s">
        <v>27</v>
      </c>
      <c r="D26" s="212"/>
      <c r="E26" s="211" t="s">
        <v>28</v>
      </c>
      <c r="F26" s="212"/>
      <c r="G26" s="211" t="s">
        <v>29</v>
      </c>
      <c r="H26" s="212"/>
      <c r="I26" s="211" t="s">
        <v>30</v>
      </c>
      <c r="J26" s="212"/>
    </row>
    <row r="27" spans="1:10" ht="27" customHeight="1" x14ac:dyDescent="0.25">
      <c r="A27" s="185" t="s">
        <v>214</v>
      </c>
      <c r="B27" s="186"/>
      <c r="C27" s="187" t="s">
        <v>190</v>
      </c>
      <c r="D27" s="188"/>
      <c r="E27" s="187" t="s">
        <v>191</v>
      </c>
      <c r="F27" s="188"/>
      <c r="G27" s="189" t="s">
        <v>189</v>
      </c>
      <c r="H27" s="190"/>
      <c r="I27" s="189" t="s">
        <v>189</v>
      </c>
      <c r="J27" s="190"/>
    </row>
    <row r="28" spans="1:10" ht="30" customHeight="1" x14ac:dyDescent="0.25">
      <c r="A28" s="185" t="s">
        <v>32</v>
      </c>
      <c r="B28" s="186"/>
      <c r="C28" s="189" t="s">
        <v>71</v>
      </c>
      <c r="D28" s="190"/>
      <c r="E28" s="189" t="s">
        <v>75</v>
      </c>
      <c r="F28" s="190"/>
      <c r="G28" s="187" t="s">
        <v>76</v>
      </c>
      <c r="H28" s="190"/>
      <c r="I28" s="187" t="s">
        <v>215</v>
      </c>
      <c r="J28" s="188"/>
    </row>
    <row r="29" spans="1:10" ht="15.75" x14ac:dyDescent="0.25">
      <c r="A29" s="101" t="s">
        <v>33</v>
      </c>
      <c r="B29" s="66"/>
      <c r="C29" s="66"/>
      <c r="D29" s="66"/>
      <c r="E29" s="66"/>
      <c r="F29" s="66"/>
      <c r="G29" s="66"/>
      <c r="H29" s="66"/>
      <c r="I29" s="66"/>
      <c r="J29" s="67"/>
    </row>
    <row r="30" spans="1:10" ht="15.75" x14ac:dyDescent="0.25">
      <c r="A30" s="101" t="s">
        <v>34</v>
      </c>
      <c r="B30" s="66"/>
      <c r="C30" s="66"/>
      <c r="D30" s="66"/>
      <c r="E30" s="66"/>
      <c r="F30" s="66"/>
      <c r="G30" s="66"/>
      <c r="H30" s="66"/>
      <c r="I30" s="66"/>
      <c r="J30" s="67"/>
    </row>
    <row r="31" spans="1:10" ht="15.75" x14ac:dyDescent="0.25">
      <c r="A31" s="180" t="s">
        <v>35</v>
      </c>
      <c r="B31" s="178"/>
      <c r="C31" s="180" t="s">
        <v>212</v>
      </c>
      <c r="D31" s="177"/>
      <c r="E31" s="177"/>
      <c r="F31" s="177"/>
      <c r="G31" s="177"/>
      <c r="H31" s="177"/>
      <c r="I31" s="177"/>
      <c r="J31" s="178"/>
    </row>
    <row r="32" spans="1:10" ht="15.75" x14ac:dyDescent="0.25">
      <c r="A32" s="180" t="s">
        <v>188</v>
      </c>
      <c r="B32" s="178"/>
      <c r="C32" s="196" t="s">
        <v>213</v>
      </c>
      <c r="D32" s="66"/>
      <c r="E32" s="66"/>
      <c r="F32" s="66"/>
      <c r="G32" s="66"/>
      <c r="H32" s="66"/>
      <c r="I32" s="66"/>
      <c r="J32" s="67"/>
    </row>
    <row r="33" spans="1:20" ht="15.75" x14ac:dyDescent="0.25">
      <c r="A33" s="180" t="s">
        <v>36</v>
      </c>
      <c r="B33" s="177"/>
      <c r="C33" s="177"/>
      <c r="D33" s="177"/>
      <c r="E33" s="177"/>
      <c r="F33" s="177"/>
      <c r="G33" s="177"/>
      <c r="H33" s="177"/>
      <c r="I33" s="177"/>
      <c r="J33" s="178"/>
    </row>
    <row r="34" spans="1:20" ht="15" customHeight="1" x14ac:dyDescent="0.25">
      <c r="A34" s="64" t="s">
        <v>37</v>
      </c>
      <c r="B34" s="68"/>
      <c r="C34" s="68"/>
      <c r="D34" s="68"/>
      <c r="E34" s="65"/>
      <c r="F34" s="191" t="s">
        <v>38</v>
      </c>
      <c r="G34" s="192"/>
      <c r="H34" s="192"/>
      <c r="I34" s="192"/>
      <c r="J34" s="44"/>
    </row>
    <row r="35" spans="1:20" ht="15" customHeight="1" x14ac:dyDescent="0.25">
      <c r="A35" s="103" t="s">
        <v>39</v>
      </c>
      <c r="B35" s="104"/>
      <c r="C35" s="104"/>
      <c r="D35" s="104"/>
      <c r="E35" s="104"/>
      <c r="F35" s="64" t="s">
        <v>40</v>
      </c>
      <c r="G35" s="68"/>
      <c r="H35" s="68"/>
      <c r="I35" s="68"/>
      <c r="J35" s="65"/>
    </row>
    <row r="36" spans="1:20" ht="15.75" x14ac:dyDescent="0.25">
      <c r="A36" s="193" t="s">
        <v>41</v>
      </c>
      <c r="B36" s="194"/>
      <c r="C36" s="194"/>
      <c r="D36" s="194"/>
      <c r="E36" s="194"/>
      <c r="F36" s="194"/>
      <c r="G36" s="194"/>
      <c r="H36" s="194"/>
      <c r="I36" s="194"/>
      <c r="J36" s="195"/>
    </row>
    <row r="37" spans="1:20" ht="15.75" x14ac:dyDescent="0.25">
      <c r="A37" s="101" t="s">
        <v>42</v>
      </c>
      <c r="B37" s="66"/>
      <c r="C37" s="66"/>
      <c r="D37" s="66"/>
      <c r="E37" s="67"/>
      <c r="F37" s="174">
        <v>38766.300000000003</v>
      </c>
      <c r="G37" s="175"/>
      <c r="H37" s="175"/>
      <c r="I37" s="175"/>
      <c r="J37" s="176"/>
    </row>
    <row r="38" spans="1:20" ht="15.75" x14ac:dyDescent="0.25">
      <c r="A38" s="101" t="s">
        <v>43</v>
      </c>
      <c r="B38" s="66"/>
      <c r="C38" s="66"/>
      <c r="D38" s="66"/>
      <c r="E38" s="67"/>
      <c r="F38" s="168">
        <v>1</v>
      </c>
      <c r="G38" s="169"/>
      <c r="H38" s="169"/>
      <c r="I38" s="169"/>
      <c r="J38" s="170"/>
      <c r="K38" s="14">
        <f>35580.66/F37</f>
        <v>0.91782450220939327</v>
      </c>
    </row>
    <row r="39" spans="1:20" ht="15.75" x14ac:dyDescent="0.25">
      <c r="A39" s="101" t="s">
        <v>44</v>
      </c>
      <c r="B39" s="66"/>
      <c r="C39" s="66"/>
      <c r="D39" s="66"/>
      <c r="E39" s="67"/>
      <c r="F39" s="168">
        <f>F41/F37-F38</f>
        <v>2.7106915026711342</v>
      </c>
      <c r="G39" s="169"/>
      <c r="H39" s="169"/>
      <c r="I39" s="169"/>
      <c r="J39" s="170"/>
    </row>
    <row r="40" spans="1:20" ht="15.75" x14ac:dyDescent="0.25">
      <c r="A40" s="101" t="s">
        <v>77</v>
      </c>
      <c r="B40" s="66"/>
      <c r="C40" s="66"/>
      <c r="D40" s="66"/>
      <c r="E40" s="67"/>
      <c r="F40" s="168">
        <f>F38+F39</f>
        <v>3.7106915026711342</v>
      </c>
      <c r="G40" s="169"/>
      <c r="H40" s="169"/>
      <c r="I40" s="169"/>
      <c r="J40" s="170"/>
    </row>
    <row r="41" spans="1:20" ht="15.75" x14ac:dyDescent="0.25">
      <c r="A41" s="101" t="s">
        <v>45</v>
      </c>
      <c r="B41" s="66"/>
      <c r="C41" s="66"/>
      <c r="D41" s="66"/>
      <c r="E41" s="67"/>
      <c r="F41" s="171">
        <v>143849.78</v>
      </c>
      <c r="G41" s="172"/>
      <c r="H41" s="172"/>
      <c r="I41" s="172"/>
      <c r="J41" s="173"/>
    </row>
    <row r="42" spans="1:20" ht="15.75" x14ac:dyDescent="0.25">
      <c r="A42" s="101" t="s">
        <v>46</v>
      </c>
      <c r="B42" s="66"/>
      <c r="C42" s="66"/>
      <c r="D42" s="66"/>
      <c r="E42" s="67"/>
      <c r="F42" s="147" t="s">
        <v>64</v>
      </c>
      <c r="G42" s="150"/>
      <c r="H42" s="150"/>
      <c r="I42" s="150"/>
      <c r="J42" s="151"/>
    </row>
    <row r="43" spans="1:20" ht="15.75" x14ac:dyDescent="0.25">
      <c r="A43" s="180" t="s">
        <v>47</v>
      </c>
      <c r="B43" s="177"/>
      <c r="C43" s="177"/>
      <c r="D43" s="177"/>
      <c r="E43" s="177"/>
      <c r="F43" s="177"/>
      <c r="G43" s="177"/>
      <c r="H43" s="177"/>
      <c r="I43" s="177"/>
      <c r="J43" s="178"/>
    </row>
    <row r="44" spans="1:20" ht="15.75" x14ac:dyDescent="0.25">
      <c r="A44" s="64" t="s">
        <v>48</v>
      </c>
      <c r="B44" s="65"/>
      <c r="C44" s="64" t="s">
        <v>216</v>
      </c>
      <c r="D44" s="68"/>
      <c r="E44" s="68"/>
      <c r="F44" s="65"/>
      <c r="G44" s="45" t="s">
        <v>49</v>
      </c>
      <c r="H44" s="181">
        <v>45301</v>
      </c>
      <c r="I44" s="68"/>
      <c r="J44" s="65"/>
    </row>
    <row r="45" spans="1:20" ht="15.75" x14ac:dyDescent="0.25">
      <c r="A45" s="101" t="s">
        <v>50</v>
      </c>
      <c r="B45" s="67"/>
      <c r="C45" s="64" t="str">
        <f>C44</f>
        <v>CE/4853/BPES/AT/337/19/Amend</v>
      </c>
      <c r="D45" s="68"/>
      <c r="E45" s="68"/>
      <c r="F45" s="65"/>
      <c r="G45" s="45" t="s">
        <v>49</v>
      </c>
      <c r="H45" s="181">
        <v>45301</v>
      </c>
      <c r="I45" s="68"/>
      <c r="J45" s="65"/>
    </row>
    <row r="46" spans="1:20" ht="84" customHeight="1" x14ac:dyDescent="0.25">
      <c r="A46" s="64" t="s">
        <v>218</v>
      </c>
      <c r="B46" s="65"/>
      <c r="C46" s="64" t="s">
        <v>217</v>
      </c>
      <c r="D46" s="66"/>
      <c r="E46" s="66"/>
      <c r="F46" s="67"/>
      <c r="G46" s="46" t="s">
        <v>49</v>
      </c>
      <c r="H46" s="47">
        <v>45338</v>
      </c>
      <c r="I46" s="68" t="s">
        <v>185</v>
      </c>
      <c r="J46" s="65"/>
      <c r="K46" s="64" t="s">
        <v>220</v>
      </c>
      <c r="L46" s="65"/>
      <c r="M46" s="64" t="s">
        <v>219</v>
      </c>
      <c r="N46" s="66"/>
      <c r="O46" s="66"/>
      <c r="P46" s="67"/>
      <c r="Q46" s="46" t="s">
        <v>49</v>
      </c>
      <c r="R46" s="47">
        <v>44922</v>
      </c>
      <c r="S46" s="68" t="s">
        <v>176</v>
      </c>
      <c r="T46" s="65"/>
    </row>
    <row r="47" spans="1:20" s="36" customFormat="1" ht="14.25" customHeight="1" x14ac:dyDescent="0.2">
      <c r="A47" s="123" t="s">
        <v>177</v>
      </c>
      <c r="B47" s="124"/>
      <c r="C47" s="127" t="s">
        <v>209</v>
      </c>
      <c r="D47" s="177"/>
      <c r="E47" s="177"/>
      <c r="F47" s="178" t="s">
        <v>51</v>
      </c>
      <c r="G47" s="48" t="s">
        <v>49</v>
      </c>
      <c r="H47" s="179">
        <v>44949</v>
      </c>
      <c r="I47" s="128" t="s">
        <v>31</v>
      </c>
      <c r="J47" s="129"/>
    </row>
    <row r="48" spans="1:20" s="36" customFormat="1" ht="157.5" customHeight="1" x14ac:dyDescent="0.2">
      <c r="A48" s="125"/>
      <c r="B48" s="126"/>
      <c r="C48" s="127" t="s">
        <v>196</v>
      </c>
      <c r="D48" s="128"/>
      <c r="E48" s="128"/>
      <c r="F48" s="128"/>
      <c r="G48" s="128"/>
      <c r="H48" s="128"/>
      <c r="I48" s="128"/>
      <c r="J48" s="129"/>
    </row>
    <row r="49" spans="1:13" ht="15.75" x14ac:dyDescent="0.25">
      <c r="A49" s="145" t="s">
        <v>52</v>
      </c>
      <c r="B49" s="145"/>
      <c r="C49" s="145"/>
      <c r="D49" s="146">
        <f>H44</f>
        <v>45301</v>
      </c>
      <c r="E49" s="146"/>
      <c r="F49" s="147" t="s">
        <v>53</v>
      </c>
      <c r="G49" s="148"/>
      <c r="H49" s="149" t="s">
        <v>205</v>
      </c>
      <c r="I49" s="150"/>
      <c r="J49" s="151"/>
    </row>
    <row r="50" spans="1:13" ht="15.75" x14ac:dyDescent="0.25">
      <c r="A50" s="152" t="s">
        <v>54</v>
      </c>
      <c r="B50" s="153"/>
      <c r="C50" s="153"/>
      <c r="D50" s="153"/>
      <c r="E50" s="153"/>
      <c r="F50" s="153"/>
      <c r="G50" s="153"/>
      <c r="H50" s="153"/>
      <c r="I50" s="153"/>
      <c r="J50" s="154"/>
    </row>
    <row r="51" spans="1:13" ht="15.75" x14ac:dyDescent="0.25">
      <c r="A51" s="147" t="s">
        <v>55</v>
      </c>
      <c r="B51" s="150"/>
      <c r="C51" s="151"/>
      <c r="D51" s="155">
        <f>F41</f>
        <v>143849.78</v>
      </c>
      <c r="E51" s="151"/>
      <c r="F51" s="156" t="s">
        <v>56</v>
      </c>
      <c r="G51" s="156"/>
      <c r="H51" s="156"/>
      <c r="I51" s="157">
        <v>1312</v>
      </c>
      <c r="J51" s="157"/>
    </row>
    <row r="52" spans="1:13" ht="51" customHeight="1" x14ac:dyDescent="0.25">
      <c r="A52" s="111" t="s">
        <v>57</v>
      </c>
      <c r="B52" s="112"/>
      <c r="C52" s="113"/>
      <c r="D52" s="111" t="s">
        <v>221</v>
      </c>
      <c r="E52" s="112"/>
      <c r="F52" s="112"/>
      <c r="G52" s="112"/>
      <c r="H52" s="112"/>
      <c r="I52" s="112"/>
      <c r="J52" s="113"/>
    </row>
    <row r="53" spans="1:13" ht="15.75" x14ac:dyDescent="0.25">
      <c r="A53" s="114" t="s">
        <v>79</v>
      </c>
      <c r="B53" s="115"/>
      <c r="C53" s="116"/>
      <c r="D53" s="114" t="s">
        <v>222</v>
      </c>
      <c r="E53" s="115"/>
      <c r="F53" s="115"/>
      <c r="G53" s="115"/>
      <c r="H53" s="115"/>
      <c r="I53" s="115"/>
      <c r="J53" s="116"/>
    </row>
    <row r="54" spans="1:13" ht="15.75" x14ac:dyDescent="0.25">
      <c r="A54" s="117"/>
      <c r="B54" s="118"/>
      <c r="C54" s="119"/>
      <c r="D54" s="114" t="s">
        <v>223</v>
      </c>
      <c r="E54" s="115"/>
      <c r="F54" s="115"/>
      <c r="G54" s="115"/>
      <c r="H54" s="115"/>
      <c r="I54" s="115"/>
      <c r="J54" s="116"/>
    </row>
    <row r="55" spans="1:13" ht="15" customHeight="1" x14ac:dyDescent="0.25">
      <c r="A55" s="120"/>
      <c r="B55" s="121"/>
      <c r="C55" s="122"/>
      <c r="D55" s="114" t="s">
        <v>224</v>
      </c>
      <c r="E55" s="115"/>
      <c r="F55" s="115"/>
      <c r="G55" s="115"/>
      <c r="H55" s="115"/>
      <c r="I55" s="115"/>
      <c r="J55" s="116"/>
    </row>
    <row r="56" spans="1:13" ht="76.5" customHeight="1" x14ac:dyDescent="0.25">
      <c r="A56" s="101" t="s">
        <v>201</v>
      </c>
      <c r="B56" s="102"/>
      <c r="C56" s="102"/>
      <c r="D56" s="214" t="s">
        <v>186</v>
      </c>
      <c r="E56" s="214"/>
      <c r="F56" s="214"/>
      <c r="G56" s="214"/>
      <c r="H56" s="214"/>
      <c r="I56" s="214"/>
      <c r="J56" s="214"/>
    </row>
    <row r="57" spans="1:13" ht="15.75" x14ac:dyDescent="0.25">
      <c r="A57" s="101" t="s">
        <v>202</v>
      </c>
      <c r="B57" s="102"/>
      <c r="C57" s="102"/>
      <c r="D57" s="103" t="s">
        <v>206</v>
      </c>
      <c r="E57" s="104"/>
      <c r="F57" s="104"/>
      <c r="G57" s="104"/>
      <c r="H57" s="104"/>
      <c r="I57" s="104"/>
      <c r="J57" s="144"/>
    </row>
    <row r="58" spans="1:13" ht="15.75" x14ac:dyDescent="0.25">
      <c r="A58" s="101" t="s">
        <v>225</v>
      </c>
      <c r="B58" s="102"/>
      <c r="C58" s="102"/>
      <c r="D58" s="103" t="s">
        <v>25</v>
      </c>
      <c r="E58" s="104"/>
      <c r="F58" s="104"/>
      <c r="G58" s="104"/>
      <c r="H58" s="104"/>
      <c r="I58" s="104"/>
      <c r="J58" s="144"/>
    </row>
    <row r="59" spans="1:13" ht="15.75" x14ac:dyDescent="0.25">
      <c r="A59" s="101" t="s">
        <v>227</v>
      </c>
      <c r="B59" s="102"/>
      <c r="C59" s="102"/>
      <c r="D59" s="103" t="s">
        <v>226</v>
      </c>
      <c r="E59" s="104"/>
      <c r="F59" s="104"/>
      <c r="G59" s="104"/>
      <c r="H59" s="104"/>
      <c r="I59" s="104"/>
      <c r="J59" s="49"/>
    </row>
    <row r="60" spans="1:13" ht="15.75" x14ac:dyDescent="0.25">
      <c r="A60" s="101" t="s">
        <v>204</v>
      </c>
      <c r="B60" s="102"/>
      <c r="C60" s="102"/>
      <c r="D60" s="103" t="s">
        <v>31</v>
      </c>
      <c r="E60" s="104"/>
      <c r="F60" s="104"/>
      <c r="G60" s="104"/>
      <c r="H60" s="104"/>
      <c r="I60" s="104"/>
      <c r="J60" s="144"/>
    </row>
    <row r="61" spans="1:13" ht="31.5" customHeight="1" thickBot="1" x14ac:dyDescent="0.3">
      <c r="A61" s="64" t="s">
        <v>203</v>
      </c>
      <c r="B61" s="104"/>
      <c r="C61" s="104"/>
      <c r="D61" s="103" t="s">
        <v>19</v>
      </c>
      <c r="E61" s="104"/>
      <c r="F61" s="104"/>
      <c r="G61" s="104"/>
      <c r="H61" s="104"/>
      <c r="I61" s="104"/>
      <c r="J61" s="144"/>
    </row>
    <row r="62" spans="1:13" ht="15.75" x14ac:dyDescent="0.25">
      <c r="A62" s="158" t="s">
        <v>136</v>
      </c>
      <c r="B62" s="159"/>
      <c r="C62" s="160" t="str">
        <f>D53</f>
        <v>Tower A &amp; B = 3B + Gr + 1st to 62nd Floor</v>
      </c>
      <c r="D62" s="160"/>
      <c r="E62" s="160"/>
      <c r="F62" s="160"/>
      <c r="G62" s="160"/>
      <c r="H62" s="160"/>
      <c r="I62" s="160"/>
      <c r="J62" s="161"/>
      <c r="K62" s="15" t="str">
        <f>(IF(C66=0,"Work not yet Started.",IF(D66=25%,"Piling work in process",IF(D66=50%,"Excavation work in process",IF(D66=100%,"Excavation work completed, ","0")))&amp;(IF(C67=0%,"",IF(C67=M68,"Footing work is process",IF(C67=M69,"Footing work Completed",IF(C67=M70,"1st Basement Completed",IF(C67=M71,"1st &amp; 2nd Basement Completed",IF(C67=M72,"1st to 3rd Basement Completed",IF(C67=M73,"1st to 4th Basement Completed",IF(C67=M74,"Plinth work is process",IF(C67=M75,"Plinth work completed","0")))))))))))&amp;(IF(C68&gt;0,", RCC upto "&amp;C68&amp;" Slab completed",""))&amp;(IF(C69&gt;0,", Brickwork upto "&amp;C69&amp;" Floor completed"," "))&amp;(IF(C70&gt;0,", Internal Plaster upto "&amp;C70&amp;" Floor completed"," "))&amp;(IF(C71&gt;0,", External Plaster upto "&amp;C71&amp;" Floor completed"," "))&amp;(IF(C72&gt;0,", Flooring upto "&amp;C72&amp;" Floor completed"," "))&amp;(IF(C73&gt;0,", Painting upto "&amp;C73&amp;" Floor completed"," "))&amp;(IF(C74&gt;0,", Finishing upto "&amp;C74&amp;" Floor completed"," ")))</f>
        <v>Excavation work completed, Plinth work completed, RCC upto 63 Slab completed, Brickwork upto 62 Floor completed, Internal Plaster upto 62 Floor completed, External Plaster upto 62 Floor completed, Flooring upto 62 Floor completed, Painting upto 62 Floor completed, Finishing upto 62 Floor completed</v>
      </c>
      <c r="L62" s="15"/>
      <c r="M62" s="16"/>
    </row>
    <row r="63" spans="1:13" ht="15" customHeight="1" x14ac:dyDescent="0.25">
      <c r="A63" s="50" t="s">
        <v>137</v>
      </c>
      <c r="B63" s="51">
        <v>3</v>
      </c>
      <c r="C63" s="51" t="s">
        <v>138</v>
      </c>
      <c r="D63" s="130">
        <v>1</v>
      </c>
      <c r="E63" s="131"/>
      <c r="F63" s="52" t="s">
        <v>139</v>
      </c>
      <c r="G63" s="51">
        <v>0</v>
      </c>
      <c r="H63" s="51" t="s">
        <v>140</v>
      </c>
      <c r="I63" s="132">
        <v>62</v>
      </c>
      <c r="J63" s="133"/>
      <c r="K63" s="17" t="s">
        <v>141</v>
      </c>
      <c r="L63" s="17"/>
      <c r="M63" s="18"/>
    </row>
    <row r="64" spans="1:13" ht="15.75" x14ac:dyDescent="0.25">
      <c r="A64" s="260" t="s">
        <v>142</v>
      </c>
      <c r="B64" s="261"/>
      <c r="C64" s="262" t="str">
        <f>K63</f>
        <v>All work Completed. Provide OC.</v>
      </c>
      <c r="D64" s="262"/>
      <c r="E64" s="262"/>
      <c r="F64" s="262"/>
      <c r="G64" s="262"/>
      <c r="H64" s="262"/>
      <c r="I64" s="262"/>
      <c r="J64" s="263"/>
      <c r="K64" s="17" t="s">
        <v>143</v>
      </c>
      <c r="L64" s="17"/>
      <c r="M64" s="18"/>
    </row>
    <row r="65" spans="1:13" ht="15" customHeight="1" x14ac:dyDescent="0.25">
      <c r="A65" s="182" t="s">
        <v>58</v>
      </c>
      <c r="B65" s="183"/>
      <c r="C65" s="53" t="s">
        <v>144</v>
      </c>
      <c r="D65" s="183" t="s">
        <v>145</v>
      </c>
      <c r="E65" s="183"/>
      <c r="F65" s="183" t="s">
        <v>146</v>
      </c>
      <c r="G65" s="183"/>
      <c r="H65" s="183" t="s">
        <v>147</v>
      </c>
      <c r="I65" s="183"/>
      <c r="J65" s="264"/>
      <c r="K65" s="19" t="s">
        <v>148</v>
      </c>
      <c r="M65" s="20">
        <f>I63*25%</f>
        <v>15.5</v>
      </c>
    </row>
    <row r="66" spans="1:13" ht="15" customHeight="1" x14ac:dyDescent="0.25">
      <c r="A66" s="182" t="s">
        <v>149</v>
      </c>
      <c r="B66" s="183"/>
      <c r="C66" s="54">
        <f>M67</f>
        <v>62</v>
      </c>
      <c r="D66" s="184">
        <f>((100/I63)*C66)/100</f>
        <v>1</v>
      </c>
      <c r="E66" s="184"/>
      <c r="F66" s="184" t="str">
        <f>(IF(C64=K63,"100%",IF(C64=K64,"100%",(((C67/I63*10)+(40/(D63+G63+I63)*C68)+(7.5/(I63)*C69)+(7.5/(I63)*C70)+(10/I63*C71)+(10/I63*C72)+(5/I63*C73)+(5/I63*C74)+(5/I63*C75))/100))))</f>
        <v>100%</v>
      </c>
      <c r="G66" s="184"/>
      <c r="H66" s="184">
        <f>((((C66/I63)*20)+((C67/I63)*25)+(30/(I63+G63+D63)*C68)+(5/I63*C69)+(5/I63*C70)+(5/I63*C71)+(5/I63*C72)+(0/I63*C73)+(0/I63*C74)+(5/I63*C75))/100)</f>
        <v>1</v>
      </c>
      <c r="I66" s="184"/>
      <c r="J66" s="265"/>
      <c r="K66" s="19" t="s">
        <v>150</v>
      </c>
      <c r="L66" s="21"/>
      <c r="M66" s="22">
        <f>I63*50%</f>
        <v>31</v>
      </c>
    </row>
    <row r="67" spans="1:13" ht="15" customHeight="1" x14ac:dyDescent="0.25">
      <c r="A67" s="182" t="s">
        <v>59</v>
      </c>
      <c r="B67" s="183"/>
      <c r="C67" s="55">
        <f>M75</f>
        <v>62.000000000000014</v>
      </c>
      <c r="D67" s="184">
        <f>((100/I63)*C67)/100</f>
        <v>1.0000000000000002</v>
      </c>
      <c r="E67" s="184"/>
      <c r="F67" s="184"/>
      <c r="G67" s="184"/>
      <c r="H67" s="184"/>
      <c r="I67" s="184"/>
      <c r="J67" s="265"/>
      <c r="K67" s="19" t="s">
        <v>151</v>
      </c>
      <c r="L67" s="21"/>
      <c r="M67" s="22">
        <f>I63</f>
        <v>62</v>
      </c>
    </row>
    <row r="68" spans="1:13" ht="15" customHeight="1" x14ac:dyDescent="0.25">
      <c r="A68" s="182" t="s">
        <v>152</v>
      </c>
      <c r="B68" s="183"/>
      <c r="C68" s="55">
        <v>63</v>
      </c>
      <c r="D68" s="184">
        <f>((100/(D63+G63+I63))*C68)/100</f>
        <v>1</v>
      </c>
      <c r="E68" s="184"/>
      <c r="F68" s="184"/>
      <c r="G68" s="184"/>
      <c r="H68" s="184"/>
      <c r="I68" s="184"/>
      <c r="J68" s="265"/>
      <c r="K68" s="19" t="s">
        <v>153</v>
      </c>
      <c r="L68" s="21"/>
      <c r="M68" s="23">
        <f>(IF(B63=0,I63/4,(I63/(B63+4))))</f>
        <v>8.8571428571428577</v>
      </c>
    </row>
    <row r="69" spans="1:13" ht="15" customHeight="1" x14ac:dyDescent="0.25">
      <c r="A69" s="182" t="s">
        <v>154</v>
      </c>
      <c r="B69" s="183" t="s">
        <v>155</v>
      </c>
      <c r="C69" s="55">
        <v>62</v>
      </c>
      <c r="D69" s="184">
        <f>((100/I63)*C69)/100</f>
        <v>1</v>
      </c>
      <c r="E69" s="184"/>
      <c r="F69" s="184"/>
      <c r="G69" s="184"/>
      <c r="H69" s="184"/>
      <c r="I69" s="184"/>
      <c r="J69" s="265"/>
      <c r="K69" s="19" t="s">
        <v>156</v>
      </c>
      <c r="L69" s="21"/>
      <c r="M69" s="23">
        <f>(IF(B63=0,I63/4+M68,(I63/(B63+4)+M68)))</f>
        <v>17.714285714285715</v>
      </c>
    </row>
    <row r="70" spans="1:13" ht="15" customHeight="1" x14ac:dyDescent="0.25">
      <c r="A70" s="182" t="s">
        <v>157</v>
      </c>
      <c r="B70" s="183" t="s">
        <v>155</v>
      </c>
      <c r="C70" s="55">
        <v>62</v>
      </c>
      <c r="D70" s="184">
        <f>((100/I63)*C70)/100</f>
        <v>1</v>
      </c>
      <c r="E70" s="184"/>
      <c r="F70" s="184"/>
      <c r="G70" s="184"/>
      <c r="H70" s="184"/>
      <c r="I70" s="184"/>
      <c r="J70" s="265"/>
      <c r="K70" s="19" t="s">
        <v>158</v>
      </c>
      <c r="L70" s="24"/>
      <c r="M70" s="23">
        <f>(IF(B63=0,0,(I63/(B63+4)+M69)))</f>
        <v>26.571428571428573</v>
      </c>
    </row>
    <row r="71" spans="1:13" ht="15" customHeight="1" x14ac:dyDescent="0.25">
      <c r="A71" s="182" t="s">
        <v>159</v>
      </c>
      <c r="B71" s="183" t="s">
        <v>160</v>
      </c>
      <c r="C71" s="55">
        <v>62</v>
      </c>
      <c r="D71" s="184">
        <f>((100/(I63))*C71)/100</f>
        <v>1</v>
      </c>
      <c r="E71" s="184"/>
      <c r="F71" s="184"/>
      <c r="G71" s="184"/>
      <c r="H71" s="184"/>
      <c r="I71" s="184"/>
      <c r="J71" s="265"/>
      <c r="K71" s="19" t="s">
        <v>161</v>
      </c>
      <c r="L71" s="24"/>
      <c r="M71" s="23">
        <f>(IF(B63&gt;1,(I63/(B63+4)+M70),0))</f>
        <v>35.428571428571431</v>
      </c>
    </row>
    <row r="72" spans="1:13" ht="15" customHeight="1" x14ac:dyDescent="0.25">
      <c r="A72" s="182" t="s">
        <v>162</v>
      </c>
      <c r="B72" s="183" t="s">
        <v>162</v>
      </c>
      <c r="C72" s="55">
        <v>62</v>
      </c>
      <c r="D72" s="184">
        <f>((100/I63)*C72)/100</f>
        <v>1</v>
      </c>
      <c r="E72" s="184"/>
      <c r="F72" s="184"/>
      <c r="G72" s="184"/>
      <c r="H72" s="184"/>
      <c r="I72" s="184"/>
      <c r="J72" s="265"/>
      <c r="K72" s="19" t="s">
        <v>163</v>
      </c>
      <c r="L72" s="25"/>
      <c r="M72" s="26">
        <f>(IF(B63&gt;2,(I63/(B63+4)+M71),0))</f>
        <v>44.285714285714292</v>
      </c>
    </row>
    <row r="73" spans="1:13" ht="15" customHeight="1" x14ac:dyDescent="0.25">
      <c r="A73" s="182" t="s">
        <v>164</v>
      </c>
      <c r="B73" s="183"/>
      <c r="C73" s="55">
        <v>62</v>
      </c>
      <c r="D73" s="184">
        <f>((100/I63)*C73)/100</f>
        <v>1</v>
      </c>
      <c r="E73" s="184"/>
      <c r="F73" s="184"/>
      <c r="G73" s="184"/>
      <c r="H73" s="184"/>
      <c r="I73" s="184"/>
      <c r="J73" s="265"/>
      <c r="K73" s="19" t="s">
        <v>165</v>
      </c>
      <c r="L73" s="27"/>
      <c r="M73" s="28">
        <f>(IF(B63&gt;3,(I63/(B63+4)+M72),0))</f>
        <v>0</v>
      </c>
    </row>
    <row r="74" spans="1:13" ht="15" customHeight="1" x14ac:dyDescent="0.25">
      <c r="A74" s="182" t="s">
        <v>166</v>
      </c>
      <c r="B74" s="183" t="s">
        <v>166</v>
      </c>
      <c r="C74" s="55">
        <v>62</v>
      </c>
      <c r="D74" s="184">
        <f>((100/(I63))*C74)/100</f>
        <v>1</v>
      </c>
      <c r="E74" s="184"/>
      <c r="F74" s="184"/>
      <c r="G74" s="184"/>
      <c r="H74" s="184"/>
      <c r="I74" s="184"/>
      <c r="J74" s="265"/>
      <c r="K74" s="19" t="s">
        <v>167</v>
      </c>
      <c r="L74" s="21"/>
      <c r="M74" s="23">
        <f>(IF(B63=0,I63/4+M69,(I63/(B63+4)+M69+MAX(0,M70-M69)+MAX(0,M71-M70)+MAX(0,M72-M71)+MAX(0,M73-M72))))</f>
        <v>53.142857142857153</v>
      </c>
    </row>
    <row r="75" spans="1:13" ht="15" customHeight="1" thickBot="1" x14ac:dyDescent="0.3">
      <c r="A75" s="257" t="s">
        <v>168</v>
      </c>
      <c r="B75" s="258"/>
      <c r="C75" s="56">
        <v>62</v>
      </c>
      <c r="D75" s="259">
        <f>((100/(I63))*C75)/100</f>
        <v>1</v>
      </c>
      <c r="E75" s="259"/>
      <c r="F75" s="259"/>
      <c r="G75" s="259"/>
      <c r="H75" s="259"/>
      <c r="I75" s="259"/>
      <c r="J75" s="266"/>
      <c r="K75" s="29" t="s">
        <v>169</v>
      </c>
      <c r="L75" s="30"/>
      <c r="M75" s="31">
        <f>(IF(B63=0,I63/4+M74,(I63/(B63+4)+M74)))</f>
        <v>62.000000000000014</v>
      </c>
    </row>
    <row r="76" spans="1:13" ht="30.75" hidden="1" customHeight="1" x14ac:dyDescent="0.25">
      <c r="A76" s="158" t="s">
        <v>136</v>
      </c>
      <c r="B76" s="159"/>
      <c r="C76" s="160" t="e">
        <f>#REF!</f>
        <v>#REF!</v>
      </c>
      <c r="D76" s="160"/>
      <c r="E76" s="160"/>
      <c r="F76" s="160"/>
      <c r="G76" s="160"/>
      <c r="H76" s="160"/>
      <c r="I76" s="160"/>
      <c r="J76" s="161"/>
      <c r="K76" s="15" t="str">
        <f>(IF(C80=0,"Work not yet Started.",IF(D80=25%,"Piling work in process",IF(D80=50%,"Excavation work in process",IF(D80=100%,"Excavation work completed, ","0")))&amp;(IF(C81=0%,"",IF(C81=M82,"Footing work is process",IF(C81=M83,"Footing work Completed",IF(C81=M84,"1st Basement Completed",IF(C81=M85,"1st &amp; 2nd Basement Completed",IF(C81=M86,"1st to 3rd Basement Completed",IF(C81=M87,"1st to 4th Basement Completed",IF(C81=M88,"Plinth work is process",IF(C81=M89,"Plinth work completed","0")))))))))))&amp;(IF(C82&gt;0,", RCC upto "&amp;C82&amp;" Slab completed",""))&amp;(IF(C83&gt;0,", Brickwork upto "&amp;C83&amp;" Floor completed"," "))&amp;(IF(C84&gt;0,", Internal Plaster upto "&amp;C84&amp;" Floor completed"," "))&amp;(IF(C85&gt;0,", External Plaster upto "&amp;C85&amp;" Floor completed"," "))&amp;(IF(C86&gt;0,", Flooring upto "&amp;C86&amp;" Floor completed"," "))&amp;(IF(C87&gt;0,", Painting upto "&amp;C87&amp;" Floor completed"," "))&amp;(IF(C88&gt;0,", Finishing upto "&amp;C88&amp;" Floor completed"," ")))</f>
        <v>Excavation work completed, Plinth work completed, RCC upto 63 Slab completed, Brickwork upto 62 Floor completed, Internal Plaster upto 62 Floor completed, External Plaster upto 62 Floor completed, Flooring upto 62 Floor completed, Painting upto 62 Floor completed, Finishing upto 62 Floor completed</v>
      </c>
      <c r="L76" s="15"/>
      <c r="M76" s="16"/>
    </row>
    <row r="77" spans="1:13" ht="15" hidden="1" customHeight="1" x14ac:dyDescent="0.25">
      <c r="A77" s="50" t="s">
        <v>137</v>
      </c>
      <c r="B77" s="51">
        <v>3</v>
      </c>
      <c r="C77" s="51" t="s">
        <v>138</v>
      </c>
      <c r="D77" s="130">
        <v>1</v>
      </c>
      <c r="E77" s="131"/>
      <c r="F77" s="52" t="s">
        <v>139</v>
      </c>
      <c r="G77" s="51">
        <v>0</v>
      </c>
      <c r="H77" s="51" t="s">
        <v>140</v>
      </c>
      <c r="I77" s="132">
        <v>62</v>
      </c>
      <c r="J77" s="133"/>
      <c r="K77" s="17" t="s">
        <v>141</v>
      </c>
      <c r="L77" s="17"/>
      <c r="M77" s="18"/>
    </row>
    <row r="78" spans="1:13" ht="16.5" hidden="1" thickBot="1" x14ac:dyDescent="0.3">
      <c r="A78" s="260" t="s">
        <v>142</v>
      </c>
      <c r="B78" s="261"/>
      <c r="C78" s="262" t="str">
        <f>K77</f>
        <v>All work Completed. Provide OC.</v>
      </c>
      <c r="D78" s="262"/>
      <c r="E78" s="262"/>
      <c r="F78" s="262"/>
      <c r="G78" s="262"/>
      <c r="H78" s="262"/>
      <c r="I78" s="262"/>
      <c r="J78" s="263"/>
      <c r="K78" s="17" t="s">
        <v>143</v>
      </c>
      <c r="L78" s="17"/>
      <c r="M78" s="18"/>
    </row>
    <row r="79" spans="1:13" ht="15" hidden="1" customHeight="1" x14ac:dyDescent="0.25">
      <c r="A79" s="182" t="s">
        <v>58</v>
      </c>
      <c r="B79" s="183"/>
      <c r="C79" s="53" t="s">
        <v>144</v>
      </c>
      <c r="D79" s="183" t="s">
        <v>145</v>
      </c>
      <c r="E79" s="183"/>
      <c r="F79" s="183" t="s">
        <v>146</v>
      </c>
      <c r="G79" s="183"/>
      <c r="H79" s="183" t="s">
        <v>147</v>
      </c>
      <c r="I79" s="183"/>
      <c r="J79" s="264"/>
      <c r="K79" s="19" t="s">
        <v>148</v>
      </c>
      <c r="M79" s="20">
        <f>I77*25%</f>
        <v>15.5</v>
      </c>
    </row>
    <row r="80" spans="1:13" ht="15" hidden="1" customHeight="1" x14ac:dyDescent="0.25">
      <c r="A80" s="182" t="s">
        <v>149</v>
      </c>
      <c r="B80" s="183"/>
      <c r="C80" s="54">
        <f>M81</f>
        <v>62</v>
      </c>
      <c r="D80" s="184">
        <f>((100/I77)*C80)/100</f>
        <v>1</v>
      </c>
      <c r="E80" s="184"/>
      <c r="F80" s="184" t="str">
        <f>(IF(C78=K77,"100%",IF(C78=K78,"100%",(((C81/I77*10)+(40/(D77+G77+I77)*C82)+(7.5/(I77)*C83)+(7.5/(I77)*C84)+(10/I77*C85)+(10/I77*C86)+(5/I77*C87)+(5/I77*C88)+(5/I77*C89))/100))))</f>
        <v>100%</v>
      </c>
      <c r="G80" s="184"/>
      <c r="H80" s="184">
        <f>((((C80/I77)*20)+((C81/I77)*25)+(30/(I77+G77+D77)*C82)+(5/I77*C83)+(5/I77*C84)+(5/I77*C85)+(5/I77*C86)+(0/I77*C87)+(0/I77*C88)+(5/I77*C89))/100)</f>
        <v>1</v>
      </c>
      <c r="I80" s="184"/>
      <c r="J80" s="265"/>
      <c r="K80" s="19" t="s">
        <v>150</v>
      </c>
      <c r="L80" s="21"/>
      <c r="M80" s="22">
        <f>I77*50%</f>
        <v>31</v>
      </c>
    </row>
    <row r="81" spans="1:13" ht="15" hidden="1" customHeight="1" x14ac:dyDescent="0.25">
      <c r="A81" s="182" t="s">
        <v>59</v>
      </c>
      <c r="B81" s="183"/>
      <c r="C81" s="55">
        <f>M89</f>
        <v>62.000000000000014</v>
      </c>
      <c r="D81" s="184">
        <f>((100/I77)*C81)/100</f>
        <v>1.0000000000000002</v>
      </c>
      <c r="E81" s="184"/>
      <c r="F81" s="184"/>
      <c r="G81" s="184"/>
      <c r="H81" s="184"/>
      <c r="I81" s="184"/>
      <c r="J81" s="265"/>
      <c r="K81" s="19" t="s">
        <v>151</v>
      </c>
      <c r="L81" s="21"/>
      <c r="M81" s="22">
        <f>I77</f>
        <v>62</v>
      </c>
    </row>
    <row r="82" spans="1:13" ht="15" hidden="1" customHeight="1" x14ac:dyDescent="0.25">
      <c r="A82" s="182" t="s">
        <v>152</v>
      </c>
      <c r="B82" s="183"/>
      <c r="C82" s="55">
        <v>63</v>
      </c>
      <c r="D82" s="184">
        <f>((100/(D77+G77+I77))*C82)/100</f>
        <v>1</v>
      </c>
      <c r="E82" s="184"/>
      <c r="F82" s="184"/>
      <c r="G82" s="184"/>
      <c r="H82" s="184"/>
      <c r="I82" s="184"/>
      <c r="J82" s="265"/>
      <c r="K82" s="19" t="s">
        <v>153</v>
      </c>
      <c r="L82" s="21"/>
      <c r="M82" s="23">
        <f>(IF(B77=0,I77/4,(I77/(B77+4))))</f>
        <v>8.8571428571428577</v>
      </c>
    </row>
    <row r="83" spans="1:13" ht="15" hidden="1" customHeight="1" x14ac:dyDescent="0.25">
      <c r="A83" s="182" t="s">
        <v>154</v>
      </c>
      <c r="B83" s="183" t="s">
        <v>155</v>
      </c>
      <c r="C83" s="55">
        <v>62</v>
      </c>
      <c r="D83" s="184">
        <f>((100/I77)*C83)/100</f>
        <v>1</v>
      </c>
      <c r="E83" s="184"/>
      <c r="F83" s="184"/>
      <c r="G83" s="184"/>
      <c r="H83" s="184"/>
      <c r="I83" s="184"/>
      <c r="J83" s="265"/>
      <c r="K83" s="19" t="s">
        <v>156</v>
      </c>
      <c r="L83" s="21"/>
      <c r="M83" s="23">
        <f>(IF(B77=0,I77/4+M82,(I77/(B77+4)+M82)))</f>
        <v>17.714285714285715</v>
      </c>
    </row>
    <row r="84" spans="1:13" ht="15" hidden="1" customHeight="1" x14ac:dyDescent="0.25">
      <c r="A84" s="182" t="s">
        <v>157</v>
      </c>
      <c r="B84" s="183" t="s">
        <v>155</v>
      </c>
      <c r="C84" s="55">
        <v>62</v>
      </c>
      <c r="D84" s="184">
        <f>((100/I77)*C84)/100</f>
        <v>1</v>
      </c>
      <c r="E84" s="184"/>
      <c r="F84" s="184"/>
      <c r="G84" s="184"/>
      <c r="H84" s="184"/>
      <c r="I84" s="184"/>
      <c r="J84" s="265"/>
      <c r="K84" s="19" t="s">
        <v>158</v>
      </c>
      <c r="L84" s="24"/>
      <c r="M84" s="23">
        <f>(IF(B77=0,0,(I77/(B77+4)+M83)))</f>
        <v>26.571428571428573</v>
      </c>
    </row>
    <row r="85" spans="1:13" ht="15" hidden="1" customHeight="1" x14ac:dyDescent="0.25">
      <c r="A85" s="182" t="s">
        <v>159</v>
      </c>
      <c r="B85" s="183" t="s">
        <v>160</v>
      </c>
      <c r="C85" s="55">
        <v>62</v>
      </c>
      <c r="D85" s="184">
        <f>((100/(I77))*C85)/100</f>
        <v>1</v>
      </c>
      <c r="E85" s="184"/>
      <c r="F85" s="184"/>
      <c r="G85" s="184"/>
      <c r="H85" s="184"/>
      <c r="I85" s="184"/>
      <c r="J85" s="265"/>
      <c r="K85" s="19" t="s">
        <v>161</v>
      </c>
      <c r="L85" s="24"/>
      <c r="M85" s="23">
        <f>(IF(B77&gt;1,(I77/(B77+4)+M84),0))</f>
        <v>35.428571428571431</v>
      </c>
    </row>
    <row r="86" spans="1:13" ht="15" hidden="1" customHeight="1" x14ac:dyDescent="0.25">
      <c r="A86" s="182" t="s">
        <v>162</v>
      </c>
      <c r="B86" s="183" t="s">
        <v>162</v>
      </c>
      <c r="C86" s="55">
        <v>62</v>
      </c>
      <c r="D86" s="184">
        <f>((100/I77)*C86)/100</f>
        <v>1</v>
      </c>
      <c r="E86" s="184"/>
      <c r="F86" s="184"/>
      <c r="G86" s="184"/>
      <c r="H86" s="184"/>
      <c r="I86" s="184"/>
      <c r="J86" s="265"/>
      <c r="K86" s="19" t="s">
        <v>163</v>
      </c>
      <c r="L86" s="25"/>
      <c r="M86" s="26">
        <f>(IF(B77&gt;2,(I77/(B77+4)+M85),0))</f>
        <v>44.285714285714292</v>
      </c>
    </row>
    <row r="87" spans="1:13" ht="15" hidden="1" customHeight="1" x14ac:dyDescent="0.25">
      <c r="A87" s="182" t="s">
        <v>164</v>
      </c>
      <c r="B87" s="183"/>
      <c r="C87" s="55">
        <v>62</v>
      </c>
      <c r="D87" s="184">
        <f>((100/I77)*C87)/100</f>
        <v>1</v>
      </c>
      <c r="E87" s="184"/>
      <c r="F87" s="184"/>
      <c r="G87" s="184"/>
      <c r="H87" s="184"/>
      <c r="I87" s="184"/>
      <c r="J87" s="265"/>
      <c r="K87" s="19" t="s">
        <v>165</v>
      </c>
      <c r="L87" s="27"/>
      <c r="M87" s="28">
        <f>(IF(B77&gt;3,(I77/(B77+4)+M86),0))</f>
        <v>0</v>
      </c>
    </row>
    <row r="88" spans="1:13" ht="15" hidden="1" customHeight="1" x14ac:dyDescent="0.25">
      <c r="A88" s="182" t="s">
        <v>166</v>
      </c>
      <c r="B88" s="183" t="s">
        <v>166</v>
      </c>
      <c r="C88" s="55">
        <v>62</v>
      </c>
      <c r="D88" s="184">
        <f>((100/(I77))*C88)/100</f>
        <v>1</v>
      </c>
      <c r="E88" s="184"/>
      <c r="F88" s="184"/>
      <c r="G88" s="184"/>
      <c r="H88" s="184"/>
      <c r="I88" s="184"/>
      <c r="J88" s="265"/>
      <c r="K88" s="19" t="s">
        <v>167</v>
      </c>
      <c r="L88" s="21"/>
      <c r="M88" s="23">
        <f>(IF(B77=0,I77/4+M83,(I77/(B77+4)+M83+MAX(0,M84-M83)+MAX(0,M85-M84)+MAX(0,M86-M85)+MAX(0,M87-M86))))</f>
        <v>53.142857142857153</v>
      </c>
    </row>
    <row r="89" spans="1:13" ht="15" hidden="1" customHeight="1" thickBot="1" x14ac:dyDescent="0.3">
      <c r="A89" s="257" t="s">
        <v>168</v>
      </c>
      <c r="B89" s="258"/>
      <c r="C89" s="55">
        <v>62</v>
      </c>
      <c r="D89" s="259">
        <f>((100/(I77))*C89)/100</f>
        <v>1</v>
      </c>
      <c r="E89" s="259"/>
      <c r="F89" s="259"/>
      <c r="G89" s="259"/>
      <c r="H89" s="259"/>
      <c r="I89" s="259"/>
      <c r="J89" s="266"/>
      <c r="K89" s="29" t="s">
        <v>169</v>
      </c>
      <c r="L89" s="30"/>
      <c r="M89" s="31">
        <f>(IF(B77=0,I77/4+M88,(I77/(B77+4)+M88)))</f>
        <v>62.000000000000014</v>
      </c>
    </row>
    <row r="90" spans="1:13" ht="15.75" x14ac:dyDescent="0.25">
      <c r="A90" s="158" t="s">
        <v>136</v>
      </c>
      <c r="B90" s="159"/>
      <c r="C90" s="160" t="str">
        <f>D54</f>
        <v>Tower C = 2B + Gr + 1st to 62nd Floor</v>
      </c>
      <c r="D90" s="160"/>
      <c r="E90" s="160"/>
      <c r="F90" s="160"/>
      <c r="G90" s="160"/>
      <c r="H90" s="160"/>
      <c r="I90" s="160"/>
      <c r="J90" s="161"/>
      <c r="K90" s="15" t="str">
        <f>(IF(C94=0,"Work not yet Started.",IF(D94=25%,"Piling work in process",IF(D94=50%,"Excavation work in process",IF(D94=100%,"Excavation work completed, ","0")))&amp;(IF(C95=0%,"",IF(C95=M96,"Footing work is process",IF(C95=M97,"Footing work Completed",IF(C95=M98,"1st Basement Completed",IF(C95=M99,"1st &amp; 2nd Basement Completed",IF(C95=M100,"1st to 3rd Basement Completed",IF(C95=M101,"1st to 4th Basement Completed",IF(C95=M102,"Plinth work is process",IF(C95=M103,"Plinth work completed","0")))))))))))&amp;(IF(C96&gt;0,", RCC upto "&amp;C96&amp;" Slab completed",""))&amp;(IF(C97&gt;0,", Brickwork upto "&amp;C97&amp;" Floor completed"," "))&amp;(IF(C98&gt;0,", Internal Plaster upto "&amp;C98&amp;" Floor completed"," "))&amp;(IF(C99&gt;0,", External Plaster upto "&amp;C99&amp;" Floor completed"," "))&amp;(IF(C100&gt;0,", Flooring upto "&amp;C100&amp;" Floor completed"," "))&amp;(IF(C101&gt;0,", Painting upto "&amp;C101&amp;" Floor completed"," "))&amp;(IF(C102&gt;0,", Finishing upto "&amp;C102&amp;" Floor completed"," ")))</f>
        <v>Excavation work completed, Plinth work completed, RCC upto 63 Slab completed, Brickwork upto 62 Floor completed, Internal Plaster upto 62 Floor completed, External Plaster upto 62 Floor completed, Flooring upto 62 Floor completed, Painting upto 62 Floor completed, Finishing upto 62 Floor completed</v>
      </c>
      <c r="L90" s="15"/>
      <c r="M90" s="16"/>
    </row>
    <row r="91" spans="1:13" ht="15" customHeight="1" x14ac:dyDescent="0.25">
      <c r="A91" s="50" t="s">
        <v>137</v>
      </c>
      <c r="B91" s="51">
        <v>2</v>
      </c>
      <c r="C91" s="51" t="s">
        <v>138</v>
      </c>
      <c r="D91" s="130">
        <v>1</v>
      </c>
      <c r="E91" s="131"/>
      <c r="F91" s="52" t="s">
        <v>139</v>
      </c>
      <c r="G91" s="51">
        <v>0</v>
      </c>
      <c r="H91" s="51" t="s">
        <v>140</v>
      </c>
      <c r="I91" s="132">
        <v>62</v>
      </c>
      <c r="J91" s="133"/>
      <c r="K91" s="17" t="s">
        <v>141</v>
      </c>
      <c r="L91" s="17"/>
      <c r="M91" s="18"/>
    </row>
    <row r="92" spans="1:13" ht="15.75" x14ac:dyDescent="0.25">
      <c r="A92" s="260" t="s">
        <v>142</v>
      </c>
      <c r="B92" s="261"/>
      <c r="C92" s="262" t="str">
        <f>K91</f>
        <v>All work Completed. Provide OC.</v>
      </c>
      <c r="D92" s="262"/>
      <c r="E92" s="262"/>
      <c r="F92" s="262"/>
      <c r="G92" s="262"/>
      <c r="H92" s="262"/>
      <c r="I92" s="262"/>
      <c r="J92" s="263"/>
      <c r="K92" s="17" t="s">
        <v>143</v>
      </c>
      <c r="L92" s="17"/>
      <c r="M92" s="18"/>
    </row>
    <row r="93" spans="1:13" ht="15" customHeight="1" x14ac:dyDescent="0.25">
      <c r="A93" s="182" t="s">
        <v>58</v>
      </c>
      <c r="B93" s="183"/>
      <c r="C93" s="53" t="s">
        <v>144</v>
      </c>
      <c r="D93" s="183" t="s">
        <v>145</v>
      </c>
      <c r="E93" s="183"/>
      <c r="F93" s="183" t="s">
        <v>146</v>
      </c>
      <c r="G93" s="183"/>
      <c r="H93" s="183" t="s">
        <v>147</v>
      </c>
      <c r="I93" s="183"/>
      <c r="J93" s="264"/>
      <c r="K93" s="19" t="s">
        <v>148</v>
      </c>
      <c r="M93" s="20">
        <f>I91*25%</f>
        <v>15.5</v>
      </c>
    </row>
    <row r="94" spans="1:13" ht="15" customHeight="1" x14ac:dyDescent="0.25">
      <c r="A94" s="183" t="s">
        <v>149</v>
      </c>
      <c r="B94" s="183"/>
      <c r="C94" s="54">
        <f>M95</f>
        <v>62</v>
      </c>
      <c r="D94" s="184">
        <f>((100/I91)*C94)/100</f>
        <v>1</v>
      </c>
      <c r="E94" s="184"/>
      <c r="F94" s="184" t="str">
        <f>(IF(C92=K91,"100%",IF(C92=K92,"100%",(((C95/I91*10)+(40/(D91+G91+I91)*C96)+(7.5/(I91)*C97)+(7.5/(I91)*C98)+(10/I91*C99)+(10/I91*C100)+(5/I91*C101)+(5/I91*C102)+(5/I91*C103))/100))))</f>
        <v>100%</v>
      </c>
      <c r="G94" s="184"/>
      <c r="H94" s="184">
        <f>((((C94/I91)*20)+((C95/I91)*25)+(30/(I91+G91+D91)*C96)+(5/I91*C97)+(5/I91*C98)+(5/I91*C99)+(5/I91*C100)+(0/I91*C101)+(0/I91*C102)+(5/I91*C103))/100)</f>
        <v>1</v>
      </c>
      <c r="I94" s="184"/>
      <c r="J94" s="184"/>
      <c r="K94" s="19" t="s">
        <v>150</v>
      </c>
      <c r="L94" s="21"/>
      <c r="M94" s="22">
        <f>I91*50%</f>
        <v>31</v>
      </c>
    </row>
    <row r="95" spans="1:13" ht="15" customHeight="1" x14ac:dyDescent="0.25">
      <c r="A95" s="183" t="s">
        <v>59</v>
      </c>
      <c r="B95" s="183"/>
      <c r="C95" s="55">
        <f>M103</f>
        <v>62</v>
      </c>
      <c r="D95" s="184">
        <f>((100/I91)*C95)/100</f>
        <v>1</v>
      </c>
      <c r="E95" s="184"/>
      <c r="F95" s="184"/>
      <c r="G95" s="184"/>
      <c r="H95" s="184"/>
      <c r="I95" s="184"/>
      <c r="J95" s="184"/>
      <c r="K95" s="19" t="s">
        <v>151</v>
      </c>
      <c r="L95" s="21"/>
      <c r="M95" s="22">
        <f>I91</f>
        <v>62</v>
      </c>
    </row>
    <row r="96" spans="1:13" ht="15" customHeight="1" x14ac:dyDescent="0.25">
      <c r="A96" s="183" t="s">
        <v>152</v>
      </c>
      <c r="B96" s="183"/>
      <c r="C96" s="55">
        <v>63</v>
      </c>
      <c r="D96" s="184">
        <f>((100/(D91+G91+I91))*C96)/100</f>
        <v>1</v>
      </c>
      <c r="E96" s="184"/>
      <c r="F96" s="184"/>
      <c r="G96" s="184"/>
      <c r="H96" s="184"/>
      <c r="I96" s="184"/>
      <c r="J96" s="184"/>
      <c r="K96" s="19" t="s">
        <v>153</v>
      </c>
      <c r="L96" s="21"/>
      <c r="M96" s="23">
        <f>(IF(B91=0,I91/4,(I91/(B91+4))))</f>
        <v>10.333333333333334</v>
      </c>
    </row>
    <row r="97" spans="1:13" ht="15" customHeight="1" x14ac:dyDescent="0.25">
      <c r="A97" s="183" t="s">
        <v>154</v>
      </c>
      <c r="B97" s="183" t="s">
        <v>155</v>
      </c>
      <c r="C97" s="55">
        <v>62</v>
      </c>
      <c r="D97" s="184">
        <f>((100/I91)*C97)/100</f>
        <v>1</v>
      </c>
      <c r="E97" s="184"/>
      <c r="F97" s="184"/>
      <c r="G97" s="184"/>
      <c r="H97" s="184"/>
      <c r="I97" s="184"/>
      <c r="J97" s="184"/>
      <c r="K97" s="19" t="s">
        <v>156</v>
      </c>
      <c r="L97" s="21"/>
      <c r="M97" s="23">
        <f>(IF(B91=0,I91/4+M96,(I91/(B91+4)+M96)))</f>
        <v>20.666666666666668</v>
      </c>
    </row>
    <row r="98" spans="1:13" ht="15" customHeight="1" x14ac:dyDescent="0.25">
      <c r="A98" s="183" t="s">
        <v>157</v>
      </c>
      <c r="B98" s="183" t="s">
        <v>155</v>
      </c>
      <c r="C98" s="55">
        <v>62</v>
      </c>
      <c r="D98" s="184">
        <f>((100/I91)*C98)/100</f>
        <v>1</v>
      </c>
      <c r="E98" s="184"/>
      <c r="F98" s="184"/>
      <c r="G98" s="184"/>
      <c r="H98" s="184"/>
      <c r="I98" s="184"/>
      <c r="J98" s="184"/>
      <c r="K98" s="19" t="s">
        <v>158</v>
      </c>
      <c r="L98" s="24"/>
      <c r="M98" s="23">
        <f>(IF(B91=0,0,(I91/(B91+4)+M97)))</f>
        <v>31</v>
      </c>
    </row>
    <row r="99" spans="1:13" ht="15" customHeight="1" x14ac:dyDescent="0.25">
      <c r="A99" s="183" t="s">
        <v>159</v>
      </c>
      <c r="B99" s="183" t="s">
        <v>160</v>
      </c>
      <c r="C99" s="55">
        <v>62</v>
      </c>
      <c r="D99" s="184">
        <f>((100/(I91))*C99)/100</f>
        <v>1</v>
      </c>
      <c r="E99" s="184"/>
      <c r="F99" s="184"/>
      <c r="G99" s="184"/>
      <c r="H99" s="184"/>
      <c r="I99" s="184"/>
      <c r="J99" s="184"/>
      <c r="K99" s="19" t="s">
        <v>161</v>
      </c>
      <c r="L99" s="24"/>
      <c r="M99" s="23">
        <f>(IF(B91&gt;1,(I91/(B91+4)+M98),0))</f>
        <v>41.333333333333336</v>
      </c>
    </row>
    <row r="100" spans="1:13" ht="15" customHeight="1" x14ac:dyDescent="0.25">
      <c r="A100" s="183" t="s">
        <v>162</v>
      </c>
      <c r="B100" s="183" t="s">
        <v>162</v>
      </c>
      <c r="C100" s="55">
        <v>62</v>
      </c>
      <c r="D100" s="184">
        <f>((100/I91)*C100)/100</f>
        <v>1</v>
      </c>
      <c r="E100" s="184"/>
      <c r="F100" s="184"/>
      <c r="G100" s="184"/>
      <c r="H100" s="184"/>
      <c r="I100" s="184"/>
      <c r="J100" s="184"/>
      <c r="K100" s="19" t="s">
        <v>163</v>
      </c>
      <c r="L100" s="25"/>
      <c r="M100" s="26">
        <f>(IF(B91&gt;2,(I91/(B91+4)+M99),0))</f>
        <v>0</v>
      </c>
    </row>
    <row r="101" spans="1:13" ht="15" customHeight="1" x14ac:dyDescent="0.25">
      <c r="A101" s="183" t="s">
        <v>164</v>
      </c>
      <c r="B101" s="183"/>
      <c r="C101" s="55">
        <v>62</v>
      </c>
      <c r="D101" s="184">
        <f>((100/I91)*C101)/100</f>
        <v>1</v>
      </c>
      <c r="E101" s="184"/>
      <c r="F101" s="184"/>
      <c r="G101" s="184"/>
      <c r="H101" s="184"/>
      <c r="I101" s="184"/>
      <c r="J101" s="184"/>
      <c r="K101" s="19" t="s">
        <v>165</v>
      </c>
      <c r="L101" s="27"/>
      <c r="M101" s="28">
        <f>(IF(B91&gt;3,(I91/(B91+4)+M100),0))</f>
        <v>0</v>
      </c>
    </row>
    <row r="102" spans="1:13" ht="15" customHeight="1" x14ac:dyDescent="0.25">
      <c r="A102" s="183" t="s">
        <v>166</v>
      </c>
      <c r="B102" s="183" t="s">
        <v>166</v>
      </c>
      <c r="C102" s="55">
        <v>62</v>
      </c>
      <c r="D102" s="184">
        <f>((100/(I91))*C102)/100</f>
        <v>1</v>
      </c>
      <c r="E102" s="184"/>
      <c r="F102" s="184"/>
      <c r="G102" s="184"/>
      <c r="H102" s="184"/>
      <c r="I102" s="184"/>
      <c r="J102" s="184"/>
      <c r="K102" s="19" t="s">
        <v>167</v>
      </c>
      <c r="L102" s="21"/>
      <c r="M102" s="23">
        <f>(IF(B91=0,I91/4+M97,(I91/(B91+4)+M97+MAX(0,M98-M97)+MAX(0,M99-M98)+MAX(0,M100-M99)+MAX(0,M101-M100))))</f>
        <v>51.666666666666664</v>
      </c>
    </row>
    <row r="103" spans="1:13" ht="15" customHeight="1" thickBot="1" x14ac:dyDescent="0.3">
      <c r="A103" s="183" t="s">
        <v>168</v>
      </c>
      <c r="B103" s="183"/>
      <c r="C103" s="54">
        <v>62</v>
      </c>
      <c r="D103" s="184">
        <f>((100/(I91))*C103)/100</f>
        <v>1</v>
      </c>
      <c r="E103" s="184"/>
      <c r="F103" s="184"/>
      <c r="G103" s="184"/>
      <c r="H103" s="184"/>
      <c r="I103" s="184"/>
      <c r="J103" s="184"/>
      <c r="K103" s="29" t="s">
        <v>169</v>
      </c>
      <c r="L103" s="30"/>
      <c r="M103" s="31">
        <f>(IF(B91=0,I91/4+M102,(I91/(B91+4)+M102)))</f>
        <v>62</v>
      </c>
    </row>
    <row r="104" spans="1:13" ht="15.75" x14ac:dyDescent="0.25">
      <c r="A104" s="267" t="s">
        <v>136</v>
      </c>
      <c r="B104" s="267"/>
      <c r="C104" s="262" t="str">
        <f>D55</f>
        <v>Tower D = B + Gr + 1st to 62nd Floor</v>
      </c>
      <c r="D104" s="262"/>
      <c r="E104" s="262"/>
      <c r="F104" s="262"/>
      <c r="G104" s="262"/>
      <c r="H104" s="262"/>
      <c r="I104" s="262"/>
      <c r="J104" s="262"/>
      <c r="K104" s="15" t="str">
        <f>(IF(C108=0,"Work not yet Started.",IF(D108=25%,"Piling work in process",IF(D108=50%,"Excavation work in process",IF(D108=100%,"Excavation work completed, ","0")))&amp;(IF(C109=0%,"",IF(C109=M110,"Footing work is process",IF(C109=M111,"Footing work Completed",IF(C109=M112,"1st Basement Completed",IF(C109=M113,"1st &amp; 2nd Basement Completed",IF(C109=M114,"1st to 3rd Basement Completed",IF(C109=M115,"1st to 4th Basement Completed",IF(C109=M116,"Plinth work is process",IF(C109=M117,"Plinth work completed","0")))))))))))&amp;(IF(C110&gt;0,", RCC upto "&amp;C110&amp;" Slab completed",""))&amp;(IF(C111&gt;0,", Brickwork upto "&amp;C111&amp;" Floor completed"," "))&amp;(IF(C112&gt;0,", Internal Plaster upto "&amp;C112&amp;" Floor completed"," "))&amp;(IF(C113&gt;0,", External Plaster upto "&amp;C113&amp;" Floor completed"," "))&amp;(IF(C114&gt;0,", Flooring upto "&amp;C114&amp;" Floor completed"," "))&amp;(IF(C115&gt;0,", Painting upto "&amp;C115&amp;" Floor completed"," "))&amp;(IF(C116&gt;0,", Finishing upto "&amp;C116&amp;" Floor completed"," ")))</f>
        <v>Excavation work completed, Plinth work completed, RCC upto 63 Slab completed, Brickwork upto 62 Floor completed, Internal Plaster upto 62 Floor completed, External Plaster upto 62 Floor completed, Flooring upto 62 Floor completed, Painting upto 62 Floor completed, Finishing upto 62 Floor completed</v>
      </c>
      <c r="L104" s="15"/>
      <c r="M104" s="16"/>
    </row>
    <row r="105" spans="1:13" ht="15" customHeight="1" x14ac:dyDescent="0.25">
      <c r="A105" s="51" t="s">
        <v>137</v>
      </c>
      <c r="B105" s="51">
        <v>1</v>
      </c>
      <c r="C105" s="51" t="s">
        <v>138</v>
      </c>
      <c r="D105" s="132">
        <v>1</v>
      </c>
      <c r="E105" s="132"/>
      <c r="F105" s="51" t="s">
        <v>139</v>
      </c>
      <c r="G105" s="51">
        <v>0</v>
      </c>
      <c r="H105" s="51" t="s">
        <v>140</v>
      </c>
      <c r="I105" s="132">
        <v>62</v>
      </c>
      <c r="J105" s="132"/>
      <c r="K105" s="17" t="s">
        <v>141</v>
      </c>
      <c r="L105" s="17"/>
      <c r="M105" s="18"/>
    </row>
    <row r="106" spans="1:13" ht="15.75" x14ac:dyDescent="0.25">
      <c r="A106" s="261" t="s">
        <v>142</v>
      </c>
      <c r="B106" s="261"/>
      <c r="C106" s="262" t="str">
        <f>K105</f>
        <v>All work Completed. Provide OC.</v>
      </c>
      <c r="D106" s="262"/>
      <c r="E106" s="262"/>
      <c r="F106" s="262"/>
      <c r="G106" s="262"/>
      <c r="H106" s="262"/>
      <c r="I106" s="262"/>
      <c r="J106" s="262"/>
      <c r="K106" s="17" t="s">
        <v>143</v>
      </c>
      <c r="L106" s="17"/>
      <c r="M106" s="18"/>
    </row>
    <row r="107" spans="1:13" ht="15" customHeight="1" x14ac:dyDescent="0.25">
      <c r="A107" s="183" t="s">
        <v>58</v>
      </c>
      <c r="B107" s="183"/>
      <c r="C107" s="53" t="s">
        <v>144</v>
      </c>
      <c r="D107" s="183" t="s">
        <v>145</v>
      </c>
      <c r="E107" s="183"/>
      <c r="F107" s="183" t="s">
        <v>146</v>
      </c>
      <c r="G107" s="183"/>
      <c r="H107" s="183" t="s">
        <v>147</v>
      </c>
      <c r="I107" s="183"/>
      <c r="J107" s="183"/>
      <c r="K107" s="19" t="s">
        <v>148</v>
      </c>
      <c r="M107" s="20">
        <f>I105*25%</f>
        <v>15.5</v>
      </c>
    </row>
    <row r="108" spans="1:13" ht="15" customHeight="1" x14ac:dyDescent="0.25">
      <c r="A108" s="183" t="s">
        <v>149</v>
      </c>
      <c r="B108" s="183"/>
      <c r="C108" s="54">
        <f>M109</f>
        <v>62</v>
      </c>
      <c r="D108" s="184">
        <f>((100/I105)*C108)/100</f>
        <v>1</v>
      </c>
      <c r="E108" s="184"/>
      <c r="F108" s="184" t="str">
        <f>(IF(C106=K105,"100%",IF(C106=K106,"100%",(((C109/I105*10)+(40/(D105+G105+I105)*C110)+(7.5/(I105)*C111)+(7.5/(I105)*C112)+(10/I105*C113)+(10/I105*C114)+(5/I105*C115)+(5/I105*C116)+(5/I105*C117))/100))))</f>
        <v>100%</v>
      </c>
      <c r="G108" s="184"/>
      <c r="H108" s="184">
        <f>((((C108/I105)*20)+((C109/I105)*25)+(30/(I105+G105+D105)*C110)+(5/I105*C111)+(5/I105*C112)+(5/I105*C113)+(5/I105*C114)+(0/I105*C115)+(0/I105*C116)+(5/I105*C117))/100)</f>
        <v>1</v>
      </c>
      <c r="I108" s="184"/>
      <c r="J108" s="184"/>
      <c r="K108" s="19" t="s">
        <v>150</v>
      </c>
      <c r="L108" s="21"/>
      <c r="M108" s="22">
        <f>I105*50%</f>
        <v>31</v>
      </c>
    </row>
    <row r="109" spans="1:13" ht="15" customHeight="1" x14ac:dyDescent="0.25">
      <c r="A109" s="183" t="s">
        <v>59</v>
      </c>
      <c r="B109" s="183"/>
      <c r="C109" s="55">
        <f>M117</f>
        <v>62.000000000000007</v>
      </c>
      <c r="D109" s="184">
        <f>((100/I105)*C109)/100</f>
        <v>1</v>
      </c>
      <c r="E109" s="184"/>
      <c r="F109" s="184"/>
      <c r="G109" s="184"/>
      <c r="H109" s="184"/>
      <c r="I109" s="184"/>
      <c r="J109" s="184"/>
      <c r="K109" s="19" t="s">
        <v>151</v>
      </c>
      <c r="L109" s="21"/>
      <c r="M109" s="22">
        <f>I105</f>
        <v>62</v>
      </c>
    </row>
    <row r="110" spans="1:13" ht="15" customHeight="1" x14ac:dyDescent="0.25">
      <c r="A110" s="183" t="s">
        <v>152</v>
      </c>
      <c r="B110" s="183"/>
      <c r="C110" s="55">
        <v>63</v>
      </c>
      <c r="D110" s="184">
        <f>((100/(D105+G105+I105))*C110)/100</f>
        <v>1</v>
      </c>
      <c r="E110" s="184"/>
      <c r="F110" s="184"/>
      <c r="G110" s="184"/>
      <c r="H110" s="184"/>
      <c r="I110" s="184"/>
      <c r="J110" s="184"/>
      <c r="K110" s="19" t="s">
        <v>153</v>
      </c>
      <c r="L110" s="21"/>
      <c r="M110" s="23">
        <f>(IF(B105=0,I105/4,(I105/(B105+4))))</f>
        <v>12.4</v>
      </c>
    </row>
    <row r="111" spans="1:13" ht="15" customHeight="1" x14ac:dyDescent="0.25">
      <c r="A111" s="183" t="s">
        <v>154</v>
      </c>
      <c r="B111" s="183" t="s">
        <v>155</v>
      </c>
      <c r="C111" s="55">
        <v>62</v>
      </c>
      <c r="D111" s="184">
        <f>((100/I105)*C111)/100</f>
        <v>1</v>
      </c>
      <c r="E111" s="184"/>
      <c r="F111" s="184"/>
      <c r="G111" s="184"/>
      <c r="H111" s="184"/>
      <c r="I111" s="184"/>
      <c r="J111" s="184"/>
      <c r="K111" s="19" t="s">
        <v>156</v>
      </c>
      <c r="L111" s="21"/>
      <c r="M111" s="23">
        <f>(IF(B105=0,I105/4+M110,(I105/(B105+4)+M110)))</f>
        <v>24.8</v>
      </c>
    </row>
    <row r="112" spans="1:13" ht="15" customHeight="1" x14ac:dyDescent="0.25">
      <c r="A112" s="183" t="s">
        <v>157</v>
      </c>
      <c r="B112" s="183" t="s">
        <v>155</v>
      </c>
      <c r="C112" s="55">
        <v>62</v>
      </c>
      <c r="D112" s="184">
        <f>((100/I105)*C112)/100</f>
        <v>1</v>
      </c>
      <c r="E112" s="184"/>
      <c r="F112" s="184"/>
      <c r="G112" s="184"/>
      <c r="H112" s="184"/>
      <c r="I112" s="184"/>
      <c r="J112" s="184"/>
      <c r="K112" s="19" t="s">
        <v>158</v>
      </c>
      <c r="L112" s="24"/>
      <c r="M112" s="23">
        <f>(IF(B105=0,0,(I105/(B105+4)+M111)))</f>
        <v>37.200000000000003</v>
      </c>
    </row>
    <row r="113" spans="1:20" ht="15" customHeight="1" x14ac:dyDescent="0.25">
      <c r="A113" s="183" t="s">
        <v>159</v>
      </c>
      <c r="B113" s="183" t="s">
        <v>160</v>
      </c>
      <c r="C113" s="55">
        <v>62</v>
      </c>
      <c r="D113" s="184">
        <f>((100/(I105))*C113)/100</f>
        <v>1</v>
      </c>
      <c r="E113" s="184"/>
      <c r="F113" s="184"/>
      <c r="G113" s="184"/>
      <c r="H113" s="184"/>
      <c r="I113" s="184"/>
      <c r="J113" s="184"/>
      <c r="K113" s="19" t="s">
        <v>161</v>
      </c>
      <c r="L113" s="24"/>
      <c r="M113" s="23">
        <f>(IF(B105&gt;1,(I105/(B105+4)+M112),0))</f>
        <v>0</v>
      </c>
    </row>
    <row r="114" spans="1:20" ht="15" customHeight="1" x14ac:dyDescent="0.25">
      <c r="A114" s="183" t="s">
        <v>162</v>
      </c>
      <c r="B114" s="183" t="s">
        <v>162</v>
      </c>
      <c r="C114" s="55">
        <v>62</v>
      </c>
      <c r="D114" s="184">
        <f>((100/I105)*C114)/100</f>
        <v>1</v>
      </c>
      <c r="E114" s="184"/>
      <c r="F114" s="184"/>
      <c r="G114" s="184"/>
      <c r="H114" s="184"/>
      <c r="I114" s="184"/>
      <c r="J114" s="184"/>
      <c r="K114" s="19" t="s">
        <v>163</v>
      </c>
      <c r="L114" s="25"/>
      <c r="M114" s="26">
        <f>(IF(B105&gt;2,(I105/(B105+4)+M113),0))</f>
        <v>0</v>
      </c>
    </row>
    <row r="115" spans="1:20" ht="15" customHeight="1" x14ac:dyDescent="0.25">
      <c r="A115" s="183" t="s">
        <v>164</v>
      </c>
      <c r="B115" s="183"/>
      <c r="C115" s="55">
        <v>62</v>
      </c>
      <c r="D115" s="184">
        <f>((100/I105)*C115)/100</f>
        <v>1</v>
      </c>
      <c r="E115" s="184"/>
      <c r="F115" s="184"/>
      <c r="G115" s="184"/>
      <c r="H115" s="184"/>
      <c r="I115" s="184"/>
      <c r="J115" s="184"/>
      <c r="K115" s="19" t="s">
        <v>165</v>
      </c>
      <c r="L115" s="27"/>
      <c r="M115" s="28">
        <f>(IF(B105&gt;3,(I105/(B105+4)+M114),0))</f>
        <v>0</v>
      </c>
    </row>
    <row r="116" spans="1:20" ht="15" customHeight="1" x14ac:dyDescent="0.25">
      <c r="A116" s="183" t="s">
        <v>166</v>
      </c>
      <c r="B116" s="183" t="s">
        <v>166</v>
      </c>
      <c r="C116" s="55">
        <v>62</v>
      </c>
      <c r="D116" s="184">
        <f>((100/(I105))*C116)/100</f>
        <v>1</v>
      </c>
      <c r="E116" s="184"/>
      <c r="F116" s="184"/>
      <c r="G116" s="184"/>
      <c r="H116" s="184"/>
      <c r="I116" s="184"/>
      <c r="J116" s="184"/>
      <c r="K116" s="19" t="s">
        <v>167</v>
      </c>
      <c r="L116" s="21"/>
      <c r="M116" s="23">
        <f>(IF(B105=0,I105/4+M111,(I105/(B105+4)+M111+MAX(0,M112-M111)+MAX(0,M113-M112)+MAX(0,M114-M113)+MAX(0,M115-M114))))</f>
        <v>49.600000000000009</v>
      </c>
    </row>
    <row r="117" spans="1:20" ht="15" customHeight="1" thickBot="1" x14ac:dyDescent="0.3">
      <c r="A117" s="183" t="s">
        <v>168</v>
      </c>
      <c r="B117" s="183"/>
      <c r="C117" s="54">
        <v>62</v>
      </c>
      <c r="D117" s="184">
        <f>((100/(I105))*C117)/100</f>
        <v>1</v>
      </c>
      <c r="E117" s="184"/>
      <c r="F117" s="184"/>
      <c r="G117" s="184"/>
      <c r="H117" s="184"/>
      <c r="I117" s="184"/>
      <c r="J117" s="184"/>
      <c r="K117" s="29" t="s">
        <v>169</v>
      </c>
      <c r="L117" s="30"/>
      <c r="M117" s="31">
        <f>(IF(B105=0,I105/4+M116,(I105/(B105+4)+M116)))</f>
        <v>62.000000000000007</v>
      </c>
    </row>
    <row r="118" spans="1:20" ht="15.75" x14ac:dyDescent="0.25">
      <c r="A118" s="240" t="s">
        <v>60</v>
      </c>
      <c r="B118" s="241"/>
      <c r="C118" s="241"/>
      <c r="D118" s="241"/>
      <c r="E118" s="241"/>
      <c r="F118" s="241"/>
      <c r="G118" s="241"/>
      <c r="H118" s="241"/>
      <c r="I118" s="241"/>
      <c r="J118" s="242"/>
    </row>
    <row r="119" spans="1:20" ht="130.5" customHeight="1" x14ac:dyDescent="0.25">
      <c r="A119" s="111" t="s">
        <v>78</v>
      </c>
      <c r="B119" s="112"/>
      <c r="C119" s="113"/>
      <c r="D119" s="111" t="s">
        <v>263</v>
      </c>
      <c r="E119" s="112"/>
      <c r="F119" s="112"/>
      <c r="G119" s="112"/>
      <c r="H119" s="112"/>
      <c r="I119" s="112"/>
      <c r="J119" s="113"/>
      <c r="K119" s="14">
        <f>18000*1.6</f>
        <v>28800</v>
      </c>
    </row>
    <row r="120" spans="1:20" ht="33.75" customHeight="1" x14ac:dyDescent="0.25">
      <c r="A120" s="111" t="s">
        <v>267</v>
      </c>
      <c r="B120" s="112"/>
      <c r="C120" s="113"/>
      <c r="D120" s="197">
        <v>18000</v>
      </c>
      <c r="E120" s="268"/>
      <c r="F120" s="268"/>
      <c r="G120" s="268"/>
      <c r="H120" s="268"/>
      <c r="I120" s="268"/>
      <c r="J120" s="269"/>
      <c r="K120" s="39" t="s">
        <v>199</v>
      </c>
      <c r="L120" s="39"/>
      <c r="M120" s="39"/>
      <c r="N120" s="39"/>
      <c r="O120" s="39"/>
      <c r="P120" s="39"/>
      <c r="Q120" s="39"/>
    </row>
    <row r="121" spans="1:20" ht="30" customHeight="1" x14ac:dyDescent="0.25">
      <c r="A121" s="111" t="s">
        <v>270</v>
      </c>
      <c r="B121" s="112"/>
      <c r="C121" s="113"/>
      <c r="D121" s="111" t="s">
        <v>197</v>
      </c>
      <c r="E121" s="112"/>
      <c r="F121" s="112"/>
      <c r="G121" s="112"/>
      <c r="H121" s="112"/>
      <c r="I121" s="112"/>
      <c r="J121" s="113"/>
      <c r="L121" s="14">
        <f>165/1.6</f>
        <v>103.125</v>
      </c>
    </row>
    <row r="122" spans="1:20" ht="32.25" customHeight="1" x14ac:dyDescent="0.25">
      <c r="A122" s="111" t="s">
        <v>268</v>
      </c>
      <c r="B122" s="112"/>
      <c r="C122" s="113"/>
      <c r="D122" s="197">
        <f>D120*1.6</f>
        <v>28800</v>
      </c>
      <c r="E122" s="268"/>
      <c r="F122" s="268"/>
      <c r="G122" s="268"/>
      <c r="H122" s="268"/>
      <c r="I122" s="268"/>
      <c r="J122" s="269"/>
      <c r="K122" s="37" t="s">
        <v>174</v>
      </c>
      <c r="L122" s="37"/>
      <c r="M122" s="37"/>
      <c r="N122" s="37"/>
      <c r="O122" s="37"/>
    </row>
    <row r="123" spans="1:20" ht="33" customHeight="1" x14ac:dyDescent="0.25">
      <c r="A123" s="111" t="s">
        <v>269</v>
      </c>
      <c r="B123" s="112"/>
      <c r="C123" s="113"/>
      <c r="D123" s="111" t="s">
        <v>198</v>
      </c>
      <c r="E123" s="112"/>
      <c r="F123" s="112"/>
      <c r="G123" s="112"/>
      <c r="H123" s="112"/>
      <c r="I123" s="112"/>
      <c r="J123" s="113"/>
      <c r="L123" s="36" t="s">
        <v>271</v>
      </c>
      <c r="M123" s="36"/>
      <c r="N123" s="36"/>
      <c r="O123" s="36"/>
      <c r="P123" s="36"/>
    </row>
    <row r="124" spans="1:20" ht="15" customHeight="1" x14ac:dyDescent="0.25">
      <c r="A124" s="111" t="s">
        <v>171</v>
      </c>
      <c r="B124" s="112"/>
      <c r="C124" s="113"/>
      <c r="D124" s="111">
        <v>550000</v>
      </c>
      <c r="E124" s="112"/>
      <c r="F124" s="112"/>
      <c r="G124" s="112"/>
      <c r="H124" s="112"/>
      <c r="I124" s="112"/>
      <c r="J124" s="113"/>
      <c r="L124" s="14">
        <f>N1249</f>
        <v>0</v>
      </c>
      <c r="N124" s="197">
        <v>550000</v>
      </c>
      <c r="O124" s="268"/>
      <c r="P124" s="268"/>
      <c r="Q124" s="268"/>
      <c r="R124" s="268"/>
      <c r="S124" s="268"/>
      <c r="T124" s="269"/>
    </row>
    <row r="125" spans="1:20" ht="15" customHeight="1" x14ac:dyDescent="0.25">
      <c r="A125" s="111" t="s">
        <v>172</v>
      </c>
      <c r="B125" s="112"/>
      <c r="C125" s="113"/>
      <c r="D125" s="111">
        <v>300000</v>
      </c>
      <c r="E125" s="112"/>
      <c r="F125" s="112"/>
      <c r="G125" s="112"/>
      <c r="H125" s="112"/>
      <c r="I125" s="112"/>
      <c r="J125" s="113"/>
      <c r="L125" s="14">
        <f>SUM(D124:J127)</f>
        <v>1500000</v>
      </c>
      <c r="N125" s="197">
        <v>300000</v>
      </c>
      <c r="O125" s="268"/>
      <c r="P125" s="268"/>
      <c r="Q125" s="268"/>
      <c r="R125" s="268"/>
      <c r="S125" s="268"/>
      <c r="T125" s="269"/>
    </row>
    <row r="126" spans="1:20" ht="15" customHeight="1" x14ac:dyDescent="0.25">
      <c r="A126" s="111" t="s">
        <v>173</v>
      </c>
      <c r="B126" s="112"/>
      <c r="C126" s="113"/>
      <c r="D126" s="111">
        <v>150000</v>
      </c>
      <c r="E126" s="112"/>
      <c r="F126" s="112"/>
      <c r="G126" s="112"/>
      <c r="H126" s="112"/>
      <c r="I126" s="112"/>
      <c r="J126" s="113"/>
      <c r="L126" s="36">
        <f>D124+D125+D126+D127</f>
        <v>1500000</v>
      </c>
      <c r="N126" s="111">
        <v>150000</v>
      </c>
      <c r="O126" s="112"/>
      <c r="P126" s="112"/>
      <c r="Q126" s="112"/>
      <c r="R126" s="112"/>
      <c r="S126" s="112"/>
      <c r="T126" s="113"/>
    </row>
    <row r="127" spans="1:20" ht="15" customHeight="1" x14ac:dyDescent="0.25">
      <c r="A127" s="111" t="s">
        <v>170</v>
      </c>
      <c r="B127" s="112"/>
      <c r="C127" s="113"/>
      <c r="D127" s="111">
        <v>500000</v>
      </c>
      <c r="E127" s="112"/>
      <c r="F127" s="112"/>
      <c r="G127" s="112"/>
      <c r="H127" s="112"/>
      <c r="I127" s="112"/>
      <c r="J127" s="113"/>
      <c r="N127" s="197">
        <v>500000</v>
      </c>
      <c r="O127" s="268"/>
      <c r="P127" s="268"/>
      <c r="Q127" s="268"/>
      <c r="R127" s="268"/>
      <c r="S127" s="268"/>
      <c r="T127" s="269"/>
    </row>
    <row r="128" spans="1:20" ht="15.75" x14ac:dyDescent="0.25">
      <c r="A128" s="111" t="s">
        <v>272</v>
      </c>
      <c r="B128" s="112"/>
      <c r="C128" s="113"/>
      <c r="D128" s="271">
        <v>1000000</v>
      </c>
      <c r="E128" s="112"/>
      <c r="F128" s="112"/>
      <c r="G128" s="112"/>
      <c r="H128" s="112"/>
      <c r="I128" s="112"/>
      <c r="J128" s="113"/>
      <c r="N128" s="36">
        <f>N124+N125+N126+N127</f>
        <v>1500000</v>
      </c>
    </row>
    <row r="129" spans="1:12" ht="15.75" x14ac:dyDescent="0.25">
      <c r="A129" s="197" t="s">
        <v>207</v>
      </c>
      <c r="B129" s="268"/>
      <c r="C129" s="269"/>
      <c r="D129" s="111">
        <f>D120*0.8</f>
        <v>14400</v>
      </c>
      <c r="E129" s="112"/>
      <c r="F129" s="112"/>
      <c r="G129" s="112"/>
      <c r="H129" s="112"/>
      <c r="I129" s="112"/>
      <c r="J129" s="113"/>
    </row>
    <row r="130" spans="1:12" s="32" customFormat="1" ht="15.75" customHeight="1" x14ac:dyDescent="0.25">
      <c r="A130" s="225" t="s">
        <v>124</v>
      </c>
      <c r="B130" s="226"/>
      <c r="C130" s="226"/>
      <c r="D130" s="226"/>
      <c r="E130" s="226"/>
      <c r="F130" s="226"/>
      <c r="G130" s="226"/>
      <c r="H130" s="226"/>
      <c r="I130" s="226"/>
      <c r="J130" s="227"/>
    </row>
    <row r="131" spans="1:12" s="32" customFormat="1" ht="15.75" customHeight="1" x14ac:dyDescent="0.25">
      <c r="A131" s="228" t="s">
        <v>125</v>
      </c>
      <c r="B131" s="229"/>
      <c r="C131" s="230"/>
      <c r="D131" s="231" t="s">
        <v>126</v>
      </c>
      <c r="E131" s="231"/>
      <c r="F131" s="232" t="s">
        <v>127</v>
      </c>
      <c r="G131" s="233"/>
      <c r="H131" s="234" t="s">
        <v>128</v>
      </c>
      <c r="I131" s="235"/>
      <c r="J131" s="236"/>
    </row>
    <row r="132" spans="1:12" s="32" customFormat="1" ht="15.75" customHeight="1" x14ac:dyDescent="0.25">
      <c r="A132" s="162" t="s">
        <v>97</v>
      </c>
      <c r="B132" s="163"/>
      <c r="C132" s="164"/>
      <c r="D132" s="165">
        <f>COUNT(E147:F150)*5+COUNT(E153:F156)+COUNT(E158:F161)+COUNT(E165:F170)*18+COUNT(E172:F175)+COUNT(E180:F183)+COUNT(E187:F190)+COUNT(E194:F199)*16+COUNT(E201:F206)*2+COUNT(E208:F211)*2+COUNT(E215:F218)+COUNT(E222:F227)*10+COUNT(E229:F232)</f>
        <v>332</v>
      </c>
      <c r="E132" s="166"/>
      <c r="F132" s="165">
        <f>SUM(E147:F150)*5+SUM(E153:F156)+SUM(E158:F161)+SUM(E165:F170)*18+SUM(E172:F175)+SUM(E180:F183)+SUM(E187:F190)+SUM(E194:F199)*16+SUM(E201:F206)*2+SUM(E208:F211)*2+SUM(E215:F218)+SUM(E222:F227)*10+SUM(E229:F232)</f>
        <v>341369.59751999995</v>
      </c>
      <c r="G132" s="166"/>
      <c r="H132" s="167">
        <f>SUM(H147:H150)*5+SUM(H153:H156)+SUM(H158:H161)+SUM(H165:H170)*18+SUM(H172:H175)+SUM(H180:H183)+SUM(H187:H190)+SUM(H194:H199)*16+SUM(H201:H206)*2+SUM(H208:H211)*2+SUM(H215:H218)+SUM(H222:H227)*10+SUM(H229:H232)</f>
        <v>546191.35603200004</v>
      </c>
      <c r="I132" s="165"/>
      <c r="J132" s="166"/>
    </row>
    <row r="133" spans="1:12" s="32" customFormat="1" ht="15.75" customHeight="1" x14ac:dyDescent="0.25">
      <c r="A133" s="162" t="s">
        <v>110</v>
      </c>
      <c r="B133" s="163"/>
      <c r="C133" s="164"/>
      <c r="D133" s="165">
        <f>COUNT(E240:F241,E245)*5+COUNT(E247:F248,E252)+COUNT(E254:F258)+COUNT(E261:F266)*18+COUNT(E268:F272)+COUNT(E276:F279)+COUNT(E283:F287)+COUNT(E290:F295)*16+COUNT(E297:F302)*2+COUNT(E304:F308)*2+COUNT(E311:F314)+COUNT(E318:F323)*10+COUNT(E325:F329)</f>
        <v>332</v>
      </c>
      <c r="E133" s="166"/>
      <c r="F133" s="165">
        <f>SUM(E240:F241,E245)*5+SUM(E247:F248,E252)+SUM(E254:F258)+SUM(E261:F266)*18+SUM(E268:F272)+SUM(E276:F279)+SUM(E283:F287)+SUM(E290:F295)*16+SUM(E297:F302)*2+SUM(E304:F308)*2+SUM(E311:F314)+SUM(E318:F323)*10+SUM(E325:F329)</f>
        <v>341615.23811999999</v>
      </c>
      <c r="G133" s="166"/>
      <c r="H133" s="167">
        <f>SUM(H240:H241,H245)*5+SUM(H247:H248,H252)+SUM(H254:H258)+SUM(H261:H266)*18+SUM(H268:H272)+SUM(H276:H279)+SUM(H283:H287)+SUM(H290:H295)*16+SUM(H297:H302)*2+SUM(H304:H308)*2+SUM(H311:H314)+SUM(H318:H323)*10+SUM(H325:H329)</f>
        <v>546584.38099199999</v>
      </c>
      <c r="I133" s="165"/>
      <c r="J133" s="166"/>
    </row>
    <row r="134" spans="1:12" s="32" customFormat="1" ht="15.75" customHeight="1" x14ac:dyDescent="0.25">
      <c r="A134" s="162" t="s">
        <v>111</v>
      </c>
      <c r="B134" s="163"/>
      <c r="C134" s="164"/>
      <c r="D134" s="165">
        <f>COUNT(E336:F337)+COUNT(E339:F341)*5+COUNT(E343:F348)+COUNT(E350:F353)+COUNT(E356:F361)*17+COUNT(E363:F366)+COUNT(E371:F374)+COUNT(E378:F383)*15+COUNT(E385:F390)*3+COUNT(E392:F395)*2+COUNT(E399:F402)+COUNT(E406:F411)*9+COUNT(E413:F416)+COUNT(E420:F423,E425)</f>
        <v>320</v>
      </c>
      <c r="E134" s="166"/>
      <c r="F134" s="165">
        <f>SUM(E336:F337)+SUM(E339:F341)*5+SUM(E343:F348)+SUM(E350:F353)+SUM(E356:F361)*17+SUM(E363:F366)+SUM(E371:F374)+SUM(E378:F383)*15+SUM(E385:F390)*3+SUM(E392:F395)*2+SUM(E399:F402)+SUM(E406:F411)*9+SUM(E413:F416)+SUM(E420:F423,E425)</f>
        <v>330123.48408000002</v>
      </c>
      <c r="G134" s="166"/>
      <c r="H134" s="167">
        <f>SUM(H336:H337)+SUM(H339:H341)*5+SUM(H343:H348)+SUM(H350:H353)+SUM(H356:H361)*17+SUM(H363:H366)+SUM(H371:H374)+SUM(H378:H383)*15+SUM(H385:H390)*3+SUM(H392:H395)*2+SUM(H399:H402)+SUM(H406:H411)*9+SUM(H413:H416)+SUM(H420:H423,H425)</f>
        <v>528197.57452799997</v>
      </c>
      <c r="I134" s="165"/>
      <c r="J134" s="166"/>
    </row>
    <row r="135" spans="1:12" s="32" customFormat="1" ht="15.75" customHeight="1" x14ac:dyDescent="0.25">
      <c r="A135" s="162" t="s">
        <v>120</v>
      </c>
      <c r="B135" s="163"/>
      <c r="C135" s="164"/>
      <c r="D135" s="165">
        <f>COUNT(E432:F434,E436)*5+COUNT(E438:F443)+COUNT(E445:F449)+COUNT(E452:F457)*17+COUNT(E459:F463)+COUNT(E467:F470)+COUNT(E474:F479)*15+COUNT(E481:F486)*3+COUNT(E488:F492)*2+COUNT(E495:F498)+COUNT(E502:F507)*9+COUNT(E509:F513)+COUNT(E516:F520)</f>
        <v>328</v>
      </c>
      <c r="E135" s="166"/>
      <c r="F135" s="165">
        <f>SUM(E432:F434,E436)*5+SUM(E438:F443)+SUM(E445:F449)+SUM(E452:F457)*17+SUM(E459:F463)+SUM(E467:F470)+SUM(E474:F479)*15+SUM(E481:F486)*3+SUM(E488:F492)*2+SUM(E495:F498)+SUM(E502:F507)*9+SUM(E509:F513)+SUM(E516:F520)</f>
        <v>336965.51303999999</v>
      </c>
      <c r="G135" s="166"/>
      <c r="H135" s="167">
        <f>SUM(H432:H434,H436)*5+SUM(H438:H443)+SUM(H445:H449)+SUM(H452:H457)*17+SUM(H459:H463)+SUM(H467:H470)+SUM(H474:H479)*15+SUM(H481:H486)*3+SUM(H488:H492)*2+SUM(H495:H498)+SUM(H502:H507)*9+SUM(H509:H513)+SUM(H516:H520)</f>
        <v>539144.82086400001</v>
      </c>
      <c r="I135" s="165"/>
      <c r="J135" s="166"/>
    </row>
    <row r="136" spans="1:12" s="32" customFormat="1" ht="15.75" x14ac:dyDescent="0.25">
      <c r="A136" s="228" t="s">
        <v>129</v>
      </c>
      <c r="B136" s="229"/>
      <c r="C136" s="230">
        <f>SUM(C132:C133)</f>
        <v>0</v>
      </c>
      <c r="D136" s="243">
        <f>SUM(D132:E135)</f>
        <v>1312</v>
      </c>
      <c r="E136" s="243"/>
      <c r="F136" s="235">
        <f>SUM(F132:G135)</f>
        <v>1350073.8327600001</v>
      </c>
      <c r="G136" s="236">
        <f>SUM(G132:J133)</f>
        <v>1092775.7370239999</v>
      </c>
      <c r="H136" s="234">
        <f>SUM(H132:J135)</f>
        <v>2160118.1324159997</v>
      </c>
      <c r="I136" s="235"/>
      <c r="J136" s="236"/>
      <c r="L136" s="33"/>
    </row>
    <row r="137" spans="1:12" s="32" customFormat="1" ht="15.75" x14ac:dyDescent="0.25">
      <c r="A137" s="244" t="s">
        <v>228</v>
      </c>
      <c r="B137" s="245"/>
      <c r="C137" s="245"/>
      <c r="D137" s="245"/>
      <c r="E137" s="245"/>
      <c r="F137" s="245"/>
      <c r="G137" s="245"/>
      <c r="H137" s="245"/>
      <c r="I137" s="245"/>
      <c r="J137" s="246"/>
    </row>
    <row r="138" spans="1:12" s="32" customFormat="1" ht="15.75" x14ac:dyDescent="0.25">
      <c r="A138" s="201" t="s">
        <v>229</v>
      </c>
      <c r="B138" s="202"/>
      <c r="C138" s="202"/>
      <c r="D138" s="202"/>
      <c r="E138" s="202"/>
      <c r="F138" s="202"/>
      <c r="G138" s="202"/>
      <c r="H138" s="247"/>
      <c r="I138" s="202"/>
      <c r="J138" s="203"/>
    </row>
    <row r="139" spans="1:12" s="32" customFormat="1" ht="41.25" customHeight="1" x14ac:dyDescent="0.25">
      <c r="A139" s="105" t="s">
        <v>94</v>
      </c>
      <c r="B139" s="106"/>
      <c r="C139" s="105" t="s">
        <v>95</v>
      </c>
      <c r="D139" s="106"/>
      <c r="E139" s="105" t="s">
        <v>230</v>
      </c>
      <c r="F139" s="106"/>
      <c r="G139" s="105" t="s">
        <v>231</v>
      </c>
      <c r="H139" s="57" t="s">
        <v>87</v>
      </c>
      <c r="I139" s="109" t="s">
        <v>96</v>
      </c>
      <c r="J139" s="106"/>
    </row>
    <row r="140" spans="1:12" s="32" customFormat="1" ht="15.75" x14ac:dyDescent="0.25">
      <c r="A140" s="107"/>
      <c r="B140" s="108"/>
      <c r="C140" s="107"/>
      <c r="D140" s="108"/>
      <c r="E140" s="107"/>
      <c r="F140" s="108"/>
      <c r="G140" s="107"/>
      <c r="H140" s="41">
        <v>0.6</v>
      </c>
      <c r="I140" s="110"/>
      <c r="J140" s="108"/>
      <c r="K140" s="32">
        <f>18000*1.6</f>
        <v>28800</v>
      </c>
    </row>
    <row r="141" spans="1:12" s="32" customFormat="1" ht="15.75" x14ac:dyDescent="0.25">
      <c r="A141" s="248" t="s">
        <v>97</v>
      </c>
      <c r="B141" s="248"/>
      <c r="C141" s="248"/>
      <c r="D141" s="248"/>
      <c r="E141" s="248"/>
      <c r="F141" s="248"/>
      <c r="G141" s="248"/>
      <c r="H141" s="249"/>
      <c r="I141" s="248"/>
      <c r="J141" s="248"/>
    </row>
    <row r="142" spans="1:12" s="32" customFormat="1" ht="15.75" x14ac:dyDescent="0.25">
      <c r="A142" s="90" t="s">
        <v>234</v>
      </c>
      <c r="B142" s="90"/>
      <c r="C142" s="90"/>
      <c r="D142" s="90"/>
      <c r="E142" s="90"/>
      <c r="F142" s="90"/>
      <c r="G142" s="90"/>
      <c r="H142" s="90"/>
      <c r="I142" s="90"/>
      <c r="J142" s="90"/>
    </row>
    <row r="143" spans="1:12" s="32" customFormat="1" ht="15.75" x14ac:dyDescent="0.25">
      <c r="A143" s="90" t="s">
        <v>232</v>
      </c>
      <c r="B143" s="90"/>
      <c r="C143" s="90"/>
      <c r="D143" s="90"/>
      <c r="E143" s="90"/>
      <c r="F143" s="90"/>
      <c r="G143" s="90"/>
      <c r="H143" s="90"/>
      <c r="I143" s="90"/>
      <c r="J143" s="90"/>
      <c r="K143" s="32">
        <f>10+6+18</f>
        <v>34</v>
      </c>
    </row>
    <row r="144" spans="1:12" s="32" customFormat="1" ht="15.75" x14ac:dyDescent="0.25">
      <c r="A144" s="90" t="s">
        <v>233</v>
      </c>
      <c r="B144" s="90"/>
      <c r="C144" s="90"/>
      <c r="D144" s="90"/>
      <c r="E144" s="90"/>
      <c r="F144" s="90"/>
      <c r="G144" s="90"/>
      <c r="H144" s="90"/>
      <c r="I144" s="90"/>
      <c r="J144" s="90"/>
    </row>
    <row r="145" spans="1:12" s="32" customFormat="1" ht="15.75" x14ac:dyDescent="0.25">
      <c r="A145" s="69" t="s">
        <v>237</v>
      </c>
      <c r="B145" s="69"/>
      <c r="C145" s="69"/>
      <c r="D145" s="69"/>
      <c r="E145" s="69"/>
      <c r="F145" s="69"/>
      <c r="G145" s="69"/>
      <c r="H145" s="69"/>
      <c r="I145" s="69"/>
      <c r="J145" s="69"/>
    </row>
    <row r="146" spans="1:12" s="32" customFormat="1" ht="15.75" x14ac:dyDescent="0.25">
      <c r="A146" s="86"/>
      <c r="B146" s="88"/>
      <c r="C146" s="72" t="s">
        <v>236</v>
      </c>
      <c r="D146" s="80"/>
      <c r="E146" s="80"/>
      <c r="F146" s="80"/>
      <c r="G146" s="80"/>
      <c r="H146" s="73"/>
      <c r="I146" s="74" t="str">
        <f>A145</f>
        <v>2nd to 6th Floor For Residential &amp; Part Parking Area</v>
      </c>
      <c r="J146" s="75"/>
    </row>
    <row r="147" spans="1:12" s="32" customFormat="1" ht="15" customHeight="1" x14ac:dyDescent="0.25">
      <c r="A147" s="70" t="s">
        <v>98</v>
      </c>
      <c r="B147" s="70"/>
      <c r="C147" s="71" t="s">
        <v>91</v>
      </c>
      <c r="D147" s="71"/>
      <c r="E147" s="71">
        <f>97.53*10.74</f>
        <v>1047.4721999999999</v>
      </c>
      <c r="F147" s="71"/>
      <c r="G147" s="58">
        <v>0</v>
      </c>
      <c r="H147" s="58">
        <f>E147*1.6+G147</f>
        <v>1675.95552</v>
      </c>
      <c r="I147" s="76"/>
      <c r="J147" s="77"/>
      <c r="K147" s="32">
        <f>25000000/E147</f>
        <v>23866.981863575951</v>
      </c>
      <c r="L147" s="32">
        <f>24000/1.6</f>
        <v>15000</v>
      </c>
    </row>
    <row r="148" spans="1:12" s="32" customFormat="1" ht="15.75" x14ac:dyDescent="0.25">
      <c r="A148" s="70" t="s">
        <v>99</v>
      </c>
      <c r="B148" s="70"/>
      <c r="C148" s="71" t="s">
        <v>91</v>
      </c>
      <c r="D148" s="71"/>
      <c r="E148" s="71">
        <f t="shared" ref="E148:E149" si="0">97.53*10.74</f>
        <v>1047.4721999999999</v>
      </c>
      <c r="F148" s="71"/>
      <c r="G148" s="58">
        <v>0</v>
      </c>
      <c r="H148" s="58">
        <f t="shared" ref="H148:H150" si="1">E148*1.6+G148</f>
        <v>1675.95552</v>
      </c>
      <c r="I148" s="76"/>
      <c r="J148" s="77"/>
    </row>
    <row r="149" spans="1:12" s="32" customFormat="1" ht="15.75" x14ac:dyDescent="0.25">
      <c r="A149" s="70" t="s">
        <v>100</v>
      </c>
      <c r="B149" s="70"/>
      <c r="C149" s="71" t="s">
        <v>91</v>
      </c>
      <c r="D149" s="71"/>
      <c r="E149" s="71">
        <f t="shared" si="0"/>
        <v>1047.4721999999999</v>
      </c>
      <c r="F149" s="71"/>
      <c r="G149" s="58">
        <v>0</v>
      </c>
      <c r="H149" s="58">
        <f t="shared" si="1"/>
        <v>1675.95552</v>
      </c>
      <c r="I149" s="76"/>
      <c r="J149" s="77"/>
    </row>
    <row r="150" spans="1:12" s="32" customFormat="1" ht="15.75" x14ac:dyDescent="0.25">
      <c r="A150" s="70" t="s">
        <v>101</v>
      </c>
      <c r="B150" s="70"/>
      <c r="C150" s="71" t="s">
        <v>91</v>
      </c>
      <c r="D150" s="71"/>
      <c r="E150" s="71">
        <f>84.8*10.764</f>
        <v>912.78719999999987</v>
      </c>
      <c r="F150" s="71"/>
      <c r="G150" s="58">
        <v>0</v>
      </c>
      <c r="H150" s="58">
        <f t="shared" si="1"/>
        <v>1460.4595199999999</v>
      </c>
      <c r="I150" s="78"/>
      <c r="J150" s="79"/>
    </row>
    <row r="151" spans="1:12" s="32" customFormat="1" ht="15.75" x14ac:dyDescent="0.25">
      <c r="A151" s="69" t="s">
        <v>241</v>
      </c>
      <c r="B151" s="69"/>
      <c r="C151" s="69"/>
      <c r="D151" s="69"/>
      <c r="E151" s="69"/>
      <c r="F151" s="69"/>
      <c r="G151" s="69"/>
      <c r="H151" s="69"/>
      <c r="I151" s="69"/>
      <c r="J151" s="69"/>
    </row>
    <row r="152" spans="1:12" s="32" customFormat="1" ht="15.75" customHeight="1" x14ac:dyDescent="0.25">
      <c r="A152" s="86"/>
      <c r="B152" s="88"/>
      <c r="C152" s="72" t="s">
        <v>236</v>
      </c>
      <c r="D152" s="80"/>
      <c r="E152" s="80"/>
      <c r="F152" s="80"/>
      <c r="G152" s="80"/>
      <c r="H152" s="73"/>
      <c r="I152" s="74" t="str">
        <f>A151</f>
        <v>7th Floor For Residential &amp; Part Parking Area</v>
      </c>
      <c r="J152" s="75"/>
    </row>
    <row r="153" spans="1:12" s="32" customFormat="1" ht="15.75" x14ac:dyDescent="0.25">
      <c r="A153" s="70" t="s">
        <v>98</v>
      </c>
      <c r="B153" s="70"/>
      <c r="C153" s="71" t="s">
        <v>91</v>
      </c>
      <c r="D153" s="71"/>
      <c r="E153" s="71">
        <f>97.53*10.74</f>
        <v>1047.4721999999999</v>
      </c>
      <c r="F153" s="71"/>
      <c r="G153" s="58">
        <v>0</v>
      </c>
      <c r="H153" s="58">
        <f>E153*1.6+G153</f>
        <v>1675.95552</v>
      </c>
      <c r="I153" s="76"/>
      <c r="J153" s="77"/>
    </row>
    <row r="154" spans="1:12" s="32" customFormat="1" ht="15.75" x14ac:dyDescent="0.25">
      <c r="A154" s="70" t="s">
        <v>99</v>
      </c>
      <c r="B154" s="70"/>
      <c r="C154" s="71" t="s">
        <v>91</v>
      </c>
      <c r="D154" s="71"/>
      <c r="E154" s="71">
        <f t="shared" ref="E154:E155" si="2">97.53*10.74</f>
        <v>1047.4721999999999</v>
      </c>
      <c r="F154" s="71"/>
      <c r="G154" s="58">
        <v>0</v>
      </c>
      <c r="H154" s="58">
        <f t="shared" ref="H154:H156" si="3">E154*1.6+G154</f>
        <v>1675.95552</v>
      </c>
      <c r="I154" s="76"/>
      <c r="J154" s="77"/>
    </row>
    <row r="155" spans="1:12" s="32" customFormat="1" ht="15.75" x14ac:dyDescent="0.25">
      <c r="A155" s="70" t="s">
        <v>100</v>
      </c>
      <c r="B155" s="70"/>
      <c r="C155" s="71" t="s">
        <v>91</v>
      </c>
      <c r="D155" s="71"/>
      <c r="E155" s="71">
        <f t="shared" si="2"/>
        <v>1047.4721999999999</v>
      </c>
      <c r="F155" s="71"/>
      <c r="G155" s="58">
        <v>0</v>
      </c>
      <c r="H155" s="58">
        <f t="shared" si="3"/>
        <v>1675.95552</v>
      </c>
      <c r="I155" s="76"/>
      <c r="J155" s="77"/>
    </row>
    <row r="156" spans="1:12" s="32" customFormat="1" ht="15.75" customHeight="1" x14ac:dyDescent="0.25">
      <c r="A156" s="70" t="s">
        <v>101</v>
      </c>
      <c r="B156" s="70"/>
      <c r="C156" s="71" t="s">
        <v>91</v>
      </c>
      <c r="D156" s="71"/>
      <c r="E156" s="71">
        <f>84.8*10.764</f>
        <v>912.78719999999987</v>
      </c>
      <c r="F156" s="71"/>
      <c r="G156" s="58">
        <v>0</v>
      </c>
      <c r="H156" s="58">
        <f t="shared" si="3"/>
        <v>1460.4595199999999</v>
      </c>
      <c r="I156" s="78"/>
      <c r="J156" s="79"/>
    </row>
    <row r="157" spans="1:12" s="32" customFormat="1" ht="15.75" x14ac:dyDescent="0.25">
      <c r="A157" s="69" t="s">
        <v>238</v>
      </c>
      <c r="B157" s="69"/>
      <c r="C157" s="69"/>
      <c r="D157" s="69"/>
      <c r="E157" s="69"/>
      <c r="F157" s="69"/>
      <c r="G157" s="69"/>
      <c r="H157" s="69"/>
      <c r="I157" s="69"/>
      <c r="J157" s="69"/>
    </row>
    <row r="158" spans="1:12" s="32" customFormat="1" ht="15.75" x14ac:dyDescent="0.25">
      <c r="A158" s="70" t="s">
        <v>102</v>
      </c>
      <c r="B158" s="70"/>
      <c r="C158" s="71" t="s">
        <v>91</v>
      </c>
      <c r="D158" s="71"/>
      <c r="E158" s="71">
        <f t="shared" ref="E158:E161" si="4">97.53*10.74</f>
        <v>1047.4721999999999</v>
      </c>
      <c r="F158" s="71"/>
      <c r="G158" s="58">
        <v>0</v>
      </c>
      <c r="H158" s="58">
        <f t="shared" ref="H158:H159" si="5">E158*1.6+G158</f>
        <v>1675.95552</v>
      </c>
      <c r="I158" s="71" t="str">
        <f>A157</f>
        <v>8th Floor (Part Refuge Area)</v>
      </c>
      <c r="J158" s="71"/>
    </row>
    <row r="159" spans="1:12" s="32" customFormat="1" ht="15.75" customHeight="1" x14ac:dyDescent="0.25">
      <c r="A159" s="70" t="s">
        <v>98</v>
      </c>
      <c r="B159" s="70"/>
      <c r="C159" s="71" t="s">
        <v>91</v>
      </c>
      <c r="D159" s="71"/>
      <c r="E159" s="71">
        <f t="shared" si="4"/>
        <v>1047.4721999999999</v>
      </c>
      <c r="F159" s="71"/>
      <c r="G159" s="58">
        <v>0</v>
      </c>
      <c r="H159" s="58">
        <f t="shared" si="5"/>
        <v>1675.95552</v>
      </c>
      <c r="I159" s="71"/>
      <c r="J159" s="71"/>
    </row>
    <row r="160" spans="1:12" s="32" customFormat="1" ht="15.75" x14ac:dyDescent="0.25">
      <c r="A160" s="70" t="s">
        <v>99</v>
      </c>
      <c r="B160" s="70"/>
      <c r="C160" s="71" t="s">
        <v>91</v>
      </c>
      <c r="D160" s="71"/>
      <c r="E160" s="71">
        <f t="shared" si="4"/>
        <v>1047.4721999999999</v>
      </c>
      <c r="F160" s="71"/>
      <c r="G160" s="58">
        <v>0</v>
      </c>
      <c r="H160" s="58">
        <f t="shared" ref="H160:H161" si="6">E160*1.6+G160</f>
        <v>1675.95552</v>
      </c>
      <c r="I160" s="71"/>
      <c r="J160" s="71"/>
    </row>
    <row r="161" spans="1:11" s="32" customFormat="1" ht="15.75" x14ac:dyDescent="0.25">
      <c r="A161" s="70" t="s">
        <v>100</v>
      </c>
      <c r="B161" s="70"/>
      <c r="C161" s="71" t="s">
        <v>91</v>
      </c>
      <c r="D161" s="71"/>
      <c r="E161" s="71">
        <f t="shared" si="4"/>
        <v>1047.4721999999999</v>
      </c>
      <c r="F161" s="71"/>
      <c r="G161" s="58">
        <v>0</v>
      </c>
      <c r="H161" s="58">
        <f t="shared" si="6"/>
        <v>1675.95552</v>
      </c>
      <c r="I161" s="71"/>
      <c r="J161" s="71"/>
    </row>
    <row r="162" spans="1:11" s="32" customFormat="1" ht="15.75" x14ac:dyDescent="0.25">
      <c r="A162" s="70" t="s">
        <v>101</v>
      </c>
      <c r="B162" s="70"/>
      <c r="C162" s="71" t="s">
        <v>103</v>
      </c>
      <c r="D162" s="71"/>
      <c r="E162" s="71"/>
      <c r="F162" s="71"/>
      <c r="G162" s="71"/>
      <c r="H162" s="71"/>
      <c r="I162" s="71"/>
      <c r="J162" s="71"/>
    </row>
    <row r="163" spans="1:11" s="32" customFormat="1" ht="15.75" x14ac:dyDescent="0.25">
      <c r="A163" s="70" t="s">
        <v>104</v>
      </c>
      <c r="B163" s="70"/>
      <c r="C163" s="71"/>
      <c r="D163" s="71"/>
      <c r="E163" s="71"/>
      <c r="F163" s="71"/>
      <c r="G163" s="71"/>
      <c r="H163" s="71"/>
      <c r="I163" s="71"/>
      <c r="J163" s="71"/>
    </row>
    <row r="164" spans="1:11" s="32" customFormat="1" ht="15.75" x14ac:dyDescent="0.25">
      <c r="A164" s="100" t="s">
        <v>179</v>
      </c>
      <c r="B164" s="100"/>
      <c r="C164" s="100"/>
      <c r="D164" s="100"/>
      <c r="E164" s="100"/>
      <c r="F164" s="100"/>
      <c r="G164" s="100"/>
      <c r="H164" s="100"/>
      <c r="I164" s="100"/>
      <c r="J164" s="100"/>
      <c r="K164" s="32">
        <f>6+6+6</f>
        <v>18</v>
      </c>
    </row>
    <row r="165" spans="1:11" s="32" customFormat="1" ht="15.75" x14ac:dyDescent="0.25">
      <c r="A165" s="70" t="s">
        <v>102</v>
      </c>
      <c r="B165" s="70"/>
      <c r="C165" s="71" t="s">
        <v>91</v>
      </c>
      <c r="D165" s="71"/>
      <c r="E165" s="71">
        <f t="shared" ref="E165:E168" si="7">97.53*10.74</f>
        <v>1047.4721999999999</v>
      </c>
      <c r="F165" s="71"/>
      <c r="G165" s="58">
        <v>0</v>
      </c>
      <c r="H165" s="58">
        <f t="shared" ref="H165:H166" si="8">E165*1.6+G165</f>
        <v>1675.95552</v>
      </c>
      <c r="I165" s="71" t="str">
        <f>A164</f>
        <v>9th to 14th, 16th to 21st &amp; 24th to 29th Floor</v>
      </c>
      <c r="J165" s="71"/>
    </row>
    <row r="166" spans="1:11" s="32" customFormat="1" ht="15.75" x14ac:dyDescent="0.25">
      <c r="A166" s="70" t="s">
        <v>98</v>
      </c>
      <c r="B166" s="70"/>
      <c r="C166" s="71" t="s">
        <v>91</v>
      </c>
      <c r="D166" s="71"/>
      <c r="E166" s="71">
        <f t="shared" si="7"/>
        <v>1047.4721999999999</v>
      </c>
      <c r="F166" s="71"/>
      <c r="G166" s="58">
        <v>0</v>
      </c>
      <c r="H166" s="58">
        <f t="shared" si="8"/>
        <v>1675.95552</v>
      </c>
      <c r="I166" s="71"/>
      <c r="J166" s="71"/>
    </row>
    <row r="167" spans="1:11" s="32" customFormat="1" ht="15.75" x14ac:dyDescent="0.25">
      <c r="A167" s="70" t="s">
        <v>99</v>
      </c>
      <c r="B167" s="70"/>
      <c r="C167" s="71" t="s">
        <v>91</v>
      </c>
      <c r="D167" s="71"/>
      <c r="E167" s="71">
        <f t="shared" si="7"/>
        <v>1047.4721999999999</v>
      </c>
      <c r="F167" s="71"/>
      <c r="G167" s="58">
        <v>0</v>
      </c>
      <c r="H167" s="58">
        <f t="shared" ref="H167:H170" si="9">E167*1.6+G167</f>
        <v>1675.95552</v>
      </c>
      <c r="I167" s="71"/>
      <c r="J167" s="71"/>
    </row>
    <row r="168" spans="1:11" s="32" customFormat="1" ht="15.75" x14ac:dyDescent="0.25">
      <c r="A168" s="70" t="s">
        <v>100</v>
      </c>
      <c r="B168" s="70"/>
      <c r="C168" s="71" t="s">
        <v>91</v>
      </c>
      <c r="D168" s="71"/>
      <c r="E168" s="71">
        <f t="shared" si="7"/>
        <v>1047.4721999999999</v>
      </c>
      <c r="F168" s="71"/>
      <c r="G168" s="58">
        <v>0</v>
      </c>
      <c r="H168" s="58">
        <f t="shared" si="9"/>
        <v>1675.95552</v>
      </c>
      <c r="I168" s="71"/>
      <c r="J168" s="71"/>
    </row>
    <row r="169" spans="1:11" s="32" customFormat="1" ht="15.75" x14ac:dyDescent="0.25">
      <c r="A169" s="70" t="s">
        <v>101</v>
      </c>
      <c r="B169" s="70"/>
      <c r="C169" s="71" t="s">
        <v>91</v>
      </c>
      <c r="D169" s="71"/>
      <c r="E169" s="71">
        <f>84.8*10.764</f>
        <v>912.78719999999987</v>
      </c>
      <c r="F169" s="71"/>
      <c r="G169" s="58">
        <v>0</v>
      </c>
      <c r="H169" s="58">
        <f t="shared" si="9"/>
        <v>1460.4595199999999</v>
      </c>
      <c r="I169" s="71"/>
      <c r="J169" s="71"/>
    </row>
    <row r="170" spans="1:11" s="32" customFormat="1" ht="15.75" x14ac:dyDescent="0.25">
      <c r="A170" s="70" t="s">
        <v>104</v>
      </c>
      <c r="B170" s="70"/>
      <c r="C170" s="71" t="s">
        <v>91</v>
      </c>
      <c r="D170" s="71"/>
      <c r="E170" s="71">
        <f>84.8*10.764</f>
        <v>912.78719999999987</v>
      </c>
      <c r="F170" s="71"/>
      <c r="G170" s="58">
        <v>0</v>
      </c>
      <c r="H170" s="58">
        <f t="shared" si="9"/>
        <v>1460.4595199999999</v>
      </c>
      <c r="I170" s="71"/>
      <c r="J170" s="71"/>
    </row>
    <row r="171" spans="1:11" s="32" customFormat="1" ht="15.75" x14ac:dyDescent="0.25">
      <c r="A171" s="86" t="s">
        <v>105</v>
      </c>
      <c r="B171" s="87"/>
      <c r="C171" s="87"/>
      <c r="D171" s="87"/>
      <c r="E171" s="87"/>
      <c r="F171" s="87"/>
      <c r="G171" s="87"/>
      <c r="H171" s="87"/>
      <c r="I171" s="87"/>
      <c r="J171" s="88"/>
    </row>
    <row r="172" spans="1:11" s="32" customFormat="1" ht="15.75" x14ac:dyDescent="0.25">
      <c r="A172" s="250" t="s">
        <v>102</v>
      </c>
      <c r="B172" s="251"/>
      <c r="C172" s="72" t="s">
        <v>91</v>
      </c>
      <c r="D172" s="73"/>
      <c r="E172" s="71">
        <f t="shared" ref="E172:E175" si="10">97.53*10.74</f>
        <v>1047.4721999999999</v>
      </c>
      <c r="F172" s="71"/>
      <c r="G172" s="58">
        <v>0</v>
      </c>
      <c r="H172" s="58">
        <f t="shared" ref="H172:H175" si="11">E172*1.6+G172</f>
        <v>1675.95552</v>
      </c>
      <c r="I172" s="74" t="str">
        <f>A171</f>
        <v>15th Floor (Part Refuge Area)</v>
      </c>
      <c r="J172" s="75"/>
    </row>
    <row r="173" spans="1:11" s="32" customFormat="1" ht="15.75" x14ac:dyDescent="0.25">
      <c r="A173" s="70" t="s">
        <v>98</v>
      </c>
      <c r="B173" s="70"/>
      <c r="C173" s="71" t="s">
        <v>91</v>
      </c>
      <c r="D173" s="71"/>
      <c r="E173" s="71">
        <f t="shared" si="10"/>
        <v>1047.4721999999999</v>
      </c>
      <c r="F173" s="71"/>
      <c r="G173" s="58">
        <v>0</v>
      </c>
      <c r="H173" s="58">
        <f t="shared" si="11"/>
        <v>1675.95552</v>
      </c>
      <c r="I173" s="76"/>
      <c r="J173" s="77"/>
    </row>
    <row r="174" spans="1:11" s="32" customFormat="1" ht="15.75" x14ac:dyDescent="0.25">
      <c r="A174" s="70" t="s">
        <v>99</v>
      </c>
      <c r="B174" s="70"/>
      <c r="C174" s="71" t="s">
        <v>91</v>
      </c>
      <c r="D174" s="71"/>
      <c r="E174" s="71">
        <f t="shared" si="10"/>
        <v>1047.4721999999999</v>
      </c>
      <c r="F174" s="71"/>
      <c r="G174" s="58">
        <v>0</v>
      </c>
      <c r="H174" s="58">
        <f t="shared" si="11"/>
        <v>1675.95552</v>
      </c>
      <c r="I174" s="76"/>
      <c r="J174" s="77"/>
    </row>
    <row r="175" spans="1:11" s="32" customFormat="1" ht="15.75" x14ac:dyDescent="0.25">
      <c r="A175" s="70" t="s">
        <v>100</v>
      </c>
      <c r="B175" s="70"/>
      <c r="C175" s="71" t="s">
        <v>91</v>
      </c>
      <c r="D175" s="71"/>
      <c r="E175" s="71">
        <f t="shared" si="10"/>
        <v>1047.4721999999999</v>
      </c>
      <c r="F175" s="71"/>
      <c r="G175" s="58">
        <v>0</v>
      </c>
      <c r="H175" s="58">
        <f t="shared" si="11"/>
        <v>1675.95552</v>
      </c>
      <c r="I175" s="76"/>
      <c r="J175" s="77"/>
    </row>
    <row r="176" spans="1:11" s="32" customFormat="1" ht="15.75" x14ac:dyDescent="0.25">
      <c r="A176" s="70" t="s">
        <v>101</v>
      </c>
      <c r="B176" s="70"/>
      <c r="C176" s="74" t="s">
        <v>103</v>
      </c>
      <c r="D176" s="81"/>
      <c r="E176" s="81"/>
      <c r="F176" s="81"/>
      <c r="G176" s="81"/>
      <c r="H176" s="75"/>
      <c r="I176" s="76"/>
      <c r="J176" s="77"/>
    </row>
    <row r="177" spans="1:14" s="32" customFormat="1" ht="15.75" x14ac:dyDescent="0.25">
      <c r="A177" s="70" t="s">
        <v>104</v>
      </c>
      <c r="B177" s="70"/>
      <c r="C177" s="78"/>
      <c r="D177" s="82"/>
      <c r="E177" s="82"/>
      <c r="F177" s="82"/>
      <c r="G177" s="82"/>
      <c r="H177" s="79"/>
      <c r="I177" s="78"/>
      <c r="J177" s="79"/>
    </row>
    <row r="178" spans="1:14" s="32" customFormat="1" ht="15" customHeight="1" x14ac:dyDescent="0.25">
      <c r="A178" s="100" t="s">
        <v>243</v>
      </c>
      <c r="B178" s="100"/>
      <c r="C178" s="100"/>
      <c r="D178" s="100"/>
      <c r="E178" s="100"/>
      <c r="F178" s="100"/>
      <c r="G178" s="100"/>
      <c r="H178" s="100"/>
      <c r="I178" s="100"/>
      <c r="J178" s="100"/>
    </row>
    <row r="179" spans="1:14" s="32" customFormat="1" ht="15.75" x14ac:dyDescent="0.25">
      <c r="A179" s="69" t="s">
        <v>106</v>
      </c>
      <c r="B179" s="69"/>
      <c r="C179" s="69"/>
      <c r="D179" s="69"/>
      <c r="E179" s="69"/>
      <c r="F179" s="69"/>
      <c r="G179" s="69"/>
      <c r="H179" s="69"/>
      <c r="I179" s="69"/>
      <c r="J179" s="69"/>
    </row>
    <row r="180" spans="1:14" s="32" customFormat="1" ht="15.75" x14ac:dyDescent="0.25">
      <c r="A180" s="70" t="s">
        <v>102</v>
      </c>
      <c r="B180" s="70"/>
      <c r="C180" s="71" t="s">
        <v>91</v>
      </c>
      <c r="D180" s="71"/>
      <c r="E180" s="71">
        <f t="shared" ref="E180:E183" si="12">97.53*10.74</f>
        <v>1047.4721999999999</v>
      </c>
      <c r="F180" s="71"/>
      <c r="G180" s="58">
        <v>0</v>
      </c>
      <c r="H180" s="58">
        <f t="shared" ref="H180:H183" si="13">E180*1.6+G180</f>
        <v>1675.95552</v>
      </c>
      <c r="I180" s="74" t="str">
        <f>A179</f>
        <v>23rd Floor (Part Refuge Area)</v>
      </c>
      <c r="J180" s="75"/>
    </row>
    <row r="181" spans="1:14" s="32" customFormat="1" ht="15.75" x14ac:dyDescent="0.25">
      <c r="A181" s="70" t="s">
        <v>98</v>
      </c>
      <c r="B181" s="70"/>
      <c r="C181" s="71" t="s">
        <v>91</v>
      </c>
      <c r="D181" s="71"/>
      <c r="E181" s="71">
        <f t="shared" si="12"/>
        <v>1047.4721999999999</v>
      </c>
      <c r="F181" s="71"/>
      <c r="G181" s="58">
        <v>0</v>
      </c>
      <c r="H181" s="58">
        <f t="shared" si="13"/>
        <v>1675.95552</v>
      </c>
      <c r="I181" s="76"/>
      <c r="J181" s="77"/>
    </row>
    <row r="182" spans="1:14" s="32" customFormat="1" ht="15.75" x14ac:dyDescent="0.25">
      <c r="A182" s="70" t="s">
        <v>99</v>
      </c>
      <c r="B182" s="70"/>
      <c r="C182" s="71" t="s">
        <v>91</v>
      </c>
      <c r="D182" s="71"/>
      <c r="E182" s="71">
        <f t="shared" si="12"/>
        <v>1047.4721999999999</v>
      </c>
      <c r="F182" s="71"/>
      <c r="G182" s="58">
        <v>0</v>
      </c>
      <c r="H182" s="58">
        <f t="shared" si="13"/>
        <v>1675.95552</v>
      </c>
      <c r="I182" s="76"/>
      <c r="J182" s="77"/>
    </row>
    <row r="183" spans="1:14" s="32" customFormat="1" ht="15.75" x14ac:dyDescent="0.25">
      <c r="A183" s="70" t="s">
        <v>100</v>
      </c>
      <c r="B183" s="70"/>
      <c r="C183" s="71" t="s">
        <v>91</v>
      </c>
      <c r="D183" s="71"/>
      <c r="E183" s="71">
        <f t="shared" si="12"/>
        <v>1047.4721999999999</v>
      </c>
      <c r="F183" s="71"/>
      <c r="G183" s="58">
        <v>0</v>
      </c>
      <c r="H183" s="58">
        <f t="shared" si="13"/>
        <v>1675.95552</v>
      </c>
      <c r="I183" s="76"/>
      <c r="J183" s="77"/>
    </row>
    <row r="184" spans="1:14" s="32" customFormat="1" ht="15.75" x14ac:dyDescent="0.25">
      <c r="A184" s="70" t="s">
        <v>101</v>
      </c>
      <c r="B184" s="70"/>
      <c r="C184" s="74" t="s">
        <v>103</v>
      </c>
      <c r="D184" s="81"/>
      <c r="E184" s="81"/>
      <c r="F184" s="81"/>
      <c r="G184" s="81"/>
      <c r="H184" s="75"/>
      <c r="I184" s="76"/>
      <c r="J184" s="77"/>
    </row>
    <row r="185" spans="1:14" s="32" customFormat="1" ht="15.75" x14ac:dyDescent="0.25">
      <c r="A185" s="70" t="s">
        <v>104</v>
      </c>
      <c r="B185" s="70"/>
      <c r="C185" s="78"/>
      <c r="D185" s="82"/>
      <c r="E185" s="82"/>
      <c r="F185" s="82"/>
      <c r="G185" s="82"/>
      <c r="H185" s="79"/>
      <c r="I185" s="78"/>
      <c r="J185" s="79"/>
    </row>
    <row r="186" spans="1:14" s="32" customFormat="1" ht="15.75" x14ac:dyDescent="0.25">
      <c r="A186" s="69" t="s">
        <v>107</v>
      </c>
      <c r="B186" s="69"/>
      <c r="C186" s="69"/>
      <c r="D186" s="69"/>
      <c r="E186" s="69"/>
      <c r="F186" s="69"/>
      <c r="G186" s="69"/>
      <c r="H186" s="69"/>
      <c r="I186" s="69"/>
      <c r="J186" s="69"/>
    </row>
    <row r="187" spans="1:14" s="32" customFormat="1" ht="15.75" customHeight="1" x14ac:dyDescent="0.25">
      <c r="A187" s="70" t="s">
        <v>102</v>
      </c>
      <c r="B187" s="70"/>
      <c r="C187" s="71" t="s">
        <v>91</v>
      </c>
      <c r="D187" s="71"/>
      <c r="E187" s="71">
        <f t="shared" ref="E187:E190" si="14">97.53*10.74</f>
        <v>1047.4721999999999</v>
      </c>
      <c r="F187" s="71"/>
      <c r="G187" s="58">
        <v>0</v>
      </c>
      <c r="H187" s="58">
        <f t="shared" ref="H187:H190" si="15">E187*1.6+G187</f>
        <v>1675.95552</v>
      </c>
      <c r="I187" s="74" t="str">
        <f>A186</f>
        <v>30th Floor (Part Refuge Area)</v>
      </c>
      <c r="J187" s="75"/>
      <c r="N187" s="32">
        <v>0</v>
      </c>
    </row>
    <row r="188" spans="1:14" s="32" customFormat="1" ht="15.75" x14ac:dyDescent="0.25">
      <c r="A188" s="70" t="s">
        <v>98</v>
      </c>
      <c r="B188" s="70"/>
      <c r="C188" s="71" t="s">
        <v>91</v>
      </c>
      <c r="D188" s="71"/>
      <c r="E188" s="71">
        <f t="shared" si="14"/>
        <v>1047.4721999999999</v>
      </c>
      <c r="F188" s="71"/>
      <c r="G188" s="58">
        <v>0</v>
      </c>
      <c r="H188" s="58">
        <f t="shared" si="15"/>
        <v>1675.95552</v>
      </c>
      <c r="I188" s="76"/>
      <c r="J188" s="77"/>
    </row>
    <row r="189" spans="1:14" s="32" customFormat="1" ht="15.75" x14ac:dyDescent="0.25">
      <c r="A189" s="70" t="s">
        <v>99</v>
      </c>
      <c r="B189" s="70"/>
      <c r="C189" s="71" t="s">
        <v>91</v>
      </c>
      <c r="D189" s="71"/>
      <c r="E189" s="71">
        <f t="shared" si="14"/>
        <v>1047.4721999999999</v>
      </c>
      <c r="F189" s="71"/>
      <c r="G189" s="58">
        <v>0</v>
      </c>
      <c r="H189" s="58">
        <f t="shared" si="15"/>
        <v>1675.95552</v>
      </c>
      <c r="I189" s="76"/>
      <c r="J189" s="77"/>
    </row>
    <row r="190" spans="1:14" s="32" customFormat="1" ht="15.75" x14ac:dyDescent="0.25">
      <c r="A190" s="70" t="s">
        <v>100</v>
      </c>
      <c r="B190" s="70"/>
      <c r="C190" s="71" t="s">
        <v>91</v>
      </c>
      <c r="D190" s="71"/>
      <c r="E190" s="71">
        <f t="shared" si="14"/>
        <v>1047.4721999999999</v>
      </c>
      <c r="F190" s="71"/>
      <c r="G190" s="58">
        <v>0</v>
      </c>
      <c r="H190" s="58">
        <f t="shared" si="15"/>
        <v>1675.95552</v>
      </c>
      <c r="I190" s="76"/>
      <c r="J190" s="77"/>
    </row>
    <row r="191" spans="1:14" s="32" customFormat="1" ht="15.75" x14ac:dyDescent="0.25">
      <c r="A191" s="70" t="s">
        <v>101</v>
      </c>
      <c r="B191" s="70"/>
      <c r="C191" s="74" t="s">
        <v>103</v>
      </c>
      <c r="D191" s="81"/>
      <c r="E191" s="81"/>
      <c r="F191" s="81"/>
      <c r="G191" s="81"/>
      <c r="H191" s="75"/>
      <c r="I191" s="76"/>
      <c r="J191" s="77"/>
    </row>
    <row r="192" spans="1:14" s="32" customFormat="1" ht="15.75" x14ac:dyDescent="0.25">
      <c r="A192" s="70" t="s">
        <v>104</v>
      </c>
      <c r="B192" s="70"/>
      <c r="C192" s="78"/>
      <c r="D192" s="82"/>
      <c r="E192" s="82"/>
      <c r="F192" s="82"/>
      <c r="G192" s="82"/>
      <c r="H192" s="79"/>
      <c r="I192" s="78"/>
      <c r="J192" s="79"/>
    </row>
    <row r="193" spans="1:13" s="32" customFormat="1" ht="15.75" x14ac:dyDescent="0.25">
      <c r="A193" s="69" t="s">
        <v>108</v>
      </c>
      <c r="B193" s="69"/>
      <c r="C193" s="69"/>
      <c r="D193" s="69"/>
      <c r="E193" s="69"/>
      <c r="F193" s="69"/>
      <c r="G193" s="69"/>
      <c r="H193" s="69"/>
      <c r="I193" s="69"/>
      <c r="J193" s="69"/>
      <c r="K193" s="32">
        <f>6+6+4</f>
        <v>16</v>
      </c>
    </row>
    <row r="194" spans="1:13" s="32" customFormat="1" ht="15.75" x14ac:dyDescent="0.25">
      <c r="A194" s="70" t="s">
        <v>102</v>
      </c>
      <c r="B194" s="70"/>
      <c r="C194" s="71" t="s">
        <v>91</v>
      </c>
      <c r="D194" s="71"/>
      <c r="E194" s="72">
        <f>101.44*10.764</f>
        <v>1091.9001599999999</v>
      </c>
      <c r="F194" s="73"/>
      <c r="G194" s="58">
        <v>0</v>
      </c>
      <c r="H194" s="58">
        <f t="shared" ref="H194:H199" si="16">E194*1.6+G194</f>
        <v>1747.040256</v>
      </c>
      <c r="I194" s="74" t="str">
        <f>A193</f>
        <v>31st to 36th, 38th to 43rd, 45th to 48th Floor</v>
      </c>
      <c r="J194" s="75"/>
      <c r="K194" s="32">
        <f>3.55*6.1+1.22*2.7+3.95*2.45+1.775*2.825+3.05*4.425+1.525*2.45+3.35*4.425+1.525*2.45+3.95*3.2+2.45*1.525+4.5*1.1</f>
        <v>96.759625</v>
      </c>
      <c r="L194" s="32">
        <f>3.042*1.35</f>
        <v>4.1067</v>
      </c>
      <c r="M194" s="32">
        <f>K194+L194</f>
        <v>100.866325</v>
      </c>
    </row>
    <row r="195" spans="1:13" s="32" customFormat="1" ht="15.75" x14ac:dyDescent="0.25">
      <c r="A195" s="70" t="s">
        <v>98</v>
      </c>
      <c r="B195" s="70"/>
      <c r="C195" s="71" t="s">
        <v>91</v>
      </c>
      <c r="D195" s="71"/>
      <c r="E195" s="72">
        <f t="shared" ref="E195:E197" si="17">101.44*10.764</f>
        <v>1091.9001599999999</v>
      </c>
      <c r="F195" s="73"/>
      <c r="G195" s="58">
        <v>0</v>
      </c>
      <c r="H195" s="58">
        <f t="shared" si="16"/>
        <v>1747.040256</v>
      </c>
      <c r="I195" s="76"/>
      <c r="J195" s="77"/>
    </row>
    <row r="196" spans="1:13" s="32" customFormat="1" ht="15.75" x14ac:dyDescent="0.25">
      <c r="A196" s="70" t="s">
        <v>99</v>
      </c>
      <c r="B196" s="70"/>
      <c r="C196" s="71" t="s">
        <v>91</v>
      </c>
      <c r="D196" s="71"/>
      <c r="E196" s="72">
        <f t="shared" si="17"/>
        <v>1091.9001599999999</v>
      </c>
      <c r="F196" s="73"/>
      <c r="G196" s="58">
        <v>0</v>
      </c>
      <c r="H196" s="58">
        <f t="shared" si="16"/>
        <v>1747.040256</v>
      </c>
      <c r="I196" s="76"/>
      <c r="J196" s="77"/>
    </row>
    <row r="197" spans="1:13" s="32" customFormat="1" ht="15.75" x14ac:dyDescent="0.25">
      <c r="A197" s="70" t="s">
        <v>100</v>
      </c>
      <c r="B197" s="70"/>
      <c r="C197" s="71" t="s">
        <v>91</v>
      </c>
      <c r="D197" s="71"/>
      <c r="E197" s="72">
        <f t="shared" si="17"/>
        <v>1091.9001599999999</v>
      </c>
      <c r="F197" s="73"/>
      <c r="G197" s="58">
        <v>0</v>
      </c>
      <c r="H197" s="58">
        <f t="shared" si="16"/>
        <v>1747.040256</v>
      </c>
      <c r="I197" s="76"/>
      <c r="J197" s="77"/>
    </row>
    <row r="198" spans="1:13" s="32" customFormat="1" ht="15.75" x14ac:dyDescent="0.25">
      <c r="A198" s="70" t="s">
        <v>101</v>
      </c>
      <c r="B198" s="70"/>
      <c r="C198" s="71" t="s">
        <v>91</v>
      </c>
      <c r="D198" s="71"/>
      <c r="E198" s="71">
        <f>86.66*10.764</f>
        <v>932.80823999999996</v>
      </c>
      <c r="F198" s="71"/>
      <c r="G198" s="58">
        <v>0</v>
      </c>
      <c r="H198" s="58">
        <f t="shared" si="16"/>
        <v>1492.4931839999999</v>
      </c>
      <c r="I198" s="76"/>
      <c r="J198" s="77"/>
    </row>
    <row r="199" spans="1:13" s="32" customFormat="1" ht="15.75" x14ac:dyDescent="0.25">
      <c r="A199" s="70" t="s">
        <v>104</v>
      </c>
      <c r="B199" s="70"/>
      <c r="C199" s="71" t="s">
        <v>91</v>
      </c>
      <c r="D199" s="71"/>
      <c r="E199" s="71">
        <f>86.66*10.764</f>
        <v>932.80823999999996</v>
      </c>
      <c r="F199" s="71"/>
      <c r="G199" s="58">
        <v>0</v>
      </c>
      <c r="H199" s="58">
        <f t="shared" si="16"/>
        <v>1492.4931839999999</v>
      </c>
      <c r="I199" s="78"/>
      <c r="J199" s="79"/>
    </row>
    <row r="200" spans="1:13" s="32" customFormat="1" ht="15.75" x14ac:dyDescent="0.25">
      <c r="A200" s="69" t="s">
        <v>109</v>
      </c>
      <c r="B200" s="69"/>
      <c r="C200" s="69"/>
      <c r="D200" s="69"/>
      <c r="E200" s="69"/>
      <c r="F200" s="69"/>
      <c r="G200" s="69"/>
      <c r="H200" s="69"/>
      <c r="I200" s="69"/>
      <c r="J200" s="69"/>
    </row>
    <row r="201" spans="1:13" s="32" customFormat="1" ht="15.75" customHeight="1" x14ac:dyDescent="0.25">
      <c r="A201" s="70" t="s">
        <v>102</v>
      </c>
      <c r="B201" s="70"/>
      <c r="C201" s="71" t="s">
        <v>91</v>
      </c>
      <c r="D201" s="71"/>
      <c r="E201" s="72">
        <f t="shared" ref="E201:E204" si="18">101.44*10.764</f>
        <v>1091.9001599999999</v>
      </c>
      <c r="F201" s="73"/>
      <c r="G201" s="58">
        <v>0</v>
      </c>
      <c r="H201" s="58">
        <f t="shared" ref="H201:H206" si="19">E201*1.6+G201</f>
        <v>1747.040256</v>
      </c>
      <c r="I201" s="74" t="str">
        <f>A200</f>
        <v>49th &amp; 50th Floor</v>
      </c>
      <c r="J201" s="75"/>
    </row>
    <row r="202" spans="1:13" s="32" customFormat="1" ht="15.75" x14ac:dyDescent="0.25">
      <c r="A202" s="70" t="s">
        <v>98</v>
      </c>
      <c r="B202" s="70"/>
      <c r="C202" s="71" t="s">
        <v>91</v>
      </c>
      <c r="D202" s="71"/>
      <c r="E202" s="72">
        <f t="shared" si="18"/>
        <v>1091.9001599999999</v>
      </c>
      <c r="F202" s="73"/>
      <c r="G202" s="58">
        <v>0</v>
      </c>
      <c r="H202" s="58">
        <f t="shared" si="19"/>
        <v>1747.040256</v>
      </c>
      <c r="I202" s="76"/>
      <c r="J202" s="77"/>
    </row>
    <row r="203" spans="1:13" s="32" customFormat="1" ht="15.75" x14ac:dyDescent="0.25">
      <c r="A203" s="70" t="s">
        <v>99</v>
      </c>
      <c r="B203" s="70"/>
      <c r="C203" s="71" t="s">
        <v>91</v>
      </c>
      <c r="D203" s="71"/>
      <c r="E203" s="72">
        <f t="shared" si="18"/>
        <v>1091.9001599999999</v>
      </c>
      <c r="F203" s="73"/>
      <c r="G203" s="58">
        <v>0</v>
      </c>
      <c r="H203" s="58">
        <f t="shared" si="19"/>
        <v>1747.040256</v>
      </c>
      <c r="I203" s="76"/>
      <c r="J203" s="77"/>
    </row>
    <row r="204" spans="1:13" s="32" customFormat="1" ht="15.75" x14ac:dyDescent="0.25">
      <c r="A204" s="70" t="s">
        <v>100</v>
      </c>
      <c r="B204" s="70"/>
      <c r="C204" s="71" t="s">
        <v>91</v>
      </c>
      <c r="D204" s="71"/>
      <c r="E204" s="72">
        <f t="shared" si="18"/>
        <v>1091.9001599999999</v>
      </c>
      <c r="F204" s="73"/>
      <c r="G204" s="58">
        <v>0</v>
      </c>
      <c r="H204" s="58">
        <f t="shared" si="19"/>
        <v>1747.040256</v>
      </c>
      <c r="I204" s="76"/>
      <c r="J204" s="77"/>
    </row>
    <row r="205" spans="1:13" s="32" customFormat="1" ht="15.75" x14ac:dyDescent="0.25">
      <c r="A205" s="70" t="s">
        <v>101</v>
      </c>
      <c r="B205" s="70"/>
      <c r="C205" s="71" t="s">
        <v>91</v>
      </c>
      <c r="D205" s="71"/>
      <c r="E205" s="71">
        <f t="shared" ref="E205:E206" si="20">86.66*10.764</f>
        <v>932.80823999999996</v>
      </c>
      <c r="F205" s="71"/>
      <c r="G205" s="58">
        <v>0</v>
      </c>
      <c r="H205" s="58">
        <f t="shared" si="19"/>
        <v>1492.4931839999999</v>
      </c>
      <c r="I205" s="76"/>
      <c r="J205" s="77"/>
    </row>
    <row r="206" spans="1:13" s="32" customFormat="1" ht="15.75" x14ac:dyDescent="0.25">
      <c r="A206" s="70" t="s">
        <v>104</v>
      </c>
      <c r="B206" s="70"/>
      <c r="C206" s="71" t="s">
        <v>91</v>
      </c>
      <c r="D206" s="71"/>
      <c r="E206" s="71">
        <f t="shared" si="20"/>
        <v>932.80823999999996</v>
      </c>
      <c r="F206" s="71"/>
      <c r="G206" s="58">
        <v>0</v>
      </c>
      <c r="H206" s="58">
        <f t="shared" si="19"/>
        <v>1492.4931839999999</v>
      </c>
      <c r="I206" s="78"/>
      <c r="J206" s="79"/>
    </row>
    <row r="207" spans="1:13" s="32" customFormat="1" ht="15.75" x14ac:dyDescent="0.25">
      <c r="A207" s="100" t="s">
        <v>183</v>
      </c>
      <c r="B207" s="100"/>
      <c r="C207" s="100"/>
      <c r="D207" s="100"/>
      <c r="E207" s="100"/>
      <c r="F207" s="100"/>
      <c r="G207" s="100"/>
      <c r="H207" s="100"/>
      <c r="I207" s="100"/>
      <c r="J207" s="100"/>
    </row>
    <row r="208" spans="1:13" s="32" customFormat="1" ht="15.75" x14ac:dyDescent="0.25">
      <c r="A208" s="70" t="s">
        <v>102</v>
      </c>
      <c r="B208" s="70"/>
      <c r="C208" s="71" t="s">
        <v>91</v>
      </c>
      <c r="D208" s="71"/>
      <c r="E208" s="72">
        <f t="shared" ref="E208:E211" si="21">101.44*10.764</f>
        <v>1091.9001599999999</v>
      </c>
      <c r="F208" s="73"/>
      <c r="G208" s="58">
        <v>0</v>
      </c>
      <c r="H208" s="58">
        <f t="shared" ref="H208:H211" si="22">E208*1.6+G208</f>
        <v>1747.040256</v>
      </c>
      <c r="I208" s="74" t="str">
        <f>A207</f>
        <v>37th &amp; 51st Floor for Residential (Part Refuge Area)</v>
      </c>
      <c r="J208" s="75"/>
    </row>
    <row r="209" spans="1:11" s="32" customFormat="1" ht="15" customHeight="1" x14ac:dyDescent="0.25">
      <c r="A209" s="70" t="s">
        <v>98</v>
      </c>
      <c r="B209" s="70"/>
      <c r="C209" s="71" t="s">
        <v>91</v>
      </c>
      <c r="D209" s="71"/>
      <c r="E209" s="72">
        <f t="shared" si="21"/>
        <v>1091.9001599999999</v>
      </c>
      <c r="F209" s="73"/>
      <c r="G209" s="58">
        <v>0</v>
      </c>
      <c r="H209" s="58">
        <f t="shared" si="22"/>
        <v>1747.040256</v>
      </c>
      <c r="I209" s="76"/>
      <c r="J209" s="77"/>
    </row>
    <row r="210" spans="1:11" s="32" customFormat="1" ht="15.75" x14ac:dyDescent="0.25">
      <c r="A210" s="70" t="s">
        <v>99</v>
      </c>
      <c r="B210" s="70"/>
      <c r="C210" s="71" t="s">
        <v>91</v>
      </c>
      <c r="D210" s="71"/>
      <c r="E210" s="72">
        <f t="shared" si="21"/>
        <v>1091.9001599999999</v>
      </c>
      <c r="F210" s="73"/>
      <c r="G210" s="58">
        <v>0</v>
      </c>
      <c r="H210" s="58">
        <f t="shared" si="22"/>
        <v>1747.040256</v>
      </c>
      <c r="I210" s="76"/>
      <c r="J210" s="77"/>
    </row>
    <row r="211" spans="1:11" s="32" customFormat="1" ht="15" customHeight="1" x14ac:dyDescent="0.25">
      <c r="A211" s="70" t="s">
        <v>100</v>
      </c>
      <c r="B211" s="70"/>
      <c r="C211" s="71" t="s">
        <v>91</v>
      </c>
      <c r="D211" s="71"/>
      <c r="E211" s="72">
        <f t="shared" si="21"/>
        <v>1091.9001599999999</v>
      </c>
      <c r="F211" s="73"/>
      <c r="G211" s="58">
        <v>0</v>
      </c>
      <c r="H211" s="58">
        <f t="shared" si="22"/>
        <v>1747.040256</v>
      </c>
      <c r="I211" s="76"/>
      <c r="J211" s="77"/>
    </row>
    <row r="212" spans="1:11" s="32" customFormat="1" ht="15" customHeight="1" x14ac:dyDescent="0.25">
      <c r="A212" s="70" t="s">
        <v>101</v>
      </c>
      <c r="B212" s="70"/>
      <c r="C212" s="74" t="s">
        <v>103</v>
      </c>
      <c r="D212" s="81"/>
      <c r="E212" s="81"/>
      <c r="F212" s="81"/>
      <c r="G212" s="81"/>
      <c r="H212" s="75"/>
      <c r="I212" s="76"/>
      <c r="J212" s="77"/>
    </row>
    <row r="213" spans="1:11" s="32" customFormat="1" ht="15.75" x14ac:dyDescent="0.25">
      <c r="A213" s="70" t="s">
        <v>104</v>
      </c>
      <c r="B213" s="70"/>
      <c r="C213" s="78"/>
      <c r="D213" s="82"/>
      <c r="E213" s="82"/>
      <c r="F213" s="82"/>
      <c r="G213" s="82"/>
      <c r="H213" s="79"/>
      <c r="I213" s="78"/>
      <c r="J213" s="79"/>
    </row>
    <row r="214" spans="1:11" s="32" customFormat="1" ht="15" customHeight="1" x14ac:dyDescent="0.25">
      <c r="A214" s="69" t="s">
        <v>244</v>
      </c>
      <c r="B214" s="69"/>
      <c r="C214" s="69"/>
      <c r="D214" s="69"/>
      <c r="E214" s="69"/>
      <c r="F214" s="69"/>
      <c r="G214" s="69"/>
      <c r="H214" s="69"/>
      <c r="I214" s="69"/>
      <c r="J214" s="69"/>
    </row>
    <row r="215" spans="1:11" s="32" customFormat="1" ht="15.75" x14ac:dyDescent="0.25">
      <c r="A215" s="70" t="s">
        <v>102</v>
      </c>
      <c r="B215" s="70"/>
      <c r="C215" s="71" t="s">
        <v>91</v>
      </c>
      <c r="D215" s="71"/>
      <c r="E215" s="72">
        <f t="shared" ref="E215:E218" si="23">101.44*10.764</f>
        <v>1091.9001599999999</v>
      </c>
      <c r="F215" s="73"/>
      <c r="G215" s="58">
        <v>0</v>
      </c>
      <c r="H215" s="58">
        <f t="shared" ref="H215:H218" si="24">E215*1.6+G215</f>
        <v>1747.040256</v>
      </c>
      <c r="I215" s="74" t="str">
        <f>A214</f>
        <v>44th Floor (Part Refuge Area)</v>
      </c>
      <c r="J215" s="75"/>
    </row>
    <row r="216" spans="1:11" s="32" customFormat="1" ht="15.75" x14ac:dyDescent="0.25">
      <c r="A216" s="70" t="s">
        <v>98</v>
      </c>
      <c r="B216" s="70"/>
      <c r="C216" s="71" t="s">
        <v>91</v>
      </c>
      <c r="D216" s="71"/>
      <c r="E216" s="72">
        <f t="shared" si="23"/>
        <v>1091.9001599999999</v>
      </c>
      <c r="F216" s="73"/>
      <c r="G216" s="58">
        <v>0</v>
      </c>
      <c r="H216" s="58">
        <f t="shared" si="24"/>
        <v>1747.040256</v>
      </c>
      <c r="I216" s="76"/>
      <c r="J216" s="77"/>
    </row>
    <row r="217" spans="1:11" s="32" customFormat="1" ht="15.75" x14ac:dyDescent="0.25">
      <c r="A217" s="70" t="s">
        <v>99</v>
      </c>
      <c r="B217" s="70"/>
      <c r="C217" s="71" t="s">
        <v>91</v>
      </c>
      <c r="D217" s="71"/>
      <c r="E217" s="72">
        <f t="shared" si="23"/>
        <v>1091.9001599999999</v>
      </c>
      <c r="F217" s="73"/>
      <c r="G217" s="58">
        <v>0</v>
      </c>
      <c r="H217" s="58">
        <f t="shared" si="24"/>
        <v>1747.040256</v>
      </c>
      <c r="I217" s="76"/>
      <c r="J217" s="77"/>
    </row>
    <row r="218" spans="1:11" s="32" customFormat="1" ht="15.75" x14ac:dyDescent="0.25">
      <c r="A218" s="70" t="s">
        <v>100</v>
      </c>
      <c r="B218" s="70"/>
      <c r="C218" s="71" t="s">
        <v>91</v>
      </c>
      <c r="D218" s="71"/>
      <c r="E218" s="72">
        <f t="shared" si="23"/>
        <v>1091.9001599999999</v>
      </c>
      <c r="F218" s="73"/>
      <c r="G218" s="58">
        <v>0</v>
      </c>
      <c r="H218" s="58">
        <f t="shared" si="24"/>
        <v>1747.040256</v>
      </c>
      <c r="I218" s="76"/>
      <c r="J218" s="77"/>
    </row>
    <row r="219" spans="1:11" s="32" customFormat="1" ht="15.75" x14ac:dyDescent="0.25">
      <c r="A219" s="70" t="s">
        <v>101</v>
      </c>
      <c r="B219" s="70"/>
      <c r="C219" s="74" t="s">
        <v>103</v>
      </c>
      <c r="D219" s="81"/>
      <c r="E219" s="81"/>
      <c r="F219" s="81"/>
      <c r="G219" s="81"/>
      <c r="H219" s="75"/>
      <c r="I219" s="76"/>
      <c r="J219" s="77"/>
    </row>
    <row r="220" spans="1:11" s="32" customFormat="1" ht="15.75" x14ac:dyDescent="0.25">
      <c r="A220" s="70" t="s">
        <v>104</v>
      </c>
      <c r="B220" s="70"/>
      <c r="C220" s="78"/>
      <c r="D220" s="82"/>
      <c r="E220" s="82"/>
      <c r="F220" s="82"/>
      <c r="G220" s="82"/>
      <c r="H220" s="79"/>
      <c r="I220" s="78"/>
      <c r="J220" s="79"/>
    </row>
    <row r="221" spans="1:11" s="32" customFormat="1" ht="15.75" x14ac:dyDescent="0.25">
      <c r="A221" s="69" t="s">
        <v>245</v>
      </c>
      <c r="B221" s="69"/>
      <c r="C221" s="69"/>
      <c r="D221" s="69"/>
      <c r="E221" s="69"/>
      <c r="F221" s="69"/>
      <c r="G221" s="69"/>
      <c r="H221" s="69"/>
      <c r="I221" s="69"/>
      <c r="J221" s="69"/>
      <c r="K221" s="32">
        <f>6+4</f>
        <v>10</v>
      </c>
    </row>
    <row r="222" spans="1:11" s="32" customFormat="1" ht="15.75" x14ac:dyDescent="0.25">
      <c r="A222" s="70" t="s">
        <v>102</v>
      </c>
      <c r="B222" s="70"/>
      <c r="C222" s="71" t="s">
        <v>91</v>
      </c>
      <c r="D222" s="71"/>
      <c r="E222" s="72">
        <f t="shared" ref="E222:E225" si="25">101.44*10.764</f>
        <v>1091.9001599999999</v>
      </c>
      <c r="F222" s="73"/>
      <c r="G222" s="58">
        <v>0</v>
      </c>
      <c r="H222" s="58">
        <f t="shared" ref="H222:H227" si="26">E222*1.6+G222</f>
        <v>1747.040256</v>
      </c>
      <c r="I222" s="74" t="str">
        <f>A221</f>
        <v>52th to 57th &amp; 59th to 62nd Floor</v>
      </c>
      <c r="J222" s="75"/>
    </row>
    <row r="223" spans="1:11" s="32" customFormat="1" ht="15.75" x14ac:dyDescent="0.25">
      <c r="A223" s="70" t="s">
        <v>98</v>
      </c>
      <c r="B223" s="70"/>
      <c r="C223" s="71" t="s">
        <v>91</v>
      </c>
      <c r="D223" s="71"/>
      <c r="E223" s="72">
        <f t="shared" si="25"/>
        <v>1091.9001599999999</v>
      </c>
      <c r="F223" s="73"/>
      <c r="G223" s="58">
        <v>0</v>
      </c>
      <c r="H223" s="58">
        <f t="shared" si="26"/>
        <v>1747.040256</v>
      </c>
      <c r="I223" s="76"/>
      <c r="J223" s="77"/>
    </row>
    <row r="224" spans="1:11" s="32" customFormat="1" ht="15.75" x14ac:dyDescent="0.25">
      <c r="A224" s="70" t="s">
        <v>99</v>
      </c>
      <c r="B224" s="70"/>
      <c r="C224" s="71" t="s">
        <v>91</v>
      </c>
      <c r="D224" s="71"/>
      <c r="E224" s="72">
        <f t="shared" si="25"/>
        <v>1091.9001599999999</v>
      </c>
      <c r="F224" s="73"/>
      <c r="G224" s="58">
        <v>0</v>
      </c>
      <c r="H224" s="58">
        <f t="shared" si="26"/>
        <v>1747.040256</v>
      </c>
      <c r="I224" s="76"/>
      <c r="J224" s="77"/>
    </row>
    <row r="225" spans="1:10" s="32" customFormat="1" ht="15.75" x14ac:dyDescent="0.25">
      <c r="A225" s="70" t="s">
        <v>100</v>
      </c>
      <c r="B225" s="70"/>
      <c r="C225" s="71" t="s">
        <v>91</v>
      </c>
      <c r="D225" s="71"/>
      <c r="E225" s="72">
        <f t="shared" si="25"/>
        <v>1091.9001599999999</v>
      </c>
      <c r="F225" s="73"/>
      <c r="G225" s="58">
        <v>0</v>
      </c>
      <c r="H225" s="58">
        <f t="shared" si="26"/>
        <v>1747.040256</v>
      </c>
      <c r="I225" s="76"/>
      <c r="J225" s="77"/>
    </row>
    <row r="226" spans="1:10" s="32" customFormat="1" ht="15.75" x14ac:dyDescent="0.25">
      <c r="A226" s="70" t="s">
        <v>101</v>
      </c>
      <c r="B226" s="70"/>
      <c r="C226" s="71" t="s">
        <v>91</v>
      </c>
      <c r="D226" s="71"/>
      <c r="E226" s="71">
        <f t="shared" ref="E226:E227" si="27">86.66*10.764</f>
        <v>932.80823999999996</v>
      </c>
      <c r="F226" s="71"/>
      <c r="G226" s="58">
        <v>0</v>
      </c>
      <c r="H226" s="58">
        <f t="shared" si="26"/>
        <v>1492.4931839999999</v>
      </c>
      <c r="I226" s="76"/>
      <c r="J226" s="77"/>
    </row>
    <row r="227" spans="1:10" s="32" customFormat="1" ht="15.75" x14ac:dyDescent="0.25">
      <c r="A227" s="70" t="s">
        <v>104</v>
      </c>
      <c r="B227" s="70"/>
      <c r="C227" s="71" t="s">
        <v>91</v>
      </c>
      <c r="D227" s="71"/>
      <c r="E227" s="71">
        <f t="shared" si="27"/>
        <v>932.80823999999996</v>
      </c>
      <c r="F227" s="71"/>
      <c r="G227" s="58">
        <v>0</v>
      </c>
      <c r="H227" s="58">
        <f t="shared" si="26"/>
        <v>1492.4931839999999</v>
      </c>
      <c r="I227" s="78"/>
      <c r="J227" s="79"/>
    </row>
    <row r="228" spans="1:10" s="32" customFormat="1" ht="15" customHeight="1" x14ac:dyDescent="0.25">
      <c r="A228" s="100" t="s">
        <v>246</v>
      </c>
      <c r="B228" s="100"/>
      <c r="C228" s="100"/>
      <c r="D228" s="100"/>
      <c r="E228" s="100"/>
      <c r="F228" s="100"/>
      <c r="G228" s="100"/>
      <c r="H228" s="100"/>
      <c r="I228" s="100"/>
      <c r="J228" s="100"/>
    </row>
    <row r="229" spans="1:10" s="32" customFormat="1" ht="15.75" x14ac:dyDescent="0.25">
      <c r="A229" s="70" t="s">
        <v>102</v>
      </c>
      <c r="B229" s="70"/>
      <c r="C229" s="71" t="s">
        <v>91</v>
      </c>
      <c r="D229" s="71"/>
      <c r="E229" s="72">
        <f t="shared" ref="E229:E232" si="28">101.44*10.764</f>
        <v>1091.9001599999999</v>
      </c>
      <c r="F229" s="73"/>
      <c r="G229" s="58">
        <v>0</v>
      </c>
      <c r="H229" s="58">
        <f t="shared" ref="H229:H232" si="29">E229*1.6+G229</f>
        <v>1747.040256</v>
      </c>
      <c r="I229" s="74" t="str">
        <f>A228</f>
        <v>58th Floor For Residential (Part Refuge Area)</v>
      </c>
      <c r="J229" s="75"/>
    </row>
    <row r="230" spans="1:10" s="32" customFormat="1" ht="15.75" x14ac:dyDescent="0.25">
      <c r="A230" s="70" t="s">
        <v>98</v>
      </c>
      <c r="B230" s="70"/>
      <c r="C230" s="71" t="s">
        <v>91</v>
      </c>
      <c r="D230" s="71"/>
      <c r="E230" s="72">
        <f t="shared" si="28"/>
        <v>1091.9001599999999</v>
      </c>
      <c r="F230" s="73"/>
      <c r="G230" s="58">
        <v>0</v>
      </c>
      <c r="H230" s="58">
        <f t="shared" si="29"/>
        <v>1747.040256</v>
      </c>
      <c r="I230" s="76"/>
      <c r="J230" s="77"/>
    </row>
    <row r="231" spans="1:10" s="32" customFormat="1" ht="15.75" x14ac:dyDescent="0.25">
      <c r="A231" s="70" t="s">
        <v>99</v>
      </c>
      <c r="B231" s="70"/>
      <c r="C231" s="71" t="s">
        <v>91</v>
      </c>
      <c r="D231" s="71"/>
      <c r="E231" s="72">
        <f t="shared" si="28"/>
        <v>1091.9001599999999</v>
      </c>
      <c r="F231" s="73"/>
      <c r="G231" s="58">
        <v>0</v>
      </c>
      <c r="H231" s="58">
        <f t="shared" si="29"/>
        <v>1747.040256</v>
      </c>
      <c r="I231" s="76"/>
      <c r="J231" s="77"/>
    </row>
    <row r="232" spans="1:10" s="32" customFormat="1" ht="15.75" x14ac:dyDescent="0.25">
      <c r="A232" s="70" t="s">
        <v>100</v>
      </c>
      <c r="B232" s="70"/>
      <c r="C232" s="71" t="s">
        <v>91</v>
      </c>
      <c r="D232" s="71"/>
      <c r="E232" s="72">
        <f t="shared" si="28"/>
        <v>1091.9001599999999</v>
      </c>
      <c r="F232" s="73"/>
      <c r="G232" s="58">
        <v>0</v>
      </c>
      <c r="H232" s="58">
        <f t="shared" si="29"/>
        <v>1747.040256</v>
      </c>
      <c r="I232" s="76"/>
      <c r="J232" s="77"/>
    </row>
    <row r="233" spans="1:10" s="32" customFormat="1" ht="15.75" x14ac:dyDescent="0.25">
      <c r="A233" s="70" t="s">
        <v>101</v>
      </c>
      <c r="B233" s="70"/>
      <c r="C233" s="74" t="s">
        <v>103</v>
      </c>
      <c r="D233" s="81"/>
      <c r="E233" s="81"/>
      <c r="F233" s="81"/>
      <c r="G233" s="81"/>
      <c r="H233" s="75"/>
      <c r="I233" s="76"/>
      <c r="J233" s="77"/>
    </row>
    <row r="234" spans="1:10" s="32" customFormat="1" ht="15.75" x14ac:dyDescent="0.25">
      <c r="A234" s="70" t="s">
        <v>104</v>
      </c>
      <c r="B234" s="70"/>
      <c r="C234" s="78"/>
      <c r="D234" s="82"/>
      <c r="E234" s="82"/>
      <c r="F234" s="82"/>
      <c r="G234" s="82"/>
      <c r="H234" s="79"/>
      <c r="I234" s="78"/>
      <c r="J234" s="79"/>
    </row>
    <row r="235" spans="1:10" s="32" customFormat="1" ht="15.75" x14ac:dyDescent="0.25">
      <c r="A235" s="248" t="s">
        <v>110</v>
      </c>
      <c r="B235" s="248"/>
      <c r="C235" s="248"/>
      <c r="D235" s="248"/>
      <c r="E235" s="248"/>
      <c r="F235" s="248"/>
      <c r="G235" s="248"/>
      <c r="H235" s="248"/>
      <c r="I235" s="248"/>
      <c r="J235" s="248"/>
    </row>
    <row r="236" spans="1:10" s="32" customFormat="1" ht="15.75" x14ac:dyDescent="0.25">
      <c r="A236" s="90" t="s">
        <v>234</v>
      </c>
      <c r="B236" s="90"/>
      <c r="C236" s="90"/>
      <c r="D236" s="90"/>
      <c r="E236" s="90"/>
      <c r="F236" s="90"/>
      <c r="G236" s="90"/>
      <c r="H236" s="90"/>
      <c r="I236" s="90"/>
      <c r="J236" s="90"/>
    </row>
    <row r="237" spans="1:10" s="32" customFormat="1" ht="15.75" x14ac:dyDescent="0.25">
      <c r="A237" s="100" t="s">
        <v>235</v>
      </c>
      <c r="B237" s="100"/>
      <c r="C237" s="100"/>
      <c r="D237" s="100"/>
      <c r="E237" s="100"/>
      <c r="F237" s="100"/>
      <c r="G237" s="100"/>
      <c r="H237" s="100"/>
      <c r="I237" s="100"/>
      <c r="J237" s="100"/>
    </row>
    <row r="238" spans="1:10" s="32" customFormat="1" ht="15.75" x14ac:dyDescent="0.25">
      <c r="A238" s="90" t="s">
        <v>233</v>
      </c>
      <c r="B238" s="90"/>
      <c r="C238" s="90"/>
      <c r="D238" s="90"/>
      <c r="E238" s="90"/>
      <c r="F238" s="90"/>
      <c r="G238" s="90"/>
      <c r="H238" s="90"/>
      <c r="I238" s="90"/>
      <c r="J238" s="90"/>
    </row>
    <row r="239" spans="1:10" s="32" customFormat="1" ht="15.75" x14ac:dyDescent="0.25">
      <c r="A239" s="69" t="s">
        <v>237</v>
      </c>
      <c r="B239" s="69"/>
      <c r="C239" s="69"/>
      <c r="D239" s="69"/>
      <c r="E239" s="69"/>
      <c r="F239" s="69"/>
      <c r="G239" s="69"/>
      <c r="H239" s="69"/>
      <c r="I239" s="69"/>
      <c r="J239" s="69"/>
    </row>
    <row r="240" spans="1:10" s="32" customFormat="1" ht="15.75" x14ac:dyDescent="0.25">
      <c r="A240" s="92">
        <v>1</v>
      </c>
      <c r="B240" s="92"/>
      <c r="C240" s="93" t="s">
        <v>91</v>
      </c>
      <c r="D240" s="93"/>
      <c r="E240" s="93">
        <f>97.53*10.764</f>
        <v>1049.8129199999998</v>
      </c>
      <c r="F240" s="93"/>
      <c r="G240" s="59">
        <v>0</v>
      </c>
      <c r="H240" s="59">
        <f t="shared" ref="H240:H241" si="30">E240*1.6+G240</f>
        <v>1679.7006719999999</v>
      </c>
      <c r="I240" s="94" t="str">
        <f>A239</f>
        <v>2nd to 6th Floor For Residential &amp; Part Parking Area</v>
      </c>
      <c r="J240" s="95"/>
    </row>
    <row r="241" spans="1:10" s="32" customFormat="1" ht="15.75" x14ac:dyDescent="0.25">
      <c r="A241" s="92">
        <f>A240+1</f>
        <v>2</v>
      </c>
      <c r="B241" s="92"/>
      <c r="C241" s="93" t="s">
        <v>91</v>
      </c>
      <c r="D241" s="93"/>
      <c r="E241" s="93">
        <f>111.9*10.764</f>
        <v>1204.4916000000001</v>
      </c>
      <c r="F241" s="93"/>
      <c r="G241" s="59">
        <v>0</v>
      </c>
      <c r="H241" s="59">
        <f t="shared" si="30"/>
        <v>1927.1865600000001</v>
      </c>
      <c r="I241" s="96"/>
      <c r="J241" s="97"/>
    </row>
    <row r="242" spans="1:10" s="32" customFormat="1" ht="15.75" x14ac:dyDescent="0.25">
      <c r="A242" s="92">
        <f t="shared" ref="A242:A244" si="31">A241+1</f>
        <v>3</v>
      </c>
      <c r="B242" s="92"/>
      <c r="C242" s="94" t="s">
        <v>178</v>
      </c>
      <c r="D242" s="252"/>
      <c r="E242" s="252"/>
      <c r="F242" s="252"/>
      <c r="G242" s="252"/>
      <c r="H242" s="95"/>
      <c r="I242" s="96"/>
      <c r="J242" s="97"/>
    </row>
    <row r="243" spans="1:10" s="32" customFormat="1" ht="15.75" x14ac:dyDescent="0.25">
      <c r="A243" s="92">
        <f t="shared" si="31"/>
        <v>4</v>
      </c>
      <c r="B243" s="92"/>
      <c r="C243" s="96"/>
      <c r="D243" s="253"/>
      <c r="E243" s="253"/>
      <c r="F243" s="253"/>
      <c r="G243" s="253"/>
      <c r="H243" s="97"/>
      <c r="I243" s="96"/>
      <c r="J243" s="97"/>
    </row>
    <row r="244" spans="1:10" s="32" customFormat="1" ht="15.75" x14ac:dyDescent="0.25">
      <c r="A244" s="92">
        <f t="shared" si="31"/>
        <v>5</v>
      </c>
      <c r="B244" s="92"/>
      <c r="C244" s="98"/>
      <c r="D244" s="254"/>
      <c r="E244" s="254"/>
      <c r="F244" s="254"/>
      <c r="G244" s="254"/>
      <c r="H244" s="99"/>
      <c r="I244" s="96"/>
      <c r="J244" s="97"/>
    </row>
    <row r="245" spans="1:10" s="32" customFormat="1" ht="15.75" x14ac:dyDescent="0.25">
      <c r="A245" s="92">
        <f t="shared" ref="A245" si="32">A244+1</f>
        <v>6</v>
      </c>
      <c r="B245" s="92"/>
      <c r="C245" s="93" t="s">
        <v>91</v>
      </c>
      <c r="D245" s="93"/>
      <c r="E245" s="83">
        <f>84.8*10.764</f>
        <v>912.78719999999987</v>
      </c>
      <c r="F245" s="85"/>
      <c r="G245" s="59">
        <v>0</v>
      </c>
      <c r="H245" s="59">
        <f t="shared" ref="H245" si="33">E245*1.6+G245</f>
        <v>1460.4595199999999</v>
      </c>
      <c r="I245" s="98"/>
      <c r="J245" s="99"/>
    </row>
    <row r="246" spans="1:10" s="32" customFormat="1" ht="15.75" x14ac:dyDescent="0.25">
      <c r="A246" s="100" t="s">
        <v>239</v>
      </c>
      <c r="B246" s="100"/>
      <c r="C246" s="100"/>
      <c r="D246" s="100"/>
      <c r="E246" s="100"/>
      <c r="F246" s="100"/>
      <c r="G246" s="100"/>
      <c r="H246" s="100"/>
      <c r="I246" s="100"/>
      <c r="J246" s="100"/>
    </row>
    <row r="247" spans="1:10" s="32" customFormat="1" ht="15.75" x14ac:dyDescent="0.25">
      <c r="A247" s="92">
        <v>1</v>
      </c>
      <c r="B247" s="92"/>
      <c r="C247" s="93" t="s">
        <v>91</v>
      </c>
      <c r="D247" s="93"/>
      <c r="E247" s="93">
        <f>97.53*10.764</f>
        <v>1049.8129199999998</v>
      </c>
      <c r="F247" s="93"/>
      <c r="G247" s="59">
        <v>0</v>
      </c>
      <c r="H247" s="59">
        <f t="shared" ref="H247:H248" si="34">E247*1.6+G247</f>
        <v>1679.7006719999999</v>
      </c>
      <c r="I247" s="94" t="str">
        <f>A246</f>
        <v xml:space="preserve">7th Floor For Residential &amp; Podium Parking </v>
      </c>
      <c r="J247" s="95"/>
    </row>
    <row r="248" spans="1:10" s="32" customFormat="1" ht="15.75" x14ac:dyDescent="0.25">
      <c r="A248" s="92">
        <f>A247+1</f>
        <v>2</v>
      </c>
      <c r="B248" s="92"/>
      <c r="C248" s="93" t="s">
        <v>91</v>
      </c>
      <c r="D248" s="93"/>
      <c r="E248" s="93">
        <f>97.53*10.764</f>
        <v>1049.8129199999998</v>
      </c>
      <c r="F248" s="93"/>
      <c r="G248" s="59">
        <v>0</v>
      </c>
      <c r="H248" s="59">
        <f t="shared" si="34"/>
        <v>1679.7006719999999</v>
      </c>
      <c r="I248" s="96"/>
      <c r="J248" s="97"/>
    </row>
    <row r="249" spans="1:10" s="32" customFormat="1" ht="15.75" x14ac:dyDescent="0.25">
      <c r="A249" s="92">
        <f t="shared" ref="A249:A252" si="35">A248+1</f>
        <v>3</v>
      </c>
      <c r="B249" s="92"/>
      <c r="C249" s="94" t="s">
        <v>242</v>
      </c>
      <c r="D249" s="252"/>
      <c r="E249" s="252"/>
      <c r="F249" s="252"/>
      <c r="G249" s="252"/>
      <c r="H249" s="95"/>
      <c r="I249" s="96"/>
      <c r="J249" s="97"/>
    </row>
    <row r="250" spans="1:10" s="32" customFormat="1" ht="15.75" x14ac:dyDescent="0.25">
      <c r="A250" s="92">
        <f t="shared" si="35"/>
        <v>4</v>
      </c>
      <c r="B250" s="92"/>
      <c r="C250" s="96"/>
      <c r="D250" s="253"/>
      <c r="E250" s="253"/>
      <c r="F250" s="253"/>
      <c r="G250" s="253"/>
      <c r="H250" s="97"/>
      <c r="I250" s="96"/>
      <c r="J250" s="97"/>
    </row>
    <row r="251" spans="1:10" s="32" customFormat="1" ht="15.75" x14ac:dyDescent="0.25">
      <c r="A251" s="92">
        <f t="shared" si="35"/>
        <v>5</v>
      </c>
      <c r="B251" s="92"/>
      <c r="C251" s="98"/>
      <c r="D251" s="254"/>
      <c r="E251" s="254"/>
      <c r="F251" s="254"/>
      <c r="G251" s="254"/>
      <c r="H251" s="99"/>
      <c r="I251" s="96"/>
      <c r="J251" s="97"/>
    </row>
    <row r="252" spans="1:10" s="32" customFormat="1" ht="15.75" x14ac:dyDescent="0.25">
      <c r="A252" s="92">
        <f t="shared" si="35"/>
        <v>6</v>
      </c>
      <c r="B252" s="92"/>
      <c r="C252" s="93" t="s">
        <v>91</v>
      </c>
      <c r="D252" s="93"/>
      <c r="E252" s="83">
        <f>84.8*10.764</f>
        <v>912.78719999999987</v>
      </c>
      <c r="F252" s="85"/>
      <c r="G252" s="59">
        <v>0</v>
      </c>
      <c r="H252" s="59">
        <f t="shared" ref="H252" si="36">E252*1.6+G252</f>
        <v>1460.4595199999999</v>
      </c>
      <c r="I252" s="98"/>
      <c r="J252" s="99"/>
    </row>
    <row r="253" spans="1:10" s="32" customFormat="1" ht="15.75" x14ac:dyDescent="0.25">
      <c r="A253" s="100" t="s">
        <v>240</v>
      </c>
      <c r="B253" s="100"/>
      <c r="C253" s="100"/>
      <c r="D253" s="100"/>
      <c r="E253" s="100"/>
      <c r="F253" s="100"/>
      <c r="G253" s="100"/>
      <c r="H253" s="100"/>
      <c r="I253" s="100"/>
      <c r="J253" s="100"/>
    </row>
    <row r="254" spans="1:10" s="32" customFormat="1" ht="15.75" x14ac:dyDescent="0.25">
      <c r="A254" s="92">
        <v>1</v>
      </c>
      <c r="B254" s="92"/>
      <c r="C254" s="93" t="s">
        <v>91</v>
      </c>
      <c r="D254" s="93"/>
      <c r="E254" s="93">
        <f>97.53*10.764</f>
        <v>1049.8129199999998</v>
      </c>
      <c r="F254" s="93"/>
      <c r="G254" s="59">
        <v>0</v>
      </c>
      <c r="H254" s="59">
        <f t="shared" ref="H254:H255" si="37">E254*1.6+G254</f>
        <v>1679.7006719999999</v>
      </c>
      <c r="I254" s="94" t="str">
        <f>A253</f>
        <v>8th Floor For Residential (Part Refuge Area)</v>
      </c>
      <c r="J254" s="95"/>
    </row>
    <row r="255" spans="1:10" s="32" customFormat="1" ht="15.75" x14ac:dyDescent="0.25">
      <c r="A255" s="92">
        <f>A254+1</f>
        <v>2</v>
      </c>
      <c r="B255" s="92"/>
      <c r="C255" s="93" t="s">
        <v>91</v>
      </c>
      <c r="D255" s="93"/>
      <c r="E255" s="93">
        <f>97.53*10.764</f>
        <v>1049.8129199999998</v>
      </c>
      <c r="F255" s="93"/>
      <c r="G255" s="59">
        <v>0</v>
      </c>
      <c r="H255" s="59">
        <f t="shared" si="37"/>
        <v>1679.7006719999999</v>
      </c>
      <c r="I255" s="96"/>
      <c r="J255" s="97"/>
    </row>
    <row r="256" spans="1:10" s="32" customFormat="1" ht="15.75" x14ac:dyDescent="0.25">
      <c r="A256" s="92">
        <f t="shared" ref="A256:A259" si="38">A255+1</f>
        <v>3</v>
      </c>
      <c r="B256" s="92"/>
      <c r="C256" s="93" t="s">
        <v>91</v>
      </c>
      <c r="D256" s="93"/>
      <c r="E256" s="93">
        <f>97.53*10.764</f>
        <v>1049.8129199999998</v>
      </c>
      <c r="F256" s="93"/>
      <c r="G256" s="59">
        <v>0</v>
      </c>
      <c r="H256" s="59">
        <f t="shared" ref="H256:H258" si="39">E256*1.6+G256</f>
        <v>1679.7006719999999</v>
      </c>
      <c r="I256" s="96"/>
      <c r="J256" s="97"/>
    </row>
    <row r="257" spans="1:10" s="32" customFormat="1" ht="15.75" x14ac:dyDescent="0.25">
      <c r="A257" s="92">
        <f t="shared" si="38"/>
        <v>4</v>
      </c>
      <c r="B257" s="92"/>
      <c r="C257" s="93" t="s">
        <v>91</v>
      </c>
      <c r="D257" s="93"/>
      <c r="E257" s="93">
        <f>97.53*10.764</f>
        <v>1049.8129199999998</v>
      </c>
      <c r="F257" s="93"/>
      <c r="G257" s="59">
        <v>0</v>
      </c>
      <c r="H257" s="59">
        <f t="shared" si="39"/>
        <v>1679.7006719999999</v>
      </c>
      <c r="I257" s="96"/>
      <c r="J257" s="97"/>
    </row>
    <row r="258" spans="1:10" s="32" customFormat="1" ht="15.75" x14ac:dyDescent="0.25">
      <c r="A258" s="92">
        <f t="shared" si="38"/>
        <v>5</v>
      </c>
      <c r="B258" s="92"/>
      <c r="C258" s="93" t="s">
        <v>91</v>
      </c>
      <c r="D258" s="93"/>
      <c r="E258" s="83">
        <f>84.8*10.764</f>
        <v>912.78719999999987</v>
      </c>
      <c r="F258" s="85"/>
      <c r="G258" s="59">
        <v>0</v>
      </c>
      <c r="H258" s="59">
        <f t="shared" si="39"/>
        <v>1460.4595199999999</v>
      </c>
      <c r="I258" s="96"/>
      <c r="J258" s="97"/>
    </row>
    <row r="259" spans="1:10" s="32" customFormat="1" ht="15.75" x14ac:dyDescent="0.25">
      <c r="A259" s="92">
        <f t="shared" si="38"/>
        <v>6</v>
      </c>
      <c r="B259" s="92"/>
      <c r="C259" s="83" t="s">
        <v>103</v>
      </c>
      <c r="D259" s="84"/>
      <c r="E259" s="84"/>
      <c r="F259" s="84"/>
      <c r="G259" s="84"/>
      <c r="H259" s="85"/>
      <c r="I259" s="98"/>
      <c r="J259" s="99"/>
    </row>
    <row r="260" spans="1:10" s="32" customFormat="1" ht="15.75" x14ac:dyDescent="0.25">
      <c r="A260" s="100" t="s">
        <v>179</v>
      </c>
      <c r="B260" s="100"/>
      <c r="C260" s="100"/>
      <c r="D260" s="100"/>
      <c r="E260" s="100"/>
      <c r="F260" s="100"/>
      <c r="G260" s="100"/>
      <c r="H260" s="100"/>
      <c r="I260" s="100"/>
      <c r="J260" s="100"/>
    </row>
    <row r="261" spans="1:10" s="32" customFormat="1" ht="15.75" x14ac:dyDescent="0.25">
      <c r="A261" s="92">
        <v>1</v>
      </c>
      <c r="B261" s="92"/>
      <c r="C261" s="93" t="s">
        <v>91</v>
      </c>
      <c r="D261" s="93"/>
      <c r="E261" s="93">
        <f>97.53*10.764</f>
        <v>1049.8129199999998</v>
      </c>
      <c r="F261" s="93"/>
      <c r="G261" s="59">
        <v>0</v>
      </c>
      <c r="H261" s="59">
        <f t="shared" ref="H261:H266" si="40">E261*1.6+G261</f>
        <v>1679.7006719999999</v>
      </c>
      <c r="I261" s="94" t="str">
        <f>A260</f>
        <v>9th to 14th, 16th to 21st &amp; 24th to 29th Floor</v>
      </c>
      <c r="J261" s="95"/>
    </row>
    <row r="262" spans="1:10" s="32" customFormat="1" ht="15.75" x14ac:dyDescent="0.25">
      <c r="A262" s="92">
        <f>A261+1</f>
        <v>2</v>
      </c>
      <c r="B262" s="92"/>
      <c r="C262" s="93" t="s">
        <v>91</v>
      </c>
      <c r="D262" s="93"/>
      <c r="E262" s="93">
        <f>97.53*10.764</f>
        <v>1049.8129199999998</v>
      </c>
      <c r="F262" s="93"/>
      <c r="G262" s="59">
        <v>0</v>
      </c>
      <c r="H262" s="59">
        <f t="shared" si="40"/>
        <v>1679.7006719999999</v>
      </c>
      <c r="I262" s="96"/>
      <c r="J262" s="97"/>
    </row>
    <row r="263" spans="1:10" s="32" customFormat="1" ht="15.75" x14ac:dyDescent="0.25">
      <c r="A263" s="92">
        <f t="shared" ref="A263:A266" si="41">A262+1</f>
        <v>3</v>
      </c>
      <c r="B263" s="92"/>
      <c r="C263" s="93" t="s">
        <v>91</v>
      </c>
      <c r="D263" s="93"/>
      <c r="E263" s="93">
        <f>97.53*10.764</f>
        <v>1049.8129199999998</v>
      </c>
      <c r="F263" s="93"/>
      <c r="G263" s="59">
        <v>0</v>
      </c>
      <c r="H263" s="59">
        <f t="shared" si="40"/>
        <v>1679.7006719999999</v>
      </c>
      <c r="I263" s="96"/>
      <c r="J263" s="97"/>
    </row>
    <row r="264" spans="1:10" s="32" customFormat="1" ht="15.75" x14ac:dyDescent="0.25">
      <c r="A264" s="92">
        <f t="shared" si="41"/>
        <v>4</v>
      </c>
      <c r="B264" s="92"/>
      <c r="C264" s="93" t="s">
        <v>91</v>
      </c>
      <c r="D264" s="93"/>
      <c r="E264" s="93">
        <f>97.53*10.764</f>
        <v>1049.8129199999998</v>
      </c>
      <c r="F264" s="93"/>
      <c r="G264" s="59">
        <v>0</v>
      </c>
      <c r="H264" s="59">
        <f t="shared" si="40"/>
        <v>1679.7006719999999</v>
      </c>
      <c r="I264" s="96"/>
      <c r="J264" s="97"/>
    </row>
    <row r="265" spans="1:10" s="32" customFormat="1" ht="15.75" x14ac:dyDescent="0.25">
      <c r="A265" s="92">
        <f t="shared" si="41"/>
        <v>5</v>
      </c>
      <c r="B265" s="92"/>
      <c r="C265" s="83" t="s">
        <v>91</v>
      </c>
      <c r="D265" s="85"/>
      <c r="E265" s="83">
        <f>84.8*10.764</f>
        <v>912.78719999999987</v>
      </c>
      <c r="F265" s="85"/>
      <c r="G265" s="59">
        <v>0</v>
      </c>
      <c r="H265" s="59">
        <f t="shared" ref="H265" si="42">E265*1.6+G265</f>
        <v>1460.4595199999999</v>
      </c>
      <c r="I265" s="96"/>
      <c r="J265" s="97"/>
    </row>
    <row r="266" spans="1:10" s="32" customFormat="1" ht="15.75" x14ac:dyDescent="0.25">
      <c r="A266" s="92">
        <f t="shared" si="41"/>
        <v>6</v>
      </c>
      <c r="B266" s="92"/>
      <c r="C266" s="93" t="s">
        <v>91</v>
      </c>
      <c r="D266" s="93"/>
      <c r="E266" s="83">
        <f>84.8*10.764</f>
        <v>912.78719999999987</v>
      </c>
      <c r="F266" s="85"/>
      <c r="G266" s="59">
        <v>0</v>
      </c>
      <c r="H266" s="59">
        <f t="shared" si="40"/>
        <v>1460.4595199999999</v>
      </c>
      <c r="I266" s="98"/>
      <c r="J266" s="99"/>
    </row>
    <row r="267" spans="1:10" s="32" customFormat="1" ht="15.75" x14ac:dyDescent="0.25">
      <c r="A267" s="100" t="s">
        <v>105</v>
      </c>
      <c r="B267" s="100"/>
      <c r="C267" s="100"/>
      <c r="D267" s="100"/>
      <c r="E267" s="100"/>
      <c r="F267" s="100"/>
      <c r="G267" s="100"/>
      <c r="H267" s="100"/>
      <c r="I267" s="100"/>
      <c r="J267" s="100"/>
    </row>
    <row r="268" spans="1:10" s="32" customFormat="1" ht="15" customHeight="1" x14ac:dyDescent="0.25">
      <c r="A268" s="92">
        <v>1</v>
      </c>
      <c r="B268" s="92"/>
      <c r="C268" s="93" t="s">
        <v>91</v>
      </c>
      <c r="D268" s="93"/>
      <c r="E268" s="93">
        <f>97.53*10.764</f>
        <v>1049.8129199999998</v>
      </c>
      <c r="F268" s="93"/>
      <c r="G268" s="59">
        <v>0</v>
      </c>
      <c r="H268" s="59">
        <f t="shared" ref="H268:H272" si="43">E268*1.6+G268</f>
        <v>1679.7006719999999</v>
      </c>
      <c r="I268" s="94" t="str">
        <f>A267</f>
        <v>15th Floor (Part Refuge Area)</v>
      </c>
      <c r="J268" s="95"/>
    </row>
    <row r="269" spans="1:10" s="32" customFormat="1" ht="15.75" x14ac:dyDescent="0.25">
      <c r="A269" s="92">
        <f>A268+1</f>
        <v>2</v>
      </c>
      <c r="B269" s="92"/>
      <c r="C269" s="93" t="s">
        <v>91</v>
      </c>
      <c r="D269" s="93"/>
      <c r="E269" s="93">
        <f>97.53*10.764</f>
        <v>1049.8129199999998</v>
      </c>
      <c r="F269" s="93"/>
      <c r="G269" s="59">
        <v>0</v>
      </c>
      <c r="H269" s="59">
        <f t="shared" si="43"/>
        <v>1679.7006719999999</v>
      </c>
      <c r="I269" s="96"/>
      <c r="J269" s="97"/>
    </row>
    <row r="270" spans="1:10" s="32" customFormat="1" ht="15.75" x14ac:dyDescent="0.25">
      <c r="A270" s="92">
        <f t="shared" ref="A270:A273" si="44">A269+1</f>
        <v>3</v>
      </c>
      <c r="B270" s="92"/>
      <c r="C270" s="93" t="s">
        <v>91</v>
      </c>
      <c r="D270" s="93"/>
      <c r="E270" s="93">
        <f>97.53*10.764</f>
        <v>1049.8129199999998</v>
      </c>
      <c r="F270" s="93"/>
      <c r="G270" s="59">
        <v>0</v>
      </c>
      <c r="H270" s="59">
        <f t="shared" si="43"/>
        <v>1679.7006719999999</v>
      </c>
      <c r="I270" s="96"/>
      <c r="J270" s="97"/>
    </row>
    <row r="271" spans="1:10" s="32" customFormat="1" ht="15.75" x14ac:dyDescent="0.25">
      <c r="A271" s="92">
        <f t="shared" si="44"/>
        <v>4</v>
      </c>
      <c r="B271" s="92"/>
      <c r="C271" s="93" t="s">
        <v>91</v>
      </c>
      <c r="D271" s="93"/>
      <c r="E271" s="93">
        <f>97.53*10.764</f>
        <v>1049.8129199999998</v>
      </c>
      <c r="F271" s="93"/>
      <c r="G271" s="59">
        <v>0</v>
      </c>
      <c r="H271" s="59">
        <f t="shared" si="43"/>
        <v>1679.7006719999999</v>
      </c>
      <c r="I271" s="96"/>
      <c r="J271" s="97"/>
    </row>
    <row r="272" spans="1:10" s="32" customFormat="1" ht="15.75" x14ac:dyDescent="0.25">
      <c r="A272" s="92">
        <f t="shared" si="44"/>
        <v>5</v>
      </c>
      <c r="B272" s="92"/>
      <c r="C272" s="93" t="s">
        <v>91</v>
      </c>
      <c r="D272" s="93"/>
      <c r="E272" s="83">
        <f>84.8*10.764</f>
        <v>912.78719999999987</v>
      </c>
      <c r="F272" s="85"/>
      <c r="G272" s="59">
        <v>0</v>
      </c>
      <c r="H272" s="59">
        <f t="shared" si="43"/>
        <v>1460.4595199999999</v>
      </c>
      <c r="I272" s="96"/>
      <c r="J272" s="97"/>
    </row>
    <row r="273" spans="1:10" s="32" customFormat="1" ht="15.75" x14ac:dyDescent="0.25">
      <c r="A273" s="92">
        <f t="shared" si="44"/>
        <v>6</v>
      </c>
      <c r="B273" s="92"/>
      <c r="C273" s="83" t="s">
        <v>103</v>
      </c>
      <c r="D273" s="84"/>
      <c r="E273" s="84"/>
      <c r="F273" s="84"/>
      <c r="G273" s="84"/>
      <c r="H273" s="85"/>
      <c r="I273" s="98"/>
      <c r="J273" s="99"/>
    </row>
    <row r="274" spans="1:10" s="32" customFormat="1" ht="15.75" x14ac:dyDescent="0.25">
      <c r="A274" s="100" t="s">
        <v>243</v>
      </c>
      <c r="B274" s="100"/>
      <c r="C274" s="100"/>
      <c r="D274" s="100"/>
      <c r="E274" s="100"/>
      <c r="F274" s="100"/>
      <c r="G274" s="100"/>
      <c r="H274" s="100"/>
      <c r="I274" s="100"/>
      <c r="J274" s="100"/>
    </row>
    <row r="275" spans="1:10" s="32" customFormat="1" ht="15.75" x14ac:dyDescent="0.25">
      <c r="A275" s="100" t="s">
        <v>181</v>
      </c>
      <c r="B275" s="100"/>
      <c r="C275" s="100"/>
      <c r="D275" s="100"/>
      <c r="E275" s="100"/>
      <c r="F275" s="100"/>
      <c r="G275" s="100"/>
      <c r="H275" s="100"/>
      <c r="I275" s="100"/>
      <c r="J275" s="100"/>
    </row>
    <row r="276" spans="1:10" s="32" customFormat="1" ht="15.75" x14ac:dyDescent="0.25">
      <c r="A276" s="92">
        <v>1</v>
      </c>
      <c r="B276" s="92"/>
      <c r="C276" s="93" t="s">
        <v>91</v>
      </c>
      <c r="D276" s="93"/>
      <c r="E276" s="93">
        <f>97.53*10.764</f>
        <v>1049.8129199999998</v>
      </c>
      <c r="F276" s="93"/>
      <c r="G276" s="59">
        <v>0</v>
      </c>
      <c r="H276" s="59">
        <f t="shared" ref="H276:H279" si="45">E276*1.6+G276</f>
        <v>1679.7006719999999</v>
      </c>
      <c r="I276" s="94" t="str">
        <f>A275</f>
        <v>23rd Floor for Residential (Part Refuge Area &amp; Pressure Break Tank Area)</v>
      </c>
      <c r="J276" s="95"/>
    </row>
    <row r="277" spans="1:10" s="32" customFormat="1" ht="15.75" x14ac:dyDescent="0.25">
      <c r="A277" s="92">
        <f>A276+1</f>
        <v>2</v>
      </c>
      <c r="B277" s="92"/>
      <c r="C277" s="93" t="s">
        <v>91</v>
      </c>
      <c r="D277" s="93"/>
      <c r="E277" s="93">
        <f>97.53*10.764</f>
        <v>1049.8129199999998</v>
      </c>
      <c r="F277" s="93"/>
      <c r="G277" s="59">
        <v>0</v>
      </c>
      <c r="H277" s="59">
        <f t="shared" si="45"/>
        <v>1679.7006719999999</v>
      </c>
      <c r="I277" s="96"/>
      <c r="J277" s="97"/>
    </row>
    <row r="278" spans="1:10" s="32" customFormat="1" ht="15.75" x14ac:dyDescent="0.25">
      <c r="A278" s="92">
        <f t="shared" ref="A278:A281" si="46">A277+1</f>
        <v>3</v>
      </c>
      <c r="B278" s="92"/>
      <c r="C278" s="93" t="s">
        <v>91</v>
      </c>
      <c r="D278" s="93"/>
      <c r="E278" s="93">
        <f>97.53*10.764</f>
        <v>1049.8129199999998</v>
      </c>
      <c r="F278" s="93"/>
      <c r="G278" s="59">
        <v>0</v>
      </c>
      <c r="H278" s="59">
        <f t="shared" si="45"/>
        <v>1679.7006719999999</v>
      </c>
      <c r="I278" s="96"/>
      <c r="J278" s="97"/>
    </row>
    <row r="279" spans="1:10" s="32" customFormat="1" ht="15.75" x14ac:dyDescent="0.25">
      <c r="A279" s="92">
        <f t="shared" si="46"/>
        <v>4</v>
      </c>
      <c r="B279" s="92"/>
      <c r="C279" s="93" t="s">
        <v>91</v>
      </c>
      <c r="D279" s="93"/>
      <c r="E279" s="93">
        <f>97.53*10.764</f>
        <v>1049.8129199999998</v>
      </c>
      <c r="F279" s="93"/>
      <c r="G279" s="59">
        <v>0</v>
      </c>
      <c r="H279" s="59">
        <f t="shared" si="45"/>
        <v>1679.7006719999999</v>
      </c>
      <c r="I279" s="96"/>
      <c r="J279" s="97"/>
    </row>
    <row r="280" spans="1:10" s="32" customFormat="1" ht="15.75" x14ac:dyDescent="0.25">
      <c r="A280" s="92">
        <f t="shared" si="46"/>
        <v>5</v>
      </c>
      <c r="B280" s="92"/>
      <c r="C280" s="83" t="s">
        <v>180</v>
      </c>
      <c r="D280" s="84"/>
      <c r="E280" s="84"/>
      <c r="F280" s="84"/>
      <c r="G280" s="84"/>
      <c r="H280" s="85"/>
      <c r="I280" s="96"/>
      <c r="J280" s="97"/>
    </row>
    <row r="281" spans="1:10" s="32" customFormat="1" ht="15.75" x14ac:dyDescent="0.25">
      <c r="A281" s="92">
        <f t="shared" si="46"/>
        <v>6</v>
      </c>
      <c r="B281" s="92"/>
      <c r="C281" s="83" t="s">
        <v>103</v>
      </c>
      <c r="D281" s="84"/>
      <c r="E281" s="84"/>
      <c r="F281" s="84"/>
      <c r="G281" s="84"/>
      <c r="H281" s="85"/>
      <c r="I281" s="98"/>
      <c r="J281" s="99"/>
    </row>
    <row r="282" spans="1:10" s="32" customFormat="1" ht="15" customHeight="1" x14ac:dyDescent="0.25">
      <c r="A282" s="100" t="s">
        <v>182</v>
      </c>
      <c r="B282" s="100"/>
      <c r="C282" s="100"/>
      <c r="D282" s="100"/>
      <c r="E282" s="100"/>
      <c r="F282" s="100"/>
      <c r="G282" s="100"/>
      <c r="H282" s="100"/>
      <c r="I282" s="100"/>
      <c r="J282" s="100"/>
    </row>
    <row r="283" spans="1:10" s="32" customFormat="1" ht="15.75" x14ac:dyDescent="0.25">
      <c r="A283" s="92">
        <v>1</v>
      </c>
      <c r="B283" s="92"/>
      <c r="C283" s="93" t="s">
        <v>91</v>
      </c>
      <c r="D283" s="93"/>
      <c r="E283" s="93">
        <f>97.53*10.764</f>
        <v>1049.8129199999998</v>
      </c>
      <c r="F283" s="93"/>
      <c r="G283" s="59">
        <v>0</v>
      </c>
      <c r="H283" s="59">
        <f t="shared" ref="H283:H287" si="47">E283*1.6+G283</f>
        <v>1679.7006719999999</v>
      </c>
      <c r="I283" s="94" t="str">
        <f>A282</f>
        <v>30th Floor for Residential (Part Refuge Area)</v>
      </c>
      <c r="J283" s="95"/>
    </row>
    <row r="284" spans="1:10" s="32" customFormat="1" ht="15.75" x14ac:dyDescent="0.25">
      <c r="A284" s="92">
        <f>A283+1</f>
        <v>2</v>
      </c>
      <c r="B284" s="92"/>
      <c r="C284" s="93" t="s">
        <v>91</v>
      </c>
      <c r="D284" s="93"/>
      <c r="E284" s="93">
        <f>97.53*10.764</f>
        <v>1049.8129199999998</v>
      </c>
      <c r="F284" s="93"/>
      <c r="G284" s="59">
        <v>0</v>
      </c>
      <c r="H284" s="59">
        <f t="shared" si="47"/>
        <v>1679.7006719999999</v>
      </c>
      <c r="I284" s="96"/>
      <c r="J284" s="97"/>
    </row>
    <row r="285" spans="1:10" s="32" customFormat="1" ht="15.75" x14ac:dyDescent="0.25">
      <c r="A285" s="92">
        <f t="shared" ref="A285:A288" si="48">A284+1</f>
        <v>3</v>
      </c>
      <c r="B285" s="92"/>
      <c r="C285" s="93" t="s">
        <v>91</v>
      </c>
      <c r="D285" s="93"/>
      <c r="E285" s="93">
        <f>97.53*10.764</f>
        <v>1049.8129199999998</v>
      </c>
      <c r="F285" s="93"/>
      <c r="G285" s="59">
        <v>0</v>
      </c>
      <c r="H285" s="59">
        <f t="shared" si="47"/>
        <v>1679.7006719999999</v>
      </c>
      <c r="I285" s="96"/>
      <c r="J285" s="97"/>
    </row>
    <row r="286" spans="1:10" s="32" customFormat="1" ht="15.75" x14ac:dyDescent="0.25">
      <c r="A286" s="92">
        <f t="shared" si="48"/>
        <v>4</v>
      </c>
      <c r="B286" s="92"/>
      <c r="C286" s="93" t="s">
        <v>91</v>
      </c>
      <c r="D286" s="93"/>
      <c r="E286" s="93">
        <f>97.53*10.764</f>
        <v>1049.8129199999998</v>
      </c>
      <c r="F286" s="93"/>
      <c r="G286" s="59">
        <v>0</v>
      </c>
      <c r="H286" s="59">
        <f t="shared" si="47"/>
        <v>1679.7006719999999</v>
      </c>
      <c r="I286" s="96"/>
      <c r="J286" s="97"/>
    </row>
    <row r="287" spans="1:10" s="32" customFormat="1" ht="15.75" x14ac:dyDescent="0.25">
      <c r="A287" s="92">
        <f t="shared" si="48"/>
        <v>5</v>
      </c>
      <c r="B287" s="92"/>
      <c r="C287" s="93" t="s">
        <v>91</v>
      </c>
      <c r="D287" s="93"/>
      <c r="E287" s="83">
        <f>84.8*10.764</f>
        <v>912.78719999999987</v>
      </c>
      <c r="F287" s="85"/>
      <c r="G287" s="59">
        <v>0</v>
      </c>
      <c r="H287" s="59">
        <f t="shared" si="47"/>
        <v>1460.4595199999999</v>
      </c>
      <c r="I287" s="96"/>
      <c r="J287" s="97"/>
    </row>
    <row r="288" spans="1:10" s="32" customFormat="1" ht="15.75" x14ac:dyDescent="0.25">
      <c r="A288" s="92">
        <f t="shared" si="48"/>
        <v>6</v>
      </c>
      <c r="B288" s="92"/>
      <c r="C288" s="83" t="s">
        <v>103</v>
      </c>
      <c r="D288" s="84"/>
      <c r="E288" s="84"/>
      <c r="F288" s="84"/>
      <c r="G288" s="84"/>
      <c r="H288" s="85"/>
      <c r="I288" s="98"/>
      <c r="J288" s="99"/>
    </row>
    <row r="289" spans="1:20" s="32" customFormat="1" ht="15.75" x14ac:dyDescent="0.25">
      <c r="A289" s="69" t="s">
        <v>108</v>
      </c>
      <c r="B289" s="69"/>
      <c r="C289" s="69"/>
      <c r="D289" s="69"/>
      <c r="E289" s="69"/>
      <c r="F289" s="69"/>
      <c r="G289" s="69"/>
      <c r="H289" s="69"/>
      <c r="I289" s="69"/>
      <c r="J289" s="69"/>
      <c r="K289" s="91" t="s">
        <v>245</v>
      </c>
      <c r="L289" s="91"/>
      <c r="M289" s="91"/>
      <c r="N289" s="91"/>
      <c r="O289" s="91"/>
      <c r="P289" s="91"/>
      <c r="Q289" s="91"/>
      <c r="R289" s="91"/>
      <c r="S289" s="91"/>
      <c r="T289" s="91"/>
    </row>
    <row r="290" spans="1:20" s="32" customFormat="1" ht="15.75" x14ac:dyDescent="0.25">
      <c r="A290" s="92">
        <v>1</v>
      </c>
      <c r="B290" s="92"/>
      <c r="C290" s="93" t="s">
        <v>91</v>
      </c>
      <c r="D290" s="93"/>
      <c r="E290" s="93">
        <f>101.43*10.764</f>
        <v>1091.79252</v>
      </c>
      <c r="F290" s="93"/>
      <c r="G290" s="59">
        <v>0</v>
      </c>
      <c r="H290" s="59">
        <f t="shared" ref="H290:H294" si="49">E290*1.6+G290</f>
        <v>1746.8680320000001</v>
      </c>
      <c r="I290" s="94" t="str">
        <f>A289</f>
        <v>31st to 36th, 38th to 43rd, 45th to 48th Floor</v>
      </c>
      <c r="J290" s="95"/>
    </row>
    <row r="291" spans="1:20" s="32" customFormat="1" ht="15.75" x14ac:dyDescent="0.25">
      <c r="A291" s="92">
        <f>A290+1</f>
        <v>2</v>
      </c>
      <c r="B291" s="92"/>
      <c r="C291" s="93" t="s">
        <v>91</v>
      </c>
      <c r="D291" s="93"/>
      <c r="E291" s="93">
        <f>101.43*10.764</f>
        <v>1091.79252</v>
      </c>
      <c r="F291" s="93"/>
      <c r="G291" s="59">
        <v>0</v>
      </c>
      <c r="H291" s="59">
        <f t="shared" si="49"/>
        <v>1746.8680320000001</v>
      </c>
      <c r="I291" s="96"/>
      <c r="J291" s="97"/>
    </row>
    <row r="292" spans="1:20" s="32" customFormat="1" ht="15.75" x14ac:dyDescent="0.25">
      <c r="A292" s="92">
        <f t="shared" ref="A292:A295" si="50">A291+1</f>
        <v>3</v>
      </c>
      <c r="B292" s="92"/>
      <c r="C292" s="93" t="s">
        <v>91</v>
      </c>
      <c r="D292" s="93"/>
      <c r="E292" s="93">
        <f t="shared" ref="E292:E293" si="51">101.43*10.764</f>
        <v>1091.79252</v>
      </c>
      <c r="F292" s="93"/>
      <c r="G292" s="59">
        <v>0</v>
      </c>
      <c r="H292" s="59">
        <f t="shared" si="49"/>
        <v>1746.8680320000001</v>
      </c>
      <c r="I292" s="96"/>
      <c r="J292" s="97"/>
    </row>
    <row r="293" spans="1:20" s="32" customFormat="1" ht="15" customHeight="1" x14ac:dyDescent="0.25">
      <c r="A293" s="92">
        <f t="shared" si="50"/>
        <v>4</v>
      </c>
      <c r="B293" s="92"/>
      <c r="C293" s="93" t="s">
        <v>91</v>
      </c>
      <c r="D293" s="93"/>
      <c r="E293" s="93">
        <f t="shared" si="51"/>
        <v>1091.79252</v>
      </c>
      <c r="F293" s="93"/>
      <c r="G293" s="59">
        <v>0</v>
      </c>
      <c r="H293" s="59">
        <f t="shared" si="49"/>
        <v>1746.8680320000001</v>
      </c>
      <c r="I293" s="96"/>
      <c r="J293" s="97"/>
    </row>
    <row r="294" spans="1:20" s="32" customFormat="1" ht="15.75" x14ac:dyDescent="0.25">
      <c r="A294" s="92">
        <f t="shared" si="50"/>
        <v>5</v>
      </c>
      <c r="B294" s="92"/>
      <c r="C294" s="93" t="s">
        <v>91</v>
      </c>
      <c r="D294" s="93"/>
      <c r="E294" s="83">
        <f>86.66*10.764</f>
        <v>932.80823999999996</v>
      </c>
      <c r="F294" s="85"/>
      <c r="G294" s="59">
        <v>0</v>
      </c>
      <c r="H294" s="59">
        <f t="shared" si="49"/>
        <v>1492.4931839999999</v>
      </c>
      <c r="I294" s="96"/>
      <c r="J294" s="97"/>
    </row>
    <row r="295" spans="1:20" s="32" customFormat="1" ht="15.75" x14ac:dyDescent="0.25">
      <c r="A295" s="92">
        <f t="shared" si="50"/>
        <v>6</v>
      </c>
      <c r="B295" s="92"/>
      <c r="C295" s="93" t="s">
        <v>91</v>
      </c>
      <c r="D295" s="93"/>
      <c r="E295" s="83">
        <f>86.66*10.764</f>
        <v>932.80823999999996</v>
      </c>
      <c r="F295" s="85"/>
      <c r="G295" s="59">
        <v>0</v>
      </c>
      <c r="H295" s="59">
        <f t="shared" ref="H295" si="52">E295*1.6+G295</f>
        <v>1492.4931839999999</v>
      </c>
      <c r="I295" s="98"/>
      <c r="J295" s="99"/>
    </row>
    <row r="296" spans="1:20" s="32" customFormat="1" ht="15.75" x14ac:dyDescent="0.25">
      <c r="A296" s="69" t="s">
        <v>109</v>
      </c>
      <c r="B296" s="69"/>
      <c r="C296" s="69"/>
      <c r="D296" s="69"/>
      <c r="E296" s="69"/>
      <c r="F296" s="69"/>
      <c r="G296" s="69"/>
      <c r="H296" s="69"/>
      <c r="I296" s="69"/>
      <c r="J296" s="69"/>
    </row>
    <row r="297" spans="1:20" s="32" customFormat="1" ht="15.75" x14ac:dyDescent="0.25">
      <c r="A297" s="92">
        <v>1</v>
      </c>
      <c r="B297" s="92"/>
      <c r="C297" s="93" t="s">
        <v>91</v>
      </c>
      <c r="D297" s="93"/>
      <c r="E297" s="93">
        <f>101.43*10.764</f>
        <v>1091.79252</v>
      </c>
      <c r="F297" s="93"/>
      <c r="G297" s="59">
        <v>0</v>
      </c>
      <c r="H297" s="59">
        <f t="shared" ref="H297:H302" si="53">E297*1.6+G297</f>
        <v>1746.8680320000001</v>
      </c>
      <c r="I297" s="94" t="str">
        <f>A296</f>
        <v>49th &amp; 50th Floor</v>
      </c>
      <c r="J297" s="95"/>
    </row>
    <row r="298" spans="1:20" s="32" customFormat="1" ht="15.75" x14ac:dyDescent="0.25">
      <c r="A298" s="92">
        <f>A297+1</f>
        <v>2</v>
      </c>
      <c r="B298" s="92"/>
      <c r="C298" s="93" t="s">
        <v>91</v>
      </c>
      <c r="D298" s="93"/>
      <c r="E298" s="93">
        <f>101.43*10.764</f>
        <v>1091.79252</v>
      </c>
      <c r="F298" s="93"/>
      <c r="G298" s="59">
        <v>0</v>
      </c>
      <c r="H298" s="59">
        <f t="shared" si="53"/>
        <v>1746.8680320000001</v>
      </c>
      <c r="I298" s="96"/>
      <c r="J298" s="97"/>
    </row>
    <row r="299" spans="1:20" s="32" customFormat="1" ht="15.75" x14ac:dyDescent="0.25">
      <c r="A299" s="92">
        <f t="shared" ref="A299:A302" si="54">A298+1</f>
        <v>3</v>
      </c>
      <c r="B299" s="92"/>
      <c r="C299" s="93" t="s">
        <v>91</v>
      </c>
      <c r="D299" s="93"/>
      <c r="E299" s="93">
        <f t="shared" ref="E299:E300" si="55">101.43*10.764</f>
        <v>1091.79252</v>
      </c>
      <c r="F299" s="93"/>
      <c r="G299" s="59">
        <v>0</v>
      </c>
      <c r="H299" s="59">
        <f t="shared" si="53"/>
        <v>1746.8680320000001</v>
      </c>
      <c r="I299" s="96"/>
      <c r="J299" s="97"/>
    </row>
    <row r="300" spans="1:20" s="32" customFormat="1" ht="15.75" x14ac:dyDescent="0.25">
      <c r="A300" s="92">
        <f t="shared" si="54"/>
        <v>4</v>
      </c>
      <c r="B300" s="92"/>
      <c r="C300" s="93" t="s">
        <v>91</v>
      </c>
      <c r="D300" s="93"/>
      <c r="E300" s="93">
        <f t="shared" si="55"/>
        <v>1091.79252</v>
      </c>
      <c r="F300" s="93"/>
      <c r="G300" s="59">
        <v>0</v>
      </c>
      <c r="H300" s="59">
        <f t="shared" si="53"/>
        <v>1746.8680320000001</v>
      </c>
      <c r="I300" s="96"/>
      <c r="J300" s="97"/>
    </row>
    <row r="301" spans="1:20" s="32" customFormat="1" ht="15.75" x14ac:dyDescent="0.25">
      <c r="A301" s="92">
        <f t="shared" si="54"/>
        <v>5</v>
      </c>
      <c r="B301" s="92"/>
      <c r="C301" s="93" t="s">
        <v>91</v>
      </c>
      <c r="D301" s="93"/>
      <c r="E301" s="83">
        <f>86.66*10.764</f>
        <v>932.80823999999996</v>
      </c>
      <c r="F301" s="85"/>
      <c r="G301" s="59">
        <v>0</v>
      </c>
      <c r="H301" s="59">
        <f t="shared" si="53"/>
        <v>1492.4931839999999</v>
      </c>
      <c r="I301" s="96"/>
      <c r="J301" s="97"/>
    </row>
    <row r="302" spans="1:20" s="32" customFormat="1" ht="15.75" customHeight="1" x14ac:dyDescent="0.25">
      <c r="A302" s="92">
        <f t="shared" si="54"/>
        <v>6</v>
      </c>
      <c r="B302" s="92"/>
      <c r="C302" s="93" t="s">
        <v>91</v>
      </c>
      <c r="D302" s="93"/>
      <c r="E302" s="83">
        <f>86.66*10.764</f>
        <v>932.80823999999996</v>
      </c>
      <c r="F302" s="85"/>
      <c r="G302" s="59">
        <v>0</v>
      </c>
      <c r="H302" s="59">
        <f t="shared" si="53"/>
        <v>1492.4931839999999</v>
      </c>
      <c r="I302" s="98"/>
      <c r="J302" s="99"/>
    </row>
    <row r="303" spans="1:20" s="32" customFormat="1" ht="15.75" x14ac:dyDescent="0.25">
      <c r="A303" s="100" t="s">
        <v>183</v>
      </c>
      <c r="B303" s="100"/>
      <c r="C303" s="100"/>
      <c r="D303" s="100"/>
      <c r="E303" s="100"/>
      <c r="F303" s="100"/>
      <c r="G303" s="100"/>
      <c r="H303" s="100"/>
      <c r="I303" s="100"/>
      <c r="J303" s="100"/>
    </row>
    <row r="304" spans="1:20" s="32" customFormat="1" ht="15.75" customHeight="1" x14ac:dyDescent="0.25">
      <c r="A304" s="92">
        <v>1</v>
      </c>
      <c r="B304" s="92"/>
      <c r="C304" s="93" t="s">
        <v>91</v>
      </c>
      <c r="D304" s="93"/>
      <c r="E304" s="93">
        <f>101.43*10.764</f>
        <v>1091.79252</v>
      </c>
      <c r="F304" s="93"/>
      <c r="G304" s="59">
        <v>0</v>
      </c>
      <c r="H304" s="59">
        <f t="shared" ref="H304:H308" si="56">E304*1.6+G304</f>
        <v>1746.8680320000001</v>
      </c>
      <c r="I304" s="94" t="str">
        <f>A303</f>
        <v>37th &amp; 51st Floor for Residential (Part Refuge Area)</v>
      </c>
      <c r="J304" s="95"/>
    </row>
    <row r="305" spans="1:10" s="32" customFormat="1" ht="15.75" x14ac:dyDescent="0.25">
      <c r="A305" s="92">
        <f>A304+1</f>
        <v>2</v>
      </c>
      <c r="B305" s="92"/>
      <c r="C305" s="93" t="s">
        <v>91</v>
      </c>
      <c r="D305" s="93"/>
      <c r="E305" s="93">
        <f>101.43*10.764</f>
        <v>1091.79252</v>
      </c>
      <c r="F305" s="93"/>
      <c r="G305" s="59">
        <v>0</v>
      </c>
      <c r="H305" s="59">
        <f t="shared" si="56"/>
        <v>1746.8680320000001</v>
      </c>
      <c r="I305" s="96"/>
      <c r="J305" s="97"/>
    </row>
    <row r="306" spans="1:10" s="32" customFormat="1" ht="15.75" x14ac:dyDescent="0.25">
      <c r="A306" s="92">
        <f t="shared" ref="A306:A309" si="57">A305+1</f>
        <v>3</v>
      </c>
      <c r="B306" s="92"/>
      <c r="C306" s="93" t="s">
        <v>91</v>
      </c>
      <c r="D306" s="93"/>
      <c r="E306" s="93">
        <f t="shared" ref="E306:E307" si="58">101.43*10.764</f>
        <v>1091.79252</v>
      </c>
      <c r="F306" s="93"/>
      <c r="G306" s="59">
        <v>0</v>
      </c>
      <c r="H306" s="59">
        <f t="shared" si="56"/>
        <v>1746.8680320000001</v>
      </c>
      <c r="I306" s="96"/>
      <c r="J306" s="97"/>
    </row>
    <row r="307" spans="1:10" s="32" customFormat="1" ht="15.75" x14ac:dyDescent="0.25">
      <c r="A307" s="92">
        <f t="shared" si="57"/>
        <v>4</v>
      </c>
      <c r="B307" s="92"/>
      <c r="C307" s="93" t="s">
        <v>91</v>
      </c>
      <c r="D307" s="93"/>
      <c r="E307" s="93">
        <f t="shared" si="58"/>
        <v>1091.79252</v>
      </c>
      <c r="F307" s="93"/>
      <c r="G307" s="59">
        <v>0</v>
      </c>
      <c r="H307" s="59">
        <f t="shared" si="56"/>
        <v>1746.8680320000001</v>
      </c>
      <c r="I307" s="96"/>
      <c r="J307" s="97"/>
    </row>
    <row r="308" spans="1:10" s="32" customFormat="1" ht="13.5" customHeight="1" x14ac:dyDescent="0.25">
      <c r="A308" s="92">
        <f t="shared" si="57"/>
        <v>5</v>
      </c>
      <c r="B308" s="92"/>
      <c r="C308" s="93" t="s">
        <v>91</v>
      </c>
      <c r="D308" s="93"/>
      <c r="E308" s="83">
        <f>86.66*10.764</f>
        <v>932.80823999999996</v>
      </c>
      <c r="F308" s="85"/>
      <c r="G308" s="59">
        <v>0</v>
      </c>
      <c r="H308" s="59">
        <f t="shared" si="56"/>
        <v>1492.4931839999999</v>
      </c>
      <c r="I308" s="96"/>
      <c r="J308" s="97"/>
    </row>
    <row r="309" spans="1:10" s="32" customFormat="1" ht="13.5" customHeight="1" x14ac:dyDescent="0.25">
      <c r="A309" s="92">
        <f t="shared" si="57"/>
        <v>6</v>
      </c>
      <c r="B309" s="92"/>
      <c r="C309" s="83" t="s">
        <v>103</v>
      </c>
      <c r="D309" s="84"/>
      <c r="E309" s="84"/>
      <c r="F309" s="84"/>
      <c r="G309" s="84"/>
      <c r="H309" s="85"/>
      <c r="I309" s="98"/>
      <c r="J309" s="99"/>
    </row>
    <row r="310" spans="1:10" s="32" customFormat="1" ht="15.75" customHeight="1" x14ac:dyDescent="0.25">
      <c r="A310" s="100" t="s">
        <v>247</v>
      </c>
      <c r="B310" s="100"/>
      <c r="C310" s="100"/>
      <c r="D310" s="100"/>
      <c r="E310" s="100"/>
      <c r="F310" s="100"/>
      <c r="G310" s="100"/>
      <c r="H310" s="100"/>
      <c r="I310" s="100"/>
      <c r="J310" s="100"/>
    </row>
    <row r="311" spans="1:10" s="32" customFormat="1" ht="15.75" x14ac:dyDescent="0.25">
      <c r="A311" s="92">
        <v>1</v>
      </c>
      <c r="B311" s="92"/>
      <c r="C311" s="93" t="s">
        <v>91</v>
      </c>
      <c r="D311" s="93"/>
      <c r="E311" s="93">
        <f>101.43*10.764</f>
        <v>1091.79252</v>
      </c>
      <c r="F311" s="93"/>
      <c r="G311" s="59">
        <v>0</v>
      </c>
      <c r="H311" s="59">
        <f t="shared" ref="H311:H314" si="59">E311*1.6+G311</f>
        <v>1746.8680320000001</v>
      </c>
      <c r="I311" s="94" t="str">
        <f>A310</f>
        <v>44th Floor For Residential (Part Refuge Area &amp; Pressure Break Tanks Area)</v>
      </c>
      <c r="J311" s="95"/>
    </row>
    <row r="312" spans="1:10" s="32" customFormat="1" ht="15.75" x14ac:dyDescent="0.25">
      <c r="A312" s="92">
        <f>A311+1</f>
        <v>2</v>
      </c>
      <c r="B312" s="92"/>
      <c r="C312" s="93" t="s">
        <v>91</v>
      </c>
      <c r="D312" s="93"/>
      <c r="E312" s="93">
        <f>101.43*10.764</f>
        <v>1091.79252</v>
      </c>
      <c r="F312" s="93"/>
      <c r="G312" s="59">
        <v>0</v>
      </c>
      <c r="H312" s="59">
        <f t="shared" si="59"/>
        <v>1746.8680320000001</v>
      </c>
      <c r="I312" s="96"/>
      <c r="J312" s="97"/>
    </row>
    <row r="313" spans="1:10" s="32" customFormat="1" ht="15.75" x14ac:dyDescent="0.25">
      <c r="A313" s="92">
        <f t="shared" ref="A313:A316" si="60">A312+1</f>
        <v>3</v>
      </c>
      <c r="B313" s="92"/>
      <c r="C313" s="93" t="s">
        <v>91</v>
      </c>
      <c r="D313" s="93"/>
      <c r="E313" s="93">
        <f t="shared" ref="E313:E314" si="61">101.43*10.764</f>
        <v>1091.79252</v>
      </c>
      <c r="F313" s="93"/>
      <c r="G313" s="59">
        <v>0</v>
      </c>
      <c r="H313" s="59">
        <f t="shared" si="59"/>
        <v>1746.8680320000001</v>
      </c>
      <c r="I313" s="96"/>
      <c r="J313" s="97"/>
    </row>
    <row r="314" spans="1:10" s="32" customFormat="1" ht="15.75" x14ac:dyDescent="0.25">
      <c r="A314" s="92">
        <f t="shared" si="60"/>
        <v>4</v>
      </c>
      <c r="B314" s="92"/>
      <c r="C314" s="93" t="s">
        <v>91</v>
      </c>
      <c r="D314" s="93"/>
      <c r="E314" s="93">
        <f t="shared" si="61"/>
        <v>1091.79252</v>
      </c>
      <c r="F314" s="93"/>
      <c r="G314" s="59">
        <v>0</v>
      </c>
      <c r="H314" s="59">
        <f t="shared" si="59"/>
        <v>1746.8680320000001</v>
      </c>
      <c r="I314" s="96"/>
      <c r="J314" s="97"/>
    </row>
    <row r="315" spans="1:10" s="32" customFormat="1" ht="15.75" x14ac:dyDescent="0.25">
      <c r="A315" s="92">
        <f t="shared" si="60"/>
        <v>5</v>
      </c>
      <c r="B315" s="92"/>
      <c r="C315" s="83" t="s">
        <v>180</v>
      </c>
      <c r="D315" s="84"/>
      <c r="E315" s="84"/>
      <c r="F315" s="84"/>
      <c r="G315" s="84"/>
      <c r="H315" s="85"/>
      <c r="I315" s="96"/>
      <c r="J315" s="97"/>
    </row>
    <row r="316" spans="1:10" s="32" customFormat="1" ht="15.75" x14ac:dyDescent="0.25">
      <c r="A316" s="92">
        <f t="shared" si="60"/>
        <v>6</v>
      </c>
      <c r="B316" s="92"/>
      <c r="C316" s="83" t="s">
        <v>103</v>
      </c>
      <c r="D316" s="84"/>
      <c r="E316" s="84"/>
      <c r="F316" s="84"/>
      <c r="G316" s="84"/>
      <c r="H316" s="85"/>
      <c r="I316" s="98"/>
      <c r="J316" s="99"/>
    </row>
    <row r="317" spans="1:10" s="32" customFormat="1" ht="15.75" x14ac:dyDescent="0.25">
      <c r="A317" s="69" t="s">
        <v>245</v>
      </c>
      <c r="B317" s="69"/>
      <c r="C317" s="69"/>
      <c r="D317" s="69"/>
      <c r="E317" s="69"/>
      <c r="F317" s="69"/>
      <c r="G317" s="69"/>
      <c r="H317" s="69"/>
      <c r="I317" s="69"/>
      <c r="J317" s="69"/>
    </row>
    <row r="318" spans="1:10" s="32" customFormat="1" ht="15.75" x14ac:dyDescent="0.25">
      <c r="A318" s="92">
        <v>1</v>
      </c>
      <c r="B318" s="92"/>
      <c r="C318" s="93" t="s">
        <v>91</v>
      </c>
      <c r="D318" s="93"/>
      <c r="E318" s="93">
        <f>101.43*10.764</f>
        <v>1091.79252</v>
      </c>
      <c r="F318" s="93"/>
      <c r="G318" s="59">
        <v>0</v>
      </c>
      <c r="H318" s="59">
        <f t="shared" ref="H318:H323" si="62">E318*1.6+G318</f>
        <v>1746.8680320000001</v>
      </c>
      <c r="I318" s="94" t="str">
        <f>A317</f>
        <v>52th to 57th &amp; 59th to 62nd Floor</v>
      </c>
      <c r="J318" s="95"/>
    </row>
    <row r="319" spans="1:10" s="32" customFormat="1" ht="15.75" x14ac:dyDescent="0.25">
      <c r="A319" s="92">
        <f>A318+1</f>
        <v>2</v>
      </c>
      <c r="B319" s="92"/>
      <c r="C319" s="93" t="s">
        <v>91</v>
      </c>
      <c r="D319" s="93"/>
      <c r="E319" s="93">
        <f>101.43*10.764</f>
        <v>1091.79252</v>
      </c>
      <c r="F319" s="93"/>
      <c r="G319" s="59">
        <v>0</v>
      </c>
      <c r="H319" s="59">
        <f t="shared" si="62"/>
        <v>1746.8680320000001</v>
      </c>
      <c r="I319" s="96"/>
      <c r="J319" s="97"/>
    </row>
    <row r="320" spans="1:10" s="32" customFormat="1" ht="15.75" x14ac:dyDescent="0.25">
      <c r="A320" s="92">
        <f t="shared" ref="A320:A323" si="63">A319+1</f>
        <v>3</v>
      </c>
      <c r="B320" s="92"/>
      <c r="C320" s="93" t="s">
        <v>91</v>
      </c>
      <c r="D320" s="93"/>
      <c r="E320" s="93">
        <f t="shared" ref="E320:E321" si="64">101.43*10.764</f>
        <v>1091.79252</v>
      </c>
      <c r="F320" s="93"/>
      <c r="G320" s="59">
        <v>0</v>
      </c>
      <c r="H320" s="59">
        <f t="shared" si="62"/>
        <v>1746.8680320000001</v>
      </c>
      <c r="I320" s="96"/>
      <c r="J320" s="97"/>
    </row>
    <row r="321" spans="1:10" s="32" customFormat="1" ht="15.75" x14ac:dyDescent="0.25">
      <c r="A321" s="92">
        <f t="shared" si="63"/>
        <v>4</v>
      </c>
      <c r="B321" s="92"/>
      <c r="C321" s="93" t="s">
        <v>91</v>
      </c>
      <c r="D321" s="93"/>
      <c r="E321" s="93">
        <f t="shared" si="64"/>
        <v>1091.79252</v>
      </c>
      <c r="F321" s="93"/>
      <c r="G321" s="59">
        <v>0</v>
      </c>
      <c r="H321" s="59">
        <f t="shared" si="62"/>
        <v>1746.8680320000001</v>
      </c>
      <c r="I321" s="96"/>
      <c r="J321" s="97"/>
    </row>
    <row r="322" spans="1:10" s="32" customFormat="1" ht="15.75" x14ac:dyDescent="0.25">
      <c r="A322" s="92">
        <f t="shared" si="63"/>
        <v>5</v>
      </c>
      <c r="B322" s="92"/>
      <c r="C322" s="93" t="s">
        <v>91</v>
      </c>
      <c r="D322" s="93"/>
      <c r="E322" s="83">
        <f>86.66*10.764</f>
        <v>932.80823999999996</v>
      </c>
      <c r="F322" s="85"/>
      <c r="G322" s="59">
        <v>0</v>
      </c>
      <c r="H322" s="59">
        <f t="shared" si="62"/>
        <v>1492.4931839999999</v>
      </c>
      <c r="I322" s="96"/>
      <c r="J322" s="97"/>
    </row>
    <row r="323" spans="1:10" s="32" customFormat="1" ht="15.75" x14ac:dyDescent="0.25">
      <c r="A323" s="92">
        <f t="shared" si="63"/>
        <v>6</v>
      </c>
      <c r="B323" s="92"/>
      <c r="C323" s="93" t="s">
        <v>91</v>
      </c>
      <c r="D323" s="93"/>
      <c r="E323" s="83">
        <f>86.66*10.764</f>
        <v>932.80823999999996</v>
      </c>
      <c r="F323" s="85"/>
      <c r="G323" s="59">
        <v>0</v>
      </c>
      <c r="H323" s="59">
        <f t="shared" si="62"/>
        <v>1492.4931839999999</v>
      </c>
      <c r="I323" s="98"/>
      <c r="J323" s="99"/>
    </row>
    <row r="324" spans="1:10" s="32" customFormat="1" ht="15.75" x14ac:dyDescent="0.25">
      <c r="A324" s="100" t="s">
        <v>184</v>
      </c>
      <c r="B324" s="100"/>
      <c r="C324" s="100"/>
      <c r="D324" s="100"/>
      <c r="E324" s="100"/>
      <c r="F324" s="100"/>
      <c r="G324" s="100"/>
      <c r="H324" s="100"/>
      <c r="I324" s="100"/>
      <c r="J324" s="100"/>
    </row>
    <row r="325" spans="1:10" s="32" customFormat="1" ht="15.75" x14ac:dyDescent="0.25">
      <c r="A325" s="92">
        <v>1</v>
      </c>
      <c r="B325" s="92"/>
      <c r="C325" s="93" t="s">
        <v>91</v>
      </c>
      <c r="D325" s="93"/>
      <c r="E325" s="93">
        <f>101.43*10.764</f>
        <v>1091.79252</v>
      </c>
      <c r="F325" s="93"/>
      <c r="G325" s="59">
        <v>0</v>
      </c>
      <c r="H325" s="59">
        <f t="shared" ref="H325:H329" si="65">E325*1.6+G325</f>
        <v>1746.8680320000001</v>
      </c>
      <c r="I325" s="94" t="str">
        <f>A324</f>
        <v>58th Floor for Residential (Part Refuge Area)</v>
      </c>
      <c r="J325" s="95"/>
    </row>
    <row r="326" spans="1:10" s="32" customFormat="1" ht="12" customHeight="1" x14ac:dyDescent="0.25">
      <c r="A326" s="92">
        <f>A325+1</f>
        <v>2</v>
      </c>
      <c r="B326" s="92"/>
      <c r="C326" s="93" t="s">
        <v>91</v>
      </c>
      <c r="D326" s="93"/>
      <c r="E326" s="93">
        <f>101.43*10.764</f>
        <v>1091.79252</v>
      </c>
      <c r="F326" s="93"/>
      <c r="G326" s="59">
        <v>0</v>
      </c>
      <c r="H326" s="59">
        <f t="shared" si="65"/>
        <v>1746.8680320000001</v>
      </c>
      <c r="I326" s="96"/>
      <c r="J326" s="97"/>
    </row>
    <row r="327" spans="1:10" s="32" customFormat="1" ht="12" customHeight="1" x14ac:dyDescent="0.25">
      <c r="A327" s="92">
        <f t="shared" ref="A327:A330" si="66">A326+1</f>
        <v>3</v>
      </c>
      <c r="B327" s="92"/>
      <c r="C327" s="93" t="s">
        <v>91</v>
      </c>
      <c r="D327" s="93"/>
      <c r="E327" s="93">
        <f t="shared" ref="E327:E328" si="67">101.43*10.764</f>
        <v>1091.79252</v>
      </c>
      <c r="F327" s="93"/>
      <c r="G327" s="59">
        <v>0</v>
      </c>
      <c r="H327" s="59">
        <f t="shared" si="65"/>
        <v>1746.8680320000001</v>
      </c>
      <c r="I327" s="96"/>
      <c r="J327" s="97"/>
    </row>
    <row r="328" spans="1:10" s="32" customFormat="1" ht="15.75" x14ac:dyDescent="0.25">
      <c r="A328" s="92">
        <f t="shared" si="66"/>
        <v>4</v>
      </c>
      <c r="B328" s="92"/>
      <c r="C328" s="93" t="s">
        <v>91</v>
      </c>
      <c r="D328" s="93"/>
      <c r="E328" s="93">
        <f t="shared" si="67"/>
        <v>1091.79252</v>
      </c>
      <c r="F328" s="93"/>
      <c r="G328" s="59">
        <v>0</v>
      </c>
      <c r="H328" s="59">
        <f t="shared" si="65"/>
        <v>1746.8680320000001</v>
      </c>
      <c r="I328" s="96"/>
      <c r="J328" s="97"/>
    </row>
    <row r="329" spans="1:10" s="32" customFormat="1" ht="15.75" x14ac:dyDescent="0.25">
      <c r="A329" s="92">
        <f t="shared" si="66"/>
        <v>5</v>
      </c>
      <c r="B329" s="92"/>
      <c r="C329" s="93" t="s">
        <v>91</v>
      </c>
      <c r="D329" s="93"/>
      <c r="E329" s="83">
        <f>86.66*10.764</f>
        <v>932.80823999999996</v>
      </c>
      <c r="F329" s="85"/>
      <c r="G329" s="59">
        <v>0</v>
      </c>
      <c r="H329" s="59">
        <f t="shared" si="65"/>
        <v>1492.4931839999999</v>
      </c>
      <c r="I329" s="96"/>
      <c r="J329" s="97"/>
    </row>
    <row r="330" spans="1:10" s="32" customFormat="1" ht="15.75" x14ac:dyDescent="0.25">
      <c r="A330" s="92">
        <f t="shared" si="66"/>
        <v>6</v>
      </c>
      <c r="B330" s="92"/>
      <c r="C330" s="83" t="s">
        <v>103</v>
      </c>
      <c r="D330" s="84"/>
      <c r="E330" s="84"/>
      <c r="F330" s="84"/>
      <c r="G330" s="84"/>
      <c r="H330" s="85"/>
      <c r="I330" s="98"/>
      <c r="J330" s="99"/>
    </row>
    <row r="331" spans="1:10" s="32" customFormat="1" ht="15.75" x14ac:dyDescent="0.25">
      <c r="A331" s="89" t="s">
        <v>111</v>
      </c>
      <c r="B331" s="89"/>
      <c r="C331" s="89"/>
      <c r="D331" s="89"/>
      <c r="E331" s="89"/>
      <c r="F331" s="89"/>
      <c r="G331" s="89"/>
      <c r="H331" s="89"/>
      <c r="I331" s="89"/>
      <c r="J331" s="89"/>
    </row>
    <row r="332" spans="1:10" s="32" customFormat="1" ht="15.75" x14ac:dyDescent="0.25">
      <c r="A332" s="90" t="s">
        <v>248</v>
      </c>
      <c r="B332" s="90"/>
      <c r="C332" s="90"/>
      <c r="D332" s="90"/>
      <c r="E332" s="90"/>
      <c r="F332" s="90"/>
      <c r="G332" s="90"/>
      <c r="H332" s="90"/>
      <c r="I332" s="90"/>
      <c r="J332" s="90"/>
    </row>
    <row r="333" spans="1:10" s="32" customFormat="1" ht="15.75" x14ac:dyDescent="0.25">
      <c r="A333" s="90" t="s">
        <v>232</v>
      </c>
      <c r="B333" s="90"/>
      <c r="C333" s="90"/>
      <c r="D333" s="90"/>
      <c r="E333" s="90"/>
      <c r="F333" s="90"/>
      <c r="G333" s="90"/>
      <c r="H333" s="90"/>
      <c r="I333" s="90"/>
      <c r="J333" s="90"/>
    </row>
    <row r="334" spans="1:10" s="32" customFormat="1" ht="15" customHeight="1" x14ac:dyDescent="0.25">
      <c r="A334" s="90" t="s">
        <v>250</v>
      </c>
      <c r="B334" s="90"/>
      <c r="C334" s="90"/>
      <c r="D334" s="90"/>
      <c r="E334" s="90"/>
      <c r="F334" s="90"/>
      <c r="G334" s="90"/>
      <c r="H334" s="90"/>
      <c r="I334" s="90"/>
      <c r="J334" s="90"/>
    </row>
    <row r="335" spans="1:10" s="32" customFormat="1" ht="15.75" x14ac:dyDescent="0.25">
      <c r="A335" s="69" t="s">
        <v>112</v>
      </c>
      <c r="B335" s="69"/>
      <c r="C335" s="69"/>
      <c r="D335" s="69"/>
      <c r="E335" s="69"/>
      <c r="F335" s="69"/>
      <c r="G335" s="69"/>
      <c r="H335" s="69"/>
      <c r="I335" s="69"/>
      <c r="J335" s="69"/>
    </row>
    <row r="336" spans="1:10" s="32" customFormat="1" ht="15.75" x14ac:dyDescent="0.25">
      <c r="A336" s="70" t="s">
        <v>99</v>
      </c>
      <c r="B336" s="70"/>
      <c r="C336" s="71" t="s">
        <v>91</v>
      </c>
      <c r="D336" s="71"/>
      <c r="E336" s="71">
        <f>111.9*10.764</f>
        <v>1204.4916000000001</v>
      </c>
      <c r="F336" s="71"/>
      <c r="G336" s="58">
        <v>0</v>
      </c>
      <c r="H336" s="58">
        <f t="shared" ref="H336:H337" si="68">E336*1.6+G336</f>
        <v>1927.1865600000001</v>
      </c>
      <c r="I336" s="74" t="str">
        <f>A335</f>
        <v>3rd Floor for Parking &amp; Residential</v>
      </c>
      <c r="J336" s="75"/>
    </row>
    <row r="337" spans="1:11" s="32" customFormat="1" ht="15.75" x14ac:dyDescent="0.25">
      <c r="A337" s="70" t="s">
        <v>100</v>
      </c>
      <c r="B337" s="70"/>
      <c r="C337" s="71" t="s">
        <v>91</v>
      </c>
      <c r="D337" s="71"/>
      <c r="E337" s="71">
        <f>97.54*10.764</f>
        <v>1049.92056</v>
      </c>
      <c r="F337" s="71"/>
      <c r="G337" s="58">
        <v>0</v>
      </c>
      <c r="H337" s="58">
        <f t="shared" si="68"/>
        <v>1679.8728960000001</v>
      </c>
      <c r="I337" s="78"/>
      <c r="J337" s="79"/>
    </row>
    <row r="338" spans="1:11" s="32" customFormat="1" ht="15.75" x14ac:dyDescent="0.25">
      <c r="A338" s="69" t="s">
        <v>254</v>
      </c>
      <c r="B338" s="69"/>
      <c r="C338" s="69"/>
      <c r="D338" s="69"/>
      <c r="E338" s="69"/>
      <c r="F338" s="69"/>
      <c r="G338" s="69"/>
      <c r="H338" s="69"/>
      <c r="I338" s="69"/>
      <c r="J338" s="69"/>
    </row>
    <row r="339" spans="1:11" s="32" customFormat="1" ht="15.75" x14ac:dyDescent="0.25">
      <c r="A339" s="70" t="s">
        <v>99</v>
      </c>
      <c r="B339" s="70"/>
      <c r="C339" s="71" t="s">
        <v>91</v>
      </c>
      <c r="D339" s="71"/>
      <c r="E339" s="71">
        <f>111.9*10.764</f>
        <v>1204.4916000000001</v>
      </c>
      <c r="F339" s="71"/>
      <c r="G339" s="58">
        <v>0</v>
      </c>
      <c r="H339" s="58">
        <f t="shared" ref="H339:H341" si="69">E339*1.6+G339</f>
        <v>1927.1865600000001</v>
      </c>
      <c r="I339" s="74" t="str">
        <f>A338</f>
        <v>4th to 8th Floor for Parking &amp; Residential</v>
      </c>
      <c r="J339" s="75"/>
    </row>
    <row r="340" spans="1:11" s="32" customFormat="1" ht="15.75" x14ac:dyDescent="0.25">
      <c r="A340" s="70" t="s">
        <v>100</v>
      </c>
      <c r="B340" s="70"/>
      <c r="C340" s="71" t="s">
        <v>91</v>
      </c>
      <c r="D340" s="71"/>
      <c r="E340" s="71">
        <f>97.54*10.764</f>
        <v>1049.92056</v>
      </c>
      <c r="F340" s="71"/>
      <c r="G340" s="58">
        <v>0</v>
      </c>
      <c r="H340" s="58">
        <f t="shared" si="69"/>
        <v>1679.8728960000001</v>
      </c>
      <c r="I340" s="76"/>
      <c r="J340" s="77"/>
    </row>
    <row r="341" spans="1:11" s="32" customFormat="1" ht="15.75" x14ac:dyDescent="0.25">
      <c r="A341" s="70" t="s">
        <v>101</v>
      </c>
      <c r="B341" s="70"/>
      <c r="C341" s="71" t="s">
        <v>91</v>
      </c>
      <c r="D341" s="71"/>
      <c r="E341" s="71">
        <f>84.6*10.764</f>
        <v>910.63439999999991</v>
      </c>
      <c r="F341" s="71"/>
      <c r="G341" s="58">
        <v>0</v>
      </c>
      <c r="H341" s="58">
        <f t="shared" si="69"/>
        <v>1457.01504</v>
      </c>
      <c r="I341" s="78"/>
      <c r="J341" s="79"/>
    </row>
    <row r="342" spans="1:11" s="32" customFormat="1" ht="15" customHeight="1" x14ac:dyDescent="0.25">
      <c r="A342" s="86" t="s">
        <v>253</v>
      </c>
      <c r="B342" s="87"/>
      <c r="C342" s="87"/>
      <c r="D342" s="87"/>
      <c r="E342" s="87"/>
      <c r="F342" s="87"/>
      <c r="G342" s="87"/>
      <c r="H342" s="87"/>
      <c r="I342" s="87"/>
      <c r="J342" s="88"/>
    </row>
    <row r="343" spans="1:11" s="32" customFormat="1" ht="15.75" x14ac:dyDescent="0.25">
      <c r="A343" s="70" t="s">
        <v>102</v>
      </c>
      <c r="B343" s="70"/>
      <c r="C343" s="71" t="s">
        <v>91</v>
      </c>
      <c r="D343" s="71"/>
      <c r="E343" s="71">
        <f t="shared" ref="E343:E346" si="70">97.54*10.764</f>
        <v>1049.92056</v>
      </c>
      <c r="F343" s="71"/>
      <c r="G343" s="58">
        <v>0</v>
      </c>
      <c r="H343" s="58">
        <f t="shared" ref="H343:H348" si="71">E343*1.6+G343</f>
        <v>1679.8728960000001</v>
      </c>
      <c r="I343" s="74" t="str">
        <f>A342</f>
        <v>9th Floor  For Residential</v>
      </c>
      <c r="J343" s="75"/>
    </row>
    <row r="344" spans="1:11" s="32" customFormat="1" ht="15.75" x14ac:dyDescent="0.25">
      <c r="A344" s="70" t="s">
        <v>98</v>
      </c>
      <c r="B344" s="70"/>
      <c r="C344" s="71" t="s">
        <v>91</v>
      </c>
      <c r="D344" s="71"/>
      <c r="E344" s="71">
        <f t="shared" si="70"/>
        <v>1049.92056</v>
      </c>
      <c r="F344" s="71"/>
      <c r="G344" s="58">
        <v>0</v>
      </c>
      <c r="H344" s="58">
        <f t="shared" si="71"/>
        <v>1679.8728960000001</v>
      </c>
      <c r="I344" s="76"/>
      <c r="J344" s="77"/>
    </row>
    <row r="345" spans="1:11" s="32" customFormat="1" ht="15.75" x14ac:dyDescent="0.25">
      <c r="A345" s="70" t="s">
        <v>99</v>
      </c>
      <c r="B345" s="70"/>
      <c r="C345" s="71" t="s">
        <v>91</v>
      </c>
      <c r="D345" s="71"/>
      <c r="E345" s="71">
        <f t="shared" si="70"/>
        <v>1049.92056</v>
      </c>
      <c r="F345" s="71"/>
      <c r="G345" s="58">
        <v>0</v>
      </c>
      <c r="H345" s="58">
        <f t="shared" si="71"/>
        <v>1679.8728960000001</v>
      </c>
      <c r="I345" s="76"/>
      <c r="J345" s="77"/>
    </row>
    <row r="346" spans="1:11" s="32" customFormat="1" ht="15.75" x14ac:dyDescent="0.25">
      <c r="A346" s="70" t="s">
        <v>100</v>
      </c>
      <c r="B346" s="70"/>
      <c r="C346" s="71" t="s">
        <v>91</v>
      </c>
      <c r="D346" s="71"/>
      <c r="E346" s="71">
        <f t="shared" si="70"/>
        <v>1049.92056</v>
      </c>
      <c r="F346" s="71"/>
      <c r="G346" s="58">
        <v>0</v>
      </c>
      <c r="H346" s="58">
        <f t="shared" si="71"/>
        <v>1679.8728960000001</v>
      </c>
      <c r="I346" s="76"/>
      <c r="J346" s="77"/>
    </row>
    <row r="347" spans="1:11" s="32" customFormat="1" ht="15.75" x14ac:dyDescent="0.25">
      <c r="A347" s="70" t="s">
        <v>101</v>
      </c>
      <c r="B347" s="70"/>
      <c r="C347" s="71" t="s">
        <v>91</v>
      </c>
      <c r="D347" s="71"/>
      <c r="E347" s="71">
        <f t="shared" ref="E347:E348" si="72">84.6*10.764</f>
        <v>910.63439999999991</v>
      </c>
      <c r="F347" s="71"/>
      <c r="G347" s="58">
        <v>0</v>
      </c>
      <c r="H347" s="58">
        <f t="shared" si="71"/>
        <v>1457.01504</v>
      </c>
      <c r="I347" s="76"/>
      <c r="J347" s="77"/>
    </row>
    <row r="348" spans="1:11" s="32" customFormat="1" ht="12.75" customHeight="1" x14ac:dyDescent="0.25">
      <c r="A348" s="70" t="s">
        <v>104</v>
      </c>
      <c r="B348" s="70"/>
      <c r="C348" s="71" t="s">
        <v>91</v>
      </c>
      <c r="D348" s="71"/>
      <c r="E348" s="71">
        <f t="shared" si="72"/>
        <v>910.63439999999991</v>
      </c>
      <c r="F348" s="71"/>
      <c r="G348" s="58">
        <v>0</v>
      </c>
      <c r="H348" s="58">
        <f t="shared" si="71"/>
        <v>1457.01504</v>
      </c>
      <c r="I348" s="78"/>
      <c r="J348" s="79"/>
    </row>
    <row r="349" spans="1:11" s="32" customFormat="1" ht="15.75" x14ac:dyDescent="0.25">
      <c r="A349" s="69" t="s">
        <v>113</v>
      </c>
      <c r="B349" s="69"/>
      <c r="C349" s="69"/>
      <c r="D349" s="69"/>
      <c r="E349" s="69"/>
      <c r="F349" s="69"/>
      <c r="G349" s="69"/>
      <c r="H349" s="69"/>
      <c r="I349" s="69"/>
      <c r="J349" s="69"/>
    </row>
    <row r="350" spans="1:11" s="32" customFormat="1" ht="15" customHeight="1" x14ac:dyDescent="0.25">
      <c r="A350" s="70" t="s">
        <v>102</v>
      </c>
      <c r="B350" s="70"/>
      <c r="C350" s="71" t="s">
        <v>91</v>
      </c>
      <c r="D350" s="71"/>
      <c r="E350" s="71">
        <f t="shared" ref="E350:E351" si="73">97.54*10.764</f>
        <v>1049.92056</v>
      </c>
      <c r="F350" s="71"/>
      <c r="G350" s="58">
        <v>0</v>
      </c>
      <c r="H350" s="58">
        <f t="shared" ref="H350:H351" si="74">E350*1.6+G350</f>
        <v>1679.8728960000001</v>
      </c>
      <c r="I350" s="74" t="str">
        <f>A349</f>
        <v>10th Floor (Part Refuge Area)</v>
      </c>
      <c r="J350" s="75"/>
    </row>
    <row r="351" spans="1:11" s="32" customFormat="1" ht="15.75" x14ac:dyDescent="0.25">
      <c r="A351" s="70" t="s">
        <v>98</v>
      </c>
      <c r="B351" s="70"/>
      <c r="C351" s="71" t="s">
        <v>91</v>
      </c>
      <c r="D351" s="71"/>
      <c r="E351" s="71">
        <f t="shared" si="73"/>
        <v>1049.92056</v>
      </c>
      <c r="F351" s="71"/>
      <c r="G351" s="58">
        <v>0</v>
      </c>
      <c r="H351" s="58">
        <f t="shared" si="74"/>
        <v>1679.8728960000001</v>
      </c>
      <c r="I351" s="76"/>
      <c r="J351" s="77"/>
    </row>
    <row r="352" spans="1:11" s="32" customFormat="1" ht="15.75" x14ac:dyDescent="0.25">
      <c r="A352" s="70" t="s">
        <v>99</v>
      </c>
      <c r="B352" s="70"/>
      <c r="C352" s="71" t="s">
        <v>91</v>
      </c>
      <c r="D352" s="71"/>
      <c r="E352" s="71">
        <f>97.54*10.764</f>
        <v>1049.92056</v>
      </c>
      <c r="F352" s="71"/>
      <c r="G352" s="58">
        <v>0</v>
      </c>
      <c r="H352" s="58">
        <f>E352*1.6+G352/2</f>
        <v>1679.8728960000001</v>
      </c>
      <c r="I352" s="76"/>
      <c r="J352" s="77"/>
      <c r="K352" s="40">
        <f>(2.56+1.905)*(1.2+2.275)*10.764</f>
        <v>167.01287849999997</v>
      </c>
    </row>
    <row r="353" spans="1:11" s="32" customFormat="1" ht="15.75" x14ac:dyDescent="0.25">
      <c r="A353" s="70" t="s">
        <v>100</v>
      </c>
      <c r="B353" s="70"/>
      <c r="C353" s="71" t="s">
        <v>91</v>
      </c>
      <c r="D353" s="71"/>
      <c r="E353" s="71">
        <f>97.54*10.764</f>
        <v>1049.92056</v>
      </c>
      <c r="F353" s="71"/>
      <c r="G353" s="58">
        <v>0</v>
      </c>
      <c r="H353" s="58">
        <f t="shared" ref="H353" si="75">E353*1.6+G353</f>
        <v>1679.8728960000001</v>
      </c>
      <c r="I353" s="76"/>
      <c r="J353" s="77"/>
    </row>
    <row r="354" spans="1:11" s="32" customFormat="1" ht="15.75" x14ac:dyDescent="0.25">
      <c r="A354" s="70" t="s">
        <v>101</v>
      </c>
      <c r="B354" s="70"/>
      <c r="C354" s="72" t="s">
        <v>103</v>
      </c>
      <c r="D354" s="80"/>
      <c r="E354" s="80"/>
      <c r="F354" s="80"/>
      <c r="G354" s="80"/>
      <c r="H354" s="73"/>
      <c r="I354" s="78"/>
      <c r="J354" s="79"/>
    </row>
    <row r="355" spans="1:11" s="32" customFormat="1" ht="15.75" x14ac:dyDescent="0.25">
      <c r="A355" s="69" t="s">
        <v>255</v>
      </c>
      <c r="B355" s="69"/>
      <c r="C355" s="69"/>
      <c r="D355" s="69"/>
      <c r="E355" s="69"/>
      <c r="F355" s="69"/>
      <c r="G355" s="69"/>
      <c r="H355" s="69"/>
      <c r="I355" s="69"/>
      <c r="J355" s="69"/>
      <c r="K355" s="32">
        <f>6+6+5</f>
        <v>17</v>
      </c>
    </row>
    <row r="356" spans="1:11" s="32" customFormat="1" ht="15.75" x14ac:dyDescent="0.25">
      <c r="A356" s="70" t="s">
        <v>102</v>
      </c>
      <c r="B356" s="70"/>
      <c r="C356" s="71" t="s">
        <v>91</v>
      </c>
      <c r="D356" s="71"/>
      <c r="E356" s="71">
        <f t="shared" ref="E356:E359" si="76">97.54*10.764</f>
        <v>1049.92056</v>
      </c>
      <c r="F356" s="71"/>
      <c r="G356" s="58">
        <v>0</v>
      </c>
      <c r="H356" s="58">
        <f t="shared" ref="H356:H361" si="77">E356*1.6+G356</f>
        <v>1679.8728960000001</v>
      </c>
      <c r="I356" s="74" t="str">
        <f>A355</f>
        <v>11th to 16th, 18th to 23rd &amp; 26th to 30th Floor</v>
      </c>
      <c r="J356" s="75"/>
    </row>
    <row r="357" spans="1:11" s="32" customFormat="1" ht="15.75" x14ac:dyDescent="0.25">
      <c r="A357" s="70" t="s">
        <v>98</v>
      </c>
      <c r="B357" s="70"/>
      <c r="C357" s="71" t="s">
        <v>91</v>
      </c>
      <c r="D357" s="71"/>
      <c r="E357" s="71">
        <f t="shared" si="76"/>
        <v>1049.92056</v>
      </c>
      <c r="F357" s="71"/>
      <c r="G357" s="58">
        <v>0</v>
      </c>
      <c r="H357" s="58">
        <f t="shared" si="77"/>
        <v>1679.8728960000001</v>
      </c>
      <c r="I357" s="76"/>
      <c r="J357" s="77"/>
    </row>
    <row r="358" spans="1:11" s="32" customFormat="1" ht="15.75" x14ac:dyDescent="0.25">
      <c r="A358" s="70" t="s">
        <v>99</v>
      </c>
      <c r="B358" s="70"/>
      <c r="C358" s="71" t="s">
        <v>91</v>
      </c>
      <c r="D358" s="71"/>
      <c r="E358" s="71">
        <f t="shared" si="76"/>
        <v>1049.92056</v>
      </c>
      <c r="F358" s="71"/>
      <c r="G358" s="58">
        <v>0</v>
      </c>
      <c r="H358" s="58">
        <f t="shared" si="77"/>
        <v>1679.8728960000001</v>
      </c>
      <c r="I358" s="76"/>
      <c r="J358" s="77"/>
    </row>
    <row r="359" spans="1:11" s="32" customFormat="1" ht="15.75" x14ac:dyDescent="0.25">
      <c r="A359" s="70" t="s">
        <v>100</v>
      </c>
      <c r="B359" s="70"/>
      <c r="C359" s="71" t="s">
        <v>91</v>
      </c>
      <c r="D359" s="71"/>
      <c r="E359" s="71">
        <f t="shared" si="76"/>
        <v>1049.92056</v>
      </c>
      <c r="F359" s="71"/>
      <c r="G359" s="58">
        <v>0</v>
      </c>
      <c r="H359" s="58">
        <f t="shared" si="77"/>
        <v>1679.8728960000001</v>
      </c>
      <c r="I359" s="76"/>
      <c r="J359" s="77"/>
    </row>
    <row r="360" spans="1:11" s="32" customFormat="1" ht="15.75" x14ac:dyDescent="0.25">
      <c r="A360" s="70" t="s">
        <v>101</v>
      </c>
      <c r="B360" s="70"/>
      <c r="C360" s="71" t="s">
        <v>91</v>
      </c>
      <c r="D360" s="71"/>
      <c r="E360" s="71">
        <f t="shared" ref="E360:E361" si="78">84.6*10.764</f>
        <v>910.63439999999991</v>
      </c>
      <c r="F360" s="71"/>
      <c r="G360" s="58">
        <v>0</v>
      </c>
      <c r="H360" s="58">
        <f t="shared" si="77"/>
        <v>1457.01504</v>
      </c>
      <c r="I360" s="76"/>
      <c r="J360" s="77"/>
    </row>
    <row r="361" spans="1:11" s="32" customFormat="1" ht="15.75" x14ac:dyDescent="0.25">
      <c r="A361" s="70" t="s">
        <v>104</v>
      </c>
      <c r="B361" s="70"/>
      <c r="C361" s="71" t="s">
        <v>91</v>
      </c>
      <c r="D361" s="71"/>
      <c r="E361" s="71">
        <f t="shared" si="78"/>
        <v>910.63439999999991</v>
      </c>
      <c r="F361" s="71"/>
      <c r="G361" s="58">
        <v>0</v>
      </c>
      <c r="H361" s="58">
        <f t="shared" si="77"/>
        <v>1457.01504</v>
      </c>
      <c r="I361" s="78"/>
      <c r="J361" s="79"/>
    </row>
    <row r="362" spans="1:11" s="32" customFormat="1" ht="15.75" x14ac:dyDescent="0.25">
      <c r="A362" s="69" t="s">
        <v>114</v>
      </c>
      <c r="B362" s="69"/>
      <c r="C362" s="69"/>
      <c r="D362" s="69"/>
      <c r="E362" s="69"/>
      <c r="F362" s="69"/>
      <c r="G362" s="69"/>
      <c r="H362" s="69"/>
      <c r="I362" s="69"/>
      <c r="J362" s="69"/>
    </row>
    <row r="363" spans="1:11" s="32" customFormat="1" ht="15.75" x14ac:dyDescent="0.25">
      <c r="A363" s="70" t="s">
        <v>102</v>
      </c>
      <c r="B363" s="70"/>
      <c r="C363" s="71" t="s">
        <v>91</v>
      </c>
      <c r="D363" s="71"/>
      <c r="E363" s="71">
        <f t="shared" ref="E363:E366" si="79">97.54*10.764</f>
        <v>1049.92056</v>
      </c>
      <c r="F363" s="71"/>
      <c r="G363" s="58">
        <v>0</v>
      </c>
      <c r="H363" s="58">
        <f t="shared" ref="H363:H366" si="80">E363*1.6+G363</f>
        <v>1679.8728960000001</v>
      </c>
      <c r="I363" s="74" t="str">
        <f>A362</f>
        <v>17th Floor (Part Refuge Area)</v>
      </c>
      <c r="J363" s="75"/>
    </row>
    <row r="364" spans="1:11" s="32" customFormat="1" ht="15.75" x14ac:dyDescent="0.25">
      <c r="A364" s="70" t="s">
        <v>98</v>
      </c>
      <c r="B364" s="70"/>
      <c r="C364" s="71" t="s">
        <v>91</v>
      </c>
      <c r="D364" s="71"/>
      <c r="E364" s="71">
        <f t="shared" si="79"/>
        <v>1049.92056</v>
      </c>
      <c r="F364" s="71"/>
      <c r="G364" s="58">
        <v>0</v>
      </c>
      <c r="H364" s="58">
        <f t="shared" si="80"/>
        <v>1679.8728960000001</v>
      </c>
      <c r="I364" s="76"/>
      <c r="J364" s="77"/>
    </row>
    <row r="365" spans="1:11" s="32" customFormat="1" ht="15.75" x14ac:dyDescent="0.25">
      <c r="A365" s="70" t="s">
        <v>99</v>
      </c>
      <c r="B365" s="70"/>
      <c r="C365" s="71" t="s">
        <v>91</v>
      </c>
      <c r="D365" s="71"/>
      <c r="E365" s="71">
        <f t="shared" si="79"/>
        <v>1049.92056</v>
      </c>
      <c r="F365" s="71"/>
      <c r="G365" s="58">
        <v>0</v>
      </c>
      <c r="H365" s="58">
        <f t="shared" si="80"/>
        <v>1679.8728960000001</v>
      </c>
      <c r="I365" s="76"/>
      <c r="J365" s="77"/>
    </row>
    <row r="366" spans="1:11" s="32" customFormat="1" ht="15.75" x14ac:dyDescent="0.25">
      <c r="A366" s="70" t="s">
        <v>100</v>
      </c>
      <c r="B366" s="70"/>
      <c r="C366" s="71" t="s">
        <v>91</v>
      </c>
      <c r="D366" s="71"/>
      <c r="E366" s="71">
        <f t="shared" si="79"/>
        <v>1049.92056</v>
      </c>
      <c r="F366" s="71"/>
      <c r="G366" s="58">
        <v>0</v>
      </c>
      <c r="H366" s="58">
        <f t="shared" si="80"/>
        <v>1679.8728960000001</v>
      </c>
      <c r="I366" s="76"/>
      <c r="J366" s="77"/>
    </row>
    <row r="367" spans="1:11" s="32" customFormat="1" ht="15.75" x14ac:dyDescent="0.25">
      <c r="A367" s="70" t="s">
        <v>101</v>
      </c>
      <c r="B367" s="70"/>
      <c r="C367" s="74" t="s">
        <v>103</v>
      </c>
      <c r="D367" s="81"/>
      <c r="E367" s="81"/>
      <c r="F367" s="81"/>
      <c r="G367" s="81"/>
      <c r="H367" s="75"/>
      <c r="I367" s="76"/>
      <c r="J367" s="77"/>
    </row>
    <row r="368" spans="1:11" s="32" customFormat="1" ht="15.75" x14ac:dyDescent="0.25">
      <c r="A368" s="70" t="s">
        <v>104</v>
      </c>
      <c r="B368" s="70"/>
      <c r="C368" s="78"/>
      <c r="D368" s="82"/>
      <c r="E368" s="82"/>
      <c r="F368" s="82"/>
      <c r="G368" s="82"/>
      <c r="H368" s="79"/>
      <c r="I368" s="78"/>
      <c r="J368" s="79"/>
    </row>
    <row r="369" spans="1:11" s="32" customFormat="1" ht="15.75" x14ac:dyDescent="0.25">
      <c r="A369" s="69" t="s">
        <v>256</v>
      </c>
      <c r="B369" s="69"/>
      <c r="C369" s="69"/>
      <c r="D369" s="69"/>
      <c r="E369" s="69"/>
      <c r="F369" s="69"/>
      <c r="G369" s="69"/>
      <c r="H369" s="69"/>
      <c r="I369" s="69"/>
      <c r="J369" s="69"/>
    </row>
    <row r="370" spans="1:11" s="32" customFormat="1" ht="15.75" x14ac:dyDescent="0.25">
      <c r="A370" s="69" t="s">
        <v>116</v>
      </c>
      <c r="B370" s="69"/>
      <c r="C370" s="69"/>
      <c r="D370" s="69"/>
      <c r="E370" s="69"/>
      <c r="F370" s="69"/>
      <c r="G370" s="69"/>
      <c r="H370" s="69"/>
      <c r="I370" s="69"/>
      <c r="J370" s="69"/>
    </row>
    <row r="371" spans="1:11" s="32" customFormat="1" ht="15.75" x14ac:dyDescent="0.25">
      <c r="A371" s="70" t="s">
        <v>102</v>
      </c>
      <c r="B371" s="70"/>
      <c r="C371" s="71" t="s">
        <v>91</v>
      </c>
      <c r="D371" s="71"/>
      <c r="E371" s="71">
        <f t="shared" ref="E371:E374" si="81">97.54*10.764</f>
        <v>1049.92056</v>
      </c>
      <c r="F371" s="71"/>
      <c r="G371" s="58">
        <v>0</v>
      </c>
      <c r="H371" s="58">
        <f t="shared" ref="H371:H374" si="82">E371*1.6+G371</f>
        <v>1679.8728960000001</v>
      </c>
      <c r="I371" s="74" t="str">
        <f>A370</f>
        <v>25th Floor (Part Refuge Area)</v>
      </c>
      <c r="J371" s="75"/>
    </row>
    <row r="372" spans="1:11" s="32" customFormat="1" ht="15.75" x14ac:dyDescent="0.25">
      <c r="A372" s="70" t="s">
        <v>98</v>
      </c>
      <c r="B372" s="70"/>
      <c r="C372" s="71" t="s">
        <v>91</v>
      </c>
      <c r="D372" s="71"/>
      <c r="E372" s="71">
        <f t="shared" si="81"/>
        <v>1049.92056</v>
      </c>
      <c r="F372" s="71"/>
      <c r="G372" s="58">
        <v>0</v>
      </c>
      <c r="H372" s="58">
        <f t="shared" si="82"/>
        <v>1679.8728960000001</v>
      </c>
      <c r="I372" s="76"/>
      <c r="J372" s="77"/>
    </row>
    <row r="373" spans="1:11" s="32" customFormat="1" ht="15.75" x14ac:dyDescent="0.25">
      <c r="A373" s="70" t="s">
        <v>99</v>
      </c>
      <c r="B373" s="70"/>
      <c r="C373" s="71" t="s">
        <v>91</v>
      </c>
      <c r="D373" s="71"/>
      <c r="E373" s="71">
        <f t="shared" si="81"/>
        <v>1049.92056</v>
      </c>
      <c r="F373" s="71"/>
      <c r="G373" s="58">
        <v>0</v>
      </c>
      <c r="H373" s="58">
        <f t="shared" si="82"/>
        <v>1679.8728960000001</v>
      </c>
      <c r="I373" s="76"/>
      <c r="J373" s="77"/>
    </row>
    <row r="374" spans="1:11" s="32" customFormat="1" ht="15.75" x14ac:dyDescent="0.25">
      <c r="A374" s="70" t="s">
        <v>100</v>
      </c>
      <c r="B374" s="70"/>
      <c r="C374" s="71" t="s">
        <v>91</v>
      </c>
      <c r="D374" s="71"/>
      <c r="E374" s="71">
        <f t="shared" si="81"/>
        <v>1049.92056</v>
      </c>
      <c r="F374" s="71"/>
      <c r="G374" s="58">
        <v>0</v>
      </c>
      <c r="H374" s="58">
        <f t="shared" si="82"/>
        <v>1679.8728960000001</v>
      </c>
      <c r="I374" s="76"/>
      <c r="J374" s="77"/>
    </row>
    <row r="375" spans="1:11" s="32" customFormat="1" ht="15.75" x14ac:dyDescent="0.25">
      <c r="A375" s="70" t="s">
        <v>101</v>
      </c>
      <c r="B375" s="70"/>
      <c r="C375" s="74" t="s">
        <v>103</v>
      </c>
      <c r="D375" s="81"/>
      <c r="E375" s="81"/>
      <c r="F375" s="81"/>
      <c r="G375" s="81"/>
      <c r="H375" s="75"/>
      <c r="I375" s="76"/>
      <c r="J375" s="77"/>
    </row>
    <row r="376" spans="1:11" s="32" customFormat="1" ht="15.75" x14ac:dyDescent="0.25">
      <c r="A376" s="70" t="s">
        <v>104</v>
      </c>
      <c r="B376" s="70"/>
      <c r="C376" s="78"/>
      <c r="D376" s="82"/>
      <c r="E376" s="82"/>
      <c r="F376" s="82"/>
      <c r="G376" s="82"/>
      <c r="H376" s="79"/>
      <c r="I376" s="78"/>
      <c r="J376" s="79"/>
    </row>
    <row r="377" spans="1:11" s="32" customFormat="1" ht="15.75" x14ac:dyDescent="0.25">
      <c r="A377" s="69" t="s">
        <v>117</v>
      </c>
      <c r="B377" s="69"/>
      <c r="C377" s="69"/>
      <c r="D377" s="69"/>
      <c r="E377" s="69"/>
      <c r="F377" s="69"/>
      <c r="G377" s="69"/>
      <c r="H377" s="69"/>
      <c r="I377" s="69"/>
      <c r="J377" s="69"/>
      <c r="K377" s="32">
        <f>1+6+6+2</f>
        <v>15</v>
      </c>
    </row>
    <row r="378" spans="1:11" s="32" customFormat="1" ht="15.75" x14ac:dyDescent="0.25">
      <c r="A378" s="70" t="s">
        <v>102</v>
      </c>
      <c r="B378" s="70"/>
      <c r="C378" s="71" t="s">
        <v>91</v>
      </c>
      <c r="D378" s="71"/>
      <c r="E378" s="72">
        <f>101.44*10.764</f>
        <v>1091.9001599999999</v>
      </c>
      <c r="F378" s="73"/>
      <c r="G378" s="58">
        <v>0</v>
      </c>
      <c r="H378" s="58">
        <f t="shared" ref="H378:H383" si="83">E378*1.6+G378</f>
        <v>1747.040256</v>
      </c>
      <c r="I378" s="74" t="str">
        <f>A377</f>
        <v>31st, 33rd to 38th, 40th to 45th, 47th &amp; 48th Floor</v>
      </c>
      <c r="J378" s="75"/>
    </row>
    <row r="379" spans="1:11" s="32" customFormat="1" ht="15.75" x14ac:dyDescent="0.25">
      <c r="A379" s="70" t="s">
        <v>98</v>
      </c>
      <c r="B379" s="70"/>
      <c r="C379" s="71" t="s">
        <v>91</v>
      </c>
      <c r="D379" s="71"/>
      <c r="E379" s="72">
        <f t="shared" ref="E379:E381" si="84">101.44*10.764</f>
        <v>1091.9001599999999</v>
      </c>
      <c r="F379" s="73"/>
      <c r="G379" s="58">
        <v>0</v>
      </c>
      <c r="H379" s="58">
        <f t="shared" si="83"/>
        <v>1747.040256</v>
      </c>
      <c r="I379" s="76"/>
      <c r="J379" s="77"/>
    </row>
    <row r="380" spans="1:11" s="32" customFormat="1" ht="15.75" x14ac:dyDescent="0.25">
      <c r="A380" s="70" t="s">
        <v>99</v>
      </c>
      <c r="B380" s="70"/>
      <c r="C380" s="71" t="s">
        <v>91</v>
      </c>
      <c r="D380" s="71"/>
      <c r="E380" s="72">
        <f t="shared" si="84"/>
        <v>1091.9001599999999</v>
      </c>
      <c r="F380" s="73"/>
      <c r="G380" s="58">
        <v>0</v>
      </c>
      <c r="H380" s="58">
        <f t="shared" si="83"/>
        <v>1747.040256</v>
      </c>
      <c r="I380" s="76"/>
      <c r="J380" s="77"/>
    </row>
    <row r="381" spans="1:11" s="32" customFormat="1" ht="15.75" x14ac:dyDescent="0.25">
      <c r="A381" s="70" t="s">
        <v>100</v>
      </c>
      <c r="B381" s="70"/>
      <c r="C381" s="71" t="s">
        <v>91</v>
      </c>
      <c r="D381" s="71"/>
      <c r="E381" s="72">
        <f t="shared" si="84"/>
        <v>1091.9001599999999</v>
      </c>
      <c r="F381" s="73"/>
      <c r="G381" s="58">
        <v>0</v>
      </c>
      <c r="H381" s="58">
        <f t="shared" si="83"/>
        <v>1747.040256</v>
      </c>
      <c r="I381" s="76"/>
      <c r="J381" s="77"/>
    </row>
    <row r="382" spans="1:11" s="32" customFormat="1" ht="15.75" x14ac:dyDescent="0.25">
      <c r="A382" s="70" t="s">
        <v>101</v>
      </c>
      <c r="B382" s="70"/>
      <c r="C382" s="71" t="s">
        <v>91</v>
      </c>
      <c r="D382" s="71"/>
      <c r="E382" s="71">
        <f t="shared" ref="E382:E383" si="85">86.66*10.764</f>
        <v>932.80823999999996</v>
      </c>
      <c r="F382" s="71"/>
      <c r="G382" s="58">
        <v>0</v>
      </c>
      <c r="H382" s="58">
        <f t="shared" si="83"/>
        <v>1492.4931839999999</v>
      </c>
      <c r="I382" s="76"/>
      <c r="J382" s="77"/>
    </row>
    <row r="383" spans="1:11" s="32" customFormat="1" ht="15.75" x14ac:dyDescent="0.25">
      <c r="A383" s="70" t="s">
        <v>104</v>
      </c>
      <c r="B383" s="70"/>
      <c r="C383" s="71" t="s">
        <v>91</v>
      </c>
      <c r="D383" s="71"/>
      <c r="E383" s="71">
        <f t="shared" si="85"/>
        <v>932.80823999999996</v>
      </c>
      <c r="F383" s="71"/>
      <c r="G383" s="58">
        <v>0</v>
      </c>
      <c r="H383" s="58">
        <f t="shared" si="83"/>
        <v>1492.4931839999999</v>
      </c>
      <c r="I383" s="78"/>
      <c r="J383" s="79"/>
    </row>
    <row r="384" spans="1:11" s="32" customFormat="1" ht="15" customHeight="1" x14ac:dyDescent="0.25">
      <c r="A384" s="69" t="s">
        <v>258</v>
      </c>
      <c r="B384" s="69"/>
      <c r="C384" s="69"/>
      <c r="D384" s="69"/>
      <c r="E384" s="69"/>
      <c r="F384" s="69"/>
      <c r="G384" s="69"/>
      <c r="H384" s="69"/>
      <c r="I384" s="69"/>
      <c r="J384" s="69"/>
    </row>
    <row r="385" spans="1:10" s="32" customFormat="1" ht="15.75" x14ac:dyDescent="0.25">
      <c r="A385" s="70" t="s">
        <v>102</v>
      </c>
      <c r="B385" s="70"/>
      <c r="C385" s="71" t="s">
        <v>91</v>
      </c>
      <c r="D385" s="71"/>
      <c r="E385" s="72">
        <f t="shared" ref="E385:E388" si="86">101.44*10.764</f>
        <v>1091.9001599999999</v>
      </c>
      <c r="F385" s="73"/>
      <c r="G385" s="58">
        <v>0</v>
      </c>
      <c r="H385" s="58">
        <f t="shared" ref="H385:H390" si="87">E385*1.6+G385</f>
        <v>1747.040256</v>
      </c>
      <c r="I385" s="74" t="str">
        <f>A384</f>
        <v>49th to 51st Floor</v>
      </c>
      <c r="J385" s="75"/>
    </row>
    <row r="386" spans="1:10" s="32" customFormat="1" ht="15.75" x14ac:dyDescent="0.25">
      <c r="A386" s="70" t="s">
        <v>98</v>
      </c>
      <c r="B386" s="70"/>
      <c r="C386" s="71" t="s">
        <v>91</v>
      </c>
      <c r="D386" s="71"/>
      <c r="E386" s="72">
        <f t="shared" si="86"/>
        <v>1091.9001599999999</v>
      </c>
      <c r="F386" s="73"/>
      <c r="G386" s="58">
        <v>0</v>
      </c>
      <c r="H386" s="58">
        <f t="shared" si="87"/>
        <v>1747.040256</v>
      </c>
      <c r="I386" s="76"/>
      <c r="J386" s="77"/>
    </row>
    <row r="387" spans="1:10" s="32" customFormat="1" ht="15.75" x14ac:dyDescent="0.25">
      <c r="A387" s="70" t="s">
        <v>99</v>
      </c>
      <c r="B387" s="70"/>
      <c r="C387" s="71" t="s">
        <v>91</v>
      </c>
      <c r="D387" s="71"/>
      <c r="E387" s="72">
        <f t="shared" si="86"/>
        <v>1091.9001599999999</v>
      </c>
      <c r="F387" s="73"/>
      <c r="G387" s="58">
        <v>0</v>
      </c>
      <c r="H387" s="58">
        <f t="shared" si="87"/>
        <v>1747.040256</v>
      </c>
      <c r="I387" s="76"/>
      <c r="J387" s="77"/>
    </row>
    <row r="388" spans="1:10" s="32" customFormat="1" ht="15.75" x14ac:dyDescent="0.25">
      <c r="A388" s="70" t="s">
        <v>100</v>
      </c>
      <c r="B388" s="70"/>
      <c r="C388" s="71" t="s">
        <v>91</v>
      </c>
      <c r="D388" s="71"/>
      <c r="E388" s="72">
        <f t="shared" si="86"/>
        <v>1091.9001599999999</v>
      </c>
      <c r="F388" s="73"/>
      <c r="G388" s="58">
        <v>0</v>
      </c>
      <c r="H388" s="58">
        <f t="shared" si="87"/>
        <v>1747.040256</v>
      </c>
      <c r="I388" s="76"/>
      <c r="J388" s="77"/>
    </row>
    <row r="389" spans="1:10" s="32" customFormat="1" ht="15.75" x14ac:dyDescent="0.25">
      <c r="A389" s="70" t="s">
        <v>101</v>
      </c>
      <c r="B389" s="70"/>
      <c r="C389" s="71" t="s">
        <v>91</v>
      </c>
      <c r="D389" s="71"/>
      <c r="E389" s="71">
        <f t="shared" ref="E389:E390" si="88">86.66*10.764</f>
        <v>932.80823999999996</v>
      </c>
      <c r="F389" s="71"/>
      <c r="G389" s="58">
        <v>0</v>
      </c>
      <c r="H389" s="58">
        <f t="shared" si="87"/>
        <v>1492.4931839999999</v>
      </c>
      <c r="I389" s="76"/>
      <c r="J389" s="77"/>
    </row>
    <row r="390" spans="1:10" s="32" customFormat="1" ht="15.75" x14ac:dyDescent="0.25">
      <c r="A390" s="70" t="s">
        <v>104</v>
      </c>
      <c r="B390" s="70"/>
      <c r="C390" s="71" t="s">
        <v>91</v>
      </c>
      <c r="D390" s="71"/>
      <c r="E390" s="71">
        <f t="shared" si="88"/>
        <v>932.80823999999996</v>
      </c>
      <c r="F390" s="71"/>
      <c r="G390" s="58">
        <v>0</v>
      </c>
      <c r="H390" s="58">
        <f t="shared" si="87"/>
        <v>1492.4931839999999</v>
      </c>
      <c r="I390" s="78"/>
      <c r="J390" s="79"/>
    </row>
    <row r="391" spans="1:10" s="32" customFormat="1" ht="15.75" x14ac:dyDescent="0.25">
      <c r="A391" s="69" t="s">
        <v>118</v>
      </c>
      <c r="B391" s="69"/>
      <c r="C391" s="69"/>
      <c r="D391" s="69"/>
      <c r="E391" s="69"/>
      <c r="F391" s="69"/>
      <c r="G391" s="69"/>
      <c r="H391" s="69"/>
      <c r="I391" s="69"/>
      <c r="J391" s="69"/>
    </row>
    <row r="392" spans="1:10" s="32" customFormat="1" ht="15.75" x14ac:dyDescent="0.25">
      <c r="A392" s="70" t="s">
        <v>102</v>
      </c>
      <c r="B392" s="70"/>
      <c r="C392" s="71" t="s">
        <v>91</v>
      </c>
      <c r="D392" s="71"/>
      <c r="E392" s="72">
        <f t="shared" ref="E392:E395" si="89">101.44*10.764</f>
        <v>1091.9001599999999</v>
      </c>
      <c r="F392" s="73"/>
      <c r="G392" s="58">
        <v>0</v>
      </c>
      <c r="H392" s="58">
        <f t="shared" ref="H392:H395" si="90">E392*1.6+G392</f>
        <v>1747.040256</v>
      </c>
      <c r="I392" s="74" t="str">
        <f>A391</f>
        <v>32nd &amp; 39th Floor (Part Refuge Area)</v>
      </c>
      <c r="J392" s="75"/>
    </row>
    <row r="393" spans="1:10" s="32" customFormat="1" ht="15.75" x14ac:dyDescent="0.25">
      <c r="A393" s="70" t="s">
        <v>98</v>
      </c>
      <c r="B393" s="70"/>
      <c r="C393" s="71" t="s">
        <v>91</v>
      </c>
      <c r="D393" s="71"/>
      <c r="E393" s="72">
        <f t="shared" si="89"/>
        <v>1091.9001599999999</v>
      </c>
      <c r="F393" s="73"/>
      <c r="G393" s="58">
        <v>0</v>
      </c>
      <c r="H393" s="58">
        <f t="shared" si="90"/>
        <v>1747.040256</v>
      </c>
      <c r="I393" s="76"/>
      <c r="J393" s="77"/>
    </row>
    <row r="394" spans="1:10" s="32" customFormat="1" ht="15.75" x14ac:dyDescent="0.25">
      <c r="A394" s="70" t="s">
        <v>99</v>
      </c>
      <c r="B394" s="70"/>
      <c r="C394" s="71" t="s">
        <v>91</v>
      </c>
      <c r="D394" s="71"/>
      <c r="E394" s="72">
        <f t="shared" si="89"/>
        <v>1091.9001599999999</v>
      </c>
      <c r="F394" s="73"/>
      <c r="G394" s="58">
        <v>0</v>
      </c>
      <c r="H394" s="58">
        <f t="shared" si="90"/>
        <v>1747.040256</v>
      </c>
      <c r="I394" s="76"/>
      <c r="J394" s="77"/>
    </row>
    <row r="395" spans="1:10" s="32" customFormat="1" ht="15.75" x14ac:dyDescent="0.25">
      <c r="A395" s="70" t="s">
        <v>100</v>
      </c>
      <c r="B395" s="70"/>
      <c r="C395" s="71" t="s">
        <v>91</v>
      </c>
      <c r="D395" s="71"/>
      <c r="E395" s="72">
        <f t="shared" si="89"/>
        <v>1091.9001599999999</v>
      </c>
      <c r="F395" s="73"/>
      <c r="G395" s="58">
        <v>0</v>
      </c>
      <c r="H395" s="58">
        <f t="shared" si="90"/>
        <v>1747.040256</v>
      </c>
      <c r="I395" s="76"/>
      <c r="J395" s="77"/>
    </row>
    <row r="396" spans="1:10" s="32" customFormat="1" ht="15.75" x14ac:dyDescent="0.25">
      <c r="A396" s="70" t="s">
        <v>101</v>
      </c>
      <c r="B396" s="70"/>
      <c r="C396" s="74" t="s">
        <v>103</v>
      </c>
      <c r="D396" s="81"/>
      <c r="E396" s="81"/>
      <c r="F396" s="81"/>
      <c r="G396" s="81"/>
      <c r="H396" s="75"/>
      <c r="I396" s="76"/>
      <c r="J396" s="77"/>
    </row>
    <row r="397" spans="1:10" s="32" customFormat="1" ht="15.75" x14ac:dyDescent="0.25">
      <c r="A397" s="70" t="s">
        <v>104</v>
      </c>
      <c r="B397" s="70"/>
      <c r="C397" s="78"/>
      <c r="D397" s="82"/>
      <c r="E397" s="82"/>
      <c r="F397" s="82"/>
      <c r="G397" s="82"/>
      <c r="H397" s="79"/>
      <c r="I397" s="78"/>
      <c r="J397" s="79"/>
    </row>
    <row r="398" spans="1:10" s="32" customFormat="1" ht="15.75" x14ac:dyDescent="0.25">
      <c r="A398" s="69" t="s">
        <v>119</v>
      </c>
      <c r="B398" s="69"/>
      <c r="C398" s="69"/>
      <c r="D398" s="69"/>
      <c r="E398" s="69"/>
      <c r="F398" s="69"/>
      <c r="G398" s="69"/>
      <c r="H398" s="69"/>
      <c r="I398" s="69"/>
      <c r="J398" s="69"/>
    </row>
    <row r="399" spans="1:10" s="32" customFormat="1" ht="15.75" customHeight="1" x14ac:dyDescent="0.25">
      <c r="A399" s="70" t="s">
        <v>102</v>
      </c>
      <c r="B399" s="70"/>
      <c r="C399" s="71" t="s">
        <v>91</v>
      </c>
      <c r="D399" s="71"/>
      <c r="E399" s="72">
        <f t="shared" ref="E399:E402" si="91">101.44*10.764</f>
        <v>1091.9001599999999</v>
      </c>
      <c r="F399" s="73"/>
      <c r="G399" s="58">
        <v>0</v>
      </c>
      <c r="H399" s="58">
        <f t="shared" ref="H399:H402" si="92">E399*1.6+G399</f>
        <v>1747.040256</v>
      </c>
      <c r="I399" s="74" t="str">
        <f>A398</f>
        <v>46th Floor (Part Refuge Area)</v>
      </c>
      <c r="J399" s="75"/>
    </row>
    <row r="400" spans="1:10" s="32" customFormat="1" ht="15" customHeight="1" x14ac:dyDescent="0.25">
      <c r="A400" s="70" t="s">
        <v>98</v>
      </c>
      <c r="B400" s="70"/>
      <c r="C400" s="71" t="s">
        <v>91</v>
      </c>
      <c r="D400" s="71"/>
      <c r="E400" s="72">
        <f t="shared" si="91"/>
        <v>1091.9001599999999</v>
      </c>
      <c r="F400" s="73"/>
      <c r="G400" s="58">
        <v>0</v>
      </c>
      <c r="H400" s="58">
        <f t="shared" si="92"/>
        <v>1747.040256</v>
      </c>
      <c r="I400" s="76"/>
      <c r="J400" s="77"/>
    </row>
    <row r="401" spans="1:11" s="32" customFormat="1" ht="15.75" x14ac:dyDescent="0.25">
      <c r="A401" s="70" t="s">
        <v>99</v>
      </c>
      <c r="B401" s="70"/>
      <c r="C401" s="71" t="s">
        <v>91</v>
      </c>
      <c r="D401" s="71"/>
      <c r="E401" s="72">
        <f t="shared" si="91"/>
        <v>1091.9001599999999</v>
      </c>
      <c r="F401" s="73"/>
      <c r="G401" s="58">
        <v>0</v>
      </c>
      <c r="H401" s="58">
        <f t="shared" si="92"/>
        <v>1747.040256</v>
      </c>
      <c r="I401" s="76"/>
      <c r="J401" s="77"/>
    </row>
    <row r="402" spans="1:11" s="32" customFormat="1" ht="15.75" x14ac:dyDescent="0.25">
      <c r="A402" s="70" t="s">
        <v>100</v>
      </c>
      <c r="B402" s="70"/>
      <c r="C402" s="71" t="s">
        <v>91</v>
      </c>
      <c r="D402" s="71"/>
      <c r="E402" s="72">
        <f t="shared" si="91"/>
        <v>1091.9001599999999</v>
      </c>
      <c r="F402" s="73"/>
      <c r="G402" s="58">
        <v>0</v>
      </c>
      <c r="H402" s="58">
        <f t="shared" si="92"/>
        <v>1747.040256</v>
      </c>
      <c r="I402" s="76"/>
      <c r="J402" s="77"/>
    </row>
    <row r="403" spans="1:11" s="32" customFormat="1" ht="15.75" x14ac:dyDescent="0.25">
      <c r="A403" s="70" t="s">
        <v>101</v>
      </c>
      <c r="B403" s="70"/>
      <c r="C403" s="74" t="s">
        <v>103</v>
      </c>
      <c r="D403" s="81"/>
      <c r="E403" s="81"/>
      <c r="F403" s="81"/>
      <c r="G403" s="81"/>
      <c r="H403" s="75"/>
      <c r="I403" s="76"/>
      <c r="J403" s="77"/>
    </row>
    <row r="404" spans="1:11" s="32" customFormat="1" ht="15.75" x14ac:dyDescent="0.25">
      <c r="A404" s="70" t="s">
        <v>104</v>
      </c>
      <c r="B404" s="70"/>
      <c r="C404" s="78"/>
      <c r="D404" s="82"/>
      <c r="E404" s="82"/>
      <c r="F404" s="82"/>
      <c r="G404" s="82"/>
      <c r="H404" s="79"/>
      <c r="I404" s="78"/>
      <c r="J404" s="79"/>
    </row>
    <row r="405" spans="1:11" s="32" customFormat="1" ht="15.75" x14ac:dyDescent="0.25">
      <c r="A405" s="69" t="s">
        <v>262</v>
      </c>
      <c r="B405" s="69"/>
      <c r="C405" s="69"/>
      <c r="D405" s="69"/>
      <c r="E405" s="69"/>
      <c r="F405" s="69"/>
      <c r="G405" s="69"/>
      <c r="H405" s="69"/>
      <c r="I405" s="69"/>
      <c r="J405" s="69"/>
      <c r="K405" s="32">
        <f>1+6+2</f>
        <v>9</v>
      </c>
    </row>
    <row r="406" spans="1:11" s="32" customFormat="1" ht="15.75" x14ac:dyDescent="0.25">
      <c r="A406" s="70" t="s">
        <v>102</v>
      </c>
      <c r="B406" s="70"/>
      <c r="C406" s="71" t="s">
        <v>91</v>
      </c>
      <c r="D406" s="71"/>
      <c r="E406" s="72">
        <f t="shared" ref="E406:E409" si="93">101.44*10.764</f>
        <v>1091.9001599999999</v>
      </c>
      <c r="F406" s="73"/>
      <c r="G406" s="58">
        <v>0</v>
      </c>
      <c r="H406" s="58">
        <f t="shared" ref="H406:H411" si="94">E406*1.6+G406</f>
        <v>1747.040256</v>
      </c>
      <c r="I406" s="74" t="str">
        <f>A405</f>
        <v>52nd, 54th to 59th &amp; 61st &amp; 62nd Floor</v>
      </c>
      <c r="J406" s="75"/>
    </row>
    <row r="407" spans="1:11" s="32" customFormat="1" ht="15.75" customHeight="1" x14ac:dyDescent="0.25">
      <c r="A407" s="70" t="s">
        <v>98</v>
      </c>
      <c r="B407" s="70"/>
      <c r="C407" s="71" t="s">
        <v>91</v>
      </c>
      <c r="D407" s="71"/>
      <c r="E407" s="72">
        <f t="shared" si="93"/>
        <v>1091.9001599999999</v>
      </c>
      <c r="F407" s="73"/>
      <c r="G407" s="58">
        <v>0</v>
      </c>
      <c r="H407" s="58">
        <f t="shared" si="94"/>
        <v>1747.040256</v>
      </c>
      <c r="I407" s="76"/>
      <c r="J407" s="77"/>
    </row>
    <row r="408" spans="1:11" s="32" customFormat="1" ht="15.75" customHeight="1" x14ac:dyDescent="0.25">
      <c r="A408" s="70" t="s">
        <v>99</v>
      </c>
      <c r="B408" s="70"/>
      <c r="C408" s="71" t="s">
        <v>91</v>
      </c>
      <c r="D408" s="71"/>
      <c r="E408" s="72">
        <f t="shared" si="93"/>
        <v>1091.9001599999999</v>
      </c>
      <c r="F408" s="73"/>
      <c r="G408" s="58">
        <v>0</v>
      </c>
      <c r="H408" s="58">
        <f t="shared" si="94"/>
        <v>1747.040256</v>
      </c>
      <c r="I408" s="76"/>
      <c r="J408" s="77"/>
    </row>
    <row r="409" spans="1:11" s="32" customFormat="1" ht="15.75" x14ac:dyDescent="0.25">
      <c r="A409" s="70" t="s">
        <v>100</v>
      </c>
      <c r="B409" s="70"/>
      <c r="C409" s="71" t="s">
        <v>91</v>
      </c>
      <c r="D409" s="71"/>
      <c r="E409" s="72">
        <f t="shared" si="93"/>
        <v>1091.9001599999999</v>
      </c>
      <c r="F409" s="73"/>
      <c r="G409" s="58">
        <v>0</v>
      </c>
      <c r="H409" s="58">
        <f t="shared" si="94"/>
        <v>1747.040256</v>
      </c>
      <c r="I409" s="76"/>
      <c r="J409" s="77"/>
    </row>
    <row r="410" spans="1:11" s="32" customFormat="1" ht="15.75" x14ac:dyDescent="0.25">
      <c r="A410" s="70" t="s">
        <v>101</v>
      </c>
      <c r="B410" s="70"/>
      <c r="C410" s="71" t="s">
        <v>91</v>
      </c>
      <c r="D410" s="71"/>
      <c r="E410" s="71">
        <f t="shared" ref="E410:E411" si="95">86.66*10.764</f>
        <v>932.80823999999996</v>
      </c>
      <c r="F410" s="71"/>
      <c r="G410" s="58">
        <v>0</v>
      </c>
      <c r="H410" s="58">
        <f t="shared" si="94"/>
        <v>1492.4931839999999</v>
      </c>
      <c r="I410" s="76"/>
      <c r="J410" s="77"/>
    </row>
    <row r="411" spans="1:11" s="32" customFormat="1" ht="15.75" x14ac:dyDescent="0.25">
      <c r="A411" s="70" t="s">
        <v>104</v>
      </c>
      <c r="B411" s="70"/>
      <c r="C411" s="71" t="s">
        <v>91</v>
      </c>
      <c r="D411" s="71"/>
      <c r="E411" s="71">
        <f t="shared" si="95"/>
        <v>932.80823999999996</v>
      </c>
      <c r="F411" s="71"/>
      <c r="G411" s="58">
        <v>0</v>
      </c>
      <c r="H411" s="58">
        <f t="shared" si="94"/>
        <v>1492.4931839999999</v>
      </c>
      <c r="I411" s="78"/>
      <c r="J411" s="79"/>
    </row>
    <row r="412" spans="1:11" s="32" customFormat="1" ht="15.75" x14ac:dyDescent="0.25">
      <c r="A412" s="69" t="s">
        <v>260</v>
      </c>
      <c r="B412" s="69"/>
      <c r="C412" s="69"/>
      <c r="D412" s="69"/>
      <c r="E412" s="69"/>
      <c r="F412" s="69"/>
      <c r="G412" s="69"/>
      <c r="H412" s="69"/>
      <c r="I412" s="69"/>
      <c r="J412" s="69"/>
    </row>
    <row r="413" spans="1:11" s="32" customFormat="1" ht="15.75" x14ac:dyDescent="0.25">
      <c r="A413" s="70" t="s">
        <v>102</v>
      </c>
      <c r="B413" s="70"/>
      <c r="C413" s="71" t="s">
        <v>91</v>
      </c>
      <c r="D413" s="71"/>
      <c r="E413" s="72">
        <f t="shared" ref="E413:E416" si="96">101.44*10.764</f>
        <v>1091.9001599999999</v>
      </c>
      <c r="F413" s="73"/>
      <c r="G413" s="58">
        <v>0</v>
      </c>
      <c r="H413" s="58">
        <f t="shared" ref="H413:H416" si="97">E413*1.6+G413</f>
        <v>1747.040256</v>
      </c>
      <c r="I413" s="74" t="str">
        <f>A412</f>
        <v>53rd Floor (Part Refuge Area)</v>
      </c>
      <c r="J413" s="75"/>
    </row>
    <row r="414" spans="1:11" s="32" customFormat="1" ht="15.75" x14ac:dyDescent="0.25">
      <c r="A414" s="70" t="s">
        <v>98</v>
      </c>
      <c r="B414" s="70"/>
      <c r="C414" s="71" t="s">
        <v>91</v>
      </c>
      <c r="D414" s="71"/>
      <c r="E414" s="72">
        <f t="shared" si="96"/>
        <v>1091.9001599999999</v>
      </c>
      <c r="F414" s="73"/>
      <c r="G414" s="58">
        <v>0</v>
      </c>
      <c r="H414" s="58">
        <f t="shared" si="97"/>
        <v>1747.040256</v>
      </c>
      <c r="I414" s="76"/>
      <c r="J414" s="77"/>
    </row>
    <row r="415" spans="1:11" s="32" customFormat="1" ht="15.75" x14ac:dyDescent="0.25">
      <c r="A415" s="70" t="s">
        <v>99</v>
      </c>
      <c r="B415" s="70"/>
      <c r="C415" s="71" t="s">
        <v>91</v>
      </c>
      <c r="D415" s="71"/>
      <c r="E415" s="72">
        <f t="shared" si="96"/>
        <v>1091.9001599999999</v>
      </c>
      <c r="F415" s="73"/>
      <c r="G415" s="58">
        <v>0</v>
      </c>
      <c r="H415" s="58">
        <f t="shared" si="97"/>
        <v>1747.040256</v>
      </c>
      <c r="I415" s="76"/>
      <c r="J415" s="77"/>
    </row>
    <row r="416" spans="1:11" s="34" customFormat="1" ht="15.75" x14ac:dyDescent="0.25">
      <c r="A416" s="70" t="s">
        <v>100</v>
      </c>
      <c r="B416" s="70"/>
      <c r="C416" s="71" t="s">
        <v>91</v>
      </c>
      <c r="D416" s="71"/>
      <c r="E416" s="72">
        <f t="shared" si="96"/>
        <v>1091.9001599999999</v>
      </c>
      <c r="F416" s="73"/>
      <c r="G416" s="58">
        <v>0</v>
      </c>
      <c r="H416" s="58">
        <f t="shared" si="97"/>
        <v>1747.040256</v>
      </c>
      <c r="I416" s="76"/>
      <c r="J416" s="77"/>
    </row>
    <row r="417" spans="1:10" s="35" customFormat="1" ht="15.75" x14ac:dyDescent="0.25">
      <c r="A417" s="70" t="s">
        <v>101</v>
      </c>
      <c r="B417" s="70"/>
      <c r="C417" s="74" t="s">
        <v>103</v>
      </c>
      <c r="D417" s="81"/>
      <c r="E417" s="81"/>
      <c r="F417" s="81"/>
      <c r="G417" s="81"/>
      <c r="H417" s="75"/>
      <c r="I417" s="76"/>
      <c r="J417" s="77"/>
    </row>
    <row r="418" spans="1:10" s="35" customFormat="1" ht="15.75" x14ac:dyDescent="0.25">
      <c r="A418" s="70" t="s">
        <v>104</v>
      </c>
      <c r="B418" s="70"/>
      <c r="C418" s="78"/>
      <c r="D418" s="82"/>
      <c r="E418" s="82"/>
      <c r="F418" s="82"/>
      <c r="G418" s="82"/>
      <c r="H418" s="79"/>
      <c r="I418" s="78"/>
      <c r="J418" s="79"/>
    </row>
    <row r="419" spans="1:10" s="35" customFormat="1" ht="15" customHeight="1" x14ac:dyDescent="0.25">
      <c r="A419" s="69" t="s">
        <v>261</v>
      </c>
      <c r="B419" s="69"/>
      <c r="C419" s="69"/>
      <c r="D419" s="69"/>
      <c r="E419" s="69"/>
      <c r="F419" s="69"/>
      <c r="G419" s="69"/>
      <c r="H419" s="69"/>
      <c r="I419" s="69"/>
      <c r="J419" s="69"/>
    </row>
    <row r="420" spans="1:10" s="35" customFormat="1" ht="15.75" x14ac:dyDescent="0.25">
      <c r="A420" s="70" t="s">
        <v>102</v>
      </c>
      <c r="B420" s="70"/>
      <c r="C420" s="71" t="s">
        <v>91</v>
      </c>
      <c r="D420" s="71"/>
      <c r="E420" s="72">
        <f t="shared" ref="E420:E423" si="98">101.44*10.764</f>
        <v>1091.9001599999999</v>
      </c>
      <c r="F420" s="73"/>
      <c r="G420" s="58">
        <v>0</v>
      </c>
      <c r="H420" s="58">
        <f t="shared" ref="H420:H423" si="99">E420*1.6+G420</f>
        <v>1747.040256</v>
      </c>
      <c r="I420" s="74" t="str">
        <f>A419</f>
        <v>60th Floor (Part Refuge Area)</v>
      </c>
      <c r="J420" s="75"/>
    </row>
    <row r="421" spans="1:10" s="35" customFormat="1" ht="16.5" customHeight="1" x14ac:dyDescent="0.25">
      <c r="A421" s="70" t="s">
        <v>98</v>
      </c>
      <c r="B421" s="70"/>
      <c r="C421" s="71" t="s">
        <v>91</v>
      </c>
      <c r="D421" s="71"/>
      <c r="E421" s="72">
        <f t="shared" si="98"/>
        <v>1091.9001599999999</v>
      </c>
      <c r="F421" s="73"/>
      <c r="G421" s="58">
        <v>0</v>
      </c>
      <c r="H421" s="58">
        <f t="shared" si="99"/>
        <v>1747.040256</v>
      </c>
      <c r="I421" s="76"/>
      <c r="J421" s="77"/>
    </row>
    <row r="422" spans="1:10" s="35" customFormat="1" ht="15.75" x14ac:dyDescent="0.25">
      <c r="A422" s="70" t="s">
        <v>99</v>
      </c>
      <c r="B422" s="70"/>
      <c r="C422" s="71" t="s">
        <v>91</v>
      </c>
      <c r="D422" s="71"/>
      <c r="E422" s="72">
        <f t="shared" si="98"/>
        <v>1091.9001599999999</v>
      </c>
      <c r="F422" s="73"/>
      <c r="G422" s="58">
        <v>0</v>
      </c>
      <c r="H422" s="58">
        <f t="shared" si="99"/>
        <v>1747.040256</v>
      </c>
      <c r="I422" s="76"/>
      <c r="J422" s="77"/>
    </row>
    <row r="423" spans="1:10" ht="15.75" x14ac:dyDescent="0.25">
      <c r="A423" s="70" t="s">
        <v>100</v>
      </c>
      <c r="B423" s="70"/>
      <c r="C423" s="71" t="s">
        <v>91</v>
      </c>
      <c r="D423" s="71"/>
      <c r="E423" s="72">
        <f t="shared" si="98"/>
        <v>1091.9001599999999</v>
      </c>
      <c r="F423" s="73"/>
      <c r="G423" s="58">
        <v>0</v>
      </c>
      <c r="H423" s="58">
        <f t="shared" si="99"/>
        <v>1747.040256</v>
      </c>
      <c r="I423" s="76"/>
      <c r="J423" s="77"/>
    </row>
    <row r="424" spans="1:10" ht="15.75" x14ac:dyDescent="0.25">
      <c r="A424" s="70" t="s">
        <v>101</v>
      </c>
      <c r="B424" s="70"/>
      <c r="C424" s="74" t="s">
        <v>103</v>
      </c>
      <c r="D424" s="81"/>
      <c r="E424" s="81"/>
      <c r="F424" s="81"/>
      <c r="G424" s="81"/>
      <c r="H424" s="75"/>
      <c r="I424" s="76"/>
      <c r="J424" s="77"/>
    </row>
    <row r="425" spans="1:10" ht="15.75" x14ac:dyDescent="0.25">
      <c r="A425" s="70" t="s">
        <v>104</v>
      </c>
      <c r="B425" s="70"/>
      <c r="C425" s="71" t="s">
        <v>91</v>
      </c>
      <c r="D425" s="71"/>
      <c r="E425" s="71">
        <f t="shared" ref="E425" si="100">86.66*10.764</f>
        <v>932.80823999999996</v>
      </c>
      <c r="F425" s="71"/>
      <c r="G425" s="58">
        <v>0</v>
      </c>
      <c r="H425" s="58">
        <f t="shared" ref="H425" si="101">E425*1.6+G425</f>
        <v>1492.4931839999999</v>
      </c>
      <c r="I425" s="78"/>
      <c r="J425" s="79"/>
    </row>
    <row r="426" spans="1:10" ht="15.75" x14ac:dyDescent="0.25">
      <c r="A426" s="248" t="s">
        <v>120</v>
      </c>
      <c r="B426" s="248"/>
      <c r="C426" s="248"/>
      <c r="D426" s="248"/>
      <c r="E426" s="248"/>
      <c r="F426" s="248"/>
      <c r="G426" s="248"/>
      <c r="H426" s="248"/>
      <c r="I426" s="248"/>
      <c r="J426" s="248"/>
    </row>
    <row r="427" spans="1:10" ht="15.75" x14ac:dyDescent="0.25">
      <c r="A427" s="90" t="s">
        <v>249</v>
      </c>
      <c r="B427" s="90"/>
      <c r="C427" s="90"/>
      <c r="D427" s="90"/>
      <c r="E427" s="90"/>
      <c r="F427" s="90"/>
      <c r="G427" s="90"/>
      <c r="H427" s="90"/>
      <c r="I427" s="90"/>
      <c r="J427" s="90"/>
    </row>
    <row r="428" spans="1:10" ht="15.75" x14ac:dyDescent="0.25">
      <c r="A428" s="90" t="s">
        <v>232</v>
      </c>
      <c r="B428" s="90"/>
      <c r="C428" s="90"/>
      <c r="D428" s="90"/>
      <c r="E428" s="90"/>
      <c r="F428" s="90"/>
      <c r="G428" s="90"/>
      <c r="H428" s="90"/>
      <c r="I428" s="90"/>
      <c r="J428" s="90"/>
    </row>
    <row r="429" spans="1:10" ht="15.75" x14ac:dyDescent="0.25">
      <c r="A429" s="90" t="s">
        <v>250</v>
      </c>
      <c r="B429" s="90"/>
      <c r="C429" s="90"/>
      <c r="D429" s="90"/>
      <c r="E429" s="90"/>
      <c r="F429" s="90"/>
      <c r="G429" s="90"/>
      <c r="H429" s="90"/>
      <c r="I429" s="90"/>
      <c r="J429" s="90"/>
    </row>
    <row r="430" spans="1:10" ht="15.75" x14ac:dyDescent="0.25">
      <c r="A430" s="69" t="s">
        <v>121</v>
      </c>
      <c r="B430" s="69"/>
      <c r="C430" s="69"/>
      <c r="D430" s="69"/>
      <c r="E430" s="69"/>
      <c r="F430" s="69"/>
      <c r="G430" s="69"/>
      <c r="H430" s="69"/>
      <c r="I430" s="69"/>
      <c r="J430" s="69"/>
    </row>
    <row r="431" spans="1:10" ht="15.75" x14ac:dyDescent="0.25">
      <c r="A431" s="86" t="s">
        <v>252</v>
      </c>
      <c r="B431" s="87"/>
      <c r="C431" s="87"/>
      <c r="D431" s="87"/>
      <c r="E431" s="87"/>
      <c r="F431" s="87"/>
      <c r="G431" s="87"/>
      <c r="H431" s="87"/>
      <c r="I431" s="87"/>
      <c r="J431" s="88"/>
    </row>
    <row r="432" spans="1:10" ht="15.75" x14ac:dyDescent="0.25">
      <c r="A432" s="70" t="s">
        <v>102</v>
      </c>
      <c r="B432" s="70"/>
      <c r="C432" s="71" t="s">
        <v>91</v>
      </c>
      <c r="D432" s="71"/>
      <c r="E432" s="71">
        <f t="shared" ref="E432:E434" si="102">97.54*10.764</f>
        <v>1049.92056</v>
      </c>
      <c r="F432" s="71"/>
      <c r="G432" s="58">
        <v>0</v>
      </c>
      <c r="H432" s="58">
        <f t="shared" ref="H432:H436" si="103">E432*1.6+G432</f>
        <v>1679.8728960000001</v>
      </c>
      <c r="I432" s="74" t="str">
        <f>A431</f>
        <v>4th to 8th Floor For Parking &amp; Residential</v>
      </c>
      <c r="J432" s="75"/>
    </row>
    <row r="433" spans="1:10" ht="15.75" x14ac:dyDescent="0.25">
      <c r="A433" s="70" t="s">
        <v>98</v>
      </c>
      <c r="B433" s="70"/>
      <c r="C433" s="71" t="s">
        <v>91</v>
      </c>
      <c r="D433" s="71"/>
      <c r="E433" s="71">
        <f t="shared" si="102"/>
        <v>1049.92056</v>
      </c>
      <c r="F433" s="71"/>
      <c r="G433" s="58">
        <v>0</v>
      </c>
      <c r="H433" s="58">
        <f t="shared" si="103"/>
        <v>1679.8728960000001</v>
      </c>
      <c r="I433" s="76"/>
      <c r="J433" s="77"/>
    </row>
    <row r="434" spans="1:10" ht="15.75" x14ac:dyDescent="0.25">
      <c r="A434" s="70" t="s">
        <v>99</v>
      </c>
      <c r="B434" s="70"/>
      <c r="C434" s="71" t="s">
        <v>91</v>
      </c>
      <c r="D434" s="71"/>
      <c r="E434" s="71">
        <f t="shared" si="102"/>
        <v>1049.92056</v>
      </c>
      <c r="F434" s="71"/>
      <c r="G434" s="58">
        <v>0</v>
      </c>
      <c r="H434" s="58">
        <f t="shared" si="103"/>
        <v>1679.8728960000001</v>
      </c>
      <c r="I434" s="76"/>
      <c r="J434" s="77"/>
    </row>
    <row r="435" spans="1:10" ht="15.75" x14ac:dyDescent="0.25">
      <c r="A435" s="70" t="s">
        <v>251</v>
      </c>
      <c r="B435" s="70"/>
      <c r="C435" s="72" t="s">
        <v>178</v>
      </c>
      <c r="D435" s="80"/>
      <c r="E435" s="80"/>
      <c r="F435" s="80"/>
      <c r="G435" s="80"/>
      <c r="H435" s="73"/>
      <c r="I435" s="76"/>
      <c r="J435" s="77"/>
    </row>
    <row r="436" spans="1:10" ht="15.75" x14ac:dyDescent="0.25">
      <c r="A436" s="70" t="s">
        <v>104</v>
      </c>
      <c r="B436" s="70"/>
      <c r="C436" s="71" t="s">
        <v>91</v>
      </c>
      <c r="D436" s="71"/>
      <c r="E436" s="71">
        <f>84.6*10.764</f>
        <v>910.63439999999991</v>
      </c>
      <c r="F436" s="71"/>
      <c r="G436" s="58">
        <v>0</v>
      </c>
      <c r="H436" s="58">
        <f t="shared" si="103"/>
        <v>1457.01504</v>
      </c>
      <c r="I436" s="78"/>
      <c r="J436" s="79"/>
    </row>
    <row r="437" spans="1:10" ht="15.75" x14ac:dyDescent="0.25">
      <c r="A437" s="86" t="s">
        <v>253</v>
      </c>
      <c r="B437" s="87"/>
      <c r="C437" s="87"/>
      <c r="D437" s="87"/>
      <c r="E437" s="87"/>
      <c r="F437" s="87"/>
      <c r="G437" s="87"/>
      <c r="H437" s="87"/>
      <c r="I437" s="87"/>
      <c r="J437" s="88"/>
    </row>
    <row r="438" spans="1:10" ht="15.75" x14ac:dyDescent="0.25">
      <c r="A438" s="70" t="s">
        <v>102</v>
      </c>
      <c r="B438" s="70"/>
      <c r="C438" s="71" t="s">
        <v>91</v>
      </c>
      <c r="D438" s="71"/>
      <c r="E438" s="71">
        <f t="shared" ref="E438:E441" si="104">97.54*10.764</f>
        <v>1049.92056</v>
      </c>
      <c r="F438" s="71"/>
      <c r="G438" s="58">
        <v>0</v>
      </c>
      <c r="H438" s="58">
        <f t="shared" ref="H438:H440" si="105">E438*1.6+G438</f>
        <v>1679.8728960000001</v>
      </c>
      <c r="I438" s="74" t="str">
        <f>A437</f>
        <v>9th Floor  For Residential</v>
      </c>
      <c r="J438" s="75"/>
    </row>
    <row r="439" spans="1:10" ht="15.75" x14ac:dyDescent="0.25">
      <c r="A439" s="70" t="s">
        <v>98</v>
      </c>
      <c r="B439" s="70"/>
      <c r="C439" s="71" t="s">
        <v>91</v>
      </c>
      <c r="D439" s="71"/>
      <c r="E439" s="71">
        <f t="shared" si="104"/>
        <v>1049.92056</v>
      </c>
      <c r="F439" s="71"/>
      <c r="G439" s="58">
        <v>0</v>
      </c>
      <c r="H439" s="58">
        <f t="shared" si="105"/>
        <v>1679.8728960000001</v>
      </c>
      <c r="I439" s="76"/>
      <c r="J439" s="77"/>
    </row>
    <row r="440" spans="1:10" ht="15.75" x14ac:dyDescent="0.25">
      <c r="A440" s="70" t="s">
        <v>99</v>
      </c>
      <c r="B440" s="70"/>
      <c r="C440" s="71" t="s">
        <v>91</v>
      </c>
      <c r="D440" s="71"/>
      <c r="E440" s="71">
        <f t="shared" si="104"/>
        <v>1049.92056</v>
      </c>
      <c r="F440" s="71"/>
      <c r="G440" s="58">
        <v>0</v>
      </c>
      <c r="H440" s="58">
        <f t="shared" si="105"/>
        <v>1679.8728960000001</v>
      </c>
      <c r="I440" s="76"/>
      <c r="J440" s="77"/>
    </row>
    <row r="441" spans="1:10" ht="15.75" x14ac:dyDescent="0.25">
      <c r="A441" s="70" t="s">
        <v>100</v>
      </c>
      <c r="B441" s="70"/>
      <c r="C441" s="71" t="s">
        <v>91</v>
      </c>
      <c r="D441" s="71"/>
      <c r="E441" s="71">
        <f t="shared" si="104"/>
        <v>1049.92056</v>
      </c>
      <c r="F441" s="71"/>
      <c r="G441" s="58">
        <v>0</v>
      </c>
      <c r="H441" s="58">
        <f t="shared" ref="H441:H442" si="106">E441*1.6+G441</f>
        <v>1679.8728960000001</v>
      </c>
      <c r="I441" s="76"/>
      <c r="J441" s="77"/>
    </row>
    <row r="442" spans="1:10" ht="15.75" x14ac:dyDescent="0.25">
      <c r="A442" s="70" t="s">
        <v>101</v>
      </c>
      <c r="B442" s="70"/>
      <c r="C442" s="71" t="s">
        <v>91</v>
      </c>
      <c r="D442" s="71"/>
      <c r="E442" s="71">
        <f t="shared" ref="E442:E443" si="107">84.6*10.764</f>
        <v>910.63439999999991</v>
      </c>
      <c r="F442" s="71"/>
      <c r="G442" s="58">
        <v>0</v>
      </c>
      <c r="H442" s="58">
        <f t="shared" si="106"/>
        <v>1457.01504</v>
      </c>
      <c r="I442" s="76"/>
      <c r="J442" s="77"/>
    </row>
    <row r="443" spans="1:10" ht="15.75" x14ac:dyDescent="0.25">
      <c r="A443" s="70" t="s">
        <v>104</v>
      </c>
      <c r="B443" s="70"/>
      <c r="C443" s="71" t="s">
        <v>91</v>
      </c>
      <c r="D443" s="71"/>
      <c r="E443" s="71">
        <f t="shared" si="107"/>
        <v>910.63439999999991</v>
      </c>
      <c r="F443" s="71"/>
      <c r="G443" s="58">
        <v>0</v>
      </c>
      <c r="H443" s="58">
        <f t="shared" ref="H443" si="108">E443*1.6+G443</f>
        <v>1457.01504</v>
      </c>
      <c r="I443" s="78"/>
      <c r="J443" s="79"/>
    </row>
    <row r="444" spans="1:10" ht="15.75" x14ac:dyDescent="0.25">
      <c r="A444" s="69" t="s">
        <v>113</v>
      </c>
      <c r="B444" s="69"/>
      <c r="C444" s="69"/>
      <c r="D444" s="69"/>
      <c r="E444" s="69"/>
      <c r="F444" s="69"/>
      <c r="G444" s="69"/>
      <c r="H444" s="69"/>
      <c r="I444" s="69"/>
      <c r="J444" s="69"/>
    </row>
    <row r="445" spans="1:10" ht="15.75" x14ac:dyDescent="0.25">
      <c r="A445" s="70" t="s">
        <v>102</v>
      </c>
      <c r="B445" s="70"/>
      <c r="C445" s="71" t="s">
        <v>91</v>
      </c>
      <c r="D445" s="71"/>
      <c r="E445" s="71">
        <f t="shared" ref="E445:E448" si="109">97.54*10.764</f>
        <v>1049.92056</v>
      </c>
      <c r="F445" s="71"/>
      <c r="G445" s="58">
        <v>0</v>
      </c>
      <c r="H445" s="58">
        <f t="shared" ref="H445:H446" si="110">E445*1.6+G445</f>
        <v>1679.8728960000001</v>
      </c>
      <c r="I445" s="74" t="str">
        <f>A444</f>
        <v>10th Floor (Part Refuge Area)</v>
      </c>
      <c r="J445" s="75"/>
    </row>
    <row r="446" spans="1:10" ht="15.75" x14ac:dyDescent="0.25">
      <c r="A446" s="70" t="s">
        <v>98</v>
      </c>
      <c r="B446" s="70"/>
      <c r="C446" s="71" t="s">
        <v>91</v>
      </c>
      <c r="D446" s="71"/>
      <c r="E446" s="71">
        <f t="shared" si="109"/>
        <v>1049.92056</v>
      </c>
      <c r="F446" s="71"/>
      <c r="G446" s="58">
        <v>0</v>
      </c>
      <c r="H446" s="58">
        <f t="shared" si="110"/>
        <v>1679.8728960000001</v>
      </c>
      <c r="I446" s="76"/>
      <c r="J446" s="77"/>
    </row>
    <row r="447" spans="1:10" ht="15.75" x14ac:dyDescent="0.25">
      <c r="A447" s="70" t="s">
        <v>99</v>
      </c>
      <c r="B447" s="70"/>
      <c r="C447" s="71" t="s">
        <v>91</v>
      </c>
      <c r="D447" s="71"/>
      <c r="E447" s="71">
        <f t="shared" si="109"/>
        <v>1049.92056</v>
      </c>
      <c r="F447" s="71"/>
      <c r="G447" s="58">
        <v>0</v>
      </c>
      <c r="H447" s="58">
        <f t="shared" ref="H447:H449" si="111">E447*1.6+G447</f>
        <v>1679.8728960000001</v>
      </c>
      <c r="I447" s="76"/>
      <c r="J447" s="77"/>
    </row>
    <row r="448" spans="1:10" ht="15.75" x14ac:dyDescent="0.25">
      <c r="A448" s="70" t="s">
        <v>100</v>
      </c>
      <c r="B448" s="70"/>
      <c r="C448" s="71" t="s">
        <v>91</v>
      </c>
      <c r="D448" s="71"/>
      <c r="E448" s="71">
        <f t="shared" si="109"/>
        <v>1049.92056</v>
      </c>
      <c r="F448" s="71"/>
      <c r="G448" s="58">
        <v>0</v>
      </c>
      <c r="H448" s="58">
        <f t="shared" si="111"/>
        <v>1679.8728960000001</v>
      </c>
      <c r="I448" s="76"/>
      <c r="J448" s="77"/>
    </row>
    <row r="449" spans="1:10" ht="15.75" x14ac:dyDescent="0.25">
      <c r="A449" s="70" t="s">
        <v>101</v>
      </c>
      <c r="B449" s="70"/>
      <c r="C449" s="71" t="s">
        <v>91</v>
      </c>
      <c r="D449" s="71"/>
      <c r="E449" s="71">
        <f t="shared" ref="E449" si="112">84.6*10.764</f>
        <v>910.63439999999991</v>
      </c>
      <c r="F449" s="71"/>
      <c r="G449" s="58">
        <v>0</v>
      </c>
      <c r="H449" s="58">
        <f t="shared" si="111"/>
        <v>1457.01504</v>
      </c>
      <c r="I449" s="76"/>
      <c r="J449" s="77"/>
    </row>
    <row r="450" spans="1:10" ht="15.75" x14ac:dyDescent="0.25">
      <c r="A450" s="70" t="s">
        <v>104</v>
      </c>
      <c r="B450" s="70"/>
      <c r="C450" s="72" t="s">
        <v>103</v>
      </c>
      <c r="D450" s="80"/>
      <c r="E450" s="80"/>
      <c r="F450" s="80"/>
      <c r="G450" s="80"/>
      <c r="H450" s="73"/>
      <c r="I450" s="78"/>
      <c r="J450" s="79"/>
    </row>
    <row r="451" spans="1:10" ht="15.75" x14ac:dyDescent="0.25">
      <c r="A451" s="69" t="s">
        <v>255</v>
      </c>
      <c r="B451" s="69"/>
      <c r="C451" s="69"/>
      <c r="D451" s="69"/>
      <c r="E451" s="69"/>
      <c r="F451" s="69"/>
      <c r="G451" s="69"/>
      <c r="H451" s="69"/>
      <c r="I451" s="69"/>
      <c r="J451" s="69"/>
    </row>
    <row r="452" spans="1:10" ht="15.75" x14ac:dyDescent="0.25">
      <c r="A452" s="70" t="s">
        <v>102</v>
      </c>
      <c r="B452" s="70"/>
      <c r="C452" s="71" t="s">
        <v>91</v>
      </c>
      <c r="D452" s="71"/>
      <c r="E452" s="71">
        <f t="shared" ref="E452:E455" si="113">97.54*10.764</f>
        <v>1049.92056</v>
      </c>
      <c r="F452" s="71"/>
      <c r="G452" s="58">
        <v>0</v>
      </c>
      <c r="H452" s="58">
        <f t="shared" ref="H452:H457" si="114">E452*1.6+G452</f>
        <v>1679.8728960000001</v>
      </c>
      <c r="I452" s="74" t="str">
        <f>A451</f>
        <v>11th to 16th, 18th to 23rd &amp; 26th to 30th Floor</v>
      </c>
      <c r="J452" s="75"/>
    </row>
    <row r="453" spans="1:10" ht="15.75" x14ac:dyDescent="0.25">
      <c r="A453" s="70" t="s">
        <v>98</v>
      </c>
      <c r="B453" s="70"/>
      <c r="C453" s="71" t="s">
        <v>91</v>
      </c>
      <c r="D453" s="71"/>
      <c r="E453" s="71">
        <f t="shared" si="113"/>
        <v>1049.92056</v>
      </c>
      <c r="F453" s="71"/>
      <c r="G453" s="58">
        <v>0</v>
      </c>
      <c r="H453" s="58">
        <f t="shared" si="114"/>
        <v>1679.8728960000001</v>
      </c>
      <c r="I453" s="76"/>
      <c r="J453" s="77"/>
    </row>
    <row r="454" spans="1:10" ht="15.75" x14ac:dyDescent="0.25">
      <c r="A454" s="70" t="s">
        <v>99</v>
      </c>
      <c r="B454" s="70"/>
      <c r="C454" s="71" t="s">
        <v>91</v>
      </c>
      <c r="D454" s="71"/>
      <c r="E454" s="71">
        <f t="shared" si="113"/>
        <v>1049.92056</v>
      </c>
      <c r="F454" s="71"/>
      <c r="G454" s="58">
        <v>0</v>
      </c>
      <c r="H454" s="58">
        <f t="shared" si="114"/>
        <v>1679.8728960000001</v>
      </c>
      <c r="I454" s="76"/>
      <c r="J454" s="77"/>
    </row>
    <row r="455" spans="1:10" ht="15.75" x14ac:dyDescent="0.25">
      <c r="A455" s="70" t="s">
        <v>100</v>
      </c>
      <c r="B455" s="70"/>
      <c r="C455" s="71" t="s">
        <v>91</v>
      </c>
      <c r="D455" s="71"/>
      <c r="E455" s="71">
        <f t="shared" si="113"/>
        <v>1049.92056</v>
      </c>
      <c r="F455" s="71"/>
      <c r="G455" s="58">
        <v>0</v>
      </c>
      <c r="H455" s="58">
        <f t="shared" si="114"/>
        <v>1679.8728960000001</v>
      </c>
      <c r="I455" s="76"/>
      <c r="J455" s="77"/>
    </row>
    <row r="456" spans="1:10" ht="15.75" x14ac:dyDescent="0.25">
      <c r="A456" s="70" t="s">
        <v>101</v>
      </c>
      <c r="B456" s="70"/>
      <c r="C456" s="71" t="s">
        <v>91</v>
      </c>
      <c r="D456" s="71"/>
      <c r="E456" s="71">
        <f t="shared" ref="E456:E457" si="115">84.6*10.764</f>
        <v>910.63439999999991</v>
      </c>
      <c r="F456" s="71"/>
      <c r="G456" s="58">
        <v>0</v>
      </c>
      <c r="H456" s="58">
        <f t="shared" si="114"/>
        <v>1457.01504</v>
      </c>
      <c r="I456" s="76"/>
      <c r="J456" s="77"/>
    </row>
    <row r="457" spans="1:10" ht="15.75" x14ac:dyDescent="0.25">
      <c r="A457" s="70" t="s">
        <v>104</v>
      </c>
      <c r="B457" s="70"/>
      <c r="C457" s="71" t="s">
        <v>91</v>
      </c>
      <c r="D457" s="71"/>
      <c r="E457" s="71">
        <f t="shared" si="115"/>
        <v>910.63439999999991</v>
      </c>
      <c r="F457" s="71"/>
      <c r="G457" s="58">
        <v>0</v>
      </c>
      <c r="H457" s="58">
        <f t="shared" si="114"/>
        <v>1457.01504</v>
      </c>
      <c r="I457" s="78"/>
      <c r="J457" s="79"/>
    </row>
    <row r="458" spans="1:10" ht="15.75" x14ac:dyDescent="0.25">
      <c r="A458" s="69" t="s">
        <v>114</v>
      </c>
      <c r="B458" s="69"/>
      <c r="C458" s="69"/>
      <c r="D458" s="69"/>
      <c r="E458" s="69"/>
      <c r="F458" s="69"/>
      <c r="G458" s="69"/>
      <c r="H458" s="69"/>
      <c r="I458" s="69"/>
      <c r="J458" s="69"/>
    </row>
    <row r="459" spans="1:10" ht="15.75" x14ac:dyDescent="0.25">
      <c r="A459" s="70" t="s">
        <v>102</v>
      </c>
      <c r="B459" s="70"/>
      <c r="C459" s="71" t="s">
        <v>91</v>
      </c>
      <c r="D459" s="71"/>
      <c r="E459" s="71">
        <f t="shared" ref="E459:E462" si="116">97.54*10.764</f>
        <v>1049.92056</v>
      </c>
      <c r="F459" s="71"/>
      <c r="G459" s="58">
        <v>0</v>
      </c>
      <c r="H459" s="58">
        <f t="shared" ref="H459:H463" si="117">E459*1.6+G459</f>
        <v>1679.8728960000001</v>
      </c>
      <c r="I459" s="74" t="str">
        <f>A458</f>
        <v>17th Floor (Part Refuge Area)</v>
      </c>
      <c r="J459" s="75"/>
    </row>
    <row r="460" spans="1:10" ht="15.75" x14ac:dyDescent="0.25">
      <c r="A460" s="70" t="s">
        <v>98</v>
      </c>
      <c r="B460" s="70"/>
      <c r="C460" s="71" t="s">
        <v>91</v>
      </c>
      <c r="D460" s="71"/>
      <c r="E460" s="71">
        <f t="shared" si="116"/>
        <v>1049.92056</v>
      </c>
      <c r="F460" s="71"/>
      <c r="G460" s="58">
        <v>0</v>
      </c>
      <c r="H460" s="58">
        <f t="shared" si="117"/>
        <v>1679.8728960000001</v>
      </c>
      <c r="I460" s="76"/>
      <c r="J460" s="77"/>
    </row>
    <row r="461" spans="1:10" ht="15.75" x14ac:dyDescent="0.25">
      <c r="A461" s="70" t="s">
        <v>99</v>
      </c>
      <c r="B461" s="70"/>
      <c r="C461" s="71" t="s">
        <v>91</v>
      </c>
      <c r="D461" s="71"/>
      <c r="E461" s="71">
        <f t="shared" si="116"/>
        <v>1049.92056</v>
      </c>
      <c r="F461" s="71"/>
      <c r="G461" s="58">
        <v>0</v>
      </c>
      <c r="H461" s="58">
        <f t="shared" si="117"/>
        <v>1679.8728960000001</v>
      </c>
      <c r="I461" s="76"/>
      <c r="J461" s="77"/>
    </row>
    <row r="462" spans="1:10" ht="15.75" x14ac:dyDescent="0.25">
      <c r="A462" s="70" t="s">
        <v>100</v>
      </c>
      <c r="B462" s="70"/>
      <c r="C462" s="71" t="s">
        <v>91</v>
      </c>
      <c r="D462" s="71"/>
      <c r="E462" s="71">
        <f t="shared" si="116"/>
        <v>1049.92056</v>
      </c>
      <c r="F462" s="71"/>
      <c r="G462" s="58">
        <v>0</v>
      </c>
      <c r="H462" s="58">
        <f t="shared" si="117"/>
        <v>1679.8728960000001</v>
      </c>
      <c r="I462" s="76"/>
      <c r="J462" s="77"/>
    </row>
    <row r="463" spans="1:10" ht="15.75" x14ac:dyDescent="0.25">
      <c r="A463" s="70" t="s">
        <v>101</v>
      </c>
      <c r="B463" s="70"/>
      <c r="C463" s="71" t="s">
        <v>91</v>
      </c>
      <c r="D463" s="71"/>
      <c r="E463" s="71">
        <f>84.6*10.764</f>
        <v>910.63439999999991</v>
      </c>
      <c r="F463" s="71"/>
      <c r="G463" s="58">
        <v>0</v>
      </c>
      <c r="H463" s="58">
        <f t="shared" si="117"/>
        <v>1457.01504</v>
      </c>
      <c r="I463" s="76"/>
      <c r="J463" s="77"/>
    </row>
    <row r="464" spans="1:10" ht="15.75" x14ac:dyDescent="0.25">
      <c r="A464" s="70" t="s">
        <v>104</v>
      </c>
      <c r="B464" s="70"/>
      <c r="C464" s="72" t="s">
        <v>103</v>
      </c>
      <c r="D464" s="80"/>
      <c r="E464" s="80"/>
      <c r="F464" s="80"/>
      <c r="G464" s="80"/>
      <c r="H464" s="73"/>
      <c r="I464" s="78"/>
      <c r="J464" s="79"/>
    </row>
    <row r="465" spans="1:10" ht="15.75" x14ac:dyDescent="0.25">
      <c r="A465" s="255" t="s">
        <v>115</v>
      </c>
      <c r="B465" s="255"/>
      <c r="C465" s="255"/>
      <c r="D465" s="255"/>
      <c r="E465" s="255"/>
      <c r="F465" s="255"/>
      <c r="G465" s="255"/>
      <c r="H465" s="255"/>
      <c r="I465" s="255"/>
      <c r="J465" s="255"/>
    </row>
    <row r="466" spans="1:10" ht="15.75" x14ac:dyDescent="0.25">
      <c r="A466" s="255" t="s">
        <v>257</v>
      </c>
      <c r="B466" s="255"/>
      <c r="C466" s="255"/>
      <c r="D466" s="255"/>
      <c r="E466" s="255"/>
      <c r="F466" s="255"/>
      <c r="G466" s="255"/>
      <c r="H466" s="255"/>
      <c r="I466" s="255"/>
      <c r="J466" s="255"/>
    </row>
    <row r="467" spans="1:10" ht="15.75" x14ac:dyDescent="0.25">
      <c r="A467" s="256" t="s">
        <v>102</v>
      </c>
      <c r="B467" s="256"/>
      <c r="C467" s="93" t="s">
        <v>91</v>
      </c>
      <c r="D467" s="93"/>
      <c r="E467" s="93">
        <f t="shared" ref="E467:E470" si="118">97.54*10.764</f>
        <v>1049.92056</v>
      </c>
      <c r="F467" s="93"/>
      <c r="G467" s="59">
        <v>0</v>
      </c>
      <c r="H467" s="59">
        <f t="shared" ref="H467:H470" si="119">E467*1.6+G467</f>
        <v>1679.8728960000001</v>
      </c>
      <c r="I467" s="94" t="str">
        <f>A466</f>
        <v>25th Floor (Part Refuge Area &amp; Pressure Break Tanks Area)</v>
      </c>
      <c r="J467" s="95"/>
    </row>
    <row r="468" spans="1:10" ht="15.75" x14ac:dyDescent="0.25">
      <c r="A468" s="256" t="s">
        <v>98</v>
      </c>
      <c r="B468" s="256"/>
      <c r="C468" s="93" t="s">
        <v>91</v>
      </c>
      <c r="D468" s="93"/>
      <c r="E468" s="93">
        <f t="shared" si="118"/>
        <v>1049.92056</v>
      </c>
      <c r="F468" s="93"/>
      <c r="G468" s="59">
        <v>0</v>
      </c>
      <c r="H468" s="59">
        <f t="shared" si="119"/>
        <v>1679.8728960000001</v>
      </c>
      <c r="I468" s="96"/>
      <c r="J468" s="97"/>
    </row>
    <row r="469" spans="1:10" ht="15.75" x14ac:dyDescent="0.25">
      <c r="A469" s="256" t="s">
        <v>99</v>
      </c>
      <c r="B469" s="256"/>
      <c r="C469" s="93" t="s">
        <v>91</v>
      </c>
      <c r="D469" s="93"/>
      <c r="E469" s="93">
        <f t="shared" si="118"/>
        <v>1049.92056</v>
      </c>
      <c r="F469" s="93"/>
      <c r="G469" s="59">
        <v>0</v>
      </c>
      <c r="H469" s="59">
        <f t="shared" si="119"/>
        <v>1679.8728960000001</v>
      </c>
      <c r="I469" s="96"/>
      <c r="J469" s="97"/>
    </row>
    <row r="470" spans="1:10" ht="15.75" x14ac:dyDescent="0.25">
      <c r="A470" s="256" t="s">
        <v>100</v>
      </c>
      <c r="B470" s="256"/>
      <c r="C470" s="93" t="s">
        <v>91</v>
      </c>
      <c r="D470" s="93"/>
      <c r="E470" s="93">
        <f t="shared" si="118"/>
        <v>1049.92056</v>
      </c>
      <c r="F470" s="93"/>
      <c r="G470" s="59">
        <v>0</v>
      </c>
      <c r="H470" s="59">
        <f t="shared" si="119"/>
        <v>1679.8728960000001</v>
      </c>
      <c r="I470" s="96"/>
      <c r="J470" s="97"/>
    </row>
    <row r="471" spans="1:10" ht="15.75" x14ac:dyDescent="0.25">
      <c r="A471" s="256" t="s">
        <v>101</v>
      </c>
      <c r="B471" s="256"/>
      <c r="C471" s="83" t="s">
        <v>180</v>
      </c>
      <c r="D471" s="84"/>
      <c r="E471" s="84"/>
      <c r="F471" s="84"/>
      <c r="G471" s="84"/>
      <c r="H471" s="85"/>
      <c r="I471" s="96"/>
      <c r="J471" s="97"/>
    </row>
    <row r="472" spans="1:10" ht="15.75" x14ac:dyDescent="0.25">
      <c r="A472" s="256" t="s">
        <v>104</v>
      </c>
      <c r="B472" s="256"/>
      <c r="C472" s="83" t="s">
        <v>103</v>
      </c>
      <c r="D472" s="84"/>
      <c r="E472" s="84"/>
      <c r="F472" s="84"/>
      <c r="G472" s="84"/>
      <c r="H472" s="85"/>
      <c r="I472" s="98"/>
      <c r="J472" s="99"/>
    </row>
    <row r="473" spans="1:10" ht="15.75" x14ac:dyDescent="0.25">
      <c r="A473" s="69" t="s">
        <v>117</v>
      </c>
      <c r="B473" s="69"/>
      <c r="C473" s="69"/>
      <c r="D473" s="69"/>
      <c r="E473" s="69"/>
      <c r="F473" s="69"/>
      <c r="G473" s="69"/>
      <c r="H473" s="69"/>
      <c r="I473" s="69"/>
      <c r="J473" s="69"/>
    </row>
    <row r="474" spans="1:10" ht="15.75" x14ac:dyDescent="0.25">
      <c r="A474" s="70" t="s">
        <v>102</v>
      </c>
      <c r="B474" s="70"/>
      <c r="C474" s="71" t="s">
        <v>91</v>
      </c>
      <c r="D474" s="71"/>
      <c r="E474" s="72">
        <f t="shared" ref="E474:E477" si="120">101.44*10.764</f>
        <v>1091.9001599999999</v>
      </c>
      <c r="F474" s="73"/>
      <c r="G474" s="58">
        <v>0</v>
      </c>
      <c r="H474" s="58">
        <f t="shared" ref="H474:H479" si="121">E474*1.6+G474</f>
        <v>1747.040256</v>
      </c>
      <c r="I474" s="74" t="str">
        <f>A473</f>
        <v>31st, 33rd to 38th, 40th to 45th, 47th &amp; 48th Floor</v>
      </c>
      <c r="J474" s="75"/>
    </row>
    <row r="475" spans="1:10" ht="15.75" x14ac:dyDescent="0.25">
      <c r="A475" s="70" t="s">
        <v>98</v>
      </c>
      <c r="B475" s="70"/>
      <c r="C475" s="71" t="s">
        <v>91</v>
      </c>
      <c r="D475" s="71"/>
      <c r="E475" s="72">
        <f t="shared" si="120"/>
        <v>1091.9001599999999</v>
      </c>
      <c r="F475" s="73"/>
      <c r="G475" s="58">
        <v>0</v>
      </c>
      <c r="H475" s="58">
        <f t="shared" si="121"/>
        <v>1747.040256</v>
      </c>
      <c r="I475" s="76"/>
      <c r="J475" s="77"/>
    </row>
    <row r="476" spans="1:10" ht="15.75" x14ac:dyDescent="0.25">
      <c r="A476" s="70" t="s">
        <v>99</v>
      </c>
      <c r="B476" s="70"/>
      <c r="C476" s="71" t="s">
        <v>91</v>
      </c>
      <c r="D476" s="71"/>
      <c r="E476" s="72">
        <f t="shared" si="120"/>
        <v>1091.9001599999999</v>
      </c>
      <c r="F476" s="73"/>
      <c r="G476" s="58">
        <v>0</v>
      </c>
      <c r="H476" s="58">
        <f t="shared" si="121"/>
        <v>1747.040256</v>
      </c>
      <c r="I476" s="76"/>
      <c r="J476" s="77"/>
    </row>
    <row r="477" spans="1:10" ht="15.75" x14ac:dyDescent="0.25">
      <c r="A477" s="70" t="s">
        <v>100</v>
      </c>
      <c r="B477" s="70"/>
      <c r="C477" s="71" t="s">
        <v>91</v>
      </c>
      <c r="D477" s="71"/>
      <c r="E477" s="72">
        <f t="shared" si="120"/>
        <v>1091.9001599999999</v>
      </c>
      <c r="F477" s="73"/>
      <c r="G477" s="58">
        <v>0</v>
      </c>
      <c r="H477" s="58">
        <f t="shared" si="121"/>
        <v>1747.040256</v>
      </c>
      <c r="I477" s="76"/>
      <c r="J477" s="77"/>
    </row>
    <row r="478" spans="1:10" ht="15.75" x14ac:dyDescent="0.25">
      <c r="A478" s="70" t="s">
        <v>101</v>
      </c>
      <c r="B478" s="70"/>
      <c r="C478" s="71" t="s">
        <v>91</v>
      </c>
      <c r="D478" s="71"/>
      <c r="E478" s="71">
        <f t="shared" ref="E478:E479" si="122">86.66*10.764</f>
        <v>932.80823999999996</v>
      </c>
      <c r="F478" s="71"/>
      <c r="G478" s="58">
        <v>0</v>
      </c>
      <c r="H478" s="58">
        <f t="shared" si="121"/>
        <v>1492.4931839999999</v>
      </c>
      <c r="I478" s="76"/>
      <c r="J478" s="77"/>
    </row>
    <row r="479" spans="1:10" ht="15.75" x14ac:dyDescent="0.25">
      <c r="A479" s="70" t="s">
        <v>104</v>
      </c>
      <c r="B479" s="70"/>
      <c r="C479" s="71" t="s">
        <v>91</v>
      </c>
      <c r="D479" s="71"/>
      <c r="E479" s="71">
        <f t="shared" si="122"/>
        <v>932.80823999999996</v>
      </c>
      <c r="F479" s="71"/>
      <c r="G479" s="58">
        <v>0</v>
      </c>
      <c r="H479" s="58">
        <f t="shared" si="121"/>
        <v>1492.4931839999999</v>
      </c>
      <c r="I479" s="78"/>
      <c r="J479" s="79"/>
    </row>
    <row r="480" spans="1:10" ht="15.75" x14ac:dyDescent="0.25">
      <c r="A480" s="69" t="s">
        <v>258</v>
      </c>
      <c r="B480" s="69"/>
      <c r="C480" s="69"/>
      <c r="D480" s="69"/>
      <c r="E480" s="69"/>
      <c r="F480" s="69"/>
      <c r="G480" s="69"/>
      <c r="H480" s="69"/>
      <c r="I480" s="69"/>
      <c r="J480" s="69"/>
    </row>
    <row r="481" spans="1:10" ht="15.75" x14ac:dyDescent="0.25">
      <c r="A481" s="70" t="s">
        <v>102</v>
      </c>
      <c r="B481" s="70"/>
      <c r="C481" s="71" t="s">
        <v>91</v>
      </c>
      <c r="D481" s="71"/>
      <c r="E481" s="72">
        <f t="shared" ref="E481:E484" si="123">101.44*10.764</f>
        <v>1091.9001599999999</v>
      </c>
      <c r="F481" s="73"/>
      <c r="G481" s="58">
        <v>0</v>
      </c>
      <c r="H481" s="58">
        <f t="shared" ref="H481:H486" si="124">E481*1.6+G481</f>
        <v>1747.040256</v>
      </c>
      <c r="I481" s="74" t="str">
        <f>A480</f>
        <v>49th to 51st Floor</v>
      </c>
      <c r="J481" s="75"/>
    </row>
    <row r="482" spans="1:10" ht="15.75" x14ac:dyDescent="0.25">
      <c r="A482" s="70" t="s">
        <v>98</v>
      </c>
      <c r="B482" s="70"/>
      <c r="C482" s="71" t="s">
        <v>91</v>
      </c>
      <c r="D482" s="71"/>
      <c r="E482" s="72">
        <f t="shared" si="123"/>
        <v>1091.9001599999999</v>
      </c>
      <c r="F482" s="73"/>
      <c r="G482" s="58">
        <v>0</v>
      </c>
      <c r="H482" s="58">
        <f t="shared" si="124"/>
        <v>1747.040256</v>
      </c>
      <c r="I482" s="76"/>
      <c r="J482" s="77"/>
    </row>
    <row r="483" spans="1:10" ht="15.75" x14ac:dyDescent="0.25">
      <c r="A483" s="70" t="s">
        <v>99</v>
      </c>
      <c r="B483" s="70"/>
      <c r="C483" s="71" t="s">
        <v>91</v>
      </c>
      <c r="D483" s="71"/>
      <c r="E483" s="72">
        <f t="shared" si="123"/>
        <v>1091.9001599999999</v>
      </c>
      <c r="F483" s="73"/>
      <c r="G483" s="58">
        <v>0</v>
      </c>
      <c r="H483" s="58">
        <f t="shared" si="124"/>
        <v>1747.040256</v>
      </c>
      <c r="I483" s="76"/>
      <c r="J483" s="77"/>
    </row>
    <row r="484" spans="1:10" ht="15.75" x14ac:dyDescent="0.25">
      <c r="A484" s="70" t="s">
        <v>100</v>
      </c>
      <c r="B484" s="70"/>
      <c r="C484" s="71" t="s">
        <v>91</v>
      </c>
      <c r="D484" s="71"/>
      <c r="E484" s="72">
        <f t="shared" si="123"/>
        <v>1091.9001599999999</v>
      </c>
      <c r="F484" s="73"/>
      <c r="G484" s="58">
        <v>0</v>
      </c>
      <c r="H484" s="58">
        <f t="shared" si="124"/>
        <v>1747.040256</v>
      </c>
      <c r="I484" s="76"/>
      <c r="J484" s="77"/>
    </row>
    <row r="485" spans="1:10" ht="15.75" x14ac:dyDescent="0.25">
      <c r="A485" s="70" t="s">
        <v>101</v>
      </c>
      <c r="B485" s="70"/>
      <c r="C485" s="71" t="s">
        <v>91</v>
      </c>
      <c r="D485" s="71"/>
      <c r="E485" s="71">
        <f t="shared" ref="E485:E486" si="125">86.66*10.764</f>
        <v>932.80823999999996</v>
      </c>
      <c r="F485" s="71"/>
      <c r="G485" s="58">
        <v>0</v>
      </c>
      <c r="H485" s="58">
        <f t="shared" si="124"/>
        <v>1492.4931839999999</v>
      </c>
      <c r="I485" s="76"/>
      <c r="J485" s="77"/>
    </row>
    <row r="486" spans="1:10" ht="15.75" x14ac:dyDescent="0.25">
      <c r="A486" s="70" t="s">
        <v>104</v>
      </c>
      <c r="B486" s="70"/>
      <c r="C486" s="71" t="s">
        <v>91</v>
      </c>
      <c r="D486" s="71"/>
      <c r="E486" s="71">
        <f t="shared" si="125"/>
        <v>932.80823999999996</v>
      </c>
      <c r="F486" s="71"/>
      <c r="G486" s="58">
        <v>0</v>
      </c>
      <c r="H486" s="58">
        <f t="shared" si="124"/>
        <v>1492.4931839999999</v>
      </c>
      <c r="I486" s="78"/>
      <c r="J486" s="79"/>
    </row>
    <row r="487" spans="1:10" ht="15" customHeight="1" x14ac:dyDescent="0.25">
      <c r="A487" s="69" t="s">
        <v>118</v>
      </c>
      <c r="B487" s="69"/>
      <c r="C487" s="69"/>
      <c r="D487" s="69"/>
      <c r="E487" s="69"/>
      <c r="F487" s="69"/>
      <c r="G487" s="69"/>
      <c r="H487" s="69"/>
      <c r="I487" s="69"/>
      <c r="J487" s="69"/>
    </row>
    <row r="488" spans="1:10" ht="15.75" x14ac:dyDescent="0.25">
      <c r="A488" s="70" t="s">
        <v>102</v>
      </c>
      <c r="B488" s="70"/>
      <c r="C488" s="71" t="s">
        <v>91</v>
      </c>
      <c r="D488" s="71"/>
      <c r="E488" s="72">
        <f t="shared" ref="E488:E491" si="126">101.44*10.764</f>
        <v>1091.9001599999999</v>
      </c>
      <c r="F488" s="73"/>
      <c r="G488" s="58">
        <v>0</v>
      </c>
      <c r="H488" s="58">
        <f t="shared" ref="H488:H492" si="127">E488*1.6+G488</f>
        <v>1747.040256</v>
      </c>
      <c r="I488" s="74" t="str">
        <f>A487</f>
        <v>32nd &amp; 39th Floor (Part Refuge Area)</v>
      </c>
      <c r="J488" s="75"/>
    </row>
    <row r="489" spans="1:10" ht="15.75" x14ac:dyDescent="0.25">
      <c r="A489" s="70" t="s">
        <v>98</v>
      </c>
      <c r="B489" s="70"/>
      <c r="C489" s="71" t="s">
        <v>91</v>
      </c>
      <c r="D489" s="71"/>
      <c r="E489" s="72">
        <f t="shared" si="126"/>
        <v>1091.9001599999999</v>
      </c>
      <c r="F489" s="73"/>
      <c r="G489" s="58">
        <v>0</v>
      </c>
      <c r="H489" s="58">
        <f t="shared" si="127"/>
        <v>1747.040256</v>
      </c>
      <c r="I489" s="76"/>
      <c r="J489" s="77"/>
    </row>
    <row r="490" spans="1:10" ht="15.75" x14ac:dyDescent="0.25">
      <c r="A490" s="70" t="s">
        <v>99</v>
      </c>
      <c r="B490" s="70"/>
      <c r="C490" s="71" t="s">
        <v>91</v>
      </c>
      <c r="D490" s="71"/>
      <c r="E490" s="72">
        <f t="shared" si="126"/>
        <v>1091.9001599999999</v>
      </c>
      <c r="F490" s="73"/>
      <c r="G490" s="58">
        <v>0</v>
      </c>
      <c r="H490" s="58">
        <f t="shared" si="127"/>
        <v>1747.040256</v>
      </c>
      <c r="I490" s="76"/>
      <c r="J490" s="77"/>
    </row>
    <row r="491" spans="1:10" ht="15.75" x14ac:dyDescent="0.25">
      <c r="A491" s="70" t="s">
        <v>100</v>
      </c>
      <c r="B491" s="70"/>
      <c r="C491" s="71" t="s">
        <v>91</v>
      </c>
      <c r="D491" s="71"/>
      <c r="E491" s="72">
        <f t="shared" si="126"/>
        <v>1091.9001599999999</v>
      </c>
      <c r="F491" s="73"/>
      <c r="G491" s="58">
        <v>0</v>
      </c>
      <c r="H491" s="58">
        <f t="shared" si="127"/>
        <v>1747.040256</v>
      </c>
      <c r="I491" s="76"/>
      <c r="J491" s="77"/>
    </row>
    <row r="492" spans="1:10" ht="15.75" x14ac:dyDescent="0.25">
      <c r="A492" s="70" t="s">
        <v>101</v>
      </c>
      <c r="B492" s="70"/>
      <c r="C492" s="71" t="s">
        <v>91</v>
      </c>
      <c r="D492" s="71"/>
      <c r="E492" s="71">
        <f>86.66*10.764</f>
        <v>932.80823999999996</v>
      </c>
      <c r="F492" s="71"/>
      <c r="G492" s="58">
        <v>0</v>
      </c>
      <c r="H492" s="58">
        <f t="shared" si="127"/>
        <v>1492.4931839999999</v>
      </c>
      <c r="I492" s="76"/>
      <c r="J492" s="77"/>
    </row>
    <row r="493" spans="1:10" ht="15.75" x14ac:dyDescent="0.25">
      <c r="A493" s="70" t="s">
        <v>104</v>
      </c>
      <c r="B493" s="70"/>
      <c r="C493" s="72" t="s">
        <v>103</v>
      </c>
      <c r="D493" s="80"/>
      <c r="E493" s="80"/>
      <c r="F493" s="80"/>
      <c r="G493" s="80"/>
      <c r="H493" s="73"/>
      <c r="I493" s="78"/>
      <c r="J493" s="79"/>
    </row>
    <row r="494" spans="1:10" ht="15.75" x14ac:dyDescent="0.25">
      <c r="A494" s="69" t="s">
        <v>259</v>
      </c>
      <c r="B494" s="69"/>
      <c r="C494" s="69"/>
      <c r="D494" s="69"/>
      <c r="E494" s="69"/>
      <c r="F494" s="69"/>
      <c r="G494" s="69"/>
      <c r="H494" s="69"/>
      <c r="I494" s="69"/>
      <c r="J494" s="69"/>
    </row>
    <row r="495" spans="1:10" ht="15.75" x14ac:dyDescent="0.25">
      <c r="A495" s="70" t="s">
        <v>102</v>
      </c>
      <c r="B495" s="70"/>
      <c r="C495" s="71" t="s">
        <v>91</v>
      </c>
      <c r="D495" s="71"/>
      <c r="E495" s="72">
        <f t="shared" ref="E495:E498" si="128">101.44*10.764</f>
        <v>1091.9001599999999</v>
      </c>
      <c r="F495" s="73"/>
      <c r="G495" s="58">
        <v>0</v>
      </c>
      <c r="H495" s="58">
        <f t="shared" ref="H495:H498" si="129">E495*1.6+G495</f>
        <v>1747.040256</v>
      </c>
      <c r="I495" s="74" t="str">
        <f>A494</f>
        <v>46th Floor (Part Refuge Area &amp; Pressure Break Tanks Area)</v>
      </c>
      <c r="J495" s="75"/>
    </row>
    <row r="496" spans="1:10" ht="15.75" x14ac:dyDescent="0.25">
      <c r="A496" s="70" t="s">
        <v>98</v>
      </c>
      <c r="B496" s="70"/>
      <c r="C496" s="71" t="s">
        <v>91</v>
      </c>
      <c r="D496" s="71"/>
      <c r="E496" s="72">
        <f t="shared" si="128"/>
        <v>1091.9001599999999</v>
      </c>
      <c r="F496" s="73"/>
      <c r="G496" s="58">
        <v>0</v>
      </c>
      <c r="H496" s="58">
        <f>E496*1.6+G496</f>
        <v>1747.040256</v>
      </c>
      <c r="I496" s="76"/>
      <c r="J496" s="77"/>
    </row>
    <row r="497" spans="1:10" ht="15.75" x14ac:dyDescent="0.25">
      <c r="A497" s="70" t="s">
        <v>99</v>
      </c>
      <c r="B497" s="70"/>
      <c r="C497" s="71" t="s">
        <v>91</v>
      </c>
      <c r="D497" s="71"/>
      <c r="E497" s="72">
        <f t="shared" si="128"/>
        <v>1091.9001599999999</v>
      </c>
      <c r="F497" s="73"/>
      <c r="G497" s="58">
        <v>0</v>
      </c>
      <c r="H497" s="58">
        <f t="shared" si="129"/>
        <v>1747.040256</v>
      </c>
      <c r="I497" s="76"/>
      <c r="J497" s="77"/>
    </row>
    <row r="498" spans="1:10" ht="15.75" x14ac:dyDescent="0.25">
      <c r="A498" s="70" t="s">
        <v>100</v>
      </c>
      <c r="B498" s="70"/>
      <c r="C498" s="71" t="s">
        <v>91</v>
      </c>
      <c r="D498" s="71"/>
      <c r="E498" s="72">
        <f t="shared" si="128"/>
        <v>1091.9001599999999</v>
      </c>
      <c r="F498" s="73"/>
      <c r="G498" s="58">
        <v>0</v>
      </c>
      <c r="H498" s="58">
        <f t="shared" si="129"/>
        <v>1747.040256</v>
      </c>
      <c r="I498" s="76"/>
      <c r="J498" s="77"/>
    </row>
    <row r="499" spans="1:10" ht="15.75" x14ac:dyDescent="0.25">
      <c r="A499" s="70" t="s">
        <v>101</v>
      </c>
      <c r="B499" s="70"/>
      <c r="C499" s="83" t="s">
        <v>180</v>
      </c>
      <c r="D499" s="84"/>
      <c r="E499" s="84"/>
      <c r="F499" s="84"/>
      <c r="G499" s="84"/>
      <c r="H499" s="85"/>
      <c r="I499" s="76"/>
      <c r="J499" s="77"/>
    </row>
    <row r="500" spans="1:10" ht="15.75" x14ac:dyDescent="0.25">
      <c r="A500" s="70" t="s">
        <v>104</v>
      </c>
      <c r="B500" s="70"/>
      <c r="C500" s="83" t="s">
        <v>103</v>
      </c>
      <c r="D500" s="84"/>
      <c r="E500" s="84"/>
      <c r="F500" s="84"/>
      <c r="G500" s="84"/>
      <c r="H500" s="85"/>
      <c r="I500" s="78"/>
      <c r="J500" s="79"/>
    </row>
    <row r="501" spans="1:10" ht="15" customHeight="1" x14ac:dyDescent="0.25">
      <c r="A501" s="69" t="s">
        <v>262</v>
      </c>
      <c r="B501" s="69"/>
      <c r="C501" s="69"/>
      <c r="D501" s="69"/>
      <c r="E501" s="69"/>
      <c r="F501" s="69"/>
      <c r="G501" s="69"/>
      <c r="H501" s="69"/>
      <c r="I501" s="69"/>
      <c r="J501" s="69"/>
    </row>
    <row r="502" spans="1:10" ht="15.75" x14ac:dyDescent="0.25">
      <c r="A502" s="70" t="s">
        <v>102</v>
      </c>
      <c r="B502" s="70"/>
      <c r="C502" s="71" t="s">
        <v>91</v>
      </c>
      <c r="D502" s="71"/>
      <c r="E502" s="72">
        <f t="shared" ref="E502:E505" si="130">101.44*10.764</f>
        <v>1091.9001599999999</v>
      </c>
      <c r="F502" s="73"/>
      <c r="G502" s="58">
        <v>0</v>
      </c>
      <c r="H502" s="58">
        <f t="shared" ref="H502:H507" si="131">E502*1.6+G502</f>
        <v>1747.040256</v>
      </c>
      <c r="I502" s="74" t="str">
        <f>A501</f>
        <v>52nd, 54th to 59th &amp; 61st &amp; 62nd Floor</v>
      </c>
      <c r="J502" s="75"/>
    </row>
    <row r="503" spans="1:10" ht="15.75" x14ac:dyDescent="0.25">
      <c r="A503" s="70" t="s">
        <v>98</v>
      </c>
      <c r="B503" s="70"/>
      <c r="C503" s="71" t="s">
        <v>91</v>
      </c>
      <c r="D503" s="71"/>
      <c r="E503" s="72">
        <f t="shared" si="130"/>
        <v>1091.9001599999999</v>
      </c>
      <c r="F503" s="73"/>
      <c r="G503" s="58">
        <v>0</v>
      </c>
      <c r="H503" s="58">
        <f t="shared" si="131"/>
        <v>1747.040256</v>
      </c>
      <c r="I503" s="76"/>
      <c r="J503" s="77"/>
    </row>
    <row r="504" spans="1:10" ht="15.75" x14ac:dyDescent="0.25">
      <c r="A504" s="70" t="s">
        <v>99</v>
      </c>
      <c r="B504" s="70"/>
      <c r="C504" s="71" t="s">
        <v>91</v>
      </c>
      <c r="D504" s="71"/>
      <c r="E504" s="72">
        <f t="shared" si="130"/>
        <v>1091.9001599999999</v>
      </c>
      <c r="F504" s="73"/>
      <c r="G504" s="58">
        <v>0</v>
      </c>
      <c r="H504" s="58">
        <f t="shared" si="131"/>
        <v>1747.040256</v>
      </c>
      <c r="I504" s="76"/>
      <c r="J504" s="77"/>
    </row>
    <row r="505" spans="1:10" ht="15.75" x14ac:dyDescent="0.25">
      <c r="A505" s="70" t="s">
        <v>100</v>
      </c>
      <c r="B505" s="70"/>
      <c r="C505" s="71" t="s">
        <v>91</v>
      </c>
      <c r="D505" s="71"/>
      <c r="E505" s="72">
        <f t="shared" si="130"/>
        <v>1091.9001599999999</v>
      </c>
      <c r="F505" s="73"/>
      <c r="G505" s="58">
        <v>0</v>
      </c>
      <c r="H505" s="58">
        <f t="shared" si="131"/>
        <v>1747.040256</v>
      </c>
      <c r="I505" s="76"/>
      <c r="J505" s="77"/>
    </row>
    <row r="506" spans="1:10" ht="15.75" x14ac:dyDescent="0.25">
      <c r="A506" s="70" t="s">
        <v>101</v>
      </c>
      <c r="B506" s="70"/>
      <c r="C506" s="71" t="s">
        <v>91</v>
      </c>
      <c r="D506" s="71"/>
      <c r="E506" s="71">
        <f t="shared" ref="E506:E507" si="132">86.66*10.764</f>
        <v>932.80823999999996</v>
      </c>
      <c r="F506" s="71"/>
      <c r="G506" s="58">
        <v>0</v>
      </c>
      <c r="H506" s="58">
        <f t="shared" si="131"/>
        <v>1492.4931839999999</v>
      </c>
      <c r="I506" s="76"/>
      <c r="J506" s="77"/>
    </row>
    <row r="507" spans="1:10" ht="15.75" x14ac:dyDescent="0.25">
      <c r="A507" s="70" t="s">
        <v>104</v>
      </c>
      <c r="B507" s="70"/>
      <c r="C507" s="71" t="s">
        <v>91</v>
      </c>
      <c r="D507" s="71"/>
      <c r="E507" s="71">
        <f t="shared" si="132"/>
        <v>932.80823999999996</v>
      </c>
      <c r="F507" s="71"/>
      <c r="G507" s="58">
        <v>0</v>
      </c>
      <c r="H507" s="58">
        <f t="shared" si="131"/>
        <v>1492.4931839999999</v>
      </c>
      <c r="I507" s="78"/>
      <c r="J507" s="79"/>
    </row>
    <row r="508" spans="1:10" ht="15.75" x14ac:dyDescent="0.25">
      <c r="A508" s="69" t="s">
        <v>260</v>
      </c>
      <c r="B508" s="69"/>
      <c r="C508" s="69"/>
      <c r="D508" s="69"/>
      <c r="E508" s="69"/>
      <c r="F508" s="69"/>
      <c r="G508" s="69"/>
      <c r="H508" s="69"/>
      <c r="I508" s="69"/>
      <c r="J508" s="69"/>
    </row>
    <row r="509" spans="1:10" ht="15.75" x14ac:dyDescent="0.25">
      <c r="A509" s="70" t="s">
        <v>102</v>
      </c>
      <c r="B509" s="70"/>
      <c r="C509" s="71" t="s">
        <v>91</v>
      </c>
      <c r="D509" s="71"/>
      <c r="E509" s="72">
        <f t="shared" ref="E509:E512" si="133">101.44*10.764</f>
        <v>1091.9001599999999</v>
      </c>
      <c r="F509" s="73"/>
      <c r="G509" s="58">
        <v>0</v>
      </c>
      <c r="H509" s="58">
        <f t="shared" ref="H509:H513" si="134">E509*1.6+G509</f>
        <v>1747.040256</v>
      </c>
      <c r="I509" s="74" t="str">
        <f>A508</f>
        <v>53rd Floor (Part Refuge Area)</v>
      </c>
      <c r="J509" s="75"/>
    </row>
    <row r="510" spans="1:10" ht="15.75" x14ac:dyDescent="0.25">
      <c r="A510" s="70" t="s">
        <v>98</v>
      </c>
      <c r="B510" s="70"/>
      <c r="C510" s="71" t="s">
        <v>91</v>
      </c>
      <c r="D510" s="71"/>
      <c r="E510" s="72">
        <f t="shared" si="133"/>
        <v>1091.9001599999999</v>
      </c>
      <c r="F510" s="73"/>
      <c r="G510" s="58">
        <v>0</v>
      </c>
      <c r="H510" s="58">
        <f t="shared" si="134"/>
        <v>1747.040256</v>
      </c>
      <c r="I510" s="76"/>
      <c r="J510" s="77"/>
    </row>
    <row r="511" spans="1:10" ht="15.75" x14ac:dyDescent="0.25">
      <c r="A511" s="70" t="s">
        <v>99</v>
      </c>
      <c r="B511" s="70"/>
      <c r="C511" s="71" t="s">
        <v>91</v>
      </c>
      <c r="D511" s="71"/>
      <c r="E511" s="72">
        <f t="shared" si="133"/>
        <v>1091.9001599999999</v>
      </c>
      <c r="F511" s="73"/>
      <c r="G511" s="58">
        <v>0</v>
      </c>
      <c r="H511" s="58">
        <f t="shared" si="134"/>
        <v>1747.040256</v>
      </c>
      <c r="I511" s="76"/>
      <c r="J511" s="77"/>
    </row>
    <row r="512" spans="1:10" ht="15.75" x14ac:dyDescent="0.25">
      <c r="A512" s="70" t="s">
        <v>100</v>
      </c>
      <c r="B512" s="70"/>
      <c r="C512" s="71" t="s">
        <v>91</v>
      </c>
      <c r="D512" s="71"/>
      <c r="E512" s="72">
        <f t="shared" si="133"/>
        <v>1091.9001599999999</v>
      </c>
      <c r="F512" s="73"/>
      <c r="G512" s="58">
        <v>0</v>
      </c>
      <c r="H512" s="58">
        <f t="shared" si="134"/>
        <v>1747.040256</v>
      </c>
      <c r="I512" s="76"/>
      <c r="J512" s="77"/>
    </row>
    <row r="513" spans="1:10" ht="15.75" x14ac:dyDescent="0.25">
      <c r="A513" s="70" t="s">
        <v>101</v>
      </c>
      <c r="B513" s="70"/>
      <c r="C513" s="71" t="s">
        <v>91</v>
      </c>
      <c r="D513" s="71"/>
      <c r="E513" s="71">
        <f>86.66*10.764</f>
        <v>932.80823999999996</v>
      </c>
      <c r="F513" s="71"/>
      <c r="G513" s="58">
        <v>0</v>
      </c>
      <c r="H513" s="58">
        <f t="shared" si="134"/>
        <v>1492.4931839999999</v>
      </c>
      <c r="I513" s="76"/>
      <c r="J513" s="77"/>
    </row>
    <row r="514" spans="1:10" ht="15.75" x14ac:dyDescent="0.25">
      <c r="A514" s="70" t="s">
        <v>104</v>
      </c>
      <c r="B514" s="70"/>
      <c r="C514" s="72" t="s">
        <v>103</v>
      </c>
      <c r="D514" s="80"/>
      <c r="E514" s="80"/>
      <c r="F514" s="80"/>
      <c r="G514" s="80"/>
      <c r="H514" s="73"/>
      <c r="I514" s="78"/>
      <c r="J514" s="79"/>
    </row>
    <row r="515" spans="1:10" ht="15" customHeight="1" x14ac:dyDescent="0.25">
      <c r="A515" s="69" t="s">
        <v>261</v>
      </c>
      <c r="B515" s="69"/>
      <c r="C515" s="69"/>
      <c r="D515" s="69"/>
      <c r="E515" s="69"/>
      <c r="F515" s="69"/>
      <c r="G515" s="69"/>
      <c r="H515" s="69"/>
      <c r="I515" s="69"/>
      <c r="J515" s="69"/>
    </row>
    <row r="516" spans="1:10" ht="15.75" x14ac:dyDescent="0.25">
      <c r="A516" s="70" t="s">
        <v>102</v>
      </c>
      <c r="B516" s="70"/>
      <c r="C516" s="71" t="s">
        <v>91</v>
      </c>
      <c r="D516" s="71"/>
      <c r="E516" s="72">
        <f t="shared" ref="E516:E519" si="135">101.44*10.764</f>
        <v>1091.9001599999999</v>
      </c>
      <c r="F516" s="73"/>
      <c r="G516" s="58">
        <v>0</v>
      </c>
      <c r="H516" s="58">
        <f t="shared" ref="H516:H520" si="136">E516*1.6+G516</f>
        <v>1747.040256</v>
      </c>
      <c r="I516" s="74" t="str">
        <f>A515</f>
        <v>60th Floor (Part Refuge Area)</v>
      </c>
      <c r="J516" s="75"/>
    </row>
    <row r="517" spans="1:10" ht="15.75" x14ac:dyDescent="0.25">
      <c r="A517" s="70" t="s">
        <v>98</v>
      </c>
      <c r="B517" s="70"/>
      <c r="C517" s="71" t="s">
        <v>91</v>
      </c>
      <c r="D517" s="71"/>
      <c r="E517" s="72">
        <f t="shared" si="135"/>
        <v>1091.9001599999999</v>
      </c>
      <c r="F517" s="73"/>
      <c r="G517" s="58">
        <v>0</v>
      </c>
      <c r="H517" s="58">
        <f t="shared" si="136"/>
        <v>1747.040256</v>
      </c>
      <c r="I517" s="76"/>
      <c r="J517" s="77"/>
    </row>
    <row r="518" spans="1:10" ht="15.75" x14ac:dyDescent="0.25">
      <c r="A518" s="70" t="s">
        <v>99</v>
      </c>
      <c r="B518" s="70"/>
      <c r="C518" s="71" t="s">
        <v>91</v>
      </c>
      <c r="D518" s="71"/>
      <c r="E518" s="72">
        <f t="shared" si="135"/>
        <v>1091.9001599999999</v>
      </c>
      <c r="F518" s="73"/>
      <c r="G518" s="58">
        <v>0</v>
      </c>
      <c r="H518" s="58">
        <f t="shared" si="136"/>
        <v>1747.040256</v>
      </c>
      <c r="I518" s="76"/>
      <c r="J518" s="77"/>
    </row>
    <row r="519" spans="1:10" ht="15.75" x14ac:dyDescent="0.25">
      <c r="A519" s="70" t="s">
        <v>100</v>
      </c>
      <c r="B519" s="70"/>
      <c r="C519" s="71" t="s">
        <v>91</v>
      </c>
      <c r="D519" s="71"/>
      <c r="E519" s="72">
        <f t="shared" si="135"/>
        <v>1091.9001599999999</v>
      </c>
      <c r="F519" s="73"/>
      <c r="G519" s="58">
        <v>0</v>
      </c>
      <c r="H519" s="58">
        <f t="shared" si="136"/>
        <v>1747.040256</v>
      </c>
      <c r="I519" s="76"/>
      <c r="J519" s="77"/>
    </row>
    <row r="520" spans="1:10" ht="15.75" x14ac:dyDescent="0.25">
      <c r="A520" s="70" t="s">
        <v>101</v>
      </c>
      <c r="B520" s="70"/>
      <c r="C520" s="71" t="s">
        <v>91</v>
      </c>
      <c r="D520" s="71"/>
      <c r="E520" s="71">
        <f>86.66*10.764</f>
        <v>932.80823999999996</v>
      </c>
      <c r="F520" s="71"/>
      <c r="G520" s="58">
        <v>0</v>
      </c>
      <c r="H520" s="58">
        <f t="shared" si="136"/>
        <v>1492.4931839999999</v>
      </c>
      <c r="I520" s="76"/>
      <c r="J520" s="77"/>
    </row>
    <row r="521" spans="1:10" ht="15.75" x14ac:dyDescent="0.25">
      <c r="A521" s="70" t="s">
        <v>104</v>
      </c>
      <c r="B521" s="70"/>
      <c r="C521" s="72" t="s">
        <v>103</v>
      </c>
      <c r="D521" s="80"/>
      <c r="E521" s="80"/>
      <c r="F521" s="80"/>
      <c r="G521" s="80"/>
      <c r="H521" s="73"/>
      <c r="I521" s="78"/>
      <c r="J521" s="79"/>
    </row>
    <row r="522" spans="1:10" ht="238.5" customHeight="1" x14ac:dyDescent="0.25">
      <c r="A522" s="143" t="s">
        <v>274</v>
      </c>
      <c r="B522" s="143"/>
      <c r="C522" s="143"/>
      <c r="D522" s="143"/>
      <c r="E522" s="143"/>
      <c r="F522" s="143"/>
      <c r="G522" s="143"/>
      <c r="H522" s="143"/>
      <c r="I522" s="143"/>
      <c r="J522" s="143"/>
    </row>
    <row r="523" spans="1:10" ht="15.75" x14ac:dyDescent="0.25">
      <c r="A523" s="237" t="s">
        <v>130</v>
      </c>
      <c r="B523" s="238"/>
      <c r="C523" s="238"/>
      <c r="D523" s="238"/>
      <c r="E523" s="238"/>
      <c r="F523" s="238"/>
      <c r="G523" s="238"/>
      <c r="H523" s="238"/>
      <c r="I523" s="238"/>
      <c r="J523" s="239"/>
    </row>
    <row r="524" spans="1:10" ht="15.75" x14ac:dyDescent="0.25">
      <c r="A524" s="237" t="s">
        <v>131</v>
      </c>
      <c r="B524" s="238"/>
      <c r="C524" s="238"/>
      <c r="D524" s="238"/>
      <c r="E524" s="238"/>
      <c r="F524" s="238"/>
      <c r="G524" s="238"/>
      <c r="H524" s="238"/>
      <c r="I524" s="238"/>
      <c r="J524" s="239"/>
    </row>
    <row r="525" spans="1:10" ht="15.75" x14ac:dyDescent="0.25">
      <c r="A525" s="237" t="s">
        <v>132</v>
      </c>
      <c r="B525" s="238"/>
      <c r="C525" s="238"/>
      <c r="D525" s="238"/>
      <c r="E525" s="238"/>
      <c r="F525" s="238"/>
      <c r="G525" s="238"/>
      <c r="H525" s="238"/>
      <c r="I525" s="238"/>
      <c r="J525" s="239"/>
    </row>
    <row r="526" spans="1:10" ht="15.75" x14ac:dyDescent="0.25">
      <c r="A526" s="237" t="s">
        <v>133</v>
      </c>
      <c r="B526" s="238"/>
      <c r="C526" s="238"/>
      <c r="D526" s="238"/>
      <c r="E526" s="238"/>
      <c r="F526" s="238"/>
      <c r="G526" s="238"/>
      <c r="H526" s="238"/>
      <c r="I526" s="238"/>
      <c r="J526" s="239"/>
    </row>
    <row r="527" spans="1:10" ht="15.75" x14ac:dyDescent="0.25">
      <c r="A527" s="237" t="s">
        <v>134</v>
      </c>
      <c r="B527" s="238"/>
      <c r="C527" s="238"/>
      <c r="D527" s="238"/>
      <c r="E527" s="238"/>
      <c r="F527" s="238"/>
      <c r="G527" s="238"/>
      <c r="H527" s="238"/>
      <c r="I527" s="238"/>
      <c r="J527" s="239"/>
    </row>
    <row r="528" spans="1:10" ht="15.75" x14ac:dyDescent="0.25">
      <c r="A528" s="237" t="s">
        <v>135</v>
      </c>
      <c r="B528" s="238"/>
      <c r="C528" s="238"/>
      <c r="D528" s="238"/>
      <c r="E528" s="238"/>
      <c r="F528" s="238"/>
      <c r="G528" s="238"/>
      <c r="H528" s="238"/>
      <c r="I528" s="238"/>
      <c r="J528" s="239"/>
    </row>
    <row r="529" spans="1:10" x14ac:dyDescent="0.25">
      <c r="A529" s="134" t="s">
        <v>61</v>
      </c>
      <c r="B529" s="135"/>
      <c r="C529" s="135"/>
      <c r="D529" s="135"/>
      <c r="E529" s="135"/>
      <c r="F529" s="135"/>
      <c r="G529" s="135"/>
      <c r="H529" s="135"/>
      <c r="I529" s="135"/>
      <c r="J529" s="136"/>
    </row>
    <row r="530" spans="1:10" x14ac:dyDescent="0.25">
      <c r="A530" s="137"/>
      <c r="B530" s="138"/>
      <c r="C530" s="138"/>
      <c r="D530" s="138"/>
      <c r="E530" s="138"/>
      <c r="F530" s="138"/>
      <c r="G530" s="138"/>
      <c r="H530" s="138"/>
      <c r="I530" s="138"/>
      <c r="J530" s="139"/>
    </row>
    <row r="531" spans="1:10" x14ac:dyDescent="0.25">
      <c r="A531" s="140"/>
      <c r="B531" s="141"/>
      <c r="C531" s="141"/>
      <c r="D531" s="141"/>
      <c r="E531" s="141"/>
      <c r="F531" s="141"/>
      <c r="G531" s="141"/>
      <c r="H531" s="141"/>
      <c r="I531" s="141"/>
      <c r="J531" s="142"/>
    </row>
    <row r="532" spans="1:10" ht="15.75" x14ac:dyDescent="0.25">
      <c r="A532" s="60" t="s">
        <v>194</v>
      </c>
      <c r="B532" s="61"/>
      <c r="C532" s="61"/>
      <c r="D532" s="60" t="str">
        <f>F8</f>
        <v>Oberoi Eternia</v>
      </c>
      <c r="E532" s="61"/>
      <c r="F532" s="61"/>
      <c r="G532" s="61"/>
      <c r="H532" s="61"/>
      <c r="I532" s="61"/>
      <c r="J532" s="61"/>
    </row>
    <row r="533" spans="1:10" ht="31.5" x14ac:dyDescent="0.25">
      <c r="A533" s="62" t="s">
        <v>193</v>
      </c>
      <c r="B533" s="62"/>
      <c r="C533" s="62"/>
      <c r="D533" s="63"/>
      <c r="E533" s="61"/>
      <c r="F533" s="61"/>
      <c r="G533" s="62"/>
      <c r="H533" s="62"/>
      <c r="I533" s="62"/>
      <c r="J533" s="62"/>
    </row>
    <row r="534" spans="1:10" ht="15.75" x14ac:dyDescent="0.25">
      <c r="A534" s="62"/>
      <c r="B534" s="62"/>
      <c r="C534" s="62"/>
      <c r="D534" s="62"/>
      <c r="E534" s="62"/>
      <c r="F534" s="62"/>
      <c r="G534" s="62"/>
      <c r="H534" s="62"/>
      <c r="I534" s="62"/>
      <c r="J534" s="62"/>
    </row>
    <row r="535" spans="1:10" ht="15.75" x14ac:dyDescent="0.25">
      <c r="A535" s="62"/>
      <c r="B535" s="62"/>
      <c r="C535" s="62"/>
      <c r="D535" s="62"/>
      <c r="E535" s="62"/>
      <c r="F535" s="62"/>
      <c r="G535" s="62"/>
      <c r="H535" s="62"/>
      <c r="I535" s="62"/>
      <c r="J535" s="62"/>
    </row>
    <row r="536" spans="1:10" ht="15.75" x14ac:dyDescent="0.25">
      <c r="A536" s="61"/>
      <c r="B536" s="61"/>
      <c r="C536" s="61"/>
      <c r="D536" s="61"/>
      <c r="E536" s="61"/>
      <c r="F536" s="61"/>
      <c r="G536" s="61"/>
      <c r="H536" s="61"/>
      <c r="I536" s="61"/>
      <c r="J536" s="61"/>
    </row>
    <row r="537" spans="1:10" ht="15.75" x14ac:dyDescent="0.25">
      <c r="A537" s="61"/>
      <c r="B537" s="61"/>
      <c r="C537" s="61"/>
      <c r="D537" s="61"/>
      <c r="E537" s="61"/>
      <c r="F537" s="61"/>
      <c r="G537" s="61"/>
      <c r="H537" s="61"/>
      <c r="I537" s="61"/>
      <c r="J537" s="61"/>
    </row>
    <row r="538" spans="1:10" ht="15.75" x14ac:dyDescent="0.25">
      <c r="A538" s="61"/>
      <c r="B538" s="61"/>
      <c r="C538" s="61"/>
      <c r="D538" s="61"/>
      <c r="E538" s="61"/>
      <c r="F538" s="61"/>
      <c r="G538" s="61"/>
      <c r="H538" s="61"/>
      <c r="I538" s="61"/>
      <c r="J538" s="61"/>
    </row>
    <row r="539" spans="1:10" ht="15.75" x14ac:dyDescent="0.25">
      <c r="A539" s="61"/>
      <c r="B539" s="61"/>
      <c r="C539" s="61"/>
      <c r="D539" s="61"/>
      <c r="E539" s="61"/>
      <c r="F539" s="61"/>
      <c r="G539" s="61"/>
      <c r="H539" s="61"/>
      <c r="I539" s="61"/>
      <c r="J539" s="61"/>
    </row>
    <row r="540" spans="1:10" ht="15.75" x14ac:dyDescent="0.25">
      <c r="A540" s="61"/>
      <c r="B540" s="61"/>
      <c r="C540" s="61"/>
      <c r="D540" s="61"/>
      <c r="E540" s="61"/>
      <c r="F540" s="61"/>
      <c r="G540" s="61"/>
      <c r="H540" s="61"/>
      <c r="I540" s="61"/>
      <c r="J540" s="61"/>
    </row>
    <row r="541" spans="1:10" ht="15.75" x14ac:dyDescent="0.25">
      <c r="A541" s="61"/>
      <c r="B541" s="61"/>
      <c r="C541" s="61"/>
      <c r="D541" s="61"/>
      <c r="E541" s="61"/>
      <c r="F541" s="61"/>
      <c r="G541" s="61"/>
      <c r="H541" s="61"/>
      <c r="I541" s="61"/>
      <c r="J541" s="61"/>
    </row>
    <row r="542" spans="1:10" ht="15.75" x14ac:dyDescent="0.25">
      <c r="A542" s="61"/>
      <c r="B542" s="61"/>
      <c r="C542" s="61"/>
      <c r="D542" s="61"/>
      <c r="E542" s="61"/>
      <c r="F542" s="61"/>
      <c r="G542" s="61"/>
      <c r="H542" s="61"/>
      <c r="I542" s="61"/>
      <c r="J542" s="61"/>
    </row>
    <row r="543" spans="1:10" ht="15.75" x14ac:dyDescent="0.25">
      <c r="A543" s="61"/>
      <c r="B543" s="61"/>
      <c r="C543" s="61"/>
      <c r="D543" s="61"/>
      <c r="E543" s="61"/>
      <c r="F543" s="61"/>
      <c r="G543" s="61"/>
      <c r="H543" s="61"/>
      <c r="I543" s="61"/>
      <c r="J543" s="61"/>
    </row>
    <row r="544" spans="1:10" ht="15.75" x14ac:dyDescent="0.25">
      <c r="A544" s="61"/>
      <c r="B544" s="61"/>
      <c r="C544" s="61"/>
      <c r="D544" s="61"/>
      <c r="E544" s="61"/>
      <c r="F544" s="61"/>
      <c r="G544" s="61"/>
      <c r="H544" s="61"/>
      <c r="I544" s="61"/>
      <c r="J544" s="61"/>
    </row>
    <row r="545" spans="1:10" ht="15.75" x14ac:dyDescent="0.25">
      <c r="A545" s="61"/>
      <c r="B545" s="61"/>
      <c r="C545" s="61"/>
      <c r="D545" s="61"/>
      <c r="E545" s="61"/>
      <c r="F545" s="61"/>
      <c r="G545" s="61"/>
      <c r="H545" s="61"/>
      <c r="I545" s="61"/>
      <c r="J545" s="61"/>
    </row>
    <row r="546" spans="1:10" ht="15.75" x14ac:dyDescent="0.25">
      <c r="A546" s="61"/>
      <c r="B546" s="61"/>
      <c r="C546" s="61"/>
      <c r="D546" s="61"/>
      <c r="E546" s="61"/>
      <c r="F546" s="61"/>
      <c r="G546" s="61"/>
      <c r="H546" s="61"/>
      <c r="I546" s="61"/>
      <c r="J546" s="61"/>
    </row>
    <row r="547" spans="1:10" ht="15.75" x14ac:dyDescent="0.25">
      <c r="A547" s="61"/>
      <c r="B547" s="61"/>
      <c r="C547" s="61"/>
      <c r="D547" s="61"/>
      <c r="E547" s="61"/>
      <c r="F547" s="61"/>
      <c r="G547" s="61"/>
      <c r="H547" s="61"/>
      <c r="I547" s="61"/>
      <c r="J547" s="61"/>
    </row>
    <row r="548" spans="1:10" ht="15.75" x14ac:dyDescent="0.25">
      <c r="A548" s="61"/>
      <c r="B548" s="61"/>
      <c r="C548" s="61"/>
      <c r="D548" s="61"/>
      <c r="E548" s="61"/>
      <c r="F548" s="61"/>
      <c r="G548" s="61"/>
      <c r="H548" s="61"/>
      <c r="I548" s="61"/>
      <c r="J548" s="61"/>
    </row>
    <row r="549" spans="1:10" ht="15.75" x14ac:dyDescent="0.25">
      <c r="A549" s="61"/>
      <c r="B549" s="61"/>
      <c r="C549" s="61"/>
      <c r="D549" s="61"/>
      <c r="E549" s="61"/>
      <c r="F549" s="61"/>
      <c r="G549" s="61"/>
      <c r="H549" s="61"/>
      <c r="I549" s="61"/>
      <c r="J549" s="61"/>
    </row>
    <row r="550" spans="1:10" ht="15.75" x14ac:dyDescent="0.25">
      <c r="A550" s="61"/>
      <c r="B550" s="61"/>
      <c r="C550" s="61"/>
      <c r="D550" s="61"/>
      <c r="E550" s="61"/>
      <c r="F550" s="61"/>
      <c r="G550" s="61"/>
      <c r="H550" s="61"/>
      <c r="I550" s="61"/>
      <c r="J550" s="61"/>
    </row>
    <row r="551" spans="1:10" ht="15.75" x14ac:dyDescent="0.25">
      <c r="A551" s="61"/>
      <c r="B551" s="61"/>
      <c r="C551" s="61"/>
      <c r="D551" s="61"/>
      <c r="E551" s="61"/>
      <c r="F551" s="61"/>
      <c r="G551" s="61"/>
      <c r="H551" s="61"/>
      <c r="I551" s="61"/>
      <c r="J551" s="61"/>
    </row>
    <row r="552" spans="1:10" ht="15.75" x14ac:dyDescent="0.25">
      <c r="A552" s="61"/>
      <c r="B552" s="61"/>
      <c r="C552" s="61"/>
      <c r="D552" s="61"/>
      <c r="E552" s="61"/>
      <c r="F552" s="61"/>
      <c r="G552" s="61"/>
      <c r="H552" s="61"/>
      <c r="I552" s="61"/>
      <c r="J552" s="61"/>
    </row>
    <row r="553" spans="1:10" ht="15.75" x14ac:dyDescent="0.25">
      <c r="A553" s="61"/>
      <c r="B553" s="61"/>
      <c r="C553" s="61"/>
      <c r="D553" s="61"/>
      <c r="E553" s="61"/>
      <c r="F553" s="61"/>
      <c r="G553" s="61"/>
      <c r="H553" s="61"/>
      <c r="I553" s="61"/>
      <c r="J553" s="61"/>
    </row>
    <row r="554" spans="1:10" ht="15.75" x14ac:dyDescent="0.25">
      <c r="A554" s="61"/>
      <c r="B554" s="61"/>
      <c r="C554" s="61"/>
      <c r="D554" s="61"/>
      <c r="E554" s="61"/>
      <c r="F554" s="61"/>
      <c r="G554" s="61"/>
      <c r="H554" s="61"/>
      <c r="I554" s="61"/>
      <c r="J554" s="61"/>
    </row>
    <row r="555" spans="1:10" ht="15.75" x14ac:dyDescent="0.25">
      <c r="A555" s="61"/>
      <c r="B555" s="61"/>
      <c r="C555" s="61"/>
      <c r="D555" s="61"/>
      <c r="E555" s="61"/>
      <c r="F555" s="61"/>
      <c r="G555" s="61"/>
      <c r="H555" s="61"/>
      <c r="I555" s="61"/>
      <c r="J555" s="61"/>
    </row>
    <row r="556" spans="1:10" ht="15.75" x14ac:dyDescent="0.25">
      <c r="A556" s="61"/>
      <c r="B556" s="61"/>
      <c r="C556" s="61"/>
      <c r="D556" s="61"/>
      <c r="E556" s="61"/>
      <c r="F556" s="61"/>
      <c r="G556" s="61"/>
      <c r="H556" s="61"/>
      <c r="I556" s="61"/>
      <c r="J556" s="61"/>
    </row>
    <row r="557" spans="1:10" ht="15.75" x14ac:dyDescent="0.25">
      <c r="A557" s="61"/>
      <c r="B557" s="61"/>
      <c r="C557" s="61"/>
      <c r="D557" s="61"/>
      <c r="E557" s="61"/>
      <c r="F557" s="61"/>
      <c r="G557" s="61"/>
      <c r="H557" s="61"/>
      <c r="I557" s="61"/>
      <c r="J557" s="61"/>
    </row>
    <row r="558" spans="1:10" ht="15.75" x14ac:dyDescent="0.25">
      <c r="A558" s="61"/>
      <c r="B558" s="61"/>
      <c r="C558" s="61"/>
      <c r="D558" s="61"/>
      <c r="E558" s="61"/>
      <c r="F558" s="61"/>
      <c r="G558" s="61"/>
      <c r="H558" s="61"/>
      <c r="I558" s="61"/>
      <c r="J558" s="61"/>
    </row>
    <row r="559" spans="1:10" ht="15.75" x14ac:dyDescent="0.25">
      <c r="A559" s="61"/>
      <c r="B559" s="61"/>
      <c r="C559" s="61"/>
      <c r="D559" s="61"/>
      <c r="E559" s="61"/>
      <c r="F559" s="61"/>
      <c r="G559" s="61"/>
      <c r="H559" s="61"/>
      <c r="I559" s="61"/>
      <c r="J559" s="61"/>
    </row>
    <row r="560" spans="1:10" ht="15.75" x14ac:dyDescent="0.25">
      <c r="A560" s="61"/>
      <c r="B560" s="61"/>
      <c r="C560" s="61"/>
      <c r="D560" s="61"/>
      <c r="E560" s="61"/>
      <c r="F560" s="61"/>
      <c r="G560" s="61"/>
      <c r="H560" s="61"/>
      <c r="I560" s="61"/>
      <c r="J560" s="61"/>
    </row>
    <row r="561" spans="1:10" ht="15.75" x14ac:dyDescent="0.25">
      <c r="A561" s="61"/>
      <c r="B561" s="61"/>
      <c r="C561" s="61"/>
      <c r="D561" s="61"/>
      <c r="E561" s="61"/>
      <c r="F561" s="61"/>
      <c r="G561" s="61"/>
      <c r="H561" s="61"/>
      <c r="I561" s="61"/>
      <c r="J561" s="61"/>
    </row>
    <row r="562" spans="1:10" ht="15.75" x14ac:dyDescent="0.25">
      <c r="A562" s="61"/>
      <c r="B562" s="61"/>
      <c r="C562" s="61"/>
      <c r="D562" s="61"/>
      <c r="E562" s="61"/>
      <c r="F562" s="61"/>
      <c r="G562" s="61"/>
      <c r="H562" s="61"/>
      <c r="I562" s="61"/>
      <c r="J562" s="61"/>
    </row>
    <row r="563" spans="1:10" ht="15.75" x14ac:dyDescent="0.25">
      <c r="A563" s="61"/>
      <c r="B563" s="61"/>
      <c r="C563" s="61"/>
      <c r="D563" s="61"/>
      <c r="E563" s="61"/>
      <c r="F563" s="61"/>
      <c r="G563" s="61"/>
      <c r="H563" s="61"/>
      <c r="I563" s="61"/>
      <c r="J563" s="61"/>
    </row>
    <row r="564" spans="1:10" ht="15.75" x14ac:dyDescent="0.25">
      <c r="A564" s="61"/>
      <c r="B564" s="61"/>
      <c r="C564" s="61"/>
      <c r="D564" s="61"/>
      <c r="E564" s="61"/>
      <c r="F564" s="61"/>
      <c r="G564" s="61"/>
      <c r="H564" s="61"/>
      <c r="I564" s="61"/>
      <c r="J564" s="61"/>
    </row>
    <row r="565" spans="1:10" ht="15.75" x14ac:dyDescent="0.25">
      <c r="A565" s="61"/>
      <c r="B565" s="61"/>
      <c r="C565" s="61"/>
      <c r="D565" s="61"/>
      <c r="E565" s="61"/>
      <c r="F565" s="61"/>
      <c r="G565" s="61"/>
      <c r="H565" s="61"/>
      <c r="I565" s="61"/>
      <c r="J565" s="61"/>
    </row>
    <row r="566" spans="1:10" ht="15.75" x14ac:dyDescent="0.25">
      <c r="A566" s="61"/>
      <c r="B566" s="61"/>
      <c r="C566" s="61"/>
      <c r="D566" s="61"/>
      <c r="E566" s="61"/>
      <c r="F566" s="61"/>
      <c r="G566" s="61"/>
      <c r="H566" s="61"/>
      <c r="I566" s="61"/>
      <c r="J566" s="61"/>
    </row>
    <row r="567" spans="1:10" ht="15.75" x14ac:dyDescent="0.25">
      <c r="A567" s="61"/>
      <c r="B567" s="61"/>
      <c r="C567" s="61"/>
      <c r="D567" s="61"/>
      <c r="E567" s="61"/>
      <c r="F567" s="61"/>
      <c r="G567" s="61"/>
      <c r="H567" s="61"/>
      <c r="I567" s="61"/>
      <c r="J567" s="61"/>
    </row>
    <row r="568" spans="1:10" ht="15.75" x14ac:dyDescent="0.25">
      <c r="A568" s="61"/>
      <c r="B568" s="61"/>
      <c r="C568" s="61"/>
      <c r="D568" s="61"/>
      <c r="E568" s="61"/>
      <c r="F568" s="61"/>
      <c r="G568" s="61"/>
      <c r="H568" s="61"/>
      <c r="I568" s="61"/>
      <c r="J568" s="61"/>
    </row>
    <row r="569" spans="1:10" ht="15.75" x14ac:dyDescent="0.25">
      <c r="A569" s="61"/>
      <c r="B569" s="61"/>
      <c r="C569" s="61"/>
      <c r="D569" s="61"/>
      <c r="E569" s="61"/>
      <c r="F569" s="61"/>
      <c r="G569" s="61"/>
      <c r="H569" s="61"/>
      <c r="I569" s="61"/>
      <c r="J569" s="61"/>
    </row>
    <row r="570" spans="1:10" ht="15.75" x14ac:dyDescent="0.25">
      <c r="A570" s="61"/>
      <c r="B570" s="61"/>
      <c r="C570" s="61"/>
      <c r="D570" s="61"/>
      <c r="E570" s="61"/>
      <c r="F570" s="61"/>
      <c r="G570" s="61"/>
      <c r="H570" s="61"/>
      <c r="I570" s="61"/>
      <c r="J570" s="61"/>
    </row>
    <row r="571" spans="1:10" ht="15.75" x14ac:dyDescent="0.25">
      <c r="A571" s="61"/>
      <c r="B571" s="61"/>
      <c r="C571" s="61"/>
      <c r="D571" s="61"/>
      <c r="E571" s="61"/>
      <c r="F571" s="61"/>
      <c r="G571" s="61"/>
      <c r="H571" s="61"/>
      <c r="I571" s="61"/>
      <c r="J571" s="61"/>
    </row>
    <row r="572" spans="1:10" ht="15.75" x14ac:dyDescent="0.25">
      <c r="A572" s="61"/>
      <c r="B572" s="61"/>
      <c r="C572" s="61"/>
      <c r="D572" s="61"/>
      <c r="E572" s="61"/>
      <c r="F572" s="61"/>
      <c r="G572" s="61"/>
      <c r="H572" s="61"/>
      <c r="I572" s="61"/>
      <c r="J572" s="61"/>
    </row>
    <row r="573" spans="1:10" ht="15.75" x14ac:dyDescent="0.25">
      <c r="A573" s="61"/>
      <c r="B573" s="61"/>
      <c r="C573" s="61"/>
      <c r="D573" s="61"/>
      <c r="E573" s="61"/>
      <c r="F573" s="61"/>
      <c r="G573" s="61"/>
      <c r="H573" s="61"/>
      <c r="I573" s="61"/>
      <c r="J573" s="61"/>
    </row>
    <row r="574" spans="1:10" ht="15.75" x14ac:dyDescent="0.25">
      <c r="A574" s="61"/>
      <c r="B574" s="61"/>
      <c r="C574" s="61"/>
      <c r="D574" s="61"/>
      <c r="E574" s="61"/>
      <c r="F574" s="61"/>
      <c r="G574" s="61"/>
      <c r="H574" s="61"/>
      <c r="I574" s="61"/>
      <c r="J574" s="61"/>
    </row>
    <row r="575" spans="1:10" ht="15.75" x14ac:dyDescent="0.25">
      <c r="A575" s="61"/>
      <c r="B575" s="61"/>
      <c r="C575" s="61"/>
      <c r="D575" s="61"/>
      <c r="E575" s="61"/>
      <c r="F575" s="61"/>
      <c r="G575" s="61"/>
      <c r="H575" s="61"/>
      <c r="I575" s="61"/>
      <c r="J575" s="61"/>
    </row>
    <row r="576" spans="1:10" ht="15.75" x14ac:dyDescent="0.25">
      <c r="A576" s="61"/>
      <c r="B576" s="61"/>
      <c r="C576" s="61"/>
      <c r="D576" s="61"/>
      <c r="E576" s="61"/>
      <c r="F576" s="61"/>
      <c r="G576" s="61"/>
      <c r="H576" s="61"/>
      <c r="I576" s="61"/>
      <c r="J576" s="61"/>
    </row>
    <row r="577" spans="1:10" ht="15.75" x14ac:dyDescent="0.25">
      <c r="A577" s="60" t="s">
        <v>192</v>
      </c>
      <c r="B577" s="61"/>
      <c r="C577" s="61"/>
      <c r="D577" s="61"/>
      <c r="E577" s="61"/>
      <c r="F577" s="61"/>
      <c r="G577" s="61"/>
      <c r="H577" s="61"/>
      <c r="I577" s="61"/>
      <c r="J577" s="61"/>
    </row>
    <row r="578" spans="1:10" ht="15.75" x14ac:dyDescent="0.25">
      <c r="A578" s="61"/>
      <c r="B578" s="61"/>
      <c r="C578" s="61"/>
      <c r="D578" s="61"/>
      <c r="E578" s="61"/>
      <c r="F578" s="61"/>
      <c r="G578" s="61"/>
      <c r="H578" s="61"/>
      <c r="I578" s="61"/>
      <c r="J578" s="61"/>
    </row>
    <row r="579" spans="1:10" ht="15.75" x14ac:dyDescent="0.25">
      <c r="A579" s="61"/>
      <c r="B579" s="61"/>
      <c r="C579" s="61"/>
      <c r="D579" s="61"/>
      <c r="E579" s="61"/>
      <c r="F579" s="61"/>
      <c r="G579" s="61"/>
      <c r="H579" s="61"/>
      <c r="I579" s="61"/>
      <c r="J579" s="61"/>
    </row>
    <row r="580" spans="1:10" ht="15.75" x14ac:dyDescent="0.25">
      <c r="A580" s="61"/>
      <c r="B580" s="61"/>
      <c r="C580" s="61"/>
      <c r="D580" s="61"/>
      <c r="E580" s="61"/>
      <c r="F580" s="61"/>
      <c r="G580" s="61"/>
      <c r="H580" s="61"/>
      <c r="I580" s="61"/>
      <c r="J580" s="61"/>
    </row>
    <row r="581" spans="1:10" ht="15.75" x14ac:dyDescent="0.25">
      <c r="A581" s="61"/>
      <c r="B581" s="61"/>
      <c r="C581" s="61"/>
      <c r="D581" s="61"/>
      <c r="E581" s="61"/>
      <c r="F581" s="61"/>
      <c r="G581" s="61"/>
      <c r="H581" s="61"/>
      <c r="I581" s="61"/>
      <c r="J581" s="61"/>
    </row>
    <row r="582" spans="1:10" ht="15.75" x14ac:dyDescent="0.25">
      <c r="A582" s="61"/>
      <c r="B582" s="61"/>
      <c r="C582" s="61"/>
      <c r="D582" s="61"/>
      <c r="E582" s="61"/>
      <c r="F582" s="61"/>
      <c r="G582" s="61"/>
      <c r="H582" s="61"/>
      <c r="I582" s="61"/>
      <c r="J582" s="61"/>
    </row>
    <row r="583" spans="1:10" ht="15.75" x14ac:dyDescent="0.25">
      <c r="A583" s="61"/>
      <c r="B583" s="61"/>
      <c r="C583" s="61"/>
      <c r="D583" s="61"/>
      <c r="E583" s="61"/>
      <c r="F583" s="61"/>
      <c r="G583" s="61"/>
      <c r="H583" s="61"/>
      <c r="I583" s="61"/>
      <c r="J583" s="61"/>
    </row>
    <row r="584" spans="1:10" ht="15.75" x14ac:dyDescent="0.25">
      <c r="A584" s="61"/>
      <c r="B584" s="61"/>
      <c r="C584" s="61"/>
      <c r="D584" s="61"/>
      <c r="E584" s="61"/>
      <c r="F584" s="61"/>
      <c r="G584" s="61"/>
      <c r="H584" s="61"/>
      <c r="I584" s="61"/>
      <c r="J584" s="61"/>
    </row>
    <row r="585" spans="1:10" ht="15.75" x14ac:dyDescent="0.25">
      <c r="A585" s="61"/>
      <c r="B585" s="61"/>
      <c r="C585" s="61"/>
      <c r="D585" s="61"/>
      <c r="E585" s="61"/>
      <c r="F585" s="61"/>
      <c r="G585" s="61"/>
      <c r="H585" s="61"/>
      <c r="I585" s="61"/>
      <c r="J585" s="61"/>
    </row>
    <row r="586" spans="1:10" ht="15.75" x14ac:dyDescent="0.25">
      <c r="A586" s="61"/>
      <c r="B586" s="61"/>
      <c r="C586" s="61"/>
      <c r="D586" s="61"/>
      <c r="E586" s="61"/>
      <c r="F586" s="61"/>
      <c r="G586" s="61"/>
      <c r="H586" s="61"/>
      <c r="I586" s="61"/>
      <c r="J586" s="61"/>
    </row>
    <row r="587" spans="1:10" ht="15.75" x14ac:dyDescent="0.25">
      <c r="A587" s="61"/>
      <c r="B587" s="61"/>
      <c r="C587" s="61"/>
      <c r="D587" s="61"/>
      <c r="E587" s="61"/>
      <c r="F587" s="61"/>
      <c r="G587" s="61"/>
      <c r="H587" s="61"/>
      <c r="I587" s="61"/>
      <c r="J587" s="61"/>
    </row>
    <row r="588" spans="1:10" ht="15.75" x14ac:dyDescent="0.25">
      <c r="A588" s="61"/>
      <c r="B588" s="61"/>
      <c r="C588" s="61"/>
      <c r="D588" s="61"/>
      <c r="E588" s="61"/>
      <c r="F588" s="61"/>
      <c r="G588" s="61"/>
      <c r="H588" s="61"/>
      <c r="I588" s="61"/>
      <c r="J588" s="61"/>
    </row>
    <row r="589" spans="1:10" ht="15.75" x14ac:dyDescent="0.25">
      <c r="A589" s="61"/>
      <c r="B589" s="61"/>
      <c r="C589" s="61"/>
      <c r="D589" s="61"/>
      <c r="E589" s="61"/>
      <c r="F589" s="61"/>
      <c r="G589" s="61"/>
      <c r="H589" s="61"/>
      <c r="I589" s="61"/>
      <c r="J589" s="61"/>
    </row>
    <row r="590" spans="1:10" ht="15.75" x14ac:dyDescent="0.25">
      <c r="A590" s="61"/>
      <c r="B590" s="61"/>
      <c r="C590" s="61"/>
      <c r="D590" s="61"/>
      <c r="E590" s="61"/>
      <c r="F590" s="61"/>
      <c r="G590" s="61"/>
      <c r="H590" s="61"/>
      <c r="I590" s="61"/>
      <c r="J590" s="61"/>
    </row>
    <row r="591" spans="1:10" ht="15.75" x14ac:dyDescent="0.25">
      <c r="A591" s="61"/>
      <c r="B591" s="61"/>
      <c r="C591" s="61"/>
      <c r="D591" s="61"/>
      <c r="E591" s="61"/>
      <c r="F591" s="61"/>
      <c r="G591" s="61"/>
      <c r="H591" s="61"/>
      <c r="I591" s="61"/>
      <c r="J591" s="61"/>
    </row>
    <row r="592" spans="1:10" ht="15.75" x14ac:dyDescent="0.25">
      <c r="A592" s="61"/>
      <c r="B592" s="61"/>
      <c r="C592" s="61"/>
      <c r="D592" s="61"/>
      <c r="E592" s="61"/>
      <c r="F592" s="61"/>
      <c r="G592" s="61"/>
      <c r="H592" s="61"/>
      <c r="I592" s="61"/>
      <c r="J592" s="61"/>
    </row>
    <row r="593" spans="1:10" ht="15.75" x14ac:dyDescent="0.25">
      <c r="A593" s="61"/>
      <c r="B593" s="61"/>
      <c r="C593" s="61"/>
      <c r="D593" s="61"/>
      <c r="E593" s="61"/>
      <c r="F593" s="61"/>
      <c r="G593" s="61"/>
      <c r="H593" s="61"/>
      <c r="I593" s="61"/>
      <c r="J593" s="61"/>
    </row>
    <row r="594" spans="1:10" ht="15.75" x14ac:dyDescent="0.25">
      <c r="A594" s="61"/>
      <c r="B594" s="61"/>
      <c r="C594" s="61"/>
      <c r="D594" s="61"/>
      <c r="E594" s="61"/>
      <c r="F594" s="61"/>
      <c r="G594" s="61"/>
      <c r="H594" s="61"/>
      <c r="I594" s="61"/>
      <c r="J594" s="61"/>
    </row>
    <row r="595" spans="1:10" ht="15.75" x14ac:dyDescent="0.25">
      <c r="A595" s="61"/>
      <c r="B595" s="61"/>
      <c r="C595" s="61"/>
      <c r="D595" s="61"/>
      <c r="E595" s="61"/>
      <c r="F595" s="61"/>
      <c r="G595" s="61"/>
      <c r="H595" s="61"/>
      <c r="I595" s="61"/>
      <c r="J595" s="61"/>
    </row>
    <row r="596" spans="1:10" ht="15.75" x14ac:dyDescent="0.25">
      <c r="A596" s="61"/>
      <c r="B596" s="61"/>
      <c r="C596" s="61"/>
      <c r="D596" s="61"/>
      <c r="E596" s="61"/>
      <c r="F596" s="61"/>
      <c r="G596" s="61"/>
      <c r="H596" s="61"/>
      <c r="I596" s="61"/>
      <c r="J596" s="61"/>
    </row>
    <row r="597" spans="1:10" ht="15.75" x14ac:dyDescent="0.25">
      <c r="A597" s="61"/>
      <c r="B597" s="61"/>
      <c r="C597" s="61"/>
      <c r="D597" s="61"/>
      <c r="E597" s="61"/>
      <c r="F597" s="61"/>
      <c r="G597" s="61"/>
      <c r="H597" s="61"/>
      <c r="I597" s="61"/>
      <c r="J597" s="61"/>
    </row>
    <row r="598" spans="1:10" ht="15.75" x14ac:dyDescent="0.25">
      <c r="A598" s="61"/>
      <c r="B598" s="61"/>
      <c r="C598" s="61"/>
      <c r="D598" s="61"/>
      <c r="E598" s="61"/>
      <c r="F598" s="61"/>
      <c r="G598" s="61"/>
      <c r="H598" s="61"/>
      <c r="I598" s="61"/>
      <c r="J598" s="61"/>
    </row>
    <row r="599" spans="1:10" ht="15.75" x14ac:dyDescent="0.25">
      <c r="A599" s="61"/>
      <c r="B599" s="61"/>
      <c r="C599" s="61"/>
      <c r="D599" s="61"/>
      <c r="E599" s="61"/>
      <c r="F599" s="61"/>
      <c r="G599" s="61"/>
      <c r="H599" s="61"/>
      <c r="I599" s="61"/>
      <c r="J599" s="61"/>
    </row>
    <row r="600" spans="1:10" ht="15.75" x14ac:dyDescent="0.25">
      <c r="A600" s="61"/>
      <c r="B600" s="61"/>
      <c r="C600" s="61"/>
      <c r="D600" s="61"/>
      <c r="E600" s="61"/>
      <c r="F600" s="61"/>
      <c r="G600" s="61"/>
      <c r="H600" s="61"/>
      <c r="I600" s="61"/>
      <c r="J600" s="61"/>
    </row>
    <row r="601" spans="1:10" ht="15.75" x14ac:dyDescent="0.25">
      <c r="A601" s="61"/>
      <c r="B601" s="61"/>
      <c r="C601" s="61"/>
      <c r="D601" s="61"/>
      <c r="E601" s="61"/>
      <c r="F601" s="61"/>
      <c r="G601" s="61"/>
      <c r="H601" s="61"/>
      <c r="I601" s="61"/>
      <c r="J601" s="61"/>
    </row>
    <row r="602" spans="1:10" ht="15.75" x14ac:dyDescent="0.25">
      <c r="A602" s="61"/>
      <c r="B602" s="61"/>
      <c r="C602" s="61"/>
      <c r="D602" s="61"/>
      <c r="E602" s="61"/>
      <c r="F602" s="61"/>
      <c r="G602" s="61"/>
      <c r="H602" s="61"/>
      <c r="I602" s="61"/>
      <c r="J602" s="61"/>
    </row>
    <row r="603" spans="1:10" ht="15.75" x14ac:dyDescent="0.25">
      <c r="A603" s="61"/>
      <c r="B603" s="61"/>
      <c r="C603" s="61"/>
      <c r="D603" s="61"/>
      <c r="E603" s="61"/>
      <c r="F603" s="61"/>
      <c r="G603" s="61"/>
      <c r="H603" s="61"/>
      <c r="I603" s="61"/>
      <c r="J603" s="61"/>
    </row>
    <row r="604" spans="1:10" ht="15.75" x14ac:dyDescent="0.25">
      <c r="A604" s="61"/>
      <c r="B604" s="61"/>
      <c r="C604" s="61"/>
      <c r="D604" s="61"/>
      <c r="E604" s="61"/>
      <c r="F604" s="61"/>
      <c r="G604" s="61"/>
      <c r="H604" s="61"/>
      <c r="I604" s="61"/>
      <c r="J604" s="61"/>
    </row>
    <row r="605" spans="1:10" ht="15.75" x14ac:dyDescent="0.25">
      <c r="A605" s="61"/>
      <c r="B605" s="61"/>
      <c r="C605" s="61"/>
      <c r="D605" s="61"/>
      <c r="E605" s="61"/>
      <c r="F605" s="61"/>
      <c r="G605" s="61"/>
      <c r="H605" s="61"/>
      <c r="I605" s="61"/>
      <c r="J605" s="61"/>
    </row>
    <row r="606" spans="1:10" ht="15.75" x14ac:dyDescent="0.25">
      <c r="A606" s="61"/>
      <c r="B606" s="61"/>
      <c r="C606" s="61"/>
      <c r="D606" s="61"/>
      <c r="E606" s="61"/>
      <c r="F606" s="61"/>
      <c r="G606" s="61"/>
      <c r="H606" s="61"/>
      <c r="I606" s="61"/>
      <c r="J606" s="61"/>
    </row>
    <row r="607" spans="1:10" ht="15.75" x14ac:dyDescent="0.25">
      <c r="A607" s="61"/>
      <c r="B607" s="61"/>
      <c r="C607" s="61"/>
      <c r="D607" s="61"/>
      <c r="E607" s="61"/>
      <c r="F607" s="61"/>
      <c r="G607" s="61"/>
      <c r="H607" s="61"/>
      <c r="I607" s="61"/>
      <c r="J607" s="61"/>
    </row>
    <row r="608" spans="1:10" ht="15.75" x14ac:dyDescent="0.25">
      <c r="A608" s="60" t="s">
        <v>62</v>
      </c>
      <c r="B608" s="61"/>
      <c r="C608" s="61"/>
      <c r="D608" s="61"/>
      <c r="E608" s="61"/>
      <c r="F608" s="61"/>
      <c r="G608" s="61"/>
      <c r="H608" s="61"/>
      <c r="I608" s="61"/>
      <c r="J608" s="61"/>
    </row>
    <row r="609" spans="1:1" x14ac:dyDescent="0.25">
      <c r="A609" s="36"/>
    </row>
  </sheetData>
  <mergeCells count="1312">
    <mergeCell ref="N124:T124"/>
    <mergeCell ref="N125:T125"/>
    <mergeCell ref="N126:T126"/>
    <mergeCell ref="N127:T127"/>
    <mergeCell ref="A324:J324"/>
    <mergeCell ref="A325:B325"/>
    <mergeCell ref="C325:D325"/>
    <mergeCell ref="E325:F325"/>
    <mergeCell ref="I325:J330"/>
    <mergeCell ref="A326:B326"/>
    <mergeCell ref="C326:D326"/>
    <mergeCell ref="E326:F326"/>
    <mergeCell ref="A327:B327"/>
    <mergeCell ref="C327:D327"/>
    <mergeCell ref="E327:F327"/>
    <mergeCell ref="A328:B328"/>
    <mergeCell ref="C328:D328"/>
    <mergeCell ref="E328:F328"/>
    <mergeCell ref="A329:B329"/>
    <mergeCell ref="C329:D329"/>
    <mergeCell ref="E329:F329"/>
    <mergeCell ref="A330:B330"/>
    <mergeCell ref="C330:H330"/>
    <mergeCell ref="C306:D306"/>
    <mergeCell ref="E306:F306"/>
    <mergeCell ref="A305:B305"/>
    <mergeCell ref="A307:B307"/>
    <mergeCell ref="C307:D307"/>
    <mergeCell ref="E307:F307"/>
    <mergeCell ref="A129:C129"/>
    <mergeCell ref="D129:J129"/>
    <mergeCell ref="D56:J56"/>
    <mergeCell ref="A56:C56"/>
    <mergeCell ref="A57:C57"/>
    <mergeCell ref="D57:J57"/>
    <mergeCell ref="A61:C61"/>
    <mergeCell ref="D61:J61"/>
    <mergeCell ref="A60:C60"/>
    <mergeCell ref="D60:J60"/>
    <mergeCell ref="A296:J296"/>
    <mergeCell ref="A297:B297"/>
    <mergeCell ref="C297:D297"/>
    <mergeCell ref="E297:F297"/>
    <mergeCell ref="I297:J302"/>
    <mergeCell ref="A298:B298"/>
    <mergeCell ref="C298:D298"/>
    <mergeCell ref="E298:F298"/>
    <mergeCell ref="A299:B299"/>
    <mergeCell ref="C299:D299"/>
    <mergeCell ref="E299:F299"/>
    <mergeCell ref="A300:B300"/>
    <mergeCell ref="C300:D300"/>
    <mergeCell ref="E300:F300"/>
    <mergeCell ref="A275:J275"/>
    <mergeCell ref="A276:B276"/>
    <mergeCell ref="C276:D276"/>
    <mergeCell ref="C313:D313"/>
    <mergeCell ref="E313:F313"/>
    <mergeCell ref="A310:J310"/>
    <mergeCell ref="A311:B311"/>
    <mergeCell ref="C311:D311"/>
    <mergeCell ref="E311:F311"/>
    <mergeCell ref="I311:J316"/>
    <mergeCell ref="A312:B312"/>
    <mergeCell ref="A314:B314"/>
    <mergeCell ref="C314:D314"/>
    <mergeCell ref="E314:F314"/>
    <mergeCell ref="A315:B315"/>
    <mergeCell ref="A316:B316"/>
    <mergeCell ref="C316:H316"/>
    <mergeCell ref="C315:H315"/>
    <mergeCell ref="C305:D305"/>
    <mergeCell ref="E305:F305"/>
    <mergeCell ref="A306:B306"/>
    <mergeCell ref="A308:B308"/>
    <mergeCell ref="C308:D308"/>
    <mergeCell ref="E308:F308"/>
    <mergeCell ref="A309:B309"/>
    <mergeCell ref="C309:H309"/>
    <mergeCell ref="C312:D312"/>
    <mergeCell ref="E312:F312"/>
    <mergeCell ref="A313:B313"/>
    <mergeCell ref="E276:F276"/>
    <mergeCell ref="A289:J289"/>
    <mergeCell ref="A290:B290"/>
    <mergeCell ref="C290:D290"/>
    <mergeCell ref="E290:F290"/>
    <mergeCell ref="I290:J295"/>
    <mergeCell ref="A291:B291"/>
    <mergeCell ref="C291:D291"/>
    <mergeCell ref="A293:B293"/>
    <mergeCell ref="C293:D293"/>
    <mergeCell ref="E293:F293"/>
    <mergeCell ref="A294:B294"/>
    <mergeCell ref="C294:D294"/>
    <mergeCell ref="E294:F294"/>
    <mergeCell ref="A295:B295"/>
    <mergeCell ref="C295:D295"/>
    <mergeCell ref="E295:F295"/>
    <mergeCell ref="C284:D284"/>
    <mergeCell ref="E284:F284"/>
    <mergeCell ref="A285:B285"/>
    <mergeCell ref="C285:D285"/>
    <mergeCell ref="E285:F285"/>
    <mergeCell ref="E291:F291"/>
    <mergeCell ref="A292:B292"/>
    <mergeCell ref="C292:D292"/>
    <mergeCell ref="E292:F292"/>
    <mergeCell ref="A268:B268"/>
    <mergeCell ref="C268:D268"/>
    <mergeCell ref="E268:F268"/>
    <mergeCell ref="I268:J273"/>
    <mergeCell ref="A282:J282"/>
    <mergeCell ref="A283:B283"/>
    <mergeCell ref="C283:D283"/>
    <mergeCell ref="E283:F283"/>
    <mergeCell ref="I283:J288"/>
    <mergeCell ref="A284:B284"/>
    <mergeCell ref="A286:B286"/>
    <mergeCell ref="C286:D286"/>
    <mergeCell ref="E286:F286"/>
    <mergeCell ref="A287:B287"/>
    <mergeCell ref="C287:D287"/>
    <mergeCell ref="E287:F287"/>
    <mergeCell ref="A288:B288"/>
    <mergeCell ref="C288:H288"/>
    <mergeCell ref="A271:B271"/>
    <mergeCell ref="C271:D271"/>
    <mergeCell ref="E271:F271"/>
    <mergeCell ref="A272:B272"/>
    <mergeCell ref="C272:D272"/>
    <mergeCell ref="E272:F272"/>
    <mergeCell ref="A273:B273"/>
    <mergeCell ref="C273:H273"/>
    <mergeCell ref="C277:D277"/>
    <mergeCell ref="E277:F277"/>
    <mergeCell ref="A278:B278"/>
    <mergeCell ref="C278:D278"/>
    <mergeCell ref="E278:F278"/>
    <mergeCell ref="A274:J274"/>
    <mergeCell ref="C257:D257"/>
    <mergeCell ref="E257:F257"/>
    <mergeCell ref="C258:D258"/>
    <mergeCell ref="E258:F258"/>
    <mergeCell ref="C259:H259"/>
    <mergeCell ref="I276:J281"/>
    <mergeCell ref="A277:B277"/>
    <mergeCell ref="A279:B279"/>
    <mergeCell ref="C279:D279"/>
    <mergeCell ref="E279:F279"/>
    <mergeCell ref="A280:B280"/>
    <mergeCell ref="A281:B281"/>
    <mergeCell ref="C281:H281"/>
    <mergeCell ref="C280:H280"/>
    <mergeCell ref="C263:D263"/>
    <mergeCell ref="E263:F263"/>
    <mergeCell ref="A264:B264"/>
    <mergeCell ref="C264:D264"/>
    <mergeCell ref="E264:F264"/>
    <mergeCell ref="A265:B265"/>
    <mergeCell ref="C265:D265"/>
    <mergeCell ref="E265:F265"/>
    <mergeCell ref="A266:B266"/>
    <mergeCell ref="C266:D266"/>
    <mergeCell ref="E266:F266"/>
    <mergeCell ref="A269:B269"/>
    <mergeCell ref="C269:D269"/>
    <mergeCell ref="E269:F269"/>
    <mergeCell ref="A270:B270"/>
    <mergeCell ref="C270:D270"/>
    <mergeCell ref="E270:F270"/>
    <mergeCell ref="A267:J267"/>
    <mergeCell ref="E262:F262"/>
    <mergeCell ref="A263:B263"/>
    <mergeCell ref="I240:J245"/>
    <mergeCell ref="A246:J246"/>
    <mergeCell ref="A247:B247"/>
    <mergeCell ref="C247:D247"/>
    <mergeCell ref="E247:F247"/>
    <mergeCell ref="I247:J252"/>
    <mergeCell ref="A248:B248"/>
    <mergeCell ref="C248:D248"/>
    <mergeCell ref="E248:F248"/>
    <mergeCell ref="A249:B249"/>
    <mergeCell ref="C249:H251"/>
    <mergeCell ref="A250:B250"/>
    <mergeCell ref="A251:B251"/>
    <mergeCell ref="A252:B252"/>
    <mergeCell ref="C252:D252"/>
    <mergeCell ref="E252:F252"/>
    <mergeCell ref="A253:J253"/>
    <mergeCell ref="A254:B254"/>
    <mergeCell ref="C254:D254"/>
    <mergeCell ref="E254:F254"/>
    <mergeCell ref="I254:J259"/>
    <mergeCell ref="A255:B255"/>
    <mergeCell ref="C255:D255"/>
    <mergeCell ref="E255:F255"/>
    <mergeCell ref="A256:B256"/>
    <mergeCell ref="A257:B257"/>
    <mergeCell ref="A258:B258"/>
    <mergeCell ref="A259:B259"/>
    <mergeCell ref="C256:D256"/>
    <mergeCell ref="E256:F256"/>
    <mergeCell ref="D119:J119"/>
    <mergeCell ref="A119:C119"/>
    <mergeCell ref="A122:C122"/>
    <mergeCell ref="A123:C123"/>
    <mergeCell ref="A124:C124"/>
    <mergeCell ref="A125:C125"/>
    <mergeCell ref="A126:C126"/>
    <mergeCell ref="A127:C127"/>
    <mergeCell ref="A128:C128"/>
    <mergeCell ref="D122:J122"/>
    <mergeCell ref="D123:J123"/>
    <mergeCell ref="D124:J124"/>
    <mergeCell ref="D125:J125"/>
    <mergeCell ref="D126:J126"/>
    <mergeCell ref="D127:J127"/>
    <mergeCell ref="D128:J128"/>
    <mergeCell ref="A117:B117"/>
    <mergeCell ref="D117:E117"/>
    <mergeCell ref="A120:C120"/>
    <mergeCell ref="D120:J120"/>
    <mergeCell ref="A121:C121"/>
    <mergeCell ref="D121:J121"/>
    <mergeCell ref="A107:B107"/>
    <mergeCell ref="D107:E107"/>
    <mergeCell ref="F107:G107"/>
    <mergeCell ref="H107:J107"/>
    <mergeCell ref="A108:B108"/>
    <mergeCell ref="D108:E108"/>
    <mergeCell ref="F108:G117"/>
    <mergeCell ref="H108:J117"/>
    <mergeCell ref="A109:B109"/>
    <mergeCell ref="D109:E109"/>
    <mergeCell ref="A110:B110"/>
    <mergeCell ref="D110:E110"/>
    <mergeCell ref="A111:B111"/>
    <mergeCell ref="D111:E111"/>
    <mergeCell ref="A112:B112"/>
    <mergeCell ref="D112:E112"/>
    <mergeCell ref="A113:B113"/>
    <mergeCell ref="D113:E113"/>
    <mergeCell ref="A114:B114"/>
    <mergeCell ref="D114:E114"/>
    <mergeCell ref="A115:B115"/>
    <mergeCell ref="D115:E115"/>
    <mergeCell ref="A116:B116"/>
    <mergeCell ref="D116:E116"/>
    <mergeCell ref="A102:B102"/>
    <mergeCell ref="D102:E102"/>
    <mergeCell ref="A103:B103"/>
    <mergeCell ref="D103:E103"/>
    <mergeCell ref="A104:B104"/>
    <mergeCell ref="C104:J104"/>
    <mergeCell ref="D105:E105"/>
    <mergeCell ref="I105:J105"/>
    <mergeCell ref="A106:B106"/>
    <mergeCell ref="C106:J106"/>
    <mergeCell ref="A92:B92"/>
    <mergeCell ref="C92:J92"/>
    <mergeCell ref="A93:B93"/>
    <mergeCell ref="D93:E93"/>
    <mergeCell ref="F93:G93"/>
    <mergeCell ref="H93:J93"/>
    <mergeCell ref="A94:B94"/>
    <mergeCell ref="D94:E94"/>
    <mergeCell ref="F94:G103"/>
    <mergeCell ref="H94:J103"/>
    <mergeCell ref="A95:B95"/>
    <mergeCell ref="D95:E95"/>
    <mergeCell ref="A96:B96"/>
    <mergeCell ref="D96:E96"/>
    <mergeCell ref="A97:B97"/>
    <mergeCell ref="D97:E97"/>
    <mergeCell ref="A98:B98"/>
    <mergeCell ref="D98:E98"/>
    <mergeCell ref="A99:B99"/>
    <mergeCell ref="D99:E99"/>
    <mergeCell ref="A100:B100"/>
    <mergeCell ref="D100:E100"/>
    <mergeCell ref="A101:B101"/>
    <mergeCell ref="D101:E101"/>
    <mergeCell ref="A87:B87"/>
    <mergeCell ref="D87:E87"/>
    <mergeCell ref="A88:B88"/>
    <mergeCell ref="D88:E88"/>
    <mergeCell ref="A89:B89"/>
    <mergeCell ref="D89:E89"/>
    <mergeCell ref="A90:B90"/>
    <mergeCell ref="C90:J90"/>
    <mergeCell ref="D91:E91"/>
    <mergeCell ref="I91:J91"/>
    <mergeCell ref="D77:E77"/>
    <mergeCell ref="I77:J77"/>
    <mergeCell ref="A78:B78"/>
    <mergeCell ref="C78:J78"/>
    <mergeCell ref="A79:B79"/>
    <mergeCell ref="D79:E79"/>
    <mergeCell ref="F79:G79"/>
    <mergeCell ref="H79:J79"/>
    <mergeCell ref="A80:B80"/>
    <mergeCell ref="D80:E80"/>
    <mergeCell ref="F80:G89"/>
    <mergeCell ref="H80:J89"/>
    <mergeCell ref="A81:B81"/>
    <mergeCell ref="D81:E81"/>
    <mergeCell ref="A82:B82"/>
    <mergeCell ref="D82:E82"/>
    <mergeCell ref="A83:B83"/>
    <mergeCell ref="D83:E83"/>
    <mergeCell ref="A84:B84"/>
    <mergeCell ref="D84:E84"/>
    <mergeCell ref="D85:E85"/>
    <mergeCell ref="A86:B86"/>
    <mergeCell ref="D86:E86"/>
    <mergeCell ref="A74:B74"/>
    <mergeCell ref="D74:E74"/>
    <mergeCell ref="A75:B75"/>
    <mergeCell ref="D75:E75"/>
    <mergeCell ref="A76:B76"/>
    <mergeCell ref="C76:J76"/>
    <mergeCell ref="A64:B64"/>
    <mergeCell ref="C64:J64"/>
    <mergeCell ref="A65:B65"/>
    <mergeCell ref="D65:E65"/>
    <mergeCell ref="F65:G65"/>
    <mergeCell ref="H65:J65"/>
    <mergeCell ref="A66:B66"/>
    <mergeCell ref="D66:E66"/>
    <mergeCell ref="F66:G75"/>
    <mergeCell ref="H66:J75"/>
    <mergeCell ref="A67:B67"/>
    <mergeCell ref="D67:E67"/>
    <mergeCell ref="A68:B68"/>
    <mergeCell ref="D68:E68"/>
    <mergeCell ref="A69:B69"/>
    <mergeCell ref="D69:E69"/>
    <mergeCell ref="A70:B70"/>
    <mergeCell ref="D70:E70"/>
    <mergeCell ref="A71:B71"/>
    <mergeCell ref="D71:E71"/>
    <mergeCell ref="A72:B72"/>
    <mergeCell ref="D72:E72"/>
    <mergeCell ref="A494:J494"/>
    <mergeCell ref="A495:B495"/>
    <mergeCell ref="C495:D495"/>
    <mergeCell ref="E495:F495"/>
    <mergeCell ref="I495:J500"/>
    <mergeCell ref="A496:B496"/>
    <mergeCell ref="C496:D496"/>
    <mergeCell ref="E496:F496"/>
    <mergeCell ref="A497:B497"/>
    <mergeCell ref="C497:D497"/>
    <mergeCell ref="E497:F497"/>
    <mergeCell ref="A498:B498"/>
    <mergeCell ref="C498:D498"/>
    <mergeCell ref="E498:F498"/>
    <mergeCell ref="A499:B499"/>
    <mergeCell ref="A500:B500"/>
    <mergeCell ref="A487:J487"/>
    <mergeCell ref="A488:B488"/>
    <mergeCell ref="C488:D488"/>
    <mergeCell ref="E488:F488"/>
    <mergeCell ref="I488:J493"/>
    <mergeCell ref="A489:B489"/>
    <mergeCell ref="C489:D489"/>
    <mergeCell ref="E489:F489"/>
    <mergeCell ref="A490:B490"/>
    <mergeCell ref="C490:D490"/>
    <mergeCell ref="E490:F490"/>
    <mergeCell ref="A491:B491"/>
    <mergeCell ref="C491:D491"/>
    <mergeCell ref="E491:F491"/>
    <mergeCell ref="A492:B492"/>
    <mergeCell ref="C492:D492"/>
    <mergeCell ref="E492:F492"/>
    <mergeCell ref="A493:B493"/>
    <mergeCell ref="C493:H493"/>
    <mergeCell ref="A473:J473"/>
    <mergeCell ref="A474:B474"/>
    <mergeCell ref="C474:D474"/>
    <mergeCell ref="E474:F474"/>
    <mergeCell ref="I474:J479"/>
    <mergeCell ref="A475:B475"/>
    <mergeCell ref="C475:D475"/>
    <mergeCell ref="E475:F475"/>
    <mergeCell ref="A476:B476"/>
    <mergeCell ref="C476:D476"/>
    <mergeCell ref="E476:F476"/>
    <mergeCell ref="A477:B477"/>
    <mergeCell ref="C477:D477"/>
    <mergeCell ref="E477:F477"/>
    <mergeCell ref="A478:B478"/>
    <mergeCell ref="C478:D478"/>
    <mergeCell ref="E478:F478"/>
    <mergeCell ref="A479:B479"/>
    <mergeCell ref="C479:D479"/>
    <mergeCell ref="E479:F479"/>
    <mergeCell ref="A480:J480"/>
    <mergeCell ref="A481:B481"/>
    <mergeCell ref="C481:D481"/>
    <mergeCell ref="E481:F481"/>
    <mergeCell ref="I481:J486"/>
    <mergeCell ref="A482:B482"/>
    <mergeCell ref="A465:J465"/>
    <mergeCell ref="A466:J466"/>
    <mergeCell ref="A467:B467"/>
    <mergeCell ref="C467:D467"/>
    <mergeCell ref="E467:F467"/>
    <mergeCell ref="I467:J472"/>
    <mergeCell ref="A468:B468"/>
    <mergeCell ref="C468:D468"/>
    <mergeCell ref="E468:F468"/>
    <mergeCell ref="A469:B469"/>
    <mergeCell ref="C469:D469"/>
    <mergeCell ref="E469:F469"/>
    <mergeCell ref="A470:B470"/>
    <mergeCell ref="C470:D470"/>
    <mergeCell ref="E470:F470"/>
    <mergeCell ref="A471:B471"/>
    <mergeCell ref="A472:B472"/>
    <mergeCell ref="A458:J458"/>
    <mergeCell ref="A459:B459"/>
    <mergeCell ref="C459:D459"/>
    <mergeCell ref="E459:F459"/>
    <mergeCell ref="I459:J464"/>
    <mergeCell ref="A460:B460"/>
    <mergeCell ref="C460:D460"/>
    <mergeCell ref="E460:F460"/>
    <mergeCell ref="A461:B461"/>
    <mergeCell ref="C461:D461"/>
    <mergeCell ref="E461:F461"/>
    <mergeCell ref="A462:B462"/>
    <mergeCell ref="C462:D462"/>
    <mergeCell ref="E462:F462"/>
    <mergeCell ref="A463:B463"/>
    <mergeCell ref="C463:D463"/>
    <mergeCell ref="E463:F463"/>
    <mergeCell ref="A464:B464"/>
    <mergeCell ref="C464:H464"/>
    <mergeCell ref="A451:J451"/>
    <mergeCell ref="A452:B452"/>
    <mergeCell ref="C452:D452"/>
    <mergeCell ref="E452:F452"/>
    <mergeCell ref="I452:J457"/>
    <mergeCell ref="A453:B453"/>
    <mergeCell ref="C453:D453"/>
    <mergeCell ref="E453:F453"/>
    <mergeCell ref="A454:B454"/>
    <mergeCell ref="C454:D454"/>
    <mergeCell ref="E454:F454"/>
    <mergeCell ref="A455:B455"/>
    <mergeCell ref="C455:D455"/>
    <mergeCell ref="E455:F455"/>
    <mergeCell ref="A456:B456"/>
    <mergeCell ref="C456:D456"/>
    <mergeCell ref="E456:F456"/>
    <mergeCell ref="A457:B457"/>
    <mergeCell ref="C457:D457"/>
    <mergeCell ref="E457:F457"/>
    <mergeCell ref="A450:B450"/>
    <mergeCell ref="A426:J426"/>
    <mergeCell ref="A427:J427"/>
    <mergeCell ref="A428:J428"/>
    <mergeCell ref="A429:J429"/>
    <mergeCell ref="A430:J430"/>
    <mergeCell ref="A431:J431"/>
    <mergeCell ref="A432:B432"/>
    <mergeCell ref="C432:D432"/>
    <mergeCell ref="E432:F432"/>
    <mergeCell ref="I432:J436"/>
    <mergeCell ref="A433:B433"/>
    <mergeCell ref="C433:D433"/>
    <mergeCell ref="E433:F433"/>
    <mergeCell ref="A434:B434"/>
    <mergeCell ref="C434:D434"/>
    <mergeCell ref="E434:F434"/>
    <mergeCell ref="A436:B436"/>
    <mergeCell ref="C436:D436"/>
    <mergeCell ref="I438:J443"/>
    <mergeCell ref="A439:B439"/>
    <mergeCell ref="C439:D439"/>
    <mergeCell ref="E439:F439"/>
    <mergeCell ref="A440:B440"/>
    <mergeCell ref="C440:D440"/>
    <mergeCell ref="E440:F440"/>
    <mergeCell ref="A441:B441"/>
    <mergeCell ref="A443:B443"/>
    <mergeCell ref="C443:D443"/>
    <mergeCell ref="E443:F443"/>
    <mergeCell ref="C441:D441"/>
    <mergeCell ref="E441:F441"/>
    <mergeCell ref="A398:J398"/>
    <mergeCell ref="A399:B399"/>
    <mergeCell ref="C399:D399"/>
    <mergeCell ref="E399:F399"/>
    <mergeCell ref="I399:J404"/>
    <mergeCell ref="A400:B400"/>
    <mergeCell ref="C400:D400"/>
    <mergeCell ref="E400:F400"/>
    <mergeCell ref="A401:B401"/>
    <mergeCell ref="C401:D401"/>
    <mergeCell ref="E401:F401"/>
    <mergeCell ref="A402:B402"/>
    <mergeCell ref="C402:D402"/>
    <mergeCell ref="E402:F402"/>
    <mergeCell ref="A403:B403"/>
    <mergeCell ref="C403:H404"/>
    <mergeCell ref="A404:B404"/>
    <mergeCell ref="A391:J391"/>
    <mergeCell ref="A392:B392"/>
    <mergeCell ref="C392:D392"/>
    <mergeCell ref="E392:F392"/>
    <mergeCell ref="I392:J397"/>
    <mergeCell ref="A393:B393"/>
    <mergeCell ref="C393:D393"/>
    <mergeCell ref="E393:F393"/>
    <mergeCell ref="A394:B394"/>
    <mergeCell ref="C394:D394"/>
    <mergeCell ref="E394:F394"/>
    <mergeCell ref="A395:B395"/>
    <mergeCell ref="C395:D395"/>
    <mergeCell ref="E395:F395"/>
    <mergeCell ref="A396:B396"/>
    <mergeCell ref="C396:H397"/>
    <mergeCell ref="A397:B397"/>
    <mergeCell ref="A377:J377"/>
    <mergeCell ref="A378:B378"/>
    <mergeCell ref="C378:D378"/>
    <mergeCell ref="E378:F378"/>
    <mergeCell ref="I378:J383"/>
    <mergeCell ref="A379:B379"/>
    <mergeCell ref="C379:D379"/>
    <mergeCell ref="E379:F379"/>
    <mergeCell ref="A380:B380"/>
    <mergeCell ref="C380:D380"/>
    <mergeCell ref="E380:F380"/>
    <mergeCell ref="A381:B381"/>
    <mergeCell ref="C381:D381"/>
    <mergeCell ref="E381:F381"/>
    <mergeCell ref="A382:B382"/>
    <mergeCell ref="C382:D382"/>
    <mergeCell ref="E382:F382"/>
    <mergeCell ref="A383:B383"/>
    <mergeCell ref="C383:D383"/>
    <mergeCell ref="E383:F383"/>
    <mergeCell ref="A369:J369"/>
    <mergeCell ref="A370:J370"/>
    <mergeCell ref="A371:B371"/>
    <mergeCell ref="C371:D371"/>
    <mergeCell ref="E371:F371"/>
    <mergeCell ref="I371:J376"/>
    <mergeCell ref="A372:B372"/>
    <mergeCell ref="C372:D372"/>
    <mergeCell ref="E372:F372"/>
    <mergeCell ref="A373:B373"/>
    <mergeCell ref="C373:D373"/>
    <mergeCell ref="E373:F373"/>
    <mergeCell ref="A374:B374"/>
    <mergeCell ref="C374:D374"/>
    <mergeCell ref="E374:F374"/>
    <mergeCell ref="A375:B375"/>
    <mergeCell ref="C375:H376"/>
    <mergeCell ref="A376:B376"/>
    <mergeCell ref="C361:D361"/>
    <mergeCell ref="E361:F361"/>
    <mergeCell ref="A362:J362"/>
    <mergeCell ref="A363:B363"/>
    <mergeCell ref="C363:D363"/>
    <mergeCell ref="E363:F363"/>
    <mergeCell ref="I363:J368"/>
    <mergeCell ref="A364:B364"/>
    <mergeCell ref="C364:D364"/>
    <mergeCell ref="E364:F364"/>
    <mergeCell ref="A365:B365"/>
    <mergeCell ref="C365:D365"/>
    <mergeCell ref="E365:F365"/>
    <mergeCell ref="A366:B366"/>
    <mergeCell ref="C366:D366"/>
    <mergeCell ref="E366:F366"/>
    <mergeCell ref="A367:B367"/>
    <mergeCell ref="C367:H368"/>
    <mergeCell ref="A368:B368"/>
    <mergeCell ref="A338:J338"/>
    <mergeCell ref="A339:B339"/>
    <mergeCell ref="C339:D339"/>
    <mergeCell ref="E339:F339"/>
    <mergeCell ref="I339:J341"/>
    <mergeCell ref="A340:B340"/>
    <mergeCell ref="C340:D340"/>
    <mergeCell ref="E340:F340"/>
    <mergeCell ref="A341:B341"/>
    <mergeCell ref="C341:D341"/>
    <mergeCell ref="E341:F341"/>
    <mergeCell ref="A342:J342"/>
    <mergeCell ref="C350:D350"/>
    <mergeCell ref="E350:F350"/>
    <mergeCell ref="A355:J355"/>
    <mergeCell ref="A356:B356"/>
    <mergeCell ref="C356:D356"/>
    <mergeCell ref="E356:F356"/>
    <mergeCell ref="I356:J361"/>
    <mergeCell ref="A357:B357"/>
    <mergeCell ref="C357:D357"/>
    <mergeCell ref="E357:F357"/>
    <mergeCell ref="A358:B358"/>
    <mergeCell ref="C358:D358"/>
    <mergeCell ref="E358:F358"/>
    <mergeCell ref="A359:B359"/>
    <mergeCell ref="C359:D359"/>
    <mergeCell ref="E359:F359"/>
    <mergeCell ref="A360:B360"/>
    <mergeCell ref="C360:D360"/>
    <mergeCell ref="E360:F360"/>
    <mergeCell ref="A361:B361"/>
    <mergeCell ref="A336:B336"/>
    <mergeCell ref="C336:D336"/>
    <mergeCell ref="E336:F336"/>
    <mergeCell ref="I336:J337"/>
    <mergeCell ref="A337:B337"/>
    <mergeCell ref="C337:D337"/>
    <mergeCell ref="E337:F337"/>
    <mergeCell ref="A235:J235"/>
    <mergeCell ref="A238:J238"/>
    <mergeCell ref="A237:J237"/>
    <mergeCell ref="A240:B240"/>
    <mergeCell ref="C240:D240"/>
    <mergeCell ref="E240:F240"/>
    <mergeCell ref="A241:B241"/>
    <mergeCell ref="C241:D241"/>
    <mergeCell ref="E241:F241"/>
    <mergeCell ref="A244:B244"/>
    <mergeCell ref="A236:J236"/>
    <mergeCell ref="A239:J239"/>
    <mergeCell ref="A242:B242"/>
    <mergeCell ref="A243:B243"/>
    <mergeCell ref="A245:B245"/>
    <mergeCell ref="C245:D245"/>
    <mergeCell ref="E245:F245"/>
    <mergeCell ref="C242:H244"/>
    <mergeCell ref="A260:J260"/>
    <mergeCell ref="A261:B261"/>
    <mergeCell ref="C261:D261"/>
    <mergeCell ref="E261:F261"/>
    <mergeCell ref="I261:J266"/>
    <mergeCell ref="A262:B262"/>
    <mergeCell ref="C262:D262"/>
    <mergeCell ref="A207:J207"/>
    <mergeCell ref="A208:B208"/>
    <mergeCell ref="C208:D208"/>
    <mergeCell ref="E208:F208"/>
    <mergeCell ref="I208:J213"/>
    <mergeCell ref="A209:B209"/>
    <mergeCell ref="C209:D209"/>
    <mergeCell ref="E209:F209"/>
    <mergeCell ref="A210:B210"/>
    <mergeCell ref="C210:D210"/>
    <mergeCell ref="E210:F210"/>
    <mergeCell ref="A211:B211"/>
    <mergeCell ref="C211:D211"/>
    <mergeCell ref="E211:F211"/>
    <mergeCell ref="A212:B212"/>
    <mergeCell ref="C212:H213"/>
    <mergeCell ref="A213:B213"/>
    <mergeCell ref="A214:J214"/>
    <mergeCell ref="A215:B215"/>
    <mergeCell ref="C215:D215"/>
    <mergeCell ref="E215:F215"/>
    <mergeCell ref="I215:J220"/>
    <mergeCell ref="A216:B216"/>
    <mergeCell ref="C216:D216"/>
    <mergeCell ref="E216:F216"/>
    <mergeCell ref="A217:B217"/>
    <mergeCell ref="C217:D217"/>
    <mergeCell ref="E217:F217"/>
    <mergeCell ref="A218:B218"/>
    <mergeCell ref="C218:D218"/>
    <mergeCell ref="E218:F218"/>
    <mergeCell ref="A219:B219"/>
    <mergeCell ref="C219:H220"/>
    <mergeCell ref="A220:B220"/>
    <mergeCell ref="A193:J193"/>
    <mergeCell ref="A194:B194"/>
    <mergeCell ref="C194:D194"/>
    <mergeCell ref="E194:F194"/>
    <mergeCell ref="I194:J199"/>
    <mergeCell ref="A195:B195"/>
    <mergeCell ref="C195:D195"/>
    <mergeCell ref="E195:F195"/>
    <mergeCell ref="A196:B196"/>
    <mergeCell ref="C196:D196"/>
    <mergeCell ref="E196:F196"/>
    <mergeCell ref="A197:B197"/>
    <mergeCell ref="C197:D197"/>
    <mergeCell ref="E197:F197"/>
    <mergeCell ref="A198:B198"/>
    <mergeCell ref="C198:D198"/>
    <mergeCell ref="E198:F198"/>
    <mergeCell ref="A199:B199"/>
    <mergeCell ref="C199:D199"/>
    <mergeCell ref="E199:F199"/>
    <mergeCell ref="A186:J186"/>
    <mergeCell ref="A187:B187"/>
    <mergeCell ref="C187:D187"/>
    <mergeCell ref="E187:F187"/>
    <mergeCell ref="I187:J192"/>
    <mergeCell ref="A188:B188"/>
    <mergeCell ref="C188:D188"/>
    <mergeCell ref="E188:F188"/>
    <mergeCell ref="A189:B189"/>
    <mergeCell ref="C189:D189"/>
    <mergeCell ref="E189:F189"/>
    <mergeCell ref="A190:B190"/>
    <mergeCell ref="C190:D190"/>
    <mergeCell ref="E190:F190"/>
    <mergeCell ref="A191:B191"/>
    <mergeCell ref="C191:H192"/>
    <mergeCell ref="A192:B192"/>
    <mergeCell ref="C176:H177"/>
    <mergeCell ref="A177:B177"/>
    <mergeCell ref="A179:J179"/>
    <mergeCell ref="A180:B180"/>
    <mergeCell ref="C180:D180"/>
    <mergeCell ref="E180:F180"/>
    <mergeCell ref="I180:J185"/>
    <mergeCell ref="A181:B181"/>
    <mergeCell ref="C181:D181"/>
    <mergeCell ref="E181:F181"/>
    <mergeCell ref="A182:B182"/>
    <mergeCell ref="C182:D182"/>
    <mergeCell ref="E182:F182"/>
    <mergeCell ref="A183:B183"/>
    <mergeCell ref="C183:D183"/>
    <mergeCell ref="E183:F183"/>
    <mergeCell ref="A184:B184"/>
    <mergeCell ref="C184:H185"/>
    <mergeCell ref="A185:B185"/>
    <mergeCell ref="A164:J164"/>
    <mergeCell ref="A165:B165"/>
    <mergeCell ref="I165:J170"/>
    <mergeCell ref="A166:B166"/>
    <mergeCell ref="A167:B167"/>
    <mergeCell ref="C167:D167"/>
    <mergeCell ref="E167:F167"/>
    <mergeCell ref="A168:B168"/>
    <mergeCell ref="C168:D168"/>
    <mergeCell ref="E168:F168"/>
    <mergeCell ref="A169:B169"/>
    <mergeCell ref="C169:D169"/>
    <mergeCell ref="E169:F169"/>
    <mergeCell ref="A170:B170"/>
    <mergeCell ref="C170:D170"/>
    <mergeCell ref="E170:F170"/>
    <mergeCell ref="A178:J178"/>
    <mergeCell ref="A171:J171"/>
    <mergeCell ref="A172:B172"/>
    <mergeCell ref="C172:D172"/>
    <mergeCell ref="E172:F172"/>
    <mergeCell ref="I172:J177"/>
    <mergeCell ref="A173:B173"/>
    <mergeCell ref="C173:D173"/>
    <mergeCell ref="E173:F173"/>
    <mergeCell ref="A174:B174"/>
    <mergeCell ref="C174:D174"/>
    <mergeCell ref="E174:F174"/>
    <mergeCell ref="A175:B175"/>
    <mergeCell ref="C175:D175"/>
    <mergeCell ref="E175:F175"/>
    <mergeCell ref="A176:B176"/>
    <mergeCell ref="A163:B163"/>
    <mergeCell ref="A141:J141"/>
    <mergeCell ref="A142:J142"/>
    <mergeCell ref="A143:J143"/>
    <mergeCell ref="A144:J144"/>
    <mergeCell ref="A145:J145"/>
    <mergeCell ref="A147:B147"/>
    <mergeCell ref="C147:D147"/>
    <mergeCell ref="E147:F147"/>
    <mergeCell ref="A148:B148"/>
    <mergeCell ref="C148:D148"/>
    <mergeCell ref="E148:F148"/>
    <mergeCell ref="A149:B149"/>
    <mergeCell ref="C149:D149"/>
    <mergeCell ref="E149:F149"/>
    <mergeCell ref="A150:B150"/>
    <mergeCell ref="C150:D150"/>
    <mergeCell ref="E150:F150"/>
    <mergeCell ref="A22:E22"/>
    <mergeCell ref="F22:I22"/>
    <mergeCell ref="A130:J130"/>
    <mergeCell ref="A131:C131"/>
    <mergeCell ref="D131:E131"/>
    <mergeCell ref="F131:G131"/>
    <mergeCell ref="H131:J131"/>
    <mergeCell ref="A132:C132"/>
    <mergeCell ref="D132:E132"/>
    <mergeCell ref="F132:G132"/>
    <mergeCell ref="H132:J132"/>
    <mergeCell ref="A528:J528"/>
    <mergeCell ref="A523:J523"/>
    <mergeCell ref="A524:J524"/>
    <mergeCell ref="A525:J525"/>
    <mergeCell ref="A526:J526"/>
    <mergeCell ref="A527:J527"/>
    <mergeCell ref="A118:J118"/>
    <mergeCell ref="A136:C136"/>
    <mergeCell ref="D136:E136"/>
    <mergeCell ref="F136:G136"/>
    <mergeCell ref="H136:J136"/>
    <mergeCell ref="A137:J137"/>
    <mergeCell ref="A138:J138"/>
    <mergeCell ref="A157:J157"/>
    <mergeCell ref="A158:B158"/>
    <mergeCell ref="I158:J163"/>
    <mergeCell ref="A159:B159"/>
    <mergeCell ref="A160:B160"/>
    <mergeCell ref="C160:D160"/>
    <mergeCell ref="E160:F160"/>
    <mergeCell ref="A161:B161"/>
    <mergeCell ref="F12:J12"/>
    <mergeCell ref="A13:E13"/>
    <mergeCell ref="F13:J13"/>
    <mergeCell ref="A14:B14"/>
    <mergeCell ref="C14:J14"/>
    <mergeCell ref="H18:J18"/>
    <mergeCell ref="A19:E20"/>
    <mergeCell ref="F19:J20"/>
    <mergeCell ref="A11:E11"/>
    <mergeCell ref="F11:J11"/>
    <mergeCell ref="A21:E21"/>
    <mergeCell ref="F21:J21"/>
    <mergeCell ref="C15:E15"/>
    <mergeCell ref="F15:G15"/>
    <mergeCell ref="H15:J15"/>
    <mergeCell ref="A16:B16"/>
    <mergeCell ref="C16:E16"/>
    <mergeCell ref="F16:G16"/>
    <mergeCell ref="H16:J16"/>
    <mergeCell ref="A17:B17"/>
    <mergeCell ref="C17:E17"/>
    <mergeCell ref="F17:G17"/>
    <mergeCell ref="H17:J17"/>
    <mergeCell ref="A15:B15"/>
    <mergeCell ref="A12:E12"/>
    <mergeCell ref="A9:E9"/>
    <mergeCell ref="F9:J9"/>
    <mergeCell ref="A1:J1"/>
    <mergeCell ref="A2:J2"/>
    <mergeCell ref="A3:E3"/>
    <mergeCell ref="F3:J3"/>
    <mergeCell ref="A4:E4"/>
    <mergeCell ref="F4:I4"/>
    <mergeCell ref="A8:E8"/>
    <mergeCell ref="F8:J8"/>
    <mergeCell ref="A10:E10"/>
    <mergeCell ref="F10:J10"/>
    <mergeCell ref="A24:E24"/>
    <mergeCell ref="F24:I24"/>
    <mergeCell ref="A25:E25"/>
    <mergeCell ref="F25:J25"/>
    <mergeCell ref="A26:B26"/>
    <mergeCell ref="C26:D26"/>
    <mergeCell ref="E26:F26"/>
    <mergeCell ref="G26:H26"/>
    <mergeCell ref="I26:J26"/>
    <mergeCell ref="A23:E23"/>
    <mergeCell ref="F23:J23"/>
    <mergeCell ref="A18:B18"/>
    <mergeCell ref="C18:E18"/>
    <mergeCell ref="F18:G18"/>
    <mergeCell ref="A5:E5"/>
    <mergeCell ref="F5:J5"/>
    <mergeCell ref="A6:E6"/>
    <mergeCell ref="F6:J6"/>
    <mergeCell ref="A7:E7"/>
    <mergeCell ref="F7:J7"/>
    <mergeCell ref="A27:B27"/>
    <mergeCell ref="C27:D27"/>
    <mergeCell ref="E27:F27"/>
    <mergeCell ref="G27:H27"/>
    <mergeCell ref="I27:J27"/>
    <mergeCell ref="A28:B28"/>
    <mergeCell ref="C28:D28"/>
    <mergeCell ref="E28:F28"/>
    <mergeCell ref="G28:H28"/>
    <mergeCell ref="I28:J28"/>
    <mergeCell ref="A33:J33"/>
    <mergeCell ref="A34:E34"/>
    <mergeCell ref="F34:I34"/>
    <mergeCell ref="A35:E35"/>
    <mergeCell ref="F35:J35"/>
    <mergeCell ref="A36:J36"/>
    <mergeCell ref="A29:J29"/>
    <mergeCell ref="A30:J30"/>
    <mergeCell ref="A31:B31"/>
    <mergeCell ref="C31:J31"/>
    <mergeCell ref="A32:B32"/>
    <mergeCell ref="C32:J32"/>
    <mergeCell ref="H134:J134"/>
    <mergeCell ref="A135:C135"/>
    <mergeCell ref="D135:E135"/>
    <mergeCell ref="F135:G135"/>
    <mergeCell ref="H135:J135"/>
    <mergeCell ref="A40:E40"/>
    <mergeCell ref="F40:J40"/>
    <mergeCell ref="A41:E41"/>
    <mergeCell ref="F41:J41"/>
    <mergeCell ref="A42:E42"/>
    <mergeCell ref="F42:J42"/>
    <mergeCell ref="A37:E37"/>
    <mergeCell ref="F37:J37"/>
    <mergeCell ref="A38:E38"/>
    <mergeCell ref="F38:J38"/>
    <mergeCell ref="A39:E39"/>
    <mergeCell ref="F39:J39"/>
    <mergeCell ref="A46:B46"/>
    <mergeCell ref="C46:F46"/>
    <mergeCell ref="C47:F47"/>
    <mergeCell ref="H47:J47"/>
    <mergeCell ref="A43:J43"/>
    <mergeCell ref="A44:B44"/>
    <mergeCell ref="C44:F44"/>
    <mergeCell ref="H44:J44"/>
    <mergeCell ref="A45:B45"/>
    <mergeCell ref="C45:F45"/>
    <mergeCell ref="H45:J45"/>
    <mergeCell ref="I46:J46"/>
    <mergeCell ref="A73:B73"/>
    <mergeCell ref="D73:E73"/>
    <mergeCell ref="A85:B85"/>
    <mergeCell ref="D52:J52"/>
    <mergeCell ref="A52:C52"/>
    <mergeCell ref="D53:J53"/>
    <mergeCell ref="D54:J54"/>
    <mergeCell ref="D55:J55"/>
    <mergeCell ref="A53:C55"/>
    <mergeCell ref="A47:B48"/>
    <mergeCell ref="C48:J48"/>
    <mergeCell ref="D63:E63"/>
    <mergeCell ref="I63:J63"/>
    <mergeCell ref="A529:J531"/>
    <mergeCell ref="A522:J522"/>
    <mergeCell ref="A58:C58"/>
    <mergeCell ref="D58:J58"/>
    <mergeCell ref="A49:C49"/>
    <mergeCell ref="D49:E49"/>
    <mergeCell ref="F49:G49"/>
    <mergeCell ref="H49:J49"/>
    <mergeCell ref="A50:J50"/>
    <mergeCell ref="A51:C51"/>
    <mergeCell ref="D51:E51"/>
    <mergeCell ref="F51:H51"/>
    <mergeCell ref="I51:J51"/>
    <mergeCell ref="A62:B62"/>
    <mergeCell ref="C62:J62"/>
    <mergeCell ref="A133:C133"/>
    <mergeCell ref="D133:E133"/>
    <mergeCell ref="F133:G133"/>
    <mergeCell ref="H133:J133"/>
    <mergeCell ref="A134:C134"/>
    <mergeCell ref="D134:E134"/>
    <mergeCell ref="F134:G134"/>
    <mergeCell ref="A59:C59"/>
    <mergeCell ref="D59:I59"/>
    <mergeCell ref="A139:B140"/>
    <mergeCell ref="C139:D140"/>
    <mergeCell ref="E139:F140"/>
    <mergeCell ref="G139:G140"/>
    <mergeCell ref="I139:J140"/>
    <mergeCell ref="I146:J150"/>
    <mergeCell ref="A146:B146"/>
    <mergeCell ref="C146:H146"/>
    <mergeCell ref="C158:D158"/>
    <mergeCell ref="E158:F158"/>
    <mergeCell ref="C159:D159"/>
    <mergeCell ref="E159:F159"/>
    <mergeCell ref="C165:D165"/>
    <mergeCell ref="E165:F165"/>
    <mergeCell ref="C166:D166"/>
    <mergeCell ref="E166:F166"/>
    <mergeCell ref="A151:J151"/>
    <mergeCell ref="A152:B152"/>
    <mergeCell ref="C152:H152"/>
    <mergeCell ref="I152:J156"/>
    <mergeCell ref="A153:B153"/>
    <mergeCell ref="C153:D153"/>
    <mergeCell ref="E153:F153"/>
    <mergeCell ref="A154:B154"/>
    <mergeCell ref="C154:D154"/>
    <mergeCell ref="E154:F154"/>
    <mergeCell ref="A155:B155"/>
    <mergeCell ref="C155:D155"/>
    <mergeCell ref="E155:F155"/>
    <mergeCell ref="A156:B156"/>
    <mergeCell ref="A228:J228"/>
    <mergeCell ref="A229:B229"/>
    <mergeCell ref="C229:D229"/>
    <mergeCell ref="E229:F229"/>
    <mergeCell ref="I229:J234"/>
    <mergeCell ref="A230:B230"/>
    <mergeCell ref="C156:D156"/>
    <mergeCell ref="E156:F156"/>
    <mergeCell ref="A200:J200"/>
    <mergeCell ref="A201:B201"/>
    <mergeCell ref="C201:D201"/>
    <mergeCell ref="E201:F201"/>
    <mergeCell ref="I201:J206"/>
    <mergeCell ref="A202:B202"/>
    <mergeCell ref="C202:D202"/>
    <mergeCell ref="E202:F202"/>
    <mergeCell ref="A203:B203"/>
    <mergeCell ref="C203:D203"/>
    <mergeCell ref="E203:F203"/>
    <mergeCell ref="A204:B204"/>
    <mergeCell ref="C204:D204"/>
    <mergeCell ref="E204:F204"/>
    <mergeCell ref="A205:B205"/>
    <mergeCell ref="C205:D205"/>
    <mergeCell ref="E205:F205"/>
    <mergeCell ref="A206:B206"/>
    <mergeCell ref="C206:D206"/>
    <mergeCell ref="E206:F206"/>
    <mergeCell ref="C161:D161"/>
    <mergeCell ref="E161:F161"/>
    <mergeCell ref="A162:B162"/>
    <mergeCell ref="C162:H163"/>
    <mergeCell ref="A221:J221"/>
    <mergeCell ref="A222:B222"/>
    <mergeCell ref="C222:D222"/>
    <mergeCell ref="E222:F222"/>
    <mergeCell ref="I222:J227"/>
    <mergeCell ref="A223:B223"/>
    <mergeCell ref="C223:D223"/>
    <mergeCell ref="E223:F223"/>
    <mergeCell ref="A224:B224"/>
    <mergeCell ref="C224:D224"/>
    <mergeCell ref="E224:F224"/>
    <mergeCell ref="A225:B225"/>
    <mergeCell ref="C225:D225"/>
    <mergeCell ref="E225:F225"/>
    <mergeCell ref="A226:B226"/>
    <mergeCell ref="C226:D226"/>
    <mergeCell ref="E226:F226"/>
    <mergeCell ref="A227:B227"/>
    <mergeCell ref="C227:D227"/>
    <mergeCell ref="E227:F227"/>
    <mergeCell ref="K289:T289"/>
    <mergeCell ref="A317:J317"/>
    <mergeCell ref="A318:B318"/>
    <mergeCell ref="C318:D318"/>
    <mergeCell ref="E318:F318"/>
    <mergeCell ref="I318:J323"/>
    <mergeCell ref="A319:B319"/>
    <mergeCell ref="C319:D319"/>
    <mergeCell ref="E319:F319"/>
    <mergeCell ref="A320:B320"/>
    <mergeCell ref="C320:D320"/>
    <mergeCell ref="E320:F320"/>
    <mergeCell ref="A321:B321"/>
    <mergeCell ref="C321:D321"/>
    <mergeCell ref="E321:F321"/>
    <mergeCell ref="A322:B322"/>
    <mergeCell ref="C322:D322"/>
    <mergeCell ref="E322:F322"/>
    <mergeCell ref="A323:B323"/>
    <mergeCell ref="C323:D323"/>
    <mergeCell ref="E323:F323"/>
    <mergeCell ref="A301:B301"/>
    <mergeCell ref="C301:D301"/>
    <mergeCell ref="E301:F301"/>
    <mergeCell ref="A302:B302"/>
    <mergeCell ref="C302:D302"/>
    <mergeCell ref="E302:F302"/>
    <mergeCell ref="A303:J303"/>
    <mergeCell ref="A304:B304"/>
    <mergeCell ref="C304:D304"/>
    <mergeCell ref="E304:F304"/>
    <mergeCell ref="I304:J309"/>
    <mergeCell ref="A442:B442"/>
    <mergeCell ref="C442:D442"/>
    <mergeCell ref="E442:F442"/>
    <mergeCell ref="C230:D230"/>
    <mergeCell ref="E230:F230"/>
    <mergeCell ref="A231:B231"/>
    <mergeCell ref="C231:D231"/>
    <mergeCell ref="E231:F231"/>
    <mergeCell ref="A232:B232"/>
    <mergeCell ref="C232:D232"/>
    <mergeCell ref="E232:F232"/>
    <mergeCell ref="A233:B233"/>
    <mergeCell ref="A234:B234"/>
    <mergeCell ref="C233:H234"/>
    <mergeCell ref="A331:J331"/>
    <mergeCell ref="A332:J332"/>
    <mergeCell ref="A333:J333"/>
    <mergeCell ref="A334:J334"/>
    <mergeCell ref="A335:J335"/>
    <mergeCell ref="C351:D351"/>
    <mergeCell ref="E351:F351"/>
    <mergeCell ref="A343:B343"/>
    <mergeCell ref="C343:D343"/>
    <mergeCell ref="E343:F343"/>
    <mergeCell ref="I343:J348"/>
    <mergeCell ref="A344:B344"/>
    <mergeCell ref="C344:D344"/>
    <mergeCell ref="E344:F344"/>
    <mergeCell ref="A345:B345"/>
    <mergeCell ref="C345:D345"/>
    <mergeCell ref="E345:F345"/>
    <mergeCell ref="A346:B346"/>
    <mergeCell ref="C346:D346"/>
    <mergeCell ref="E346:F346"/>
    <mergeCell ref="A347:B347"/>
    <mergeCell ref="C347:D347"/>
    <mergeCell ref="E347:F347"/>
    <mergeCell ref="A348:B348"/>
    <mergeCell ref="C348:D348"/>
    <mergeCell ref="E348:F348"/>
    <mergeCell ref="A349:J349"/>
    <mergeCell ref="A350:B350"/>
    <mergeCell ref="I350:J354"/>
    <mergeCell ref="A351:B351"/>
    <mergeCell ref="A352:B352"/>
    <mergeCell ref="C352:D352"/>
    <mergeCell ref="E352:F352"/>
    <mergeCell ref="A353:B353"/>
    <mergeCell ref="C353:D353"/>
    <mergeCell ref="E353:F353"/>
    <mergeCell ref="A354:B354"/>
    <mergeCell ref="C354:H354"/>
    <mergeCell ref="A384:J384"/>
    <mergeCell ref="A385:B385"/>
    <mergeCell ref="C385:D385"/>
    <mergeCell ref="E385:F385"/>
    <mergeCell ref="I385:J390"/>
    <mergeCell ref="A386:B386"/>
    <mergeCell ref="C386:D386"/>
    <mergeCell ref="E386:F386"/>
    <mergeCell ref="A387:B387"/>
    <mergeCell ref="C387:D387"/>
    <mergeCell ref="E387:F387"/>
    <mergeCell ref="A388:B388"/>
    <mergeCell ref="C388:D388"/>
    <mergeCell ref="E388:F388"/>
    <mergeCell ref="A389:B389"/>
    <mergeCell ref="C389:D389"/>
    <mergeCell ref="E389:F389"/>
    <mergeCell ref="A390:B390"/>
    <mergeCell ref="C390:D390"/>
    <mergeCell ref="E390:F390"/>
    <mergeCell ref="C500:H500"/>
    <mergeCell ref="A405:J405"/>
    <mergeCell ref="A406:B406"/>
    <mergeCell ref="C406:D406"/>
    <mergeCell ref="E406:F406"/>
    <mergeCell ref="I406:J411"/>
    <mergeCell ref="A407:B407"/>
    <mergeCell ref="C407:D407"/>
    <mergeCell ref="E407:F407"/>
    <mergeCell ref="A408:B408"/>
    <mergeCell ref="C408:D408"/>
    <mergeCell ref="E408:F408"/>
    <mergeCell ref="A409:B409"/>
    <mergeCell ref="C409:D409"/>
    <mergeCell ref="E409:F409"/>
    <mergeCell ref="A410:B410"/>
    <mergeCell ref="C410:D410"/>
    <mergeCell ref="C447:D447"/>
    <mergeCell ref="E447:F447"/>
    <mergeCell ref="C448:D448"/>
    <mergeCell ref="E448:F448"/>
    <mergeCell ref="C450:H450"/>
    <mergeCell ref="C449:D449"/>
    <mergeCell ref="E449:F449"/>
    <mergeCell ref="C471:H471"/>
    <mergeCell ref="C472:H472"/>
    <mergeCell ref="E410:F410"/>
    <mergeCell ref="A411:B411"/>
    <mergeCell ref="C411:D411"/>
    <mergeCell ref="A437:J437"/>
    <mergeCell ref="A438:B438"/>
    <mergeCell ref="C438:D438"/>
    <mergeCell ref="C415:D415"/>
    <mergeCell ref="E415:F415"/>
    <mergeCell ref="C482:D482"/>
    <mergeCell ref="E482:F482"/>
    <mergeCell ref="A483:B483"/>
    <mergeCell ref="C483:D483"/>
    <mergeCell ref="E483:F483"/>
    <mergeCell ref="A484:B484"/>
    <mergeCell ref="C484:D484"/>
    <mergeCell ref="E484:F484"/>
    <mergeCell ref="A485:B485"/>
    <mergeCell ref="C485:D485"/>
    <mergeCell ref="E485:F485"/>
    <mergeCell ref="A486:B486"/>
    <mergeCell ref="C486:D486"/>
    <mergeCell ref="E486:F486"/>
    <mergeCell ref="C499:H499"/>
    <mergeCell ref="E438:F438"/>
    <mergeCell ref="E436:F436"/>
    <mergeCell ref="A435:B435"/>
    <mergeCell ref="C435:H435"/>
    <mergeCell ref="A444:J444"/>
    <mergeCell ref="A445:B445"/>
    <mergeCell ref="C445:D445"/>
    <mergeCell ref="E445:F445"/>
    <mergeCell ref="I445:J450"/>
    <mergeCell ref="A446:B446"/>
    <mergeCell ref="C446:D446"/>
    <mergeCell ref="E446:F446"/>
    <mergeCell ref="A447:B447"/>
    <mergeCell ref="A448:B448"/>
    <mergeCell ref="A449:B449"/>
    <mergeCell ref="A514:B514"/>
    <mergeCell ref="C514:H514"/>
    <mergeCell ref="E411:F411"/>
    <mergeCell ref="A501:J501"/>
    <mergeCell ref="A502:B502"/>
    <mergeCell ref="C502:D502"/>
    <mergeCell ref="E502:F502"/>
    <mergeCell ref="I502:J507"/>
    <mergeCell ref="A503:B503"/>
    <mergeCell ref="C503:D503"/>
    <mergeCell ref="E503:F503"/>
    <mergeCell ref="A504:B504"/>
    <mergeCell ref="C504:D504"/>
    <mergeCell ref="E504:F504"/>
    <mergeCell ref="A505:B505"/>
    <mergeCell ref="C505:D505"/>
    <mergeCell ref="E505:F505"/>
    <mergeCell ref="A506:B506"/>
    <mergeCell ref="C506:D506"/>
    <mergeCell ref="E506:F506"/>
    <mergeCell ref="A507:B507"/>
    <mergeCell ref="C507:D507"/>
    <mergeCell ref="E507:F507"/>
    <mergeCell ref="A412:J412"/>
    <mergeCell ref="A413:B413"/>
    <mergeCell ref="C413:D413"/>
    <mergeCell ref="E413:F413"/>
    <mergeCell ref="I413:J418"/>
    <mergeCell ref="A414:B414"/>
    <mergeCell ref="C414:D414"/>
    <mergeCell ref="E414:F414"/>
    <mergeCell ref="A415:B415"/>
    <mergeCell ref="I420:J425"/>
    <mergeCell ref="A421:B421"/>
    <mergeCell ref="C421:D421"/>
    <mergeCell ref="E421:F421"/>
    <mergeCell ref="A422:B422"/>
    <mergeCell ref="C422:D422"/>
    <mergeCell ref="E422:F422"/>
    <mergeCell ref="A423:B423"/>
    <mergeCell ref="C423:D423"/>
    <mergeCell ref="E423:F423"/>
    <mergeCell ref="A424:B424"/>
    <mergeCell ref="A425:B425"/>
    <mergeCell ref="C424:H424"/>
    <mergeCell ref="C425:D425"/>
    <mergeCell ref="E425:F425"/>
    <mergeCell ref="A508:J508"/>
    <mergeCell ref="A509:B509"/>
    <mergeCell ref="C509:D509"/>
    <mergeCell ref="E509:F509"/>
    <mergeCell ref="I509:J514"/>
    <mergeCell ref="A510:B510"/>
    <mergeCell ref="C510:D510"/>
    <mergeCell ref="E510:F510"/>
    <mergeCell ref="A511:B511"/>
    <mergeCell ref="C511:D511"/>
    <mergeCell ref="E511:F511"/>
    <mergeCell ref="A512:B512"/>
    <mergeCell ref="C512:D512"/>
    <mergeCell ref="E512:F512"/>
    <mergeCell ref="A513:B513"/>
    <mergeCell ref="C513:D513"/>
    <mergeCell ref="E513:F513"/>
    <mergeCell ref="K46:L46"/>
    <mergeCell ref="M46:P46"/>
    <mergeCell ref="S46:T46"/>
    <mergeCell ref="A515:J515"/>
    <mergeCell ref="A516:B516"/>
    <mergeCell ref="C516:D516"/>
    <mergeCell ref="E516:F516"/>
    <mergeCell ref="I516:J521"/>
    <mergeCell ref="A517:B517"/>
    <mergeCell ref="C517:D517"/>
    <mergeCell ref="E517:F517"/>
    <mergeCell ref="A518:B518"/>
    <mergeCell ref="C518:D518"/>
    <mergeCell ref="E518:F518"/>
    <mergeCell ref="A519:B519"/>
    <mergeCell ref="C519:D519"/>
    <mergeCell ref="E519:F519"/>
    <mergeCell ref="A520:B520"/>
    <mergeCell ref="C520:D520"/>
    <mergeCell ref="E520:F520"/>
    <mergeCell ref="A521:B521"/>
    <mergeCell ref="C521:H521"/>
    <mergeCell ref="A416:B416"/>
    <mergeCell ref="C416:D416"/>
    <mergeCell ref="E416:F416"/>
    <mergeCell ref="A417:B417"/>
    <mergeCell ref="C417:H418"/>
    <mergeCell ref="A418:B418"/>
    <mergeCell ref="A419:J419"/>
    <mergeCell ref="A420:B420"/>
    <mergeCell ref="C420:D420"/>
    <mergeCell ref="E420:F420"/>
  </mergeCells>
  <dataValidations disablePrompts="1" count="1">
    <dataValidation type="list" allowBlank="1" showInputMessage="1" showErrorMessage="1" sqref="H140">
      <formula1>".45,.50,.55,.60"</formula1>
    </dataValidation>
  </dataValidations>
  <hyperlinks>
    <hyperlink ref="C32" r:id="rId1"/>
  </hyperlinks>
  <printOptions horizontalCentered="1"/>
  <pageMargins left="0.43307086614173229" right="0.43307086614173229" top="0.78740157480314965" bottom="0.78740157480314965" header="0.19685039370078741" footer="0.19685039370078741"/>
  <pageSetup paperSize="9" scale="99" fitToHeight="0" orientation="portrait" r:id="rId2"/>
  <headerFooter>
    <oddHeader>&amp;C&amp;"Times New Roman,Bold"&amp;20&amp;G</oddHeader>
    <oddFooter>&amp;L&amp;"Times New Roman,Bold"Ref No: &amp;F&amp;C&amp;G&amp;R&amp;P</oddFooter>
  </headerFooter>
  <rowBreaks count="7" manualBreakCount="7">
    <brk id="42" max="9" man="1"/>
    <brk id="61" max="16383" man="1"/>
    <brk id="117" max="9" man="1"/>
    <brk id="521" max="9" man="1"/>
    <brk id="531" max="9" man="1"/>
    <brk id="576" max="9" man="1"/>
    <brk id="607"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B11" sqref="B11"/>
    </sheetView>
  </sheetViews>
  <sheetFormatPr defaultRowHeight="15" x14ac:dyDescent="0.25"/>
  <cols>
    <col min="1" max="1" width="11.140625" bestFit="1" customWidth="1"/>
  </cols>
  <sheetData>
    <row r="2" spans="1:2" x14ac:dyDescent="0.25">
      <c r="A2" t="s">
        <v>80</v>
      </c>
      <c r="B2" t="s">
        <v>81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2" workbookViewId="0">
      <selection activeCell="C9" sqref="C9"/>
    </sheetView>
  </sheetViews>
  <sheetFormatPr defaultRowHeight="15" x14ac:dyDescent="0.25"/>
  <cols>
    <col min="2" max="2" width="21.42578125" customWidth="1"/>
    <col min="3" max="3" width="51" customWidth="1"/>
    <col min="8" max="8" width="28.140625" customWidth="1"/>
  </cols>
  <sheetData>
    <row r="1" spans="1:9" x14ac:dyDescent="0.25">
      <c r="A1" s="2"/>
      <c r="B1" s="2"/>
      <c r="C1" s="2"/>
      <c r="D1" s="2"/>
      <c r="E1" s="2"/>
      <c r="F1" s="2"/>
      <c r="G1" s="2"/>
      <c r="H1" s="2"/>
      <c r="I1" s="1"/>
    </row>
    <row r="2" spans="1:9" x14ac:dyDescent="0.25">
      <c r="A2" s="3"/>
      <c r="B2" s="3"/>
      <c r="C2" s="3"/>
      <c r="D2" s="3"/>
      <c r="E2" s="3"/>
      <c r="F2" s="3"/>
      <c r="G2" s="3"/>
      <c r="H2" s="3"/>
      <c r="I2" s="1"/>
    </row>
    <row r="3" spans="1:9" x14ac:dyDescent="0.25">
      <c r="A3" s="3"/>
      <c r="B3" s="270" t="s">
        <v>82</v>
      </c>
      <c r="C3" s="270"/>
      <c r="D3" s="270"/>
      <c r="E3" s="270"/>
      <c r="F3" s="270"/>
      <c r="G3" s="270"/>
      <c r="H3" s="270"/>
      <c r="I3" s="1"/>
    </row>
    <row r="4" spans="1:9" ht="30" x14ac:dyDescent="0.25">
      <c r="A4" s="3"/>
      <c r="B4" s="4" t="s">
        <v>83</v>
      </c>
      <c r="C4" s="4" t="s">
        <v>84</v>
      </c>
      <c r="D4" s="4" t="s">
        <v>85</v>
      </c>
      <c r="E4" s="4" t="s">
        <v>86</v>
      </c>
      <c r="F4" s="4" t="s">
        <v>87</v>
      </c>
      <c r="G4" s="4" t="s">
        <v>88</v>
      </c>
      <c r="H4" s="4" t="s">
        <v>89</v>
      </c>
      <c r="I4" s="1"/>
    </row>
    <row r="5" spans="1:9" x14ac:dyDescent="0.25">
      <c r="A5" s="3"/>
      <c r="B5" s="6" t="s">
        <v>90</v>
      </c>
      <c r="C5" s="7" t="s">
        <v>65</v>
      </c>
      <c r="D5" s="6" t="s">
        <v>91</v>
      </c>
      <c r="E5" s="6">
        <v>912</v>
      </c>
      <c r="F5" s="11">
        <v>1091</v>
      </c>
      <c r="G5" s="8">
        <f>H5/F5</f>
        <v>21998.166819431714</v>
      </c>
      <c r="H5" s="9">
        <v>24000000</v>
      </c>
      <c r="I5" s="1"/>
    </row>
    <row r="6" spans="1:9" x14ac:dyDescent="0.25">
      <c r="A6" s="3"/>
      <c r="B6" s="6" t="s">
        <v>90</v>
      </c>
      <c r="C6" s="7" t="s">
        <v>65</v>
      </c>
      <c r="D6" s="6" t="s">
        <v>91</v>
      </c>
      <c r="E6" s="6">
        <v>1049</v>
      </c>
      <c r="F6" s="8">
        <v>1500</v>
      </c>
      <c r="G6" s="8">
        <f t="shared" ref="G6:G7" si="0">H6/F6</f>
        <v>20000</v>
      </c>
      <c r="H6" s="9">
        <v>30000000</v>
      </c>
      <c r="I6" s="1"/>
    </row>
    <row r="7" spans="1:9" x14ac:dyDescent="0.25">
      <c r="A7" s="3"/>
      <c r="B7" s="6" t="s">
        <v>90</v>
      </c>
      <c r="C7" s="7" t="s">
        <v>65</v>
      </c>
      <c r="D7" s="6" t="s">
        <v>91</v>
      </c>
      <c r="E7" s="6">
        <v>0</v>
      </c>
      <c r="F7" s="8">
        <v>1049</v>
      </c>
      <c r="G7" s="8">
        <f t="shared" si="0"/>
        <v>27168.732125834129</v>
      </c>
      <c r="H7" s="9">
        <v>28500000</v>
      </c>
      <c r="I7" s="1"/>
    </row>
    <row r="8" spans="1:9" x14ac:dyDescent="0.25">
      <c r="A8" s="3"/>
      <c r="B8" s="10" t="s">
        <v>92</v>
      </c>
      <c r="C8" s="6"/>
      <c r="D8" s="6"/>
      <c r="E8" s="6"/>
      <c r="F8" s="6"/>
      <c r="G8" s="11">
        <f>AVERAGE(G5:G7)</f>
        <v>23055.63298175528</v>
      </c>
      <c r="H8" s="6"/>
      <c r="I8" s="1"/>
    </row>
    <row r="9" spans="1:9" x14ac:dyDescent="0.25">
      <c r="A9" s="2"/>
      <c r="B9" s="10" t="s">
        <v>93</v>
      </c>
      <c r="C9" s="12"/>
      <c r="D9" s="12"/>
      <c r="E9" s="12"/>
      <c r="F9" s="13"/>
      <c r="G9" s="10">
        <v>23000</v>
      </c>
      <c r="H9" s="10"/>
      <c r="I9" s="5"/>
    </row>
    <row r="10" spans="1:9" x14ac:dyDescent="0.25">
      <c r="A10" s="1"/>
      <c r="B10" s="2"/>
      <c r="C10" s="2"/>
      <c r="D10" s="2"/>
      <c r="E10" s="2"/>
      <c r="F10" s="1"/>
      <c r="G10" s="1"/>
      <c r="H10" s="1"/>
      <c r="I10" s="1"/>
    </row>
    <row r="11" spans="1:9" x14ac:dyDescent="0.25">
      <c r="A11" s="1"/>
      <c r="B11" s="2"/>
      <c r="C11" s="2"/>
      <c r="D11" s="2"/>
      <c r="E11" s="2"/>
      <c r="F11" s="1"/>
      <c r="G11" s="1"/>
      <c r="H11" s="1"/>
      <c r="I11" s="1"/>
    </row>
    <row r="12" spans="1:9" x14ac:dyDescent="0.25">
      <c r="A12" s="1"/>
      <c r="B12" s="2"/>
      <c r="C12" s="2"/>
      <c r="D12" s="2"/>
      <c r="E12" s="2"/>
      <c r="F12" s="1"/>
      <c r="G12" s="1"/>
      <c r="H12" s="1"/>
      <c r="I12" s="1"/>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Note</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2025-10-03T05:48:12Z</cp:lastPrinted>
  <dcterms:created xsi:type="dcterms:W3CDTF">2019-07-16T09:29:46Z</dcterms:created>
  <dcterms:modified xsi:type="dcterms:W3CDTF">2025-10-03T05:48:29Z</dcterms:modified>
</cp:coreProperties>
</file>