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53222"/>
  <mc:AlternateContent xmlns:mc="http://schemas.openxmlformats.org/markup-compatibility/2006">
    <mc:Choice Requires="x15">
      <x15ac:absPath xmlns:x15ac="http://schemas.microsoft.com/office/spreadsheetml/2010/11/ac" url="D:\VSJCV\Making\AXIS\2025-26\Axis\APF Old\Sept 2025\25-09-2025\"/>
    </mc:Choice>
  </mc:AlternateContent>
  <bookViews>
    <workbookView xWindow="0" yWindow="0" windowWidth="19200" windowHeight="6640" tabRatio="725"/>
  </bookViews>
  <sheets>
    <sheet name="Report" sheetId="1" r:id="rId1"/>
    <sheet name="valuation" sheetId="5" r:id="rId2"/>
    <sheet name="Note" sheetId="4" r:id="rId3"/>
  </sheets>
  <definedNames>
    <definedName name="_xlnm.Print_Area" localSheetId="0">Report!$A$1:$H$288</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73" i="1" l="1"/>
  <c r="C74" i="1" s="1"/>
  <c r="C75" i="1" l="1"/>
  <c r="C76" i="1"/>
  <c r="D145" i="1"/>
  <c r="F145" i="1" s="1"/>
  <c r="D144" i="1"/>
  <c r="F144" i="1" s="1"/>
  <c r="D143" i="1"/>
  <c r="F143" i="1" s="1"/>
  <c r="D142" i="1"/>
  <c r="F142" i="1" s="1"/>
  <c r="D141" i="1"/>
  <c r="D140" i="1"/>
  <c r="F140" i="1" s="1"/>
  <c r="D139" i="1"/>
  <c r="F139" i="1" s="1"/>
  <c r="D138" i="1"/>
  <c r="F138" i="1" s="1"/>
  <c r="D137" i="1"/>
  <c r="F137" i="1" s="1"/>
  <c r="D136" i="1"/>
  <c r="F136" i="1" s="1"/>
  <c r="D135" i="1"/>
  <c r="F135" i="1" s="1"/>
  <c r="D134" i="1"/>
  <c r="F134" i="1" s="1"/>
  <c r="F141" i="1"/>
  <c r="A135" i="1"/>
  <c r="A136" i="1" s="1"/>
  <c r="A137" i="1" s="1"/>
  <c r="A138" i="1" s="1"/>
  <c r="A139" i="1" s="1"/>
  <c r="A140" i="1" s="1"/>
  <c r="A141" i="1" s="1"/>
  <c r="A142" i="1" s="1"/>
  <c r="A143" i="1" s="1"/>
  <c r="A144" i="1" s="1"/>
  <c r="A145" i="1" s="1"/>
  <c r="G134" i="1"/>
  <c r="D132" i="1"/>
  <c r="F132" i="1" s="1"/>
  <c r="D131" i="1"/>
  <c r="F131" i="1" s="1"/>
  <c r="D130" i="1"/>
  <c r="F130" i="1" s="1"/>
  <c r="D129" i="1"/>
  <c r="F129" i="1" s="1"/>
  <c r="D127" i="1"/>
  <c r="D126" i="1"/>
  <c r="F126" i="1" s="1"/>
  <c r="D125" i="1"/>
  <c r="F125" i="1" s="1"/>
  <c r="D124" i="1"/>
  <c r="F124" i="1" s="1"/>
  <c r="D123" i="1"/>
  <c r="F123" i="1" s="1"/>
  <c r="D122" i="1"/>
  <c r="F122" i="1" s="1"/>
  <c r="D121" i="1"/>
  <c r="F121" i="1" s="1"/>
  <c r="F127" i="1"/>
  <c r="A122" i="1"/>
  <c r="A123" i="1" s="1"/>
  <c r="A124" i="1" s="1"/>
  <c r="A125" i="1" s="1"/>
  <c r="A126" i="1" s="1"/>
  <c r="A127" i="1" s="1"/>
  <c r="A128" i="1" s="1"/>
  <c r="A129" i="1" s="1"/>
  <c r="A130" i="1" s="1"/>
  <c r="A131" i="1" s="1"/>
  <c r="A132" i="1" s="1"/>
  <c r="G121" i="1"/>
  <c r="D119" i="1"/>
  <c r="F119" i="1" s="1"/>
  <c r="D118" i="1"/>
  <c r="F118" i="1" s="1"/>
  <c r="D117" i="1"/>
  <c r="F117" i="1" s="1"/>
  <c r="D116" i="1"/>
  <c r="F116" i="1" s="1"/>
  <c r="D115" i="1"/>
  <c r="F115" i="1" s="1"/>
  <c r="A115" i="1"/>
  <c r="A116" i="1" s="1"/>
  <c r="A117" i="1" s="1"/>
  <c r="A118" i="1" s="1"/>
  <c r="A119" i="1" s="1"/>
  <c r="G114" i="1"/>
  <c r="D114" i="1"/>
  <c r="F114" i="1" s="1"/>
  <c r="D112" i="1"/>
  <c r="D111" i="1"/>
  <c r="D110" i="1"/>
  <c r="D109" i="1"/>
  <c r="D108" i="1"/>
  <c r="D107" i="1"/>
  <c r="E97" i="1" l="1"/>
  <c r="C97" i="1"/>
  <c r="D56" i="1"/>
  <c r="E42" i="1"/>
  <c r="I85" i="1" l="1"/>
  <c r="I82" i="1"/>
  <c r="F108" i="1" l="1"/>
  <c r="F107" i="1" l="1"/>
  <c r="F112" i="1" l="1"/>
  <c r="F111" i="1"/>
  <c r="C15" i="1" l="1"/>
  <c r="E30" i="1" l="1"/>
  <c r="F109" i="1" l="1"/>
  <c r="F110" i="1"/>
  <c r="A108" i="1"/>
  <c r="A109" i="1" s="1"/>
  <c r="A110" i="1" s="1"/>
  <c r="A111" i="1" s="1"/>
  <c r="A112" i="1" s="1"/>
  <c r="G107" i="1"/>
  <c r="G97" i="1" l="1"/>
  <c r="F94" i="1"/>
  <c r="B149" i="1" l="1"/>
  <c r="F11" i="5" l="1"/>
  <c r="G11" i="5" s="1"/>
  <c r="F10" i="5"/>
  <c r="G10" i="5" s="1"/>
  <c r="F9" i="5"/>
  <c r="G9" i="5" s="1"/>
  <c r="F8" i="5"/>
  <c r="G8" i="5" s="1"/>
  <c r="F7" i="5"/>
  <c r="G7" i="5" s="1"/>
  <c r="F6" i="5"/>
  <c r="G6" i="5" s="1"/>
  <c r="F5" i="5"/>
  <c r="G5" i="5" s="1"/>
  <c r="G12" i="5" s="1"/>
  <c r="D172" i="1"/>
  <c r="J78" i="1"/>
  <c r="J77" i="1"/>
  <c r="C67" i="1"/>
  <c r="G50" i="1"/>
  <c r="C50" i="1"/>
  <c r="E43" i="1"/>
  <c r="E44" i="1" s="1"/>
  <c r="E27" i="1"/>
  <c r="E25" i="1"/>
  <c r="E7" i="1"/>
  <c r="E3" i="1"/>
  <c r="H68" i="1"/>
  <c r="D61" i="1" l="1"/>
  <c r="D80" i="1"/>
  <c r="D78" i="1"/>
  <c r="D77" i="1"/>
  <c r="D76" i="1"/>
  <c r="D74" i="1"/>
  <c r="J67" i="1"/>
  <c r="D79" i="1"/>
  <c r="D75" i="1"/>
  <c r="J71" i="1"/>
  <c r="J72" i="1"/>
  <c r="C71" i="1" s="1"/>
  <c r="J70" i="1"/>
  <c r="J73" i="1"/>
  <c r="J74" i="1" l="1"/>
  <c r="J79" i="1" s="1"/>
  <c r="D73" i="1"/>
  <c r="J69" i="1"/>
  <c r="D71" i="1"/>
  <c r="J75" i="1" l="1"/>
  <c r="J76" i="1" l="1"/>
  <c r="J80" i="1" s="1"/>
  <c r="D72" i="1" s="1"/>
  <c r="I68" i="1" s="1"/>
  <c r="I69" i="1" s="1"/>
  <c r="J68" i="1" l="1"/>
  <c r="I67" i="1" s="1"/>
  <c r="C69" i="1" s="1"/>
  <c r="G71" i="1"/>
  <c r="D65" i="1" s="1"/>
  <c r="F66" i="1" s="1"/>
  <c r="E71" i="1"/>
  <c r="D66" i="1" l="1"/>
</calcChain>
</file>

<file path=xl/sharedStrings.xml><?xml version="1.0" encoding="utf-8"?>
<sst xmlns="http://schemas.openxmlformats.org/spreadsheetml/2006/main" count="259" uniqueCount="219">
  <si>
    <t xml:space="preserve">Valuation Report </t>
  </si>
  <si>
    <t>Date:</t>
  </si>
  <si>
    <t>CPC Name:</t>
  </si>
  <si>
    <t>Date Of Property Visit</t>
  </si>
  <si>
    <t>Name of the builder group</t>
  </si>
  <si>
    <t>Name of the builder company</t>
  </si>
  <si>
    <t>Name / No of the Building</t>
  </si>
  <si>
    <t>Docouments Provided</t>
  </si>
  <si>
    <t>RERA No.</t>
  </si>
  <si>
    <t xml:space="preserve">Project location details       </t>
  </si>
  <si>
    <t>Road</t>
  </si>
  <si>
    <t>District</t>
  </si>
  <si>
    <t>City</t>
  </si>
  <si>
    <t>Pin Code</t>
  </si>
  <si>
    <t xml:space="preserve">Distance from city centre: </t>
  </si>
  <si>
    <t>all available at  1 to 2 km.</t>
  </si>
  <si>
    <t>Does property have Electricity / Water / Drainage Connection</t>
  </si>
  <si>
    <t>Yes</t>
  </si>
  <si>
    <t>Class of locality</t>
  </si>
  <si>
    <t>Nature of land with topographical condtion</t>
  </si>
  <si>
    <t>Plane</t>
  </si>
  <si>
    <t xml:space="preserve">Nature of the locality </t>
  </si>
  <si>
    <t>Quality of infrastructure in vicinity</t>
  </si>
  <si>
    <t>Good</t>
  </si>
  <si>
    <t>East</t>
  </si>
  <si>
    <t>West</t>
  </si>
  <si>
    <t>South</t>
  </si>
  <si>
    <t>North</t>
  </si>
  <si>
    <t>As per deed</t>
  </si>
  <si>
    <t>NA</t>
  </si>
  <si>
    <t>At site</t>
  </si>
  <si>
    <t>Does the boundaries at site match, as mentioned in the Docoumentation: NA</t>
  </si>
  <si>
    <t xml:space="preserve">Approved usage of the Property:                                                                                                                                             </t>
  </si>
  <si>
    <t>No</t>
  </si>
  <si>
    <t>Area Statement Details :</t>
  </si>
  <si>
    <t>Total land area of the project in Sq. Mt.</t>
  </si>
  <si>
    <t>Permissible FSI</t>
  </si>
  <si>
    <t>Permissible TDR/Paid FSI</t>
  </si>
  <si>
    <t>Total FSI availaible for the project</t>
  </si>
  <si>
    <t>Total number of Buildings</t>
  </si>
  <si>
    <t xml:space="preserve">Approval Detail : Plan approval </t>
  </si>
  <si>
    <t xml:space="preserve">Layout Approval No     </t>
  </si>
  <si>
    <t>Dated</t>
  </si>
  <si>
    <t xml:space="preserve">Approved Floor plan No.  </t>
  </si>
  <si>
    <t>Expected Completion</t>
  </si>
  <si>
    <t>Building wise Construction details</t>
  </si>
  <si>
    <t>Approved no of units</t>
  </si>
  <si>
    <t>Approved no of Floors</t>
  </si>
  <si>
    <t>Type of Work</t>
  </si>
  <si>
    <t>Plinth</t>
  </si>
  <si>
    <t xml:space="preserve">Recommended rate of Parking </t>
  </si>
  <si>
    <t>Distressed valuation of the Property</t>
  </si>
  <si>
    <t>Building &amp; Wing</t>
  </si>
  <si>
    <t>Total Carpet Area</t>
  </si>
  <si>
    <t>Total Saleable Area</t>
  </si>
  <si>
    <t>Building details Floor Wise</t>
  </si>
  <si>
    <t xml:space="preserve">Details of Flats in Building   </t>
  </si>
  <si>
    <t>Description</t>
  </si>
  <si>
    <t>Gross Carpet area</t>
  </si>
  <si>
    <t>Attached Terrace area</t>
  </si>
  <si>
    <t>Floor</t>
  </si>
  <si>
    <t>Undertaking :</t>
  </si>
  <si>
    <t>1) We have personally visited the property &amp; identified the same based on the documents provided.</t>
  </si>
  <si>
    <t>2) I/We have no direct or Indirect Interest in the property being valued</t>
  </si>
  <si>
    <t>3) The information furnished above is true and correct to my/our knowledge.</t>
  </si>
  <si>
    <t>4) Legal title of the property is not verified by us.</t>
  </si>
  <si>
    <t xml:space="preserve">PHOTOGRAPHS OF PROPERTY : 
</t>
  </si>
  <si>
    <t>Google Map :</t>
  </si>
  <si>
    <t xml:space="preserve">Remarks:  </t>
  </si>
  <si>
    <t>Flat</t>
  </si>
  <si>
    <t>Podium</t>
  </si>
  <si>
    <t>Ground</t>
  </si>
  <si>
    <t>Taluka</t>
  </si>
  <si>
    <r>
      <t xml:space="preserve">Proposed Amenities :                                                                                                                                                                                                                      </t>
    </r>
    <r>
      <rPr>
        <sz val="12"/>
        <rFont val="Times New Roman"/>
        <family val="1"/>
      </rPr>
      <t xml:space="preserve">   </t>
    </r>
    <r>
      <rPr>
        <b/>
        <sz val="12"/>
        <rFont val="Times New Roman"/>
        <family val="1"/>
      </rPr>
      <t xml:space="preserve">                                               </t>
    </r>
  </si>
  <si>
    <t>Accessibility to the Project from the City: (Proximity to civic amenities like school, hospital, market, etc.)</t>
  </si>
  <si>
    <t>Inspected By :</t>
  </si>
  <si>
    <t>No. of Units</t>
  </si>
  <si>
    <t>Authorized Signatory
Name &amp; Seal of the agency</t>
  </si>
  <si>
    <t>Floors</t>
  </si>
  <si>
    <t>Type of Structure</t>
  </si>
  <si>
    <t>RCC Frame Structure</t>
  </si>
  <si>
    <t>Complition %</t>
  </si>
  <si>
    <t>Disbursement %</t>
  </si>
  <si>
    <t>Progress %</t>
  </si>
  <si>
    <t xml:space="preserve">Material laying at Site: </t>
  </si>
  <si>
    <t>Projected life of the structure</t>
  </si>
  <si>
    <t xml:space="preserve">Quality of construction: </t>
  </si>
  <si>
    <t>Proposed no of Floors</t>
  </si>
  <si>
    <t xml:space="preserve">Stage of construction: </t>
  </si>
  <si>
    <t>Approved area of building (Sq.Mt)</t>
  </si>
  <si>
    <t>Total Approved Builtup area of the project (Sq.Mt)</t>
  </si>
  <si>
    <t>Restrictive Covenants in regard to Land Use</t>
  </si>
  <si>
    <t>Boundries</t>
  </si>
  <si>
    <t>Development Charges</t>
  </si>
  <si>
    <t>Club Charges</t>
  </si>
  <si>
    <t>Gas Connection Charges</t>
  </si>
  <si>
    <t>Water, Electricity, Drainages, Sewerage Connection</t>
  </si>
  <si>
    <t>Society Formation Charges</t>
  </si>
  <si>
    <t>Advance Maintenance Charges</t>
  </si>
  <si>
    <t>Excavation in process</t>
  </si>
  <si>
    <t>Excavation Completed</t>
  </si>
  <si>
    <t>Footing in Process</t>
  </si>
  <si>
    <t>Footing Completed</t>
  </si>
  <si>
    <t>Plinth completed</t>
  </si>
  <si>
    <t>Report By :</t>
  </si>
  <si>
    <t>Market Research Data</t>
  </si>
  <si>
    <t>Source</t>
  </si>
  <si>
    <t>Distance from proposed property</t>
  </si>
  <si>
    <t>Net Carpet</t>
  </si>
  <si>
    <t>Market Value</t>
  </si>
  <si>
    <t>Magic Brick</t>
  </si>
  <si>
    <t>99 Acres</t>
  </si>
  <si>
    <t>Average</t>
  </si>
  <si>
    <t xml:space="preserve">Valuation Adopted </t>
  </si>
  <si>
    <t>Saleable Area</t>
  </si>
  <si>
    <t>Rate on Saleable</t>
  </si>
  <si>
    <t xml:space="preserve">Wheather the construction is as per approved Building plan : </t>
  </si>
  <si>
    <r>
      <t xml:space="preserve">Flat No.
</t>
    </r>
    <r>
      <rPr>
        <b/>
        <sz val="11"/>
        <color rgb="FF000000"/>
        <rFont val="Times New Roman"/>
        <family val="1"/>
      </rPr>
      <t>(Approved Plan)</t>
    </r>
  </si>
  <si>
    <t>Flat No.
(Sale Plan)</t>
  </si>
  <si>
    <t>Contact Details ( Name &amp; Contact No.)</t>
  </si>
  <si>
    <t>01 Building</t>
  </si>
  <si>
    <t>Nearby Landmark</t>
  </si>
  <si>
    <t>We considered Carpet area as per Approved Plan.</t>
  </si>
  <si>
    <t>We have considered rate by verifying it from market inquire.</t>
  </si>
  <si>
    <t>Car parking is subjected to authentic documentation.</t>
  </si>
  <si>
    <t>5) Gross carpet area =  Net Carpet area + Fungible area.</t>
  </si>
  <si>
    <t>6) Fungible Area= Enclosed Balcony + Flower Bed + Covered Balcony + Service Slab + Duct + Chajja + Wheather Shed area.</t>
  </si>
  <si>
    <t>Excavation</t>
  </si>
  <si>
    <t>RCC (Including podiums)</t>
  </si>
  <si>
    <t>Brickwork &amp; Internal Plaster</t>
  </si>
  <si>
    <t>Flooring &amp; Fitting</t>
  </si>
  <si>
    <t>External Plaster &amp; Plumbing</t>
  </si>
  <si>
    <t>Building Common Amenities</t>
  </si>
  <si>
    <t>Possession</t>
  </si>
  <si>
    <t>Ext. Plaster &amp; Plumbing</t>
  </si>
  <si>
    <t>Brickwork</t>
  </si>
  <si>
    <t>Internal Plaster</t>
  </si>
  <si>
    <t>Painting &amp; Wooden</t>
  </si>
  <si>
    <t>Slab/Floor</t>
  </si>
  <si>
    <t>Construction details:</t>
  </si>
  <si>
    <t>Piling Work in process</t>
  </si>
  <si>
    <t>Basement</t>
  </si>
  <si>
    <t>Basement 2</t>
  </si>
  <si>
    <t>Basement 3</t>
  </si>
  <si>
    <t>Basement 4</t>
  </si>
  <si>
    <t>Basement 1</t>
  </si>
  <si>
    <t>Plinth in process</t>
  </si>
  <si>
    <t>Vitrified tiles flooring, Kitchen Platform, Decorative</t>
  </si>
  <si>
    <t xml:space="preserve">Violations Observed if any : </t>
  </si>
  <si>
    <t>Saleable area Loading :</t>
  </si>
  <si>
    <t>Name of Municipal Corporation/Authority</t>
  </si>
  <si>
    <t>We have considered proposed No. of Floor for Stage Calculation.</t>
  </si>
  <si>
    <t>*</t>
  </si>
  <si>
    <t>Recommended rate should be considered as all inclusive rate if other charges are not mentioned. (Excluding GST &amp; other government Taxes)</t>
  </si>
  <si>
    <t xml:space="preserve">Commencement-CC No
Valid Up to: </t>
  </si>
  <si>
    <t xml:space="preserve">Recommended Rates of the Property : </t>
  </si>
  <si>
    <t>Recommended rate of the Shop Per Sq. Ft.</t>
  </si>
  <si>
    <t>Recommended rate of the Flat Per Sq. Ft.</t>
  </si>
  <si>
    <t>Recommended rate of the Office Per Sq. Ft.</t>
  </si>
  <si>
    <t>On Saleable Area</t>
  </si>
  <si>
    <t>Legal Charges</t>
  </si>
  <si>
    <t>Location Link</t>
  </si>
  <si>
    <t>Locality</t>
  </si>
  <si>
    <t>Village</t>
  </si>
  <si>
    <t xml:space="preserve">O. Certificate No.: 
Approved upto : </t>
  </si>
  <si>
    <t>Axis Thane</t>
  </si>
  <si>
    <t>Code Name Enchanted</t>
  </si>
  <si>
    <t>Julius D’souza - 8451082714</t>
  </si>
  <si>
    <t>P51700033799</t>
  </si>
  <si>
    <t>Thane Municipal Corporation</t>
  </si>
  <si>
    <t>Survey No</t>
  </si>
  <si>
    <t>1/1,,1/2A, 1/2B, 1/3, 1/4A, 1/4B, 1/4C, 1/4D,1/5, 1/6,1/7, 1/8, 1/10, 1/11, 1/12, 1/13, 1/15, 2/1A, 2/1B, 2/1C, &amp; Others</t>
  </si>
  <si>
    <t>Thane West</t>
  </si>
  <si>
    <t>Kolshet</t>
  </si>
  <si>
    <t>Thane</t>
  </si>
  <si>
    <t>Kolshet Road</t>
  </si>
  <si>
    <t>Approved Plans, CC</t>
  </si>
  <si>
    <t>Tower D</t>
  </si>
  <si>
    <t>Open Plot</t>
  </si>
  <si>
    <t>As per RERA - 30/06/2028</t>
  </si>
  <si>
    <t>1st Podium Floor For Parking</t>
  </si>
  <si>
    <t>Refuge Area</t>
  </si>
  <si>
    <t>Residential Area Details : Flats</t>
  </si>
  <si>
    <t>We considered Gross carpet area = Net carpet + Enclose balcony + Utility Area.</t>
  </si>
  <si>
    <t>On Site, we meet Mr.Julius D’souza (CRM) - 8451082714.</t>
  </si>
  <si>
    <t>We have done APF for Tower D as it is registered on RERA Site.</t>
  </si>
  <si>
    <t>Floor Rise Rate Per Sq. Ft. (From 5th Floor)</t>
  </si>
  <si>
    <t>Kapleshwara Pinnacle Gloria</t>
  </si>
  <si>
    <t>Latitude, Longitude</t>
  </si>
  <si>
    <t>Office No. 1031, Wing J, Akshar Business Park, Plot No. 03 Sector 25, Near APMC Market, 
Vashi, Navi Mumbai, Maharashtra 400703 TEL: 022-46090378/79/8
E mail : vsjcapf@gmail.com. Web site : www.vsjadon.com</t>
  </si>
  <si>
    <t>Ajay Songare</t>
  </si>
  <si>
    <t>Site Person - Contact Details ( Name &amp; Contact No.)</t>
  </si>
  <si>
    <t>S05/0096/15­TMC/TDD/0127/(P/C)
/2024</t>
  </si>
  <si>
    <t>D &amp; F Wing = 2B + Gr + 1P to 5P + Upper Gr + 1st to 25th Floor + Service Floor + 26th to 35th Floor</t>
  </si>
  <si>
    <t>We have updated revised approved CC (on 09/05/2024).</t>
  </si>
  <si>
    <t>20.00 M. Wide Road</t>
  </si>
  <si>
    <t xml:space="preserve">Other Plot </t>
  </si>
  <si>
    <t>D Wing = 2B + Gr + 1P to 5P + Upper Gr + 1st to 25th Floor + Service Floor + 49th Floor</t>
  </si>
  <si>
    <t>D Wing = 2B + Gr + 1P to 5P + Upper Gr + 1st to 25th Floor + Service Floor + 50th Floor</t>
  </si>
  <si>
    <t>1st &amp; 2nd Basement Floor For Parking</t>
  </si>
  <si>
    <t>Ground Floor For Society Office, Drivers Room, Meter Room &amp; Transformer Room</t>
  </si>
  <si>
    <t>1st Podium to 5th Podium Floor for Residential &amp; Parking</t>
  </si>
  <si>
    <t xml:space="preserve">Upper Stilt Floor for Residential, Fitness Center, Creche &amp; Amenity Area </t>
  </si>
  <si>
    <t>1st, 6th, 11th, 15th, 20th, 25th, 29th, 34th, 39th, 
44th, 49th Floor For Residential (Part Refuge Area)</t>
  </si>
  <si>
    <t>2nd to 5th, 7th to 10th, 12th to 14th, 16th to 19th, 21st to 24th, 26th to 28th, 30th to 33rd, 35th to 38th, 40th to 43rd, 45th to 48th Floor For Residential</t>
  </si>
  <si>
    <t>Service Floor Between 25th To 26th Floor For Pump Room, 
Flushing Water Tank, Fire &amp; Domestic Water Tank</t>
  </si>
  <si>
    <t>We have updated revised approved plans (on 30/05/2024).</t>
  </si>
  <si>
    <t>Layout :</t>
  </si>
  <si>
    <t>Flats - 613</t>
  </si>
  <si>
    <t>19.239462,72.993212</t>
  </si>
  <si>
    <t>https://maps.app.goo.gl/xMHhCTzChXRQZFWh6</t>
  </si>
  <si>
    <t>7.40KM from Thane Railway Station</t>
  </si>
  <si>
    <t>S05/0096/15TMC/TDDP/TPS/0127/(P/C)</t>
  </si>
  <si>
    <t>M/s. Runwal Construction Private Limited</t>
  </si>
  <si>
    <t>Runwal Enchanted</t>
  </si>
  <si>
    <t>Construction work is in process at the time of Visit (Internal visit was not allowed).</t>
  </si>
  <si>
    <t>Name of the Project (As per RERA)</t>
  </si>
  <si>
    <t>Name of the Project (As per Builder)</t>
  </si>
  <si>
    <t>Pooja Kawale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</si>
</sst>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43" formatCode="_ * #,##0.00_ ;_ * \-#,##0.00_ ;_ * &quot;-&quot;??_ ;_ @_ "/>
    <numFmt numFmtId="164" formatCode="0.0"/>
    <numFmt numFmtId="165" formatCode="_(* #,##0.00_);_(* \(#,##0.00\);_(* &quot;-&quot;??_);_(@_)"/>
    <numFmt numFmtId="166" formatCode="_(* #,##0_);_(* \(#,##0\);_(* &quot;-&quot;??_);_(@_)"/>
    <numFmt numFmtId="167" formatCode="_ * #,##0_ ;_ * \-#,##0_ ;_ * &quot;-&quot;??_ ;_ @_ "/>
    <numFmt numFmtId="168" formatCode="[&gt;0]0&quot;BHK&quot;;&quot;1RK&quot;"/>
    <numFmt numFmtId="169" formatCode="[&gt;0]0.0&quot;BHK&quot;;&quot;1RK&quot;"/>
  </numFmts>
  <fonts count="27" x14ac:knownFonts="1">
    <font>
      <sz val="11"/>
      <color rgb="FF000000"/>
      <name val="Calibri"/>
      <family val="2"/>
    </font>
    <font>
      <sz val="11"/>
      <color theme="1"/>
      <name val="Calibri"/>
      <family val="2"/>
      <scheme val="minor"/>
    </font>
    <font>
      <sz val="11"/>
      <color theme="1"/>
      <name val="Calibri"/>
      <family val="2"/>
      <scheme val="minor"/>
    </font>
    <font>
      <sz val="11"/>
      <color theme="1"/>
      <name val="Calibri"/>
      <family val="2"/>
      <scheme val="minor"/>
    </font>
    <font>
      <b/>
      <sz val="11"/>
      <color indexed="8"/>
      <name val="Times New Roman"/>
      <family val="1"/>
    </font>
    <font>
      <sz val="11"/>
      <color indexed="8"/>
      <name val="Calibri"/>
      <family val="2"/>
    </font>
    <font>
      <sz val="12"/>
      <color indexed="8"/>
      <name val="Times New Roman"/>
      <family val="1"/>
    </font>
    <font>
      <sz val="12"/>
      <color theme="1"/>
      <name val="Times New Roman"/>
      <family val="1"/>
    </font>
    <font>
      <b/>
      <sz val="12"/>
      <color indexed="8"/>
      <name val="Times New Roman"/>
      <family val="1"/>
    </font>
    <font>
      <b/>
      <sz val="11"/>
      <color theme="1"/>
      <name val="Calibri"/>
      <family val="2"/>
      <scheme val="minor"/>
    </font>
    <font>
      <b/>
      <sz val="12"/>
      <color theme="1"/>
      <name val="Times New Roman"/>
      <family val="1"/>
    </font>
    <font>
      <b/>
      <sz val="11.5"/>
      <color indexed="8"/>
      <name val="Times New Roman"/>
      <family val="1"/>
    </font>
    <font>
      <sz val="12"/>
      <name val="Times New Roman"/>
      <family val="1"/>
    </font>
    <font>
      <b/>
      <sz val="12"/>
      <name val="Times New Roman"/>
      <family val="1"/>
    </font>
    <font>
      <sz val="11"/>
      <name val="Times New Roman"/>
      <family val="1"/>
    </font>
    <font>
      <sz val="12"/>
      <color rgb="FFFF0000"/>
      <name val="Times New Roman"/>
      <family val="1"/>
    </font>
    <font>
      <sz val="11"/>
      <color theme="1"/>
      <name val="Times New Roman"/>
      <family val="1"/>
    </font>
    <font>
      <sz val="11"/>
      <color rgb="FF000000"/>
      <name val="Times New Roman"/>
      <family val="1"/>
    </font>
    <font>
      <sz val="11"/>
      <color rgb="FFFF0000"/>
      <name val="Calibri"/>
      <family val="2"/>
      <scheme val="minor"/>
    </font>
    <font>
      <sz val="11"/>
      <color rgb="FFFF0000"/>
      <name val="Calibri"/>
      <family val="2"/>
    </font>
    <font>
      <sz val="10"/>
      <name val="Arial"/>
      <family val="2"/>
    </font>
    <font>
      <sz val="11"/>
      <color rgb="FF000000"/>
      <name val="Calibri"/>
      <family val="2"/>
    </font>
    <font>
      <b/>
      <sz val="11"/>
      <color rgb="FF000000"/>
      <name val="Times New Roman"/>
      <family val="1"/>
    </font>
    <font>
      <sz val="10"/>
      <color theme="1"/>
      <name val="Times New Roman"/>
      <family val="1"/>
    </font>
    <font>
      <sz val="11"/>
      <name val="Calibri"/>
      <family val="2"/>
    </font>
    <font>
      <sz val="11"/>
      <color theme="0"/>
      <name val="Calibri"/>
      <family val="2"/>
    </font>
    <font>
      <u/>
      <sz val="11"/>
      <color theme="10"/>
      <name val="Calibri"/>
      <family val="2"/>
    </font>
  </fonts>
  <fills count="3">
    <fill>
      <patternFill patternType="none"/>
    </fill>
    <fill>
      <patternFill patternType="gray125"/>
    </fill>
    <fill>
      <patternFill patternType="solid">
        <fgColor rgb="FFFFFF00"/>
        <bgColor indexed="64"/>
      </patternFill>
    </fill>
  </fills>
  <borders count="2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right/>
      <top style="thin">
        <color indexed="64"/>
      </top>
      <bottom/>
      <diagonal/>
    </border>
    <border>
      <left style="thin">
        <color indexed="64"/>
      </left>
      <right/>
      <top/>
      <bottom/>
      <diagonal/>
    </border>
    <border>
      <left/>
      <right style="thin">
        <color indexed="64"/>
      </right>
      <top/>
      <bottom/>
      <diagonal/>
    </border>
    <border>
      <left/>
      <right style="medium">
        <color indexed="64"/>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medium">
        <color indexed="64"/>
      </right>
      <top style="medium">
        <color indexed="64"/>
      </top>
      <bottom style="thin">
        <color indexed="64"/>
      </bottom>
      <diagonal/>
    </border>
  </borders>
  <cellStyleXfs count="11">
    <xf numFmtId="0" fontId="0" fillId="0" borderId="0"/>
    <xf numFmtId="0" fontId="3" fillId="0" borderId="0"/>
    <xf numFmtId="0" fontId="5" fillId="0" borderId="0"/>
    <xf numFmtId="0" fontId="2" fillId="0" borderId="0"/>
    <xf numFmtId="0" fontId="5" fillId="0" borderId="0"/>
    <xf numFmtId="0" fontId="1" fillId="0" borderId="0"/>
    <xf numFmtId="165" fontId="5" fillId="0" borderId="0" applyFont="0" applyFill="0" applyBorder="0" applyAlignment="0" applyProtection="0"/>
    <xf numFmtId="0" fontId="20" fillId="0" borderId="0"/>
    <xf numFmtId="9" fontId="21" fillId="0" borderId="0" applyFont="0" applyFill="0" applyBorder="0" applyAlignment="0" applyProtection="0"/>
    <xf numFmtId="43" fontId="21" fillId="0" borderId="0" applyFont="0" applyFill="0" applyBorder="0" applyAlignment="0" applyProtection="0"/>
    <xf numFmtId="0" fontId="26" fillId="0" borderId="0" applyNumberFormat="0" applyFill="0" applyBorder="0" applyAlignment="0" applyProtection="0"/>
  </cellStyleXfs>
  <cellXfs count="166">
    <xf numFmtId="0" fontId="0" fillId="0" borderId="0" xfId="0"/>
    <xf numFmtId="0" fontId="5" fillId="0" borderId="0" xfId="4"/>
    <xf numFmtId="0" fontId="1" fillId="0" borderId="0" xfId="5"/>
    <xf numFmtId="0" fontId="9" fillId="0" borderId="1" xfId="5" applyFont="1" applyBorder="1" applyAlignment="1">
      <alignment horizontal="center" vertical="top" wrapText="1"/>
    </xf>
    <xf numFmtId="0" fontId="19" fillId="0" borderId="0" xfId="4" applyFont="1"/>
    <xf numFmtId="0" fontId="1" fillId="0" borderId="1" xfId="5" applyBorder="1" applyAlignment="1">
      <alignment horizontal="center" vertical="center"/>
    </xf>
    <xf numFmtId="0" fontId="1" fillId="0" borderId="1" xfId="5" applyBorder="1" applyAlignment="1">
      <alignment horizontal="left" vertical="center"/>
    </xf>
    <xf numFmtId="1" fontId="1" fillId="0" borderId="1" xfId="5" applyNumberFormat="1" applyBorder="1" applyAlignment="1">
      <alignment horizontal="center" vertical="center"/>
    </xf>
    <xf numFmtId="166" fontId="1" fillId="0" borderId="1" xfId="6" applyNumberFormat="1" applyFont="1" applyBorder="1" applyAlignment="1">
      <alignment horizontal="right" vertical="center"/>
    </xf>
    <xf numFmtId="0" fontId="1" fillId="0" borderId="1" xfId="5" applyBorder="1" applyAlignment="1">
      <alignment horizontal="left" vertical="center" wrapText="1"/>
    </xf>
    <xf numFmtId="0" fontId="9" fillId="0" borderId="1" xfId="5" applyFont="1" applyBorder="1" applyAlignment="1">
      <alignment horizontal="center" vertical="center"/>
    </xf>
    <xf numFmtId="1" fontId="18" fillId="0" borderId="1" xfId="5" applyNumberFormat="1" applyFont="1" applyBorder="1" applyAlignment="1">
      <alignment horizontal="center" vertical="center"/>
    </xf>
    <xf numFmtId="0" fontId="5" fillId="0" borderId="1" xfId="4" applyBorder="1" applyAlignment="1">
      <alignment horizontal="center" vertical="center"/>
    </xf>
    <xf numFmtId="9" fontId="8" fillId="0" borderId="13" xfId="8" applyFont="1" applyFill="1" applyBorder="1" applyAlignment="1" applyProtection="1">
      <alignment horizontal="center" vertical="top" wrapText="1"/>
      <protection locked="0"/>
    </xf>
    <xf numFmtId="0" fontId="17" fillId="0" borderId="0" xfId="0" applyFont="1" applyProtection="1">
      <protection hidden="1"/>
    </xf>
    <xf numFmtId="0" fontId="17" fillId="0" borderId="10" xfId="0" applyFont="1" applyBorder="1" applyProtection="1">
      <protection hidden="1"/>
    </xf>
    <xf numFmtId="0" fontId="6" fillId="0" borderId="1" xfId="1" applyFont="1" applyBorder="1" applyAlignment="1" applyProtection="1">
      <alignment vertical="top" wrapText="1"/>
      <protection locked="0"/>
    </xf>
    <xf numFmtId="9" fontId="7" fillId="0" borderId="1" xfId="8" applyFont="1" applyFill="1" applyBorder="1" applyAlignment="1" applyProtection="1">
      <alignment horizontal="center" vertical="top" wrapText="1"/>
      <protection locked="0"/>
    </xf>
    <xf numFmtId="9" fontId="7" fillId="0" borderId="6" xfId="8" applyFont="1" applyFill="1" applyBorder="1" applyAlignment="1" applyProtection="1">
      <alignment horizontal="center" vertical="top" wrapText="1"/>
      <protection locked="0"/>
    </xf>
    <xf numFmtId="0" fontId="7" fillId="0" borderId="0" xfId="1" applyFont="1"/>
    <xf numFmtId="0" fontId="15" fillId="0" borderId="0" xfId="1" applyFont="1"/>
    <xf numFmtId="0" fontId="12" fillId="0" borderId="0" xfId="1" applyFont="1"/>
    <xf numFmtId="1" fontId="7" fillId="0" borderId="0" xfId="1" applyNumberFormat="1" applyFont="1"/>
    <xf numFmtId="14" fontId="7" fillId="0" borderId="0" xfId="1" applyNumberFormat="1" applyFont="1"/>
    <xf numFmtId="0" fontId="7" fillId="0" borderId="0" xfId="1" applyFont="1" applyProtection="1">
      <protection hidden="1"/>
    </xf>
    <xf numFmtId="0" fontId="23" fillId="0" borderId="0" xfId="1" applyFont="1"/>
    <xf numFmtId="0" fontId="7" fillId="0" borderId="9" xfId="1" applyFont="1" applyBorder="1"/>
    <xf numFmtId="0" fontId="17" fillId="0" borderId="9" xfId="0" applyFont="1" applyBorder="1" applyProtection="1">
      <protection hidden="1"/>
    </xf>
    <xf numFmtId="1" fontId="0" fillId="0" borderId="9" xfId="0" applyNumberFormat="1" applyBorder="1"/>
    <xf numFmtId="1" fontId="0" fillId="0" borderId="9" xfId="0" applyNumberFormat="1" applyBorder="1" applyAlignment="1">
      <alignment horizontal="right"/>
    </xf>
    <xf numFmtId="1" fontId="0" fillId="0" borderId="11" xfId="0" applyNumberFormat="1" applyBorder="1"/>
    <xf numFmtId="0" fontId="16" fillId="0" borderId="0" xfId="1" applyFont="1"/>
    <xf numFmtId="0" fontId="6" fillId="0" borderId="0" xfId="2" applyFont="1"/>
    <xf numFmtId="0" fontId="7" fillId="0" borderId="0" xfId="0" applyFont="1" applyAlignment="1">
      <alignment horizontal="center" vertical="center"/>
    </xf>
    <xf numFmtId="1" fontId="7" fillId="0" borderId="0" xfId="1" applyNumberFormat="1" applyFont="1" applyAlignment="1">
      <alignment horizontal="center" vertical="center"/>
    </xf>
    <xf numFmtId="0" fontId="8" fillId="0" borderId="0" xfId="1" applyFont="1" applyAlignment="1" applyProtection="1">
      <alignment vertical="top"/>
      <protection locked="0"/>
    </xf>
    <xf numFmtId="0" fontId="8" fillId="0" borderId="0" xfId="1" applyFont="1" applyAlignment="1" applyProtection="1">
      <alignment vertical="top" wrapText="1"/>
      <protection locked="0"/>
    </xf>
    <xf numFmtId="0" fontId="7" fillId="0" borderId="0" xfId="1" applyFont="1" applyProtection="1">
      <protection locked="0"/>
    </xf>
    <xf numFmtId="0" fontId="10" fillId="0" borderId="0" xfId="1" applyFont="1" applyProtection="1">
      <protection locked="0"/>
    </xf>
    <xf numFmtId="1" fontId="6" fillId="0" borderId="1" xfId="1" applyNumberFormat="1" applyFont="1" applyBorder="1" applyAlignment="1" applyProtection="1">
      <alignment horizontal="center" vertical="center" wrapText="1"/>
      <protection locked="0"/>
    </xf>
    <xf numFmtId="1" fontId="8" fillId="0" borderId="2" xfId="1" applyNumberFormat="1" applyFont="1" applyBorder="1" applyAlignment="1" applyProtection="1">
      <alignment horizontal="center" vertical="top" wrapText="1"/>
      <protection locked="0"/>
    </xf>
    <xf numFmtId="0" fontId="7" fillId="0" borderId="1" xfId="1" applyFont="1" applyBorder="1" applyAlignment="1" applyProtection="1">
      <alignment horizontal="center" vertical="top" wrapText="1"/>
      <protection locked="0"/>
    </xf>
    <xf numFmtId="0" fontId="7" fillId="0" borderId="6" xfId="1" applyFont="1" applyBorder="1" applyAlignment="1" applyProtection="1">
      <alignment horizontal="center" vertical="top" wrapText="1"/>
      <protection locked="0"/>
    </xf>
    <xf numFmtId="1" fontId="6" fillId="0" borderId="1" xfId="0" applyNumberFormat="1" applyFont="1" applyBorder="1" applyAlignment="1" applyProtection="1">
      <alignment horizontal="center" vertical="center" wrapText="1"/>
      <protection locked="0"/>
    </xf>
    <xf numFmtId="0" fontId="7" fillId="0" borderId="0" xfId="1" applyFont="1" applyAlignment="1">
      <alignment horizontal="center" vertical="center"/>
    </xf>
    <xf numFmtId="0" fontId="25" fillId="0" borderId="25" xfId="0" applyFont="1" applyBorder="1"/>
    <xf numFmtId="0" fontId="25" fillId="0" borderId="4" xfId="0" applyFont="1" applyBorder="1"/>
    <xf numFmtId="0" fontId="8" fillId="0" borderId="1" xfId="1" applyFont="1" applyBorder="1" applyAlignment="1" applyProtection="1">
      <alignment vertical="top"/>
      <protection locked="0"/>
    </xf>
    <xf numFmtId="168" fontId="6" fillId="0" borderId="1" xfId="1" applyNumberFormat="1" applyFont="1" applyBorder="1" applyAlignment="1" applyProtection="1">
      <alignment horizontal="center" vertical="center" wrapText="1"/>
      <protection locked="0"/>
    </xf>
    <xf numFmtId="0" fontId="24" fillId="0" borderId="4" xfId="0" applyFont="1" applyBorder="1"/>
    <xf numFmtId="1" fontId="7" fillId="0" borderId="1" xfId="1" applyNumberFormat="1" applyFont="1" applyBorder="1" applyAlignment="1" applyProtection="1">
      <alignment horizontal="center" vertical="top" wrapText="1"/>
      <protection locked="0"/>
    </xf>
    <xf numFmtId="169" fontId="6" fillId="0" borderId="1" xfId="1" applyNumberFormat="1" applyFont="1" applyBorder="1" applyAlignment="1" applyProtection="1">
      <alignment horizontal="center" vertical="center" wrapText="1"/>
      <protection locked="0"/>
    </xf>
    <xf numFmtId="0" fontId="7" fillId="0" borderId="1" xfId="1" applyFont="1" applyBorder="1" applyAlignment="1" applyProtection="1">
      <alignment horizontal="center" vertical="top" wrapText="1"/>
      <protection locked="0"/>
    </xf>
    <xf numFmtId="0" fontId="12" fillId="0" borderId="1" xfId="1" applyFont="1" applyBorder="1" applyAlignment="1" applyProtection="1">
      <alignment horizontal="center" vertical="top"/>
      <protection locked="0"/>
    </xf>
    <xf numFmtId="0" fontId="12" fillId="0" borderId="1" xfId="1" applyFont="1" applyBorder="1" applyAlignment="1" applyProtection="1">
      <alignment horizontal="left" vertical="top"/>
      <protection locked="0"/>
    </xf>
    <xf numFmtId="0" fontId="13" fillId="0" borderId="1" xfId="1" applyFont="1" applyBorder="1" applyAlignment="1" applyProtection="1">
      <alignment horizontal="left" vertical="top"/>
      <protection locked="0"/>
    </xf>
    <xf numFmtId="0" fontId="7" fillId="0" borderId="0" xfId="1" applyFont="1" applyAlignment="1">
      <alignment horizontal="center" vertical="center"/>
    </xf>
    <xf numFmtId="1" fontId="6" fillId="0" borderId="7" xfId="1" applyNumberFormat="1" applyFont="1" applyBorder="1" applyAlignment="1" applyProtection="1">
      <alignment horizontal="center" vertical="center" wrapText="1"/>
      <protection locked="0"/>
    </xf>
    <xf numFmtId="1" fontId="6" fillId="0" borderId="8" xfId="1" applyNumberFormat="1" applyFont="1" applyBorder="1" applyAlignment="1" applyProtection="1">
      <alignment horizontal="center" vertical="center" wrapText="1"/>
      <protection locked="0"/>
    </xf>
    <xf numFmtId="1" fontId="8" fillId="0" borderId="7" xfId="1" applyNumberFormat="1" applyFont="1" applyBorder="1" applyAlignment="1" applyProtection="1">
      <alignment horizontal="center" vertical="center" wrapText="1"/>
      <protection locked="0"/>
    </xf>
    <xf numFmtId="1" fontId="8" fillId="0" borderId="18" xfId="1" applyNumberFormat="1" applyFont="1" applyBorder="1" applyAlignment="1" applyProtection="1">
      <alignment horizontal="center" vertical="center" wrapText="1"/>
      <protection locked="0"/>
    </xf>
    <xf numFmtId="1" fontId="8" fillId="0" borderId="8" xfId="1" applyNumberFormat="1" applyFont="1" applyBorder="1" applyAlignment="1" applyProtection="1">
      <alignment horizontal="center" vertical="center" wrapText="1"/>
      <protection locked="0"/>
    </xf>
    <xf numFmtId="1" fontId="13" fillId="0" borderId="7" xfId="0" applyNumberFormat="1" applyFont="1" applyBorder="1" applyAlignment="1" applyProtection="1">
      <alignment vertical="top" wrapText="1"/>
      <protection locked="0"/>
    </xf>
    <xf numFmtId="1" fontId="13" fillId="0" borderId="18" xfId="0" applyNumberFormat="1" applyFont="1" applyBorder="1" applyAlignment="1" applyProtection="1">
      <alignment vertical="top" wrapText="1"/>
      <protection locked="0"/>
    </xf>
    <xf numFmtId="1" fontId="13" fillId="0" borderId="8" xfId="0" applyNumberFormat="1" applyFont="1" applyBorder="1" applyAlignment="1" applyProtection="1">
      <alignment vertical="top" wrapText="1"/>
      <protection locked="0"/>
    </xf>
    <xf numFmtId="1" fontId="6" fillId="0" borderId="14" xfId="1" applyNumberFormat="1" applyFont="1" applyBorder="1" applyAlignment="1" applyProtection="1">
      <alignment horizontal="center" vertical="center" wrapText="1"/>
      <protection locked="0"/>
    </xf>
    <xf numFmtId="1" fontId="6" fillId="0" borderId="15" xfId="1" applyNumberFormat="1" applyFont="1" applyBorder="1" applyAlignment="1" applyProtection="1">
      <alignment horizontal="center" vertical="center" wrapText="1"/>
      <protection locked="0"/>
    </xf>
    <xf numFmtId="1" fontId="6" fillId="0" borderId="20" xfId="1" applyNumberFormat="1" applyFont="1" applyBorder="1" applyAlignment="1" applyProtection="1">
      <alignment horizontal="center" vertical="center" wrapText="1"/>
      <protection locked="0"/>
    </xf>
    <xf numFmtId="1" fontId="6" fillId="0" borderId="21" xfId="1" applyNumberFormat="1" applyFont="1" applyBorder="1" applyAlignment="1" applyProtection="1">
      <alignment horizontal="center" vertical="center" wrapText="1"/>
      <protection locked="0"/>
    </xf>
    <xf numFmtId="1" fontId="6" fillId="0" borderId="16" xfId="1" applyNumberFormat="1" applyFont="1" applyBorder="1" applyAlignment="1" applyProtection="1">
      <alignment horizontal="center" vertical="center" wrapText="1"/>
      <protection locked="0"/>
    </xf>
    <xf numFmtId="1" fontId="6" fillId="0" borderId="17" xfId="1" applyNumberFormat="1" applyFont="1" applyBorder="1" applyAlignment="1" applyProtection="1">
      <alignment horizontal="center" vertical="center" wrapText="1"/>
      <protection locked="0"/>
    </xf>
    <xf numFmtId="168" fontId="6" fillId="0" borderId="7" xfId="1" applyNumberFormat="1" applyFont="1" applyBorder="1" applyAlignment="1" applyProtection="1">
      <alignment horizontal="center" vertical="center" wrapText="1"/>
      <protection locked="0"/>
    </xf>
    <xf numFmtId="168" fontId="6" fillId="0" borderId="18" xfId="1" applyNumberFormat="1" applyFont="1" applyBorder="1" applyAlignment="1" applyProtection="1">
      <alignment horizontal="center" vertical="center" wrapText="1"/>
      <protection locked="0"/>
    </xf>
    <xf numFmtId="168" fontId="6" fillId="0" borderId="8" xfId="1" applyNumberFormat="1" applyFont="1" applyBorder="1" applyAlignment="1" applyProtection="1">
      <alignment horizontal="center" vertical="center" wrapText="1"/>
      <protection locked="0"/>
    </xf>
    <xf numFmtId="0" fontId="6" fillId="0" borderId="1" xfId="1" applyFont="1" applyBorder="1" applyAlignment="1" applyProtection="1">
      <alignment horizontal="left" vertical="top"/>
      <protection locked="0"/>
    </xf>
    <xf numFmtId="0" fontId="6" fillId="0" borderId="1" xfId="1" applyFont="1" applyBorder="1" applyAlignment="1" applyProtection="1">
      <alignment vertical="top"/>
      <protection locked="0"/>
    </xf>
    <xf numFmtId="1" fontId="8" fillId="0" borderId="1" xfId="0" applyNumberFormat="1" applyFont="1" applyBorder="1" applyAlignment="1" applyProtection="1">
      <alignment horizontal="center" vertical="top" wrapText="1"/>
      <protection locked="0"/>
    </xf>
    <xf numFmtId="1" fontId="8" fillId="0" borderId="2" xfId="1" applyNumberFormat="1" applyFont="1" applyBorder="1" applyAlignment="1" applyProtection="1">
      <alignment horizontal="center" vertical="top" wrapText="1"/>
      <protection locked="0"/>
    </xf>
    <xf numFmtId="1" fontId="8" fillId="0" borderId="13" xfId="1" applyNumberFormat="1" applyFont="1" applyBorder="1" applyAlignment="1" applyProtection="1">
      <alignment horizontal="center" vertical="top" wrapText="1"/>
      <protection locked="0"/>
    </xf>
    <xf numFmtId="1" fontId="4" fillId="0" borderId="2" xfId="1" applyNumberFormat="1" applyFont="1" applyBorder="1" applyAlignment="1" applyProtection="1">
      <alignment horizontal="center" vertical="top" wrapText="1"/>
      <protection locked="0"/>
    </xf>
    <xf numFmtId="1" fontId="4" fillId="0" borderId="13" xfId="1" applyNumberFormat="1" applyFont="1" applyBorder="1" applyAlignment="1" applyProtection="1">
      <alignment horizontal="center" vertical="top" wrapText="1"/>
      <protection locked="0"/>
    </xf>
    <xf numFmtId="1" fontId="8" fillId="0" borderId="14" xfId="1" applyNumberFormat="1" applyFont="1" applyBorder="1" applyAlignment="1" applyProtection="1">
      <alignment horizontal="center" vertical="top" wrapText="1"/>
      <protection locked="0"/>
    </xf>
    <xf numFmtId="1" fontId="8" fillId="0" borderId="15" xfId="1" applyNumberFormat="1" applyFont="1" applyBorder="1" applyAlignment="1" applyProtection="1">
      <alignment horizontal="center" vertical="top" wrapText="1"/>
      <protection locked="0"/>
    </xf>
    <xf numFmtId="1" fontId="8" fillId="0" borderId="16" xfId="1" applyNumberFormat="1" applyFont="1" applyBorder="1" applyAlignment="1" applyProtection="1">
      <alignment horizontal="center" vertical="top" wrapText="1"/>
      <protection locked="0"/>
    </xf>
    <xf numFmtId="1" fontId="8" fillId="0" borderId="17" xfId="1" applyNumberFormat="1" applyFont="1" applyBorder="1" applyAlignment="1" applyProtection="1">
      <alignment horizontal="center" vertical="top" wrapText="1"/>
      <protection locked="0"/>
    </xf>
    <xf numFmtId="0" fontId="7" fillId="0" borderId="3" xfId="1" applyFont="1" applyBorder="1" applyAlignment="1" applyProtection="1">
      <alignment horizontal="center" vertical="top" wrapText="1"/>
      <protection locked="0"/>
    </xf>
    <xf numFmtId="0" fontId="7" fillId="0" borderId="1" xfId="1" applyFont="1" applyBorder="1" applyAlignment="1" applyProtection="1">
      <alignment horizontal="center" vertical="top" wrapText="1"/>
      <protection locked="0"/>
    </xf>
    <xf numFmtId="167" fontId="12" fillId="0" borderId="1" xfId="9" applyNumberFormat="1" applyFont="1" applyFill="1" applyBorder="1" applyAlignment="1" applyProtection="1">
      <alignment horizontal="left" vertical="top"/>
      <protection locked="0"/>
    </xf>
    <xf numFmtId="164" fontId="6" fillId="0" borderId="1" xfId="1" applyNumberFormat="1" applyFont="1" applyBorder="1" applyAlignment="1" applyProtection="1">
      <alignment horizontal="left" vertical="top"/>
      <protection locked="0"/>
    </xf>
    <xf numFmtId="0" fontId="6" fillId="0" borderId="7" xfId="1" applyFont="1" applyBorder="1" applyAlignment="1" applyProtection="1">
      <alignment horizontal="left" vertical="top" wrapText="1"/>
      <protection locked="0"/>
    </xf>
    <xf numFmtId="0" fontId="6" fillId="0" borderId="8" xfId="1" applyFont="1" applyBorder="1" applyAlignment="1" applyProtection="1">
      <alignment horizontal="left" vertical="top" wrapText="1"/>
      <protection locked="0"/>
    </xf>
    <xf numFmtId="0" fontId="6" fillId="0" borderId="18" xfId="1" applyFont="1" applyBorder="1" applyAlignment="1" applyProtection="1">
      <alignment horizontal="left" vertical="top" wrapText="1"/>
      <protection locked="0"/>
    </xf>
    <xf numFmtId="14" fontId="6" fillId="0" borderId="7" xfId="1" applyNumberFormat="1" applyFont="1" applyBorder="1" applyAlignment="1" applyProtection="1">
      <alignment horizontal="left" vertical="top" wrapText="1"/>
      <protection locked="0"/>
    </xf>
    <xf numFmtId="14" fontId="6" fillId="0" borderId="8" xfId="1" applyNumberFormat="1" applyFont="1" applyBorder="1" applyAlignment="1" applyProtection="1">
      <alignment horizontal="left" vertical="top" wrapText="1"/>
      <protection locked="0"/>
    </xf>
    <xf numFmtId="0" fontId="26" fillId="0" borderId="1" xfId="10" applyFill="1" applyBorder="1" applyAlignment="1" applyProtection="1">
      <alignment horizontal="left" vertical="top" wrapText="1"/>
      <protection locked="0"/>
    </xf>
    <xf numFmtId="0" fontId="12" fillId="0" borderId="1" xfId="1" applyFont="1" applyBorder="1" applyAlignment="1" applyProtection="1">
      <alignment horizontal="left" vertical="top" wrapText="1"/>
      <protection locked="0"/>
    </xf>
    <xf numFmtId="0" fontId="6" fillId="0" borderId="14" xfId="1" applyFont="1" applyBorder="1" applyAlignment="1" applyProtection="1">
      <alignment horizontal="left" vertical="top" wrapText="1"/>
      <protection locked="0"/>
    </xf>
    <xf numFmtId="0" fontId="6" fillId="0" borderId="15" xfId="1" applyFont="1" applyBorder="1" applyAlignment="1" applyProtection="1">
      <alignment horizontal="left" vertical="top" wrapText="1"/>
      <protection locked="0"/>
    </xf>
    <xf numFmtId="0" fontId="6" fillId="0" borderId="16" xfId="1" applyFont="1" applyBorder="1" applyAlignment="1" applyProtection="1">
      <alignment horizontal="left" vertical="top" wrapText="1"/>
      <protection locked="0"/>
    </xf>
    <xf numFmtId="0" fontId="6" fillId="0" borderId="17" xfId="1" applyFont="1" applyBorder="1" applyAlignment="1" applyProtection="1">
      <alignment horizontal="left" vertical="top" wrapText="1"/>
      <protection locked="0"/>
    </xf>
    <xf numFmtId="0" fontId="13" fillId="0" borderId="1" xfId="1" applyFont="1" applyBorder="1" applyAlignment="1" applyProtection="1">
      <alignment horizontal="center" vertical="top" wrapText="1"/>
      <protection locked="0"/>
    </xf>
    <xf numFmtId="0" fontId="14" fillId="0" borderId="1" xfId="1" applyFont="1" applyBorder="1" applyAlignment="1" applyProtection="1">
      <alignment horizontal="center" vertical="top" wrapText="1"/>
      <protection locked="0"/>
    </xf>
    <xf numFmtId="0" fontId="8" fillId="0" borderId="1" xfId="1" applyFont="1" applyBorder="1" applyAlignment="1" applyProtection="1">
      <alignment horizontal="left" vertical="top"/>
      <protection locked="0"/>
    </xf>
    <xf numFmtId="1" fontId="6" fillId="0" borderId="1" xfId="0" applyNumberFormat="1" applyFont="1" applyBorder="1" applyAlignment="1" applyProtection="1">
      <alignment horizontal="center" vertical="center" wrapText="1"/>
      <protection locked="0"/>
    </xf>
    <xf numFmtId="1" fontId="8" fillId="0" borderId="1" xfId="0" applyNumberFormat="1" applyFont="1" applyBorder="1" applyAlignment="1" applyProtection="1">
      <alignment horizontal="center" vertical="center" wrapText="1"/>
      <protection locked="0"/>
    </xf>
    <xf numFmtId="0" fontId="6" fillId="0" borderId="1" xfId="1" applyFont="1" applyBorder="1" applyAlignment="1" applyProtection="1">
      <alignment horizontal="left" vertical="top" wrapText="1"/>
      <protection locked="0"/>
    </xf>
    <xf numFmtId="0" fontId="8" fillId="0" borderId="1" xfId="1" applyFont="1" applyBorder="1" applyAlignment="1" applyProtection="1">
      <alignment vertical="top"/>
      <protection locked="0"/>
    </xf>
    <xf numFmtId="1" fontId="8" fillId="0" borderId="7" xfId="0" applyNumberFormat="1" applyFont="1" applyBorder="1" applyAlignment="1" applyProtection="1">
      <alignment vertical="top" wrapText="1"/>
      <protection locked="0"/>
    </xf>
    <xf numFmtId="1" fontId="8" fillId="0" borderId="18" xfId="0" applyNumberFormat="1" applyFont="1" applyBorder="1" applyAlignment="1" applyProtection="1">
      <alignment vertical="top" wrapText="1"/>
      <protection locked="0"/>
    </xf>
    <xf numFmtId="1" fontId="8" fillId="0" borderId="8" xfId="0" applyNumberFormat="1" applyFont="1" applyBorder="1" applyAlignment="1" applyProtection="1">
      <alignment vertical="top" wrapText="1"/>
      <protection locked="0"/>
    </xf>
    <xf numFmtId="1" fontId="8" fillId="0" borderId="1" xfId="0" applyNumberFormat="1" applyFont="1" applyBorder="1" applyAlignment="1" applyProtection="1">
      <alignment horizontal="left" vertical="top" wrapText="1"/>
      <protection locked="0"/>
    </xf>
    <xf numFmtId="0" fontId="7" fillId="0" borderId="1" xfId="0" applyFont="1" applyBorder="1" applyAlignment="1" applyProtection="1">
      <alignment horizontal="center" vertical="center"/>
      <protection locked="0"/>
    </xf>
    <xf numFmtId="1" fontId="7" fillId="0" borderId="1" xfId="0" applyNumberFormat="1" applyFont="1" applyBorder="1" applyAlignment="1" applyProtection="1">
      <alignment horizontal="center" vertical="top" wrapText="1"/>
      <protection locked="0"/>
    </xf>
    <xf numFmtId="9" fontId="7" fillId="0" borderId="14" xfId="8" applyFont="1" applyFill="1" applyBorder="1" applyAlignment="1" applyProtection="1">
      <alignment horizontal="center" vertical="center" wrapText="1"/>
      <protection locked="0"/>
    </xf>
    <xf numFmtId="9" fontId="7" fillId="0" borderId="15" xfId="8" applyFont="1" applyFill="1" applyBorder="1" applyAlignment="1" applyProtection="1">
      <alignment horizontal="center" vertical="center" wrapText="1"/>
      <protection locked="0"/>
    </xf>
    <xf numFmtId="9" fontId="7" fillId="0" borderId="20" xfId="8" applyFont="1" applyFill="1" applyBorder="1" applyAlignment="1" applyProtection="1">
      <alignment horizontal="center" vertical="center" wrapText="1"/>
      <protection locked="0"/>
    </xf>
    <xf numFmtId="9" fontId="7" fillId="0" borderId="21" xfId="8" applyFont="1" applyFill="1" applyBorder="1" applyAlignment="1" applyProtection="1">
      <alignment horizontal="center" vertical="center" wrapText="1"/>
      <protection locked="0"/>
    </xf>
    <xf numFmtId="9" fontId="7" fillId="0" borderId="23" xfId="8" applyFont="1" applyFill="1" applyBorder="1" applyAlignment="1" applyProtection="1">
      <alignment horizontal="center" vertical="center" wrapText="1"/>
      <protection locked="0"/>
    </xf>
    <xf numFmtId="9" fontId="7" fillId="0" borderId="24" xfId="8" applyFont="1" applyFill="1" applyBorder="1" applyAlignment="1" applyProtection="1">
      <alignment horizontal="center" vertical="center" wrapText="1"/>
      <protection locked="0"/>
    </xf>
    <xf numFmtId="9" fontId="7" fillId="0" borderId="22" xfId="8" applyFont="1" applyFill="1" applyBorder="1" applyAlignment="1" applyProtection="1">
      <alignment horizontal="center" vertical="center" wrapText="1"/>
      <protection locked="0"/>
    </xf>
    <xf numFmtId="9" fontId="7" fillId="0" borderId="9" xfId="8" applyFont="1" applyFill="1" applyBorder="1" applyAlignment="1" applyProtection="1">
      <alignment horizontal="center" vertical="center" wrapText="1"/>
      <protection locked="0"/>
    </xf>
    <xf numFmtId="9" fontId="7" fillId="0" borderId="11" xfId="8" applyFont="1" applyFill="1" applyBorder="1" applyAlignment="1" applyProtection="1">
      <alignment horizontal="center" vertical="center" wrapText="1"/>
      <protection locked="0"/>
    </xf>
    <xf numFmtId="0" fontId="7" fillId="0" borderId="5" xfId="1" applyFont="1" applyBorder="1" applyAlignment="1" applyProtection="1">
      <alignment horizontal="center" vertical="top" wrapText="1"/>
      <protection locked="0"/>
    </xf>
    <xf numFmtId="0" fontId="7" fillId="0" borderId="6" xfId="1" applyFont="1" applyBorder="1" applyAlignment="1" applyProtection="1">
      <alignment horizontal="center" vertical="top" wrapText="1"/>
      <protection locked="0"/>
    </xf>
    <xf numFmtId="0" fontId="8" fillId="0" borderId="13" xfId="1" applyFont="1" applyBorder="1" applyAlignment="1" applyProtection="1">
      <alignment horizontal="left" vertical="top"/>
      <protection locked="0"/>
    </xf>
    <xf numFmtId="0" fontId="12" fillId="0" borderId="7" xfId="1" applyFont="1" applyBorder="1" applyAlignment="1" applyProtection="1">
      <alignment horizontal="left" vertical="top" wrapText="1"/>
      <protection locked="0"/>
    </xf>
    <xf numFmtId="0" fontId="12" fillId="0" borderId="8" xfId="1" applyFont="1" applyBorder="1" applyAlignment="1" applyProtection="1">
      <alignment horizontal="left" vertical="top" wrapText="1"/>
      <protection locked="0"/>
    </xf>
    <xf numFmtId="0" fontId="12" fillId="0" borderId="18" xfId="1" applyFont="1" applyBorder="1" applyAlignment="1" applyProtection="1">
      <alignment horizontal="left" vertical="top" wrapText="1"/>
      <protection locked="0"/>
    </xf>
    <xf numFmtId="0" fontId="11" fillId="0" borderId="1" xfId="1" applyFont="1" applyBorder="1" applyAlignment="1" applyProtection="1">
      <alignment horizontal="center" vertical="top" wrapText="1"/>
      <protection locked="0"/>
    </xf>
    <xf numFmtId="0" fontId="8" fillId="0" borderId="1" xfId="1" applyFont="1" applyBorder="1" applyAlignment="1" applyProtection="1">
      <alignment horizontal="center" vertical="top"/>
      <protection locked="0"/>
    </xf>
    <xf numFmtId="14" fontId="12" fillId="0" borderId="1" xfId="1" applyNumberFormat="1" applyFont="1" applyBorder="1" applyAlignment="1" applyProtection="1">
      <alignment horizontal="left" vertical="top"/>
      <protection locked="0"/>
    </xf>
    <xf numFmtId="0" fontId="12" fillId="0" borderId="1" xfId="1" applyFont="1" applyBorder="1" applyAlignment="1" applyProtection="1">
      <alignment horizontal="left"/>
      <protection locked="0"/>
    </xf>
    <xf numFmtId="0" fontId="12" fillId="0" borderId="1" xfId="1" applyFont="1" applyBorder="1" applyAlignment="1" applyProtection="1">
      <alignment horizontal="center"/>
      <protection locked="0"/>
    </xf>
    <xf numFmtId="0" fontId="12" fillId="0" borderId="1" xfId="1" applyFont="1" applyBorder="1" applyAlignment="1" applyProtection="1">
      <alignment horizontal="center" vertical="top"/>
      <protection locked="0"/>
    </xf>
    <xf numFmtId="0" fontId="13" fillId="0" borderId="1" xfId="1" applyFont="1" applyBorder="1" applyAlignment="1" applyProtection="1">
      <alignment horizontal="center" vertical="top"/>
      <protection locked="0"/>
    </xf>
    <xf numFmtId="0" fontId="13" fillId="0" borderId="1" xfId="1" applyFont="1" applyBorder="1" applyAlignment="1" applyProtection="1">
      <alignment horizontal="center"/>
      <protection locked="0"/>
    </xf>
    <xf numFmtId="1" fontId="6" fillId="0" borderId="1" xfId="1" applyNumberFormat="1" applyFont="1" applyBorder="1" applyAlignment="1" applyProtection="1">
      <alignment horizontal="left" vertical="top" wrapText="1"/>
      <protection locked="0"/>
    </xf>
    <xf numFmtId="2" fontId="6" fillId="0" borderId="1" xfId="1" applyNumberFormat="1" applyFont="1" applyBorder="1" applyAlignment="1" applyProtection="1">
      <alignment horizontal="left" vertical="top"/>
      <protection locked="0"/>
    </xf>
    <xf numFmtId="2" fontId="6" fillId="0" borderId="1" xfId="1" applyNumberFormat="1" applyFont="1" applyBorder="1" applyAlignment="1" applyProtection="1">
      <alignment horizontal="left" vertical="top" wrapText="1"/>
      <protection locked="0"/>
    </xf>
    <xf numFmtId="0" fontId="12" fillId="0" borderId="2" xfId="1" applyFont="1" applyBorder="1" applyAlignment="1" applyProtection="1">
      <alignment horizontal="left" vertical="top" wrapText="1"/>
      <protection locked="0"/>
    </xf>
    <xf numFmtId="0" fontId="12" fillId="0" borderId="2" xfId="1" applyFont="1" applyBorder="1" applyAlignment="1" applyProtection="1">
      <alignment horizontal="left" vertical="top"/>
      <protection locked="0"/>
    </xf>
    <xf numFmtId="0" fontId="13" fillId="0" borderId="1" xfId="1" applyFont="1" applyBorder="1" applyAlignment="1" applyProtection="1">
      <alignment horizontal="left" vertical="top" wrapText="1"/>
      <protection locked="0"/>
    </xf>
    <xf numFmtId="0" fontId="13" fillId="0" borderId="7" xfId="1" applyFont="1" applyBorder="1" applyAlignment="1" applyProtection="1">
      <alignment horizontal="left" vertical="top"/>
      <protection locked="0"/>
    </xf>
    <xf numFmtId="0" fontId="13" fillId="0" borderId="18" xfId="1" applyFont="1" applyBorder="1" applyAlignment="1" applyProtection="1">
      <alignment horizontal="left" vertical="top"/>
      <protection locked="0"/>
    </xf>
    <xf numFmtId="0" fontId="13" fillId="0" borderId="8" xfId="1" applyFont="1" applyBorder="1" applyAlignment="1" applyProtection="1">
      <alignment horizontal="left" vertical="top"/>
      <protection locked="0"/>
    </xf>
    <xf numFmtId="0" fontId="10" fillId="0" borderId="1" xfId="0" applyFont="1" applyBorder="1" applyAlignment="1" applyProtection="1">
      <alignment horizontal="center" vertical="center"/>
      <protection locked="0"/>
    </xf>
    <xf numFmtId="0" fontId="10" fillId="0" borderId="1" xfId="0" applyFont="1" applyBorder="1" applyAlignment="1" applyProtection="1">
      <alignment horizontal="center" vertical="top" wrapText="1"/>
      <protection locked="0"/>
    </xf>
    <xf numFmtId="0" fontId="12" fillId="0" borderId="14" xfId="1" applyFont="1" applyBorder="1" applyAlignment="1" applyProtection="1">
      <alignment horizontal="left" vertical="top" wrapText="1"/>
      <protection locked="0"/>
    </xf>
    <xf numFmtId="0" fontId="12" fillId="0" borderId="19" xfId="1" applyFont="1" applyBorder="1" applyAlignment="1" applyProtection="1">
      <alignment horizontal="left" vertical="top" wrapText="1"/>
      <protection locked="0"/>
    </xf>
    <xf numFmtId="0" fontId="12" fillId="0" borderId="15" xfId="1" applyFont="1" applyBorder="1" applyAlignment="1" applyProtection="1">
      <alignment horizontal="left" vertical="top" wrapText="1"/>
      <protection locked="0"/>
    </xf>
    <xf numFmtId="0" fontId="8" fillId="0" borderId="7" xfId="1" applyFont="1" applyBorder="1" applyAlignment="1" applyProtection="1">
      <alignment horizontal="left" vertical="top" wrapText="1"/>
      <protection locked="0"/>
    </xf>
    <xf numFmtId="0" fontId="8" fillId="0" borderId="18" xfId="1" applyFont="1" applyBorder="1" applyAlignment="1" applyProtection="1">
      <alignment horizontal="left" vertical="top" wrapText="1"/>
      <protection locked="0"/>
    </xf>
    <xf numFmtId="0" fontId="8" fillId="0" borderId="8" xfId="1" applyFont="1" applyBorder="1" applyAlignment="1" applyProtection="1">
      <alignment horizontal="left" vertical="top" wrapText="1"/>
      <protection locked="0"/>
    </xf>
    <xf numFmtId="0" fontId="8" fillId="0" borderId="13" xfId="1" applyFont="1" applyBorder="1" applyAlignment="1" applyProtection="1">
      <alignment horizontal="center" vertical="top"/>
      <protection locked="0"/>
    </xf>
    <xf numFmtId="14" fontId="8" fillId="0" borderId="7" xfId="1" applyNumberFormat="1" applyFont="1" applyBorder="1" applyAlignment="1" applyProtection="1">
      <alignment horizontal="left" vertical="top"/>
      <protection locked="0"/>
    </xf>
    <xf numFmtId="0" fontId="8" fillId="0" borderId="8" xfId="1" applyFont="1" applyBorder="1" applyAlignment="1" applyProtection="1">
      <alignment horizontal="left" vertical="top"/>
      <protection locked="0"/>
    </xf>
    <xf numFmtId="0" fontId="8" fillId="0" borderId="14" xfId="1" applyFont="1" applyBorder="1" applyAlignment="1" applyProtection="1">
      <alignment horizontal="left" vertical="top" wrapText="1"/>
      <protection locked="0"/>
    </xf>
    <xf numFmtId="0" fontId="8" fillId="0" borderId="15" xfId="1" applyFont="1" applyBorder="1" applyAlignment="1" applyProtection="1">
      <alignment horizontal="left" vertical="top" wrapText="1"/>
      <protection locked="0"/>
    </xf>
    <xf numFmtId="0" fontId="8" fillId="0" borderId="16" xfId="1" applyFont="1" applyBorder="1" applyAlignment="1" applyProtection="1">
      <alignment horizontal="left" vertical="top" wrapText="1"/>
      <protection locked="0"/>
    </xf>
    <xf numFmtId="0" fontId="8" fillId="0" borderId="17" xfId="1" applyFont="1" applyBorder="1" applyAlignment="1" applyProtection="1">
      <alignment horizontal="left" vertical="top" wrapText="1"/>
      <protection locked="0"/>
    </xf>
    <xf numFmtId="0" fontId="9" fillId="0" borderId="1" xfId="5" applyFont="1" applyBorder="1" applyAlignment="1">
      <alignment horizontal="left"/>
    </xf>
    <xf numFmtId="0" fontId="10" fillId="0" borderId="1" xfId="1" applyFont="1" applyBorder="1" applyAlignment="1" applyProtection="1">
      <alignment horizontal="left"/>
      <protection locked="0"/>
    </xf>
    <xf numFmtId="0" fontId="24" fillId="2" borderId="12" xfId="0" applyFont="1" applyFill="1" applyBorder="1"/>
    <xf numFmtId="0" fontId="24" fillId="0" borderId="8" xfId="0" applyFont="1" applyBorder="1"/>
    <xf numFmtId="0" fontId="25" fillId="0" borderId="8" xfId="0" applyFont="1" applyBorder="1"/>
    <xf numFmtId="0" fontId="8" fillId="0" borderId="1" xfId="1" applyFont="1" applyBorder="1" applyAlignment="1" applyProtection="1">
      <alignment horizontal="left" vertical="top" wrapText="1"/>
      <protection locked="0"/>
    </xf>
  </cellXfs>
  <cellStyles count="11">
    <cellStyle name="Comma" xfId="9" builtinId="3"/>
    <cellStyle name="Comma 2" xfId="6"/>
    <cellStyle name="Excel Built-in Normal" xfId="2"/>
    <cellStyle name="Excel Built-in Normal 2" xfId="4"/>
    <cellStyle name="Hyperlink" xfId="10" builtinId="8"/>
    <cellStyle name="Normal" xfId="0" builtinId="0"/>
    <cellStyle name="Normal 2" xfId="3"/>
    <cellStyle name="Normal 3" xfId="1"/>
    <cellStyle name="Normal 3 3" xfId="7"/>
    <cellStyle name="Normal 4" xfId="5"/>
    <cellStyle name="Percent" xfId="8"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jp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jpg"/><Relationship Id="rId5" Type="http://schemas.openxmlformats.org/officeDocument/2006/relationships/image" Target="../media/image5.jp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_rels/vmlDrawing1.v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png"/></Relationships>
</file>

<file path=xl/drawings/drawing1.xml><?xml version="1.0" encoding="utf-8"?>
<xdr:wsDr xmlns:xdr="http://schemas.openxmlformats.org/drawingml/2006/spreadsheetDrawing" xmlns:a="http://schemas.openxmlformats.org/drawingml/2006/main">
  <xdr:twoCellAnchor>
    <xdr:from>
      <xdr:col>1</xdr:col>
      <xdr:colOff>417635</xdr:colOff>
      <xdr:row>214</xdr:row>
      <xdr:rowOff>0</xdr:rowOff>
    </xdr:from>
    <xdr:to>
      <xdr:col>6</xdr:col>
      <xdr:colOff>329712</xdr:colOff>
      <xdr:row>246</xdr:row>
      <xdr:rowOff>139212</xdr:rowOff>
    </xdr:to>
    <xdr:grpSp>
      <xdr:nvGrpSpPr>
        <xdr:cNvPr id="10" name="Group 9">
          <a:extLst>
            <a:ext uri="{FF2B5EF4-FFF2-40B4-BE49-F238E27FC236}">
              <a16:creationId xmlns:a16="http://schemas.microsoft.com/office/drawing/2014/main" id="{00000000-0008-0000-0000-00000A000000}"/>
            </a:ext>
          </a:extLst>
        </xdr:cNvPr>
        <xdr:cNvGrpSpPr/>
      </xdr:nvGrpSpPr>
      <xdr:grpSpPr>
        <a:xfrm>
          <a:off x="1217735" y="44246800"/>
          <a:ext cx="4268177" cy="6438412"/>
          <a:chOff x="1316035" y="252186"/>
          <a:chExt cx="4320000" cy="8002406"/>
        </a:xfrm>
      </xdr:grpSpPr>
      <xdr:pic>
        <xdr:nvPicPr>
          <xdr:cNvPr id="11" name="Picture 10">
            <a:extLst>
              <a:ext uri="{FF2B5EF4-FFF2-40B4-BE49-F238E27FC236}">
                <a16:creationId xmlns:a16="http://schemas.microsoft.com/office/drawing/2014/main" id="{00000000-0008-0000-0000-00000B000000}"/>
              </a:ext>
            </a:extLst>
          </xdr:cNvPr>
          <xdr:cNvPicPr>
            <a:picLocks noChangeAspect="1"/>
          </xdr:cNvPicPr>
        </xdr:nvPicPr>
        <xdr:blipFill>
          <a:blip xmlns:r="http://schemas.openxmlformats.org/officeDocument/2006/relationships" r:embed="rId1"/>
          <a:stretch>
            <a:fillRect/>
          </a:stretch>
        </xdr:blipFill>
        <xdr:spPr>
          <a:xfrm>
            <a:off x="1676035" y="4991100"/>
            <a:ext cx="3600000" cy="3263492"/>
          </a:xfrm>
          <a:prstGeom prst="rect">
            <a:avLst/>
          </a:prstGeom>
          <a:ln>
            <a:solidFill>
              <a:schemeClr val="tx1"/>
            </a:solidFill>
          </a:ln>
        </xdr:spPr>
      </xdr:pic>
      <xdr:grpSp>
        <xdr:nvGrpSpPr>
          <xdr:cNvPr id="12" name="Group 11">
            <a:extLst>
              <a:ext uri="{FF2B5EF4-FFF2-40B4-BE49-F238E27FC236}">
                <a16:creationId xmlns:a16="http://schemas.microsoft.com/office/drawing/2014/main" id="{00000000-0008-0000-0000-00000C000000}"/>
              </a:ext>
            </a:extLst>
          </xdr:cNvPr>
          <xdr:cNvGrpSpPr/>
        </xdr:nvGrpSpPr>
        <xdr:grpSpPr>
          <a:xfrm>
            <a:off x="1316035" y="252186"/>
            <a:ext cx="4320000" cy="4595744"/>
            <a:chOff x="1316035" y="252186"/>
            <a:chExt cx="4320000" cy="4595744"/>
          </a:xfrm>
        </xdr:grpSpPr>
        <xdr:pic>
          <xdr:nvPicPr>
            <xdr:cNvPr id="13" name="Picture 12">
              <a:extLst>
                <a:ext uri="{FF2B5EF4-FFF2-40B4-BE49-F238E27FC236}">
                  <a16:creationId xmlns:a16="http://schemas.microsoft.com/office/drawing/2014/main" id="{00000000-0008-0000-0000-00000D000000}"/>
                </a:ext>
              </a:extLst>
            </xdr:cNvPr>
            <xdr:cNvPicPr>
              <a:picLocks noChangeAspect="1"/>
            </xdr:cNvPicPr>
          </xdr:nvPicPr>
          <xdr:blipFill>
            <a:blip xmlns:r="http://schemas.openxmlformats.org/officeDocument/2006/relationships" r:embed="rId2"/>
            <a:stretch>
              <a:fillRect/>
            </a:stretch>
          </xdr:blipFill>
          <xdr:spPr>
            <a:xfrm>
              <a:off x="1316035" y="252186"/>
              <a:ext cx="4320000" cy="4595744"/>
            </a:xfrm>
            <a:prstGeom prst="rect">
              <a:avLst/>
            </a:prstGeom>
            <a:ln>
              <a:solidFill>
                <a:schemeClr val="tx1"/>
              </a:solidFill>
            </a:ln>
          </xdr:spPr>
        </xdr:pic>
        <xdr:sp macro="" textlink="">
          <xdr:nvSpPr>
            <xdr:cNvPr id="14" name="Rectangle 13">
              <a:extLst>
                <a:ext uri="{FF2B5EF4-FFF2-40B4-BE49-F238E27FC236}">
                  <a16:creationId xmlns:a16="http://schemas.microsoft.com/office/drawing/2014/main" id="{00000000-0008-0000-0000-00000E000000}"/>
                </a:ext>
              </a:extLst>
            </xdr:cNvPr>
            <xdr:cNvSpPr/>
          </xdr:nvSpPr>
          <xdr:spPr>
            <a:xfrm rot="20906191">
              <a:off x="4044199" y="2413076"/>
              <a:ext cx="857250" cy="1198997"/>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a:p>
          </xdr:txBody>
        </xdr:sp>
        <xdr:sp macro="" textlink="">
          <xdr:nvSpPr>
            <xdr:cNvPr id="15" name="TextBox 4">
              <a:extLst>
                <a:ext uri="{FF2B5EF4-FFF2-40B4-BE49-F238E27FC236}">
                  <a16:creationId xmlns:a16="http://schemas.microsoft.com/office/drawing/2014/main" id="{00000000-0008-0000-0000-00000F000000}"/>
                </a:ext>
              </a:extLst>
            </xdr:cNvPr>
            <xdr:cNvSpPr txBox="1"/>
          </xdr:nvSpPr>
          <xdr:spPr>
            <a:xfrm>
              <a:off x="3060699" y="2876550"/>
              <a:ext cx="1036917" cy="462779"/>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1">
                  <a:solidFill>
                    <a:srgbClr val="FF0000"/>
                  </a:solidFill>
                </a:rPr>
                <a:t>Tower D</a:t>
              </a:r>
              <a:endParaRPr lang="en-IN" b="1">
                <a:solidFill>
                  <a:srgbClr val="FF0000"/>
                </a:solidFill>
              </a:endParaRPr>
            </a:p>
          </xdr:txBody>
        </xdr:sp>
      </xdr:grpSp>
    </xdr:grpSp>
    <xdr:clientData/>
  </xdr:twoCellAnchor>
  <xdr:twoCellAnchor>
    <xdr:from>
      <xdr:col>0</xdr:col>
      <xdr:colOff>520211</xdr:colOff>
      <xdr:row>250</xdr:row>
      <xdr:rowOff>36634</xdr:rowOff>
    </xdr:from>
    <xdr:to>
      <xdr:col>7</xdr:col>
      <xdr:colOff>249115</xdr:colOff>
      <xdr:row>285</xdr:row>
      <xdr:rowOff>190500</xdr:rowOff>
    </xdr:to>
    <xdr:grpSp>
      <xdr:nvGrpSpPr>
        <xdr:cNvPr id="16" name="Group 15">
          <a:extLst>
            <a:ext uri="{FF2B5EF4-FFF2-40B4-BE49-F238E27FC236}">
              <a16:creationId xmlns:a16="http://schemas.microsoft.com/office/drawing/2014/main" id="{00000000-0008-0000-0000-000010000000}"/>
            </a:ext>
          </a:extLst>
        </xdr:cNvPr>
        <xdr:cNvGrpSpPr/>
      </xdr:nvGrpSpPr>
      <xdr:grpSpPr>
        <a:xfrm>
          <a:off x="520211" y="51370034"/>
          <a:ext cx="5704254" cy="7043616"/>
          <a:chOff x="442257" y="224286"/>
          <a:chExt cx="5760000" cy="7797226"/>
        </a:xfrm>
      </xdr:grpSpPr>
      <xdr:pic>
        <xdr:nvPicPr>
          <xdr:cNvPr id="17" name="Picture 16">
            <a:extLst>
              <a:ext uri="{FF2B5EF4-FFF2-40B4-BE49-F238E27FC236}">
                <a16:creationId xmlns:a16="http://schemas.microsoft.com/office/drawing/2014/main" id="{00000000-0008-0000-0000-000011000000}"/>
              </a:ext>
            </a:extLst>
          </xdr:cNvPr>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802257" y="224286"/>
            <a:ext cx="5040000" cy="3581480"/>
          </a:xfrm>
          <a:prstGeom prst="rect">
            <a:avLst/>
          </a:prstGeom>
          <a:ln>
            <a:solidFill>
              <a:schemeClr val="tx1"/>
            </a:solidFill>
          </a:ln>
        </xdr:spPr>
      </xdr:pic>
      <xdr:grpSp>
        <xdr:nvGrpSpPr>
          <xdr:cNvPr id="18" name="Group 17">
            <a:extLst>
              <a:ext uri="{FF2B5EF4-FFF2-40B4-BE49-F238E27FC236}">
                <a16:creationId xmlns:a16="http://schemas.microsoft.com/office/drawing/2014/main" id="{00000000-0008-0000-0000-000012000000}"/>
              </a:ext>
            </a:extLst>
          </xdr:cNvPr>
          <xdr:cNvGrpSpPr/>
        </xdr:nvGrpSpPr>
        <xdr:grpSpPr>
          <a:xfrm>
            <a:off x="442257" y="3950896"/>
            <a:ext cx="5760000" cy="4070616"/>
            <a:chOff x="442257" y="3950896"/>
            <a:chExt cx="5760000" cy="4070616"/>
          </a:xfrm>
        </xdr:grpSpPr>
        <xdr:pic>
          <xdr:nvPicPr>
            <xdr:cNvPr id="19" name="Picture 18">
              <a:extLst>
                <a:ext uri="{FF2B5EF4-FFF2-40B4-BE49-F238E27FC236}">
                  <a16:creationId xmlns:a16="http://schemas.microsoft.com/office/drawing/2014/main" id="{00000000-0008-0000-0000-000013000000}"/>
                </a:ext>
              </a:extLst>
            </xdr:cNvPr>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442257" y="3950896"/>
              <a:ext cx="5760000" cy="4070616"/>
            </a:xfrm>
            <a:prstGeom prst="rect">
              <a:avLst/>
            </a:prstGeom>
            <a:ln>
              <a:solidFill>
                <a:schemeClr val="tx1"/>
              </a:solidFill>
            </a:ln>
          </xdr:spPr>
        </xdr:pic>
        <xdr:sp macro="" textlink="">
          <xdr:nvSpPr>
            <xdr:cNvPr id="20" name="Rectangle 19">
              <a:extLst>
                <a:ext uri="{FF2B5EF4-FFF2-40B4-BE49-F238E27FC236}">
                  <a16:creationId xmlns:a16="http://schemas.microsoft.com/office/drawing/2014/main" id="{00000000-0008-0000-0000-000014000000}"/>
                </a:ext>
              </a:extLst>
            </xdr:cNvPr>
            <xdr:cNvSpPr/>
          </xdr:nvSpPr>
          <xdr:spPr>
            <a:xfrm rot="2049581">
              <a:off x="2156604" y="4882551"/>
              <a:ext cx="2622430" cy="2484407"/>
            </a:xfrm>
            <a:prstGeom prst="rect">
              <a:avLst/>
            </a:prstGeom>
            <a:noFill/>
            <a:ln w="57150">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a:p>
          </xdr:txBody>
        </xdr:sp>
      </xdr:grpSp>
    </xdr:grpSp>
    <xdr:clientData/>
  </xdr:twoCellAnchor>
  <xdr:twoCellAnchor>
    <xdr:from>
      <xdr:col>8</xdr:col>
      <xdr:colOff>1041138</xdr:colOff>
      <xdr:row>174</xdr:row>
      <xdr:rowOff>64882</xdr:rowOff>
    </xdr:from>
    <xdr:to>
      <xdr:col>14</xdr:col>
      <xdr:colOff>649266</xdr:colOff>
      <xdr:row>210</xdr:row>
      <xdr:rowOff>54608</xdr:rowOff>
    </xdr:to>
    <xdr:grpSp>
      <xdr:nvGrpSpPr>
        <xdr:cNvPr id="2" name="Group 1">
          <a:extLst>
            <a:ext uri="{FF2B5EF4-FFF2-40B4-BE49-F238E27FC236}">
              <a16:creationId xmlns:a16="http://schemas.microsoft.com/office/drawing/2014/main" id="{85826C27-F4CA-28FD-CA01-58821BC5D6A0}"/>
            </a:ext>
          </a:extLst>
        </xdr:cNvPr>
        <xdr:cNvGrpSpPr/>
      </xdr:nvGrpSpPr>
      <xdr:grpSpPr>
        <a:xfrm>
          <a:off x="7886438" y="36444032"/>
          <a:ext cx="4802428" cy="7069976"/>
          <a:chOff x="920834" y="335280"/>
          <a:chExt cx="4677333" cy="7114426"/>
        </a:xfrm>
      </xdr:grpSpPr>
      <xdr:grpSp>
        <xdr:nvGrpSpPr>
          <xdr:cNvPr id="3" name="Group 2">
            <a:extLst>
              <a:ext uri="{FF2B5EF4-FFF2-40B4-BE49-F238E27FC236}">
                <a16:creationId xmlns:a16="http://schemas.microsoft.com/office/drawing/2014/main" id="{F91FD62C-7F94-E9BF-F514-7144E1FE59F4}"/>
              </a:ext>
            </a:extLst>
          </xdr:cNvPr>
          <xdr:cNvGrpSpPr/>
        </xdr:nvGrpSpPr>
        <xdr:grpSpPr>
          <a:xfrm>
            <a:off x="920834" y="5289706"/>
            <a:ext cx="4677333" cy="2160000"/>
            <a:chOff x="920834" y="5289706"/>
            <a:chExt cx="4677333" cy="2160000"/>
          </a:xfrm>
        </xdr:grpSpPr>
        <xdr:pic>
          <xdr:nvPicPr>
            <xdr:cNvPr id="7" name="Picture 6">
              <a:extLst>
                <a:ext uri="{FF2B5EF4-FFF2-40B4-BE49-F238E27FC236}">
                  <a16:creationId xmlns:a16="http://schemas.microsoft.com/office/drawing/2014/main" id="{1B1F2925-EF77-4D4B-832F-EAD25E4766BD}"/>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tretch>
              <a:fillRect/>
            </a:stretch>
          </xdr:blipFill>
          <xdr:spPr>
            <a:xfrm>
              <a:off x="3979855" y="5289706"/>
              <a:ext cx="1618312" cy="2160000"/>
            </a:xfrm>
            <a:prstGeom prst="rect">
              <a:avLst/>
            </a:prstGeom>
            <a:ln>
              <a:solidFill>
                <a:schemeClr val="tx1"/>
              </a:solidFill>
            </a:ln>
          </xdr:spPr>
        </xdr:pic>
        <xdr:pic>
          <xdr:nvPicPr>
            <xdr:cNvPr id="8" name="Picture 7">
              <a:extLst>
                <a:ext uri="{FF2B5EF4-FFF2-40B4-BE49-F238E27FC236}">
                  <a16:creationId xmlns:a16="http://schemas.microsoft.com/office/drawing/2014/main" id="{026CE163-EE4D-AD1D-C03D-386DB97D6B33}"/>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tretch>
              <a:fillRect/>
            </a:stretch>
          </xdr:blipFill>
          <xdr:spPr>
            <a:xfrm>
              <a:off x="920834" y="5289706"/>
              <a:ext cx="2877333" cy="2160000"/>
            </a:xfrm>
            <a:prstGeom prst="rect">
              <a:avLst/>
            </a:prstGeom>
            <a:ln>
              <a:solidFill>
                <a:schemeClr val="tx1"/>
              </a:solidFill>
            </a:ln>
          </xdr:spPr>
        </xdr:pic>
      </xdr:grpSp>
      <xdr:grpSp>
        <xdr:nvGrpSpPr>
          <xdr:cNvPr id="4" name="Group 3">
            <a:extLst>
              <a:ext uri="{FF2B5EF4-FFF2-40B4-BE49-F238E27FC236}">
                <a16:creationId xmlns:a16="http://schemas.microsoft.com/office/drawing/2014/main" id="{C6F0C526-C594-2438-F6A6-38FB5069A142}"/>
              </a:ext>
            </a:extLst>
          </xdr:cNvPr>
          <xdr:cNvGrpSpPr/>
        </xdr:nvGrpSpPr>
        <xdr:grpSpPr>
          <a:xfrm>
            <a:off x="1403807" y="335280"/>
            <a:ext cx="3600000" cy="4805005"/>
            <a:chOff x="1403807" y="335280"/>
            <a:chExt cx="3600000" cy="4805005"/>
          </a:xfrm>
        </xdr:grpSpPr>
        <xdr:pic>
          <xdr:nvPicPr>
            <xdr:cNvPr id="5" name="Picture 4">
              <a:extLst>
                <a:ext uri="{FF2B5EF4-FFF2-40B4-BE49-F238E27FC236}">
                  <a16:creationId xmlns:a16="http://schemas.microsoft.com/office/drawing/2014/main" id="{0F0A89DE-EA5E-D719-7208-15E01317294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tretch>
              <a:fillRect/>
            </a:stretch>
          </xdr:blipFill>
          <xdr:spPr>
            <a:xfrm>
              <a:off x="1403807" y="335280"/>
              <a:ext cx="3600000" cy="4805005"/>
            </a:xfrm>
            <a:prstGeom prst="rect">
              <a:avLst/>
            </a:prstGeom>
            <a:ln>
              <a:solidFill>
                <a:schemeClr val="tx1"/>
              </a:solidFill>
            </a:ln>
          </xdr:spPr>
        </xdr:pic>
        <xdr:sp macro="" textlink="">
          <xdr:nvSpPr>
            <xdr:cNvPr id="6" name="TextBox 10">
              <a:extLst>
                <a:ext uri="{FF2B5EF4-FFF2-40B4-BE49-F238E27FC236}">
                  <a16:creationId xmlns:a16="http://schemas.microsoft.com/office/drawing/2014/main" id="{DFA63990-030E-7E05-1A5C-C49587AC2155}"/>
                </a:ext>
              </a:extLst>
            </xdr:cNvPr>
            <xdr:cNvSpPr txBox="1"/>
          </xdr:nvSpPr>
          <xdr:spPr>
            <a:xfrm rot="21157087">
              <a:off x="2357407" y="2776253"/>
              <a:ext cx="1111202" cy="261610"/>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100">
                  <a:solidFill>
                    <a:srgbClr val="FFFF00"/>
                  </a:solidFill>
                </a:rPr>
                <a:t>Upper stilt Floor</a:t>
              </a:r>
              <a:endParaRPr lang="en-IN" sz="1100">
                <a:solidFill>
                  <a:srgbClr val="FFFF00"/>
                </a:solidFill>
              </a:endParaRPr>
            </a:p>
          </xdr:txBody>
        </xdr:sp>
      </xdr:grpSp>
    </xdr:grpSp>
    <xdr:clientData/>
  </xdr:twoCellAnchor>
  <xdr:twoCellAnchor>
    <xdr:from>
      <xdr:col>1</xdr:col>
      <xdr:colOff>330200</xdr:colOff>
      <xdr:row>172</xdr:row>
      <xdr:rowOff>69850</xdr:rowOff>
    </xdr:from>
    <xdr:to>
      <xdr:col>6</xdr:col>
      <xdr:colOff>627644</xdr:colOff>
      <xdr:row>211</xdr:row>
      <xdr:rowOff>45666</xdr:rowOff>
    </xdr:to>
    <xdr:grpSp>
      <xdr:nvGrpSpPr>
        <xdr:cNvPr id="9" name="Group 8"/>
        <xdr:cNvGrpSpPr/>
      </xdr:nvGrpSpPr>
      <xdr:grpSpPr>
        <a:xfrm>
          <a:off x="1130300" y="36055300"/>
          <a:ext cx="4653544" cy="7646616"/>
          <a:chOff x="1130300" y="36055300"/>
          <a:chExt cx="4653544" cy="7646616"/>
        </a:xfrm>
      </xdr:grpSpPr>
      <xdr:pic>
        <xdr:nvPicPr>
          <xdr:cNvPr id="27" name="Picture 26"/>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a:ext>
            </a:extLst>
          </a:blip>
          <a:stretch>
            <a:fillRect/>
          </a:stretch>
        </xdr:blipFill>
        <xdr:spPr>
          <a:xfrm>
            <a:off x="4165531" y="41541916"/>
            <a:ext cx="1618313" cy="2160000"/>
          </a:xfrm>
          <a:prstGeom prst="rect">
            <a:avLst/>
          </a:prstGeom>
          <a:ln>
            <a:solidFill>
              <a:schemeClr val="tx1"/>
            </a:solidFill>
          </a:ln>
        </xdr:spPr>
      </xdr:pic>
      <xdr:pic>
        <xdr:nvPicPr>
          <xdr:cNvPr id="28" name="Picture 27"/>
          <xdr:cNvPicPr>
            <a:picLocks noChangeAspect="1"/>
          </xdr:cNvPicPr>
        </xdr:nvPicPr>
        <xdr:blipFill>
          <a:blip xmlns:r="http://schemas.openxmlformats.org/officeDocument/2006/relationships" r:embed="rId9"/>
          <a:stretch>
            <a:fillRect/>
          </a:stretch>
        </xdr:blipFill>
        <xdr:spPr>
          <a:xfrm>
            <a:off x="1490771" y="36055300"/>
            <a:ext cx="4045783" cy="5400000"/>
          </a:xfrm>
          <a:prstGeom prst="rect">
            <a:avLst/>
          </a:prstGeom>
          <a:ln>
            <a:solidFill>
              <a:schemeClr val="tx1"/>
            </a:solidFill>
          </a:ln>
        </xdr:spPr>
      </xdr:pic>
      <xdr:pic>
        <xdr:nvPicPr>
          <xdr:cNvPr id="29" name="Picture 28"/>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a:ext>
            </a:extLst>
          </a:blip>
          <a:stretch>
            <a:fillRect/>
          </a:stretch>
        </xdr:blipFill>
        <xdr:spPr>
          <a:xfrm>
            <a:off x="1130300" y="41541916"/>
            <a:ext cx="2877333" cy="2160000"/>
          </a:xfrm>
          <a:prstGeom prst="rect">
            <a:avLst/>
          </a:prstGeom>
          <a:ln>
            <a:solidFill>
              <a:schemeClr val="tx1"/>
            </a:solidFill>
          </a:ln>
        </xdr:spPr>
      </xdr:pic>
      <xdr:sp macro="" textlink="">
        <xdr:nvSpPr>
          <xdr:cNvPr id="30" name="TextBox 10">
            <a:extLst>
              <a:ext uri="{FF2B5EF4-FFF2-40B4-BE49-F238E27FC236}">
                <a16:creationId xmlns:a16="http://schemas.microsoft.com/office/drawing/2014/main" id="{DFA63990-030E-7E05-1A5C-C49587AC2155}"/>
              </a:ext>
            </a:extLst>
          </xdr:cNvPr>
          <xdr:cNvSpPr txBox="1"/>
        </xdr:nvSpPr>
        <xdr:spPr>
          <a:xfrm rot="21157087">
            <a:off x="2868721" y="39204901"/>
            <a:ext cx="1140921" cy="259975"/>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100">
                <a:solidFill>
                  <a:srgbClr val="FFFF00"/>
                </a:solidFill>
              </a:rPr>
              <a:t>Upper stilt Floor</a:t>
            </a:r>
            <a:endParaRPr lang="en-IN" sz="1100">
              <a:solidFill>
                <a:srgbClr val="FFFF00"/>
              </a:solidFill>
            </a:endParaRPr>
          </a:p>
        </xdr:txBody>
      </xdr:sp>
    </xdr:grpSp>
    <xdr:clientData/>
  </xdr:twoCellAnchor>
  <xdr:twoCellAnchor>
    <xdr:from>
      <xdr:col>2</xdr:col>
      <xdr:colOff>254001</xdr:colOff>
      <xdr:row>177</xdr:row>
      <xdr:rowOff>127002</xdr:rowOff>
    </xdr:from>
    <xdr:to>
      <xdr:col>3</xdr:col>
      <xdr:colOff>146051</xdr:colOff>
      <xdr:row>178</xdr:row>
      <xdr:rowOff>190127</xdr:rowOff>
    </xdr:to>
    <xdr:sp macro="" textlink="">
      <xdr:nvSpPr>
        <xdr:cNvPr id="31" name="TextBox 10">
          <a:extLst>
            <a:ext uri="{FF2B5EF4-FFF2-40B4-BE49-F238E27FC236}">
              <a16:creationId xmlns:a16="http://schemas.microsoft.com/office/drawing/2014/main" id="{DFA63990-030E-7E05-1A5C-C49587AC2155}"/>
            </a:ext>
          </a:extLst>
        </xdr:cNvPr>
        <xdr:cNvSpPr txBox="1"/>
      </xdr:nvSpPr>
      <xdr:spPr>
        <a:xfrm>
          <a:off x="1892301" y="37090352"/>
          <a:ext cx="781050" cy="259975"/>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100">
              <a:solidFill>
                <a:sysClr val="windowText" lastClr="000000"/>
              </a:solidFill>
            </a:rPr>
            <a:t>17th Floor</a:t>
          </a:r>
          <a:endParaRPr lang="en-IN" sz="1100">
            <a:solidFill>
              <a:sysClr val="windowText" lastClr="000000"/>
            </a:solidFill>
          </a:endParaRPr>
        </a:p>
      </xdr:txBody>
    </xdr:sp>
    <xdr:clientData/>
  </xdr:twoCellAnchor>
  <xdr:twoCellAnchor>
    <xdr:from>
      <xdr:col>2</xdr:col>
      <xdr:colOff>644526</xdr:colOff>
      <xdr:row>178</xdr:row>
      <xdr:rowOff>190127</xdr:rowOff>
    </xdr:from>
    <xdr:to>
      <xdr:col>3</xdr:col>
      <xdr:colOff>107950</xdr:colOff>
      <xdr:row>180</xdr:row>
      <xdr:rowOff>19050</xdr:rowOff>
    </xdr:to>
    <xdr:cxnSp macro="">
      <xdr:nvCxnSpPr>
        <xdr:cNvPr id="32" name="Straight Arrow Connector 31"/>
        <xdr:cNvCxnSpPr>
          <a:stCxn id="31" idx="2"/>
        </xdr:cNvCxnSpPr>
      </xdr:nvCxnSpPr>
      <xdr:spPr>
        <a:xfrm>
          <a:off x="2282826" y="37350327"/>
          <a:ext cx="352424" cy="222623"/>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maps.app.goo.gl/xMHhCTzChXRQZFWh6" TargetMode="Externa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N249"/>
  <sheetViews>
    <sheetView tabSelected="1" view="pageBreakPreview" zoomScaleNormal="100" zoomScaleSheetLayoutView="100" workbookViewId="0">
      <selection activeCell="E9" sqref="E9:H9"/>
    </sheetView>
  </sheetViews>
  <sheetFormatPr defaultColWidth="9.1796875" defaultRowHeight="15.5" x14ac:dyDescent="0.35"/>
  <cols>
    <col min="1" max="1" width="11.453125" style="37" customWidth="1"/>
    <col min="2" max="2" width="12" style="37" customWidth="1"/>
    <col min="3" max="3" width="12.7265625" style="37" customWidth="1"/>
    <col min="4" max="4" width="14.1796875" style="37" customWidth="1"/>
    <col min="5" max="7" width="11.7265625" style="37" customWidth="1"/>
    <col min="8" max="8" width="12.453125" style="37" customWidth="1"/>
    <col min="9" max="9" width="17.453125" style="19" customWidth="1"/>
    <col min="10" max="10" width="11.453125" style="19" customWidth="1"/>
    <col min="11" max="11" width="10.54296875" style="19" bestFit="1" customWidth="1"/>
    <col min="12" max="12" width="10.54296875" style="19" customWidth="1"/>
    <col min="13" max="13" width="11.81640625" style="19" customWidth="1"/>
    <col min="14" max="14" width="12.54296875" style="19" customWidth="1"/>
    <col min="15" max="15" width="9.81640625" style="19" customWidth="1"/>
    <col min="16" max="16" width="11.7265625" style="19" customWidth="1"/>
    <col min="17" max="247" width="9.1796875" style="19"/>
    <col min="248" max="248" width="8.7265625" style="19" customWidth="1"/>
    <col min="249" max="249" width="9.81640625" style="19" customWidth="1"/>
    <col min="250" max="250" width="14.453125" style="19" customWidth="1"/>
    <col min="251" max="251" width="7.26953125" style="19" customWidth="1"/>
    <col min="252" max="252" width="5.54296875" style="19" customWidth="1"/>
    <col min="253" max="253" width="9" style="19" customWidth="1"/>
    <col min="254" max="255" width="9.81640625" style="19" customWidth="1"/>
    <col min="256" max="256" width="11.1796875" style="19" customWidth="1"/>
    <col min="257" max="257" width="2.81640625" style="19" customWidth="1"/>
    <col min="258" max="258" width="3.54296875" style="19" customWidth="1"/>
    <col min="259" max="503" width="9.1796875" style="19"/>
    <col min="504" max="504" width="8.7265625" style="19" customWidth="1"/>
    <col min="505" max="505" width="9.81640625" style="19" customWidth="1"/>
    <col min="506" max="506" width="14.453125" style="19" customWidth="1"/>
    <col min="507" max="507" width="7.26953125" style="19" customWidth="1"/>
    <col min="508" max="508" width="5.54296875" style="19" customWidth="1"/>
    <col min="509" max="509" width="9" style="19" customWidth="1"/>
    <col min="510" max="511" width="9.81640625" style="19" customWidth="1"/>
    <col min="512" max="512" width="11.1796875" style="19" customWidth="1"/>
    <col min="513" max="513" width="2.81640625" style="19" customWidth="1"/>
    <col min="514" max="514" width="3.54296875" style="19" customWidth="1"/>
    <col min="515" max="759" width="9.1796875" style="19"/>
    <col min="760" max="760" width="8.7265625" style="19" customWidth="1"/>
    <col min="761" max="761" width="9.81640625" style="19" customWidth="1"/>
    <col min="762" max="762" width="14.453125" style="19" customWidth="1"/>
    <col min="763" max="763" width="7.26953125" style="19" customWidth="1"/>
    <col min="764" max="764" width="5.54296875" style="19" customWidth="1"/>
    <col min="765" max="765" width="9" style="19" customWidth="1"/>
    <col min="766" max="767" width="9.81640625" style="19" customWidth="1"/>
    <col min="768" max="768" width="11.1796875" style="19" customWidth="1"/>
    <col min="769" max="769" width="2.81640625" style="19" customWidth="1"/>
    <col min="770" max="770" width="3.54296875" style="19" customWidth="1"/>
    <col min="771" max="1015" width="9.1796875" style="19"/>
    <col min="1016" max="1016" width="8.7265625" style="19" customWidth="1"/>
    <col min="1017" max="1017" width="9.81640625" style="19" customWidth="1"/>
    <col min="1018" max="1018" width="14.453125" style="19" customWidth="1"/>
    <col min="1019" max="1019" width="7.26953125" style="19" customWidth="1"/>
    <col min="1020" max="1020" width="5.54296875" style="19" customWidth="1"/>
    <col min="1021" max="1021" width="9" style="19" customWidth="1"/>
    <col min="1022" max="1023" width="9.81640625" style="19" customWidth="1"/>
    <col min="1024" max="1024" width="11.1796875" style="19" customWidth="1"/>
    <col min="1025" max="1025" width="2.81640625" style="19" customWidth="1"/>
    <col min="1026" max="1026" width="3.54296875" style="19" customWidth="1"/>
    <col min="1027" max="1271" width="9.1796875" style="19"/>
    <col min="1272" max="1272" width="8.7265625" style="19" customWidth="1"/>
    <col min="1273" max="1273" width="9.81640625" style="19" customWidth="1"/>
    <col min="1274" max="1274" width="14.453125" style="19" customWidth="1"/>
    <col min="1275" max="1275" width="7.26953125" style="19" customWidth="1"/>
    <col min="1276" max="1276" width="5.54296875" style="19" customWidth="1"/>
    <col min="1277" max="1277" width="9" style="19" customWidth="1"/>
    <col min="1278" max="1279" width="9.81640625" style="19" customWidth="1"/>
    <col min="1280" max="1280" width="11.1796875" style="19" customWidth="1"/>
    <col min="1281" max="1281" width="2.81640625" style="19" customWidth="1"/>
    <col min="1282" max="1282" width="3.54296875" style="19" customWidth="1"/>
    <col min="1283" max="1527" width="9.1796875" style="19"/>
    <col min="1528" max="1528" width="8.7265625" style="19" customWidth="1"/>
    <col min="1529" max="1529" width="9.81640625" style="19" customWidth="1"/>
    <col min="1530" max="1530" width="14.453125" style="19" customWidth="1"/>
    <col min="1531" max="1531" width="7.26953125" style="19" customWidth="1"/>
    <col min="1532" max="1532" width="5.54296875" style="19" customWidth="1"/>
    <col min="1533" max="1533" width="9" style="19" customWidth="1"/>
    <col min="1534" max="1535" width="9.81640625" style="19" customWidth="1"/>
    <col min="1536" max="1536" width="11.1796875" style="19" customWidth="1"/>
    <col min="1537" max="1537" width="2.81640625" style="19" customWidth="1"/>
    <col min="1538" max="1538" width="3.54296875" style="19" customWidth="1"/>
    <col min="1539" max="1783" width="9.1796875" style="19"/>
    <col min="1784" max="1784" width="8.7265625" style="19" customWidth="1"/>
    <col min="1785" max="1785" width="9.81640625" style="19" customWidth="1"/>
    <col min="1786" max="1786" width="14.453125" style="19" customWidth="1"/>
    <col min="1787" max="1787" width="7.26953125" style="19" customWidth="1"/>
    <col min="1788" max="1788" width="5.54296875" style="19" customWidth="1"/>
    <col min="1789" max="1789" width="9" style="19" customWidth="1"/>
    <col min="1790" max="1791" width="9.81640625" style="19" customWidth="1"/>
    <col min="1792" max="1792" width="11.1796875" style="19" customWidth="1"/>
    <col min="1793" max="1793" width="2.81640625" style="19" customWidth="1"/>
    <col min="1794" max="1794" width="3.54296875" style="19" customWidth="1"/>
    <col min="1795" max="2039" width="9.1796875" style="19"/>
    <col min="2040" max="2040" width="8.7265625" style="19" customWidth="1"/>
    <col min="2041" max="2041" width="9.81640625" style="19" customWidth="1"/>
    <col min="2042" max="2042" width="14.453125" style="19" customWidth="1"/>
    <col min="2043" max="2043" width="7.26953125" style="19" customWidth="1"/>
    <col min="2044" max="2044" width="5.54296875" style="19" customWidth="1"/>
    <col min="2045" max="2045" width="9" style="19" customWidth="1"/>
    <col min="2046" max="2047" width="9.81640625" style="19" customWidth="1"/>
    <col min="2048" max="2048" width="11.1796875" style="19" customWidth="1"/>
    <col min="2049" max="2049" width="2.81640625" style="19" customWidth="1"/>
    <col min="2050" max="2050" width="3.54296875" style="19" customWidth="1"/>
    <col min="2051" max="2295" width="9.1796875" style="19"/>
    <col min="2296" max="2296" width="8.7265625" style="19" customWidth="1"/>
    <col min="2297" max="2297" width="9.81640625" style="19" customWidth="1"/>
    <col min="2298" max="2298" width="14.453125" style="19" customWidth="1"/>
    <col min="2299" max="2299" width="7.26953125" style="19" customWidth="1"/>
    <col min="2300" max="2300" width="5.54296875" style="19" customWidth="1"/>
    <col min="2301" max="2301" width="9" style="19" customWidth="1"/>
    <col min="2302" max="2303" width="9.81640625" style="19" customWidth="1"/>
    <col min="2304" max="2304" width="11.1796875" style="19" customWidth="1"/>
    <col min="2305" max="2305" width="2.81640625" style="19" customWidth="1"/>
    <col min="2306" max="2306" width="3.54296875" style="19" customWidth="1"/>
    <col min="2307" max="2551" width="9.1796875" style="19"/>
    <col min="2552" max="2552" width="8.7265625" style="19" customWidth="1"/>
    <col min="2553" max="2553" width="9.81640625" style="19" customWidth="1"/>
    <col min="2554" max="2554" width="14.453125" style="19" customWidth="1"/>
    <col min="2555" max="2555" width="7.26953125" style="19" customWidth="1"/>
    <col min="2556" max="2556" width="5.54296875" style="19" customWidth="1"/>
    <col min="2557" max="2557" width="9" style="19" customWidth="1"/>
    <col min="2558" max="2559" width="9.81640625" style="19" customWidth="1"/>
    <col min="2560" max="2560" width="11.1796875" style="19" customWidth="1"/>
    <col min="2561" max="2561" width="2.81640625" style="19" customWidth="1"/>
    <col min="2562" max="2562" width="3.54296875" style="19" customWidth="1"/>
    <col min="2563" max="2807" width="9.1796875" style="19"/>
    <col min="2808" max="2808" width="8.7265625" style="19" customWidth="1"/>
    <col min="2809" max="2809" width="9.81640625" style="19" customWidth="1"/>
    <col min="2810" max="2810" width="14.453125" style="19" customWidth="1"/>
    <col min="2811" max="2811" width="7.26953125" style="19" customWidth="1"/>
    <col min="2812" max="2812" width="5.54296875" style="19" customWidth="1"/>
    <col min="2813" max="2813" width="9" style="19" customWidth="1"/>
    <col min="2814" max="2815" width="9.81640625" style="19" customWidth="1"/>
    <col min="2816" max="2816" width="11.1796875" style="19" customWidth="1"/>
    <col min="2817" max="2817" width="2.81640625" style="19" customWidth="1"/>
    <col min="2818" max="2818" width="3.54296875" style="19" customWidth="1"/>
    <col min="2819" max="3063" width="9.1796875" style="19"/>
    <col min="3064" max="3064" width="8.7265625" style="19" customWidth="1"/>
    <col min="3065" max="3065" width="9.81640625" style="19" customWidth="1"/>
    <col min="3066" max="3066" width="14.453125" style="19" customWidth="1"/>
    <col min="3067" max="3067" width="7.26953125" style="19" customWidth="1"/>
    <col min="3068" max="3068" width="5.54296875" style="19" customWidth="1"/>
    <col min="3069" max="3069" width="9" style="19" customWidth="1"/>
    <col min="3070" max="3071" width="9.81640625" style="19" customWidth="1"/>
    <col min="3072" max="3072" width="11.1796875" style="19" customWidth="1"/>
    <col min="3073" max="3073" width="2.81640625" style="19" customWidth="1"/>
    <col min="3074" max="3074" width="3.54296875" style="19" customWidth="1"/>
    <col min="3075" max="3319" width="9.1796875" style="19"/>
    <col min="3320" max="3320" width="8.7265625" style="19" customWidth="1"/>
    <col min="3321" max="3321" width="9.81640625" style="19" customWidth="1"/>
    <col min="3322" max="3322" width="14.453125" style="19" customWidth="1"/>
    <col min="3323" max="3323" width="7.26953125" style="19" customWidth="1"/>
    <col min="3324" max="3324" width="5.54296875" style="19" customWidth="1"/>
    <col min="3325" max="3325" width="9" style="19" customWidth="1"/>
    <col min="3326" max="3327" width="9.81640625" style="19" customWidth="1"/>
    <col min="3328" max="3328" width="11.1796875" style="19" customWidth="1"/>
    <col min="3329" max="3329" width="2.81640625" style="19" customWidth="1"/>
    <col min="3330" max="3330" width="3.54296875" style="19" customWidth="1"/>
    <col min="3331" max="3575" width="9.1796875" style="19"/>
    <col min="3576" max="3576" width="8.7265625" style="19" customWidth="1"/>
    <col min="3577" max="3577" width="9.81640625" style="19" customWidth="1"/>
    <col min="3578" max="3578" width="14.453125" style="19" customWidth="1"/>
    <col min="3579" max="3579" width="7.26953125" style="19" customWidth="1"/>
    <col min="3580" max="3580" width="5.54296875" style="19" customWidth="1"/>
    <col min="3581" max="3581" width="9" style="19" customWidth="1"/>
    <col min="3582" max="3583" width="9.81640625" style="19" customWidth="1"/>
    <col min="3584" max="3584" width="11.1796875" style="19" customWidth="1"/>
    <col min="3585" max="3585" width="2.81640625" style="19" customWidth="1"/>
    <col min="3586" max="3586" width="3.54296875" style="19" customWidth="1"/>
    <col min="3587" max="3831" width="9.1796875" style="19"/>
    <col min="3832" max="3832" width="8.7265625" style="19" customWidth="1"/>
    <col min="3833" max="3833" width="9.81640625" style="19" customWidth="1"/>
    <col min="3834" max="3834" width="14.453125" style="19" customWidth="1"/>
    <col min="3835" max="3835" width="7.26953125" style="19" customWidth="1"/>
    <col min="3836" max="3836" width="5.54296875" style="19" customWidth="1"/>
    <col min="3837" max="3837" width="9" style="19" customWidth="1"/>
    <col min="3838" max="3839" width="9.81640625" style="19" customWidth="1"/>
    <col min="3840" max="3840" width="11.1796875" style="19" customWidth="1"/>
    <col min="3841" max="3841" width="2.81640625" style="19" customWidth="1"/>
    <col min="3842" max="3842" width="3.54296875" style="19" customWidth="1"/>
    <col min="3843" max="4087" width="9.1796875" style="19"/>
    <col min="4088" max="4088" width="8.7265625" style="19" customWidth="1"/>
    <col min="4089" max="4089" width="9.81640625" style="19" customWidth="1"/>
    <col min="4090" max="4090" width="14.453125" style="19" customWidth="1"/>
    <col min="4091" max="4091" width="7.26953125" style="19" customWidth="1"/>
    <col min="4092" max="4092" width="5.54296875" style="19" customWidth="1"/>
    <col min="4093" max="4093" width="9" style="19" customWidth="1"/>
    <col min="4094" max="4095" width="9.81640625" style="19" customWidth="1"/>
    <col min="4096" max="4096" width="11.1796875" style="19" customWidth="1"/>
    <col min="4097" max="4097" width="2.81640625" style="19" customWidth="1"/>
    <col min="4098" max="4098" width="3.54296875" style="19" customWidth="1"/>
    <col min="4099" max="4343" width="9.1796875" style="19"/>
    <col min="4344" max="4344" width="8.7265625" style="19" customWidth="1"/>
    <col min="4345" max="4345" width="9.81640625" style="19" customWidth="1"/>
    <col min="4346" max="4346" width="14.453125" style="19" customWidth="1"/>
    <col min="4347" max="4347" width="7.26953125" style="19" customWidth="1"/>
    <col min="4348" max="4348" width="5.54296875" style="19" customWidth="1"/>
    <col min="4349" max="4349" width="9" style="19" customWidth="1"/>
    <col min="4350" max="4351" width="9.81640625" style="19" customWidth="1"/>
    <col min="4352" max="4352" width="11.1796875" style="19" customWidth="1"/>
    <col min="4353" max="4353" width="2.81640625" style="19" customWidth="1"/>
    <col min="4354" max="4354" width="3.54296875" style="19" customWidth="1"/>
    <col min="4355" max="4599" width="9.1796875" style="19"/>
    <col min="4600" max="4600" width="8.7265625" style="19" customWidth="1"/>
    <col min="4601" max="4601" width="9.81640625" style="19" customWidth="1"/>
    <col min="4602" max="4602" width="14.453125" style="19" customWidth="1"/>
    <col min="4603" max="4603" width="7.26953125" style="19" customWidth="1"/>
    <col min="4604" max="4604" width="5.54296875" style="19" customWidth="1"/>
    <col min="4605" max="4605" width="9" style="19" customWidth="1"/>
    <col min="4606" max="4607" width="9.81640625" style="19" customWidth="1"/>
    <col min="4608" max="4608" width="11.1796875" style="19" customWidth="1"/>
    <col min="4609" max="4609" width="2.81640625" style="19" customWidth="1"/>
    <col min="4610" max="4610" width="3.54296875" style="19" customWidth="1"/>
    <col min="4611" max="4855" width="9.1796875" style="19"/>
    <col min="4856" max="4856" width="8.7265625" style="19" customWidth="1"/>
    <col min="4857" max="4857" width="9.81640625" style="19" customWidth="1"/>
    <col min="4858" max="4858" width="14.453125" style="19" customWidth="1"/>
    <col min="4859" max="4859" width="7.26953125" style="19" customWidth="1"/>
    <col min="4860" max="4860" width="5.54296875" style="19" customWidth="1"/>
    <col min="4861" max="4861" width="9" style="19" customWidth="1"/>
    <col min="4862" max="4863" width="9.81640625" style="19" customWidth="1"/>
    <col min="4864" max="4864" width="11.1796875" style="19" customWidth="1"/>
    <col min="4865" max="4865" width="2.81640625" style="19" customWidth="1"/>
    <col min="4866" max="4866" width="3.54296875" style="19" customWidth="1"/>
    <col min="4867" max="5111" width="9.1796875" style="19"/>
    <col min="5112" max="5112" width="8.7265625" style="19" customWidth="1"/>
    <col min="5113" max="5113" width="9.81640625" style="19" customWidth="1"/>
    <col min="5114" max="5114" width="14.453125" style="19" customWidth="1"/>
    <col min="5115" max="5115" width="7.26953125" style="19" customWidth="1"/>
    <col min="5116" max="5116" width="5.54296875" style="19" customWidth="1"/>
    <col min="5117" max="5117" width="9" style="19" customWidth="1"/>
    <col min="5118" max="5119" width="9.81640625" style="19" customWidth="1"/>
    <col min="5120" max="5120" width="11.1796875" style="19" customWidth="1"/>
    <col min="5121" max="5121" width="2.81640625" style="19" customWidth="1"/>
    <col min="5122" max="5122" width="3.54296875" style="19" customWidth="1"/>
    <col min="5123" max="5367" width="9.1796875" style="19"/>
    <col min="5368" max="5368" width="8.7265625" style="19" customWidth="1"/>
    <col min="5369" max="5369" width="9.81640625" style="19" customWidth="1"/>
    <col min="5370" max="5370" width="14.453125" style="19" customWidth="1"/>
    <col min="5371" max="5371" width="7.26953125" style="19" customWidth="1"/>
    <col min="5372" max="5372" width="5.54296875" style="19" customWidth="1"/>
    <col min="5373" max="5373" width="9" style="19" customWidth="1"/>
    <col min="5374" max="5375" width="9.81640625" style="19" customWidth="1"/>
    <col min="5376" max="5376" width="11.1796875" style="19" customWidth="1"/>
    <col min="5377" max="5377" width="2.81640625" style="19" customWidth="1"/>
    <col min="5378" max="5378" width="3.54296875" style="19" customWidth="1"/>
    <col min="5379" max="5623" width="9.1796875" style="19"/>
    <col min="5624" max="5624" width="8.7265625" style="19" customWidth="1"/>
    <col min="5625" max="5625" width="9.81640625" style="19" customWidth="1"/>
    <col min="5626" max="5626" width="14.453125" style="19" customWidth="1"/>
    <col min="5627" max="5627" width="7.26953125" style="19" customWidth="1"/>
    <col min="5628" max="5628" width="5.54296875" style="19" customWidth="1"/>
    <col min="5629" max="5629" width="9" style="19" customWidth="1"/>
    <col min="5630" max="5631" width="9.81640625" style="19" customWidth="1"/>
    <col min="5632" max="5632" width="11.1796875" style="19" customWidth="1"/>
    <col min="5633" max="5633" width="2.81640625" style="19" customWidth="1"/>
    <col min="5634" max="5634" width="3.54296875" style="19" customWidth="1"/>
    <col min="5635" max="5879" width="9.1796875" style="19"/>
    <col min="5880" max="5880" width="8.7265625" style="19" customWidth="1"/>
    <col min="5881" max="5881" width="9.81640625" style="19" customWidth="1"/>
    <col min="5882" max="5882" width="14.453125" style="19" customWidth="1"/>
    <col min="5883" max="5883" width="7.26953125" style="19" customWidth="1"/>
    <col min="5884" max="5884" width="5.54296875" style="19" customWidth="1"/>
    <col min="5885" max="5885" width="9" style="19" customWidth="1"/>
    <col min="5886" max="5887" width="9.81640625" style="19" customWidth="1"/>
    <col min="5888" max="5888" width="11.1796875" style="19" customWidth="1"/>
    <col min="5889" max="5889" width="2.81640625" style="19" customWidth="1"/>
    <col min="5890" max="5890" width="3.54296875" style="19" customWidth="1"/>
    <col min="5891" max="6135" width="9.1796875" style="19"/>
    <col min="6136" max="6136" width="8.7265625" style="19" customWidth="1"/>
    <col min="6137" max="6137" width="9.81640625" style="19" customWidth="1"/>
    <col min="6138" max="6138" width="14.453125" style="19" customWidth="1"/>
    <col min="6139" max="6139" width="7.26953125" style="19" customWidth="1"/>
    <col min="6140" max="6140" width="5.54296875" style="19" customWidth="1"/>
    <col min="6141" max="6141" width="9" style="19" customWidth="1"/>
    <col min="6142" max="6143" width="9.81640625" style="19" customWidth="1"/>
    <col min="6144" max="6144" width="11.1796875" style="19" customWidth="1"/>
    <col min="6145" max="6145" width="2.81640625" style="19" customWidth="1"/>
    <col min="6146" max="6146" width="3.54296875" style="19" customWidth="1"/>
    <col min="6147" max="6391" width="9.1796875" style="19"/>
    <col min="6392" max="6392" width="8.7265625" style="19" customWidth="1"/>
    <col min="6393" max="6393" width="9.81640625" style="19" customWidth="1"/>
    <col min="6394" max="6394" width="14.453125" style="19" customWidth="1"/>
    <col min="6395" max="6395" width="7.26953125" style="19" customWidth="1"/>
    <col min="6396" max="6396" width="5.54296875" style="19" customWidth="1"/>
    <col min="6397" max="6397" width="9" style="19" customWidth="1"/>
    <col min="6398" max="6399" width="9.81640625" style="19" customWidth="1"/>
    <col min="6400" max="6400" width="11.1796875" style="19" customWidth="1"/>
    <col min="6401" max="6401" width="2.81640625" style="19" customWidth="1"/>
    <col min="6402" max="6402" width="3.54296875" style="19" customWidth="1"/>
    <col min="6403" max="6647" width="9.1796875" style="19"/>
    <col min="6648" max="6648" width="8.7265625" style="19" customWidth="1"/>
    <col min="6649" max="6649" width="9.81640625" style="19" customWidth="1"/>
    <col min="6650" max="6650" width="14.453125" style="19" customWidth="1"/>
    <col min="6651" max="6651" width="7.26953125" style="19" customWidth="1"/>
    <col min="6652" max="6652" width="5.54296875" style="19" customWidth="1"/>
    <col min="6653" max="6653" width="9" style="19" customWidth="1"/>
    <col min="6654" max="6655" width="9.81640625" style="19" customWidth="1"/>
    <col min="6656" max="6656" width="11.1796875" style="19" customWidth="1"/>
    <col min="6657" max="6657" width="2.81640625" style="19" customWidth="1"/>
    <col min="6658" max="6658" width="3.54296875" style="19" customWidth="1"/>
    <col min="6659" max="6903" width="9.1796875" style="19"/>
    <col min="6904" max="6904" width="8.7265625" style="19" customWidth="1"/>
    <col min="6905" max="6905" width="9.81640625" style="19" customWidth="1"/>
    <col min="6906" max="6906" width="14.453125" style="19" customWidth="1"/>
    <col min="6907" max="6907" width="7.26953125" style="19" customWidth="1"/>
    <col min="6908" max="6908" width="5.54296875" style="19" customWidth="1"/>
    <col min="6909" max="6909" width="9" style="19" customWidth="1"/>
    <col min="6910" max="6911" width="9.81640625" style="19" customWidth="1"/>
    <col min="6912" max="6912" width="11.1796875" style="19" customWidth="1"/>
    <col min="6913" max="6913" width="2.81640625" style="19" customWidth="1"/>
    <col min="6914" max="6914" width="3.54296875" style="19" customWidth="1"/>
    <col min="6915" max="7159" width="9.1796875" style="19"/>
    <col min="7160" max="7160" width="8.7265625" style="19" customWidth="1"/>
    <col min="7161" max="7161" width="9.81640625" style="19" customWidth="1"/>
    <col min="7162" max="7162" width="14.453125" style="19" customWidth="1"/>
    <col min="7163" max="7163" width="7.26953125" style="19" customWidth="1"/>
    <col min="7164" max="7164" width="5.54296875" style="19" customWidth="1"/>
    <col min="7165" max="7165" width="9" style="19" customWidth="1"/>
    <col min="7166" max="7167" width="9.81640625" style="19" customWidth="1"/>
    <col min="7168" max="7168" width="11.1796875" style="19" customWidth="1"/>
    <col min="7169" max="7169" width="2.81640625" style="19" customWidth="1"/>
    <col min="7170" max="7170" width="3.54296875" style="19" customWidth="1"/>
    <col min="7171" max="7415" width="9.1796875" style="19"/>
    <col min="7416" max="7416" width="8.7265625" style="19" customWidth="1"/>
    <col min="7417" max="7417" width="9.81640625" style="19" customWidth="1"/>
    <col min="7418" max="7418" width="14.453125" style="19" customWidth="1"/>
    <col min="7419" max="7419" width="7.26953125" style="19" customWidth="1"/>
    <col min="7420" max="7420" width="5.54296875" style="19" customWidth="1"/>
    <col min="7421" max="7421" width="9" style="19" customWidth="1"/>
    <col min="7422" max="7423" width="9.81640625" style="19" customWidth="1"/>
    <col min="7424" max="7424" width="11.1796875" style="19" customWidth="1"/>
    <col min="7425" max="7425" width="2.81640625" style="19" customWidth="1"/>
    <col min="7426" max="7426" width="3.54296875" style="19" customWidth="1"/>
    <col min="7427" max="7671" width="9.1796875" style="19"/>
    <col min="7672" max="7672" width="8.7265625" style="19" customWidth="1"/>
    <col min="7673" max="7673" width="9.81640625" style="19" customWidth="1"/>
    <col min="7674" max="7674" width="14.453125" style="19" customWidth="1"/>
    <col min="7675" max="7675" width="7.26953125" style="19" customWidth="1"/>
    <col min="7676" max="7676" width="5.54296875" style="19" customWidth="1"/>
    <col min="7677" max="7677" width="9" style="19" customWidth="1"/>
    <col min="7678" max="7679" width="9.81640625" style="19" customWidth="1"/>
    <col min="7680" max="7680" width="11.1796875" style="19" customWidth="1"/>
    <col min="7681" max="7681" width="2.81640625" style="19" customWidth="1"/>
    <col min="7682" max="7682" width="3.54296875" style="19" customWidth="1"/>
    <col min="7683" max="7927" width="9.1796875" style="19"/>
    <col min="7928" max="7928" width="8.7265625" style="19" customWidth="1"/>
    <col min="7929" max="7929" width="9.81640625" style="19" customWidth="1"/>
    <col min="7930" max="7930" width="14.453125" style="19" customWidth="1"/>
    <col min="7931" max="7931" width="7.26953125" style="19" customWidth="1"/>
    <col min="7932" max="7932" width="5.54296875" style="19" customWidth="1"/>
    <col min="7933" max="7933" width="9" style="19" customWidth="1"/>
    <col min="7934" max="7935" width="9.81640625" style="19" customWidth="1"/>
    <col min="7936" max="7936" width="11.1796875" style="19" customWidth="1"/>
    <col min="7937" max="7937" width="2.81640625" style="19" customWidth="1"/>
    <col min="7938" max="7938" width="3.54296875" style="19" customWidth="1"/>
    <col min="7939" max="8183" width="9.1796875" style="19"/>
    <col min="8184" max="8184" width="8.7265625" style="19" customWidth="1"/>
    <col min="8185" max="8185" width="9.81640625" style="19" customWidth="1"/>
    <col min="8186" max="8186" width="14.453125" style="19" customWidth="1"/>
    <col min="8187" max="8187" width="7.26953125" style="19" customWidth="1"/>
    <col min="8188" max="8188" width="5.54296875" style="19" customWidth="1"/>
    <col min="8189" max="8189" width="9" style="19" customWidth="1"/>
    <col min="8190" max="8191" width="9.81640625" style="19" customWidth="1"/>
    <col min="8192" max="8192" width="11.1796875" style="19" customWidth="1"/>
    <col min="8193" max="8193" width="2.81640625" style="19" customWidth="1"/>
    <col min="8194" max="8194" width="3.54296875" style="19" customWidth="1"/>
    <col min="8195" max="8439" width="9.1796875" style="19"/>
    <col min="8440" max="8440" width="8.7265625" style="19" customWidth="1"/>
    <col min="8441" max="8441" width="9.81640625" style="19" customWidth="1"/>
    <col min="8442" max="8442" width="14.453125" style="19" customWidth="1"/>
    <col min="8443" max="8443" width="7.26953125" style="19" customWidth="1"/>
    <col min="8444" max="8444" width="5.54296875" style="19" customWidth="1"/>
    <col min="8445" max="8445" width="9" style="19" customWidth="1"/>
    <col min="8446" max="8447" width="9.81640625" style="19" customWidth="1"/>
    <col min="8448" max="8448" width="11.1796875" style="19" customWidth="1"/>
    <col min="8449" max="8449" width="2.81640625" style="19" customWidth="1"/>
    <col min="8450" max="8450" width="3.54296875" style="19" customWidth="1"/>
    <col min="8451" max="8695" width="9.1796875" style="19"/>
    <col min="8696" max="8696" width="8.7265625" style="19" customWidth="1"/>
    <col min="8697" max="8697" width="9.81640625" style="19" customWidth="1"/>
    <col min="8698" max="8698" width="14.453125" style="19" customWidth="1"/>
    <col min="8699" max="8699" width="7.26953125" style="19" customWidth="1"/>
    <col min="8700" max="8700" width="5.54296875" style="19" customWidth="1"/>
    <col min="8701" max="8701" width="9" style="19" customWidth="1"/>
    <col min="8702" max="8703" width="9.81640625" style="19" customWidth="1"/>
    <col min="8704" max="8704" width="11.1796875" style="19" customWidth="1"/>
    <col min="8705" max="8705" width="2.81640625" style="19" customWidth="1"/>
    <col min="8706" max="8706" width="3.54296875" style="19" customWidth="1"/>
    <col min="8707" max="8951" width="9.1796875" style="19"/>
    <col min="8952" max="8952" width="8.7265625" style="19" customWidth="1"/>
    <col min="8953" max="8953" width="9.81640625" style="19" customWidth="1"/>
    <col min="8954" max="8954" width="14.453125" style="19" customWidth="1"/>
    <col min="8955" max="8955" width="7.26953125" style="19" customWidth="1"/>
    <col min="8956" max="8956" width="5.54296875" style="19" customWidth="1"/>
    <col min="8957" max="8957" width="9" style="19" customWidth="1"/>
    <col min="8958" max="8959" width="9.81640625" style="19" customWidth="1"/>
    <col min="8960" max="8960" width="11.1796875" style="19" customWidth="1"/>
    <col min="8961" max="8961" width="2.81640625" style="19" customWidth="1"/>
    <col min="8962" max="8962" width="3.54296875" style="19" customWidth="1"/>
    <col min="8963" max="9207" width="9.1796875" style="19"/>
    <col min="9208" max="9208" width="8.7265625" style="19" customWidth="1"/>
    <col min="9209" max="9209" width="9.81640625" style="19" customWidth="1"/>
    <col min="9210" max="9210" width="14.453125" style="19" customWidth="1"/>
    <col min="9211" max="9211" width="7.26953125" style="19" customWidth="1"/>
    <col min="9212" max="9212" width="5.54296875" style="19" customWidth="1"/>
    <col min="9213" max="9213" width="9" style="19" customWidth="1"/>
    <col min="9214" max="9215" width="9.81640625" style="19" customWidth="1"/>
    <col min="9216" max="9216" width="11.1796875" style="19" customWidth="1"/>
    <col min="9217" max="9217" width="2.81640625" style="19" customWidth="1"/>
    <col min="9218" max="9218" width="3.54296875" style="19" customWidth="1"/>
    <col min="9219" max="9463" width="9.1796875" style="19"/>
    <col min="9464" max="9464" width="8.7265625" style="19" customWidth="1"/>
    <col min="9465" max="9465" width="9.81640625" style="19" customWidth="1"/>
    <col min="9466" max="9466" width="14.453125" style="19" customWidth="1"/>
    <col min="9467" max="9467" width="7.26953125" style="19" customWidth="1"/>
    <col min="9468" max="9468" width="5.54296875" style="19" customWidth="1"/>
    <col min="9469" max="9469" width="9" style="19" customWidth="1"/>
    <col min="9470" max="9471" width="9.81640625" style="19" customWidth="1"/>
    <col min="9472" max="9472" width="11.1796875" style="19" customWidth="1"/>
    <col min="9473" max="9473" width="2.81640625" style="19" customWidth="1"/>
    <col min="9474" max="9474" width="3.54296875" style="19" customWidth="1"/>
    <col min="9475" max="9719" width="9.1796875" style="19"/>
    <col min="9720" max="9720" width="8.7265625" style="19" customWidth="1"/>
    <col min="9721" max="9721" width="9.81640625" style="19" customWidth="1"/>
    <col min="9722" max="9722" width="14.453125" style="19" customWidth="1"/>
    <col min="9723" max="9723" width="7.26953125" style="19" customWidth="1"/>
    <col min="9724" max="9724" width="5.54296875" style="19" customWidth="1"/>
    <col min="9725" max="9725" width="9" style="19" customWidth="1"/>
    <col min="9726" max="9727" width="9.81640625" style="19" customWidth="1"/>
    <col min="9728" max="9728" width="11.1796875" style="19" customWidth="1"/>
    <col min="9729" max="9729" width="2.81640625" style="19" customWidth="1"/>
    <col min="9730" max="9730" width="3.54296875" style="19" customWidth="1"/>
    <col min="9731" max="9975" width="9.1796875" style="19"/>
    <col min="9976" max="9976" width="8.7265625" style="19" customWidth="1"/>
    <col min="9977" max="9977" width="9.81640625" style="19" customWidth="1"/>
    <col min="9978" max="9978" width="14.453125" style="19" customWidth="1"/>
    <col min="9979" max="9979" width="7.26953125" style="19" customWidth="1"/>
    <col min="9980" max="9980" width="5.54296875" style="19" customWidth="1"/>
    <col min="9981" max="9981" width="9" style="19" customWidth="1"/>
    <col min="9982" max="9983" width="9.81640625" style="19" customWidth="1"/>
    <col min="9984" max="9984" width="11.1796875" style="19" customWidth="1"/>
    <col min="9985" max="9985" width="2.81640625" style="19" customWidth="1"/>
    <col min="9986" max="9986" width="3.54296875" style="19" customWidth="1"/>
    <col min="9987" max="10231" width="9.1796875" style="19"/>
    <col min="10232" max="10232" width="8.7265625" style="19" customWidth="1"/>
    <col min="10233" max="10233" width="9.81640625" style="19" customWidth="1"/>
    <col min="10234" max="10234" width="14.453125" style="19" customWidth="1"/>
    <col min="10235" max="10235" width="7.26953125" style="19" customWidth="1"/>
    <col min="10236" max="10236" width="5.54296875" style="19" customWidth="1"/>
    <col min="10237" max="10237" width="9" style="19" customWidth="1"/>
    <col min="10238" max="10239" width="9.81640625" style="19" customWidth="1"/>
    <col min="10240" max="10240" width="11.1796875" style="19" customWidth="1"/>
    <col min="10241" max="10241" width="2.81640625" style="19" customWidth="1"/>
    <col min="10242" max="10242" width="3.54296875" style="19" customWidth="1"/>
    <col min="10243" max="10487" width="9.1796875" style="19"/>
    <col min="10488" max="10488" width="8.7265625" style="19" customWidth="1"/>
    <col min="10489" max="10489" width="9.81640625" style="19" customWidth="1"/>
    <col min="10490" max="10490" width="14.453125" style="19" customWidth="1"/>
    <col min="10491" max="10491" width="7.26953125" style="19" customWidth="1"/>
    <col min="10492" max="10492" width="5.54296875" style="19" customWidth="1"/>
    <col min="10493" max="10493" width="9" style="19" customWidth="1"/>
    <col min="10494" max="10495" width="9.81640625" style="19" customWidth="1"/>
    <col min="10496" max="10496" width="11.1796875" style="19" customWidth="1"/>
    <col min="10497" max="10497" width="2.81640625" style="19" customWidth="1"/>
    <col min="10498" max="10498" width="3.54296875" style="19" customWidth="1"/>
    <col min="10499" max="10743" width="9.1796875" style="19"/>
    <col min="10744" max="10744" width="8.7265625" style="19" customWidth="1"/>
    <col min="10745" max="10745" width="9.81640625" style="19" customWidth="1"/>
    <col min="10746" max="10746" width="14.453125" style="19" customWidth="1"/>
    <col min="10747" max="10747" width="7.26953125" style="19" customWidth="1"/>
    <col min="10748" max="10748" width="5.54296875" style="19" customWidth="1"/>
    <col min="10749" max="10749" width="9" style="19" customWidth="1"/>
    <col min="10750" max="10751" width="9.81640625" style="19" customWidth="1"/>
    <col min="10752" max="10752" width="11.1796875" style="19" customWidth="1"/>
    <col min="10753" max="10753" width="2.81640625" style="19" customWidth="1"/>
    <col min="10754" max="10754" width="3.54296875" style="19" customWidth="1"/>
    <col min="10755" max="10999" width="9.1796875" style="19"/>
    <col min="11000" max="11000" width="8.7265625" style="19" customWidth="1"/>
    <col min="11001" max="11001" width="9.81640625" style="19" customWidth="1"/>
    <col min="11002" max="11002" width="14.453125" style="19" customWidth="1"/>
    <col min="11003" max="11003" width="7.26953125" style="19" customWidth="1"/>
    <col min="11004" max="11004" width="5.54296875" style="19" customWidth="1"/>
    <col min="11005" max="11005" width="9" style="19" customWidth="1"/>
    <col min="11006" max="11007" width="9.81640625" style="19" customWidth="1"/>
    <col min="11008" max="11008" width="11.1796875" style="19" customWidth="1"/>
    <col min="11009" max="11009" width="2.81640625" style="19" customWidth="1"/>
    <col min="11010" max="11010" width="3.54296875" style="19" customWidth="1"/>
    <col min="11011" max="11255" width="9.1796875" style="19"/>
    <col min="11256" max="11256" width="8.7265625" style="19" customWidth="1"/>
    <col min="11257" max="11257" width="9.81640625" style="19" customWidth="1"/>
    <col min="11258" max="11258" width="14.453125" style="19" customWidth="1"/>
    <col min="11259" max="11259" width="7.26953125" style="19" customWidth="1"/>
    <col min="11260" max="11260" width="5.54296875" style="19" customWidth="1"/>
    <col min="11261" max="11261" width="9" style="19" customWidth="1"/>
    <col min="11262" max="11263" width="9.81640625" style="19" customWidth="1"/>
    <col min="11264" max="11264" width="11.1796875" style="19" customWidth="1"/>
    <col min="11265" max="11265" width="2.81640625" style="19" customWidth="1"/>
    <col min="11266" max="11266" width="3.54296875" style="19" customWidth="1"/>
    <col min="11267" max="11511" width="9.1796875" style="19"/>
    <col min="11512" max="11512" width="8.7265625" style="19" customWidth="1"/>
    <col min="11513" max="11513" width="9.81640625" style="19" customWidth="1"/>
    <col min="11514" max="11514" width="14.453125" style="19" customWidth="1"/>
    <col min="11515" max="11515" width="7.26953125" style="19" customWidth="1"/>
    <col min="11516" max="11516" width="5.54296875" style="19" customWidth="1"/>
    <col min="11517" max="11517" width="9" style="19" customWidth="1"/>
    <col min="11518" max="11519" width="9.81640625" style="19" customWidth="1"/>
    <col min="11520" max="11520" width="11.1796875" style="19" customWidth="1"/>
    <col min="11521" max="11521" width="2.81640625" style="19" customWidth="1"/>
    <col min="11522" max="11522" width="3.54296875" style="19" customWidth="1"/>
    <col min="11523" max="11767" width="9.1796875" style="19"/>
    <col min="11768" max="11768" width="8.7265625" style="19" customWidth="1"/>
    <col min="11769" max="11769" width="9.81640625" style="19" customWidth="1"/>
    <col min="11770" max="11770" width="14.453125" style="19" customWidth="1"/>
    <col min="11771" max="11771" width="7.26953125" style="19" customWidth="1"/>
    <col min="11772" max="11772" width="5.54296875" style="19" customWidth="1"/>
    <col min="11773" max="11773" width="9" style="19" customWidth="1"/>
    <col min="11774" max="11775" width="9.81640625" style="19" customWidth="1"/>
    <col min="11776" max="11776" width="11.1796875" style="19" customWidth="1"/>
    <col min="11777" max="11777" width="2.81640625" style="19" customWidth="1"/>
    <col min="11778" max="11778" width="3.54296875" style="19" customWidth="1"/>
    <col min="11779" max="12023" width="9.1796875" style="19"/>
    <col min="12024" max="12024" width="8.7265625" style="19" customWidth="1"/>
    <col min="12025" max="12025" width="9.81640625" style="19" customWidth="1"/>
    <col min="12026" max="12026" width="14.453125" style="19" customWidth="1"/>
    <col min="12027" max="12027" width="7.26953125" style="19" customWidth="1"/>
    <col min="12028" max="12028" width="5.54296875" style="19" customWidth="1"/>
    <col min="12029" max="12029" width="9" style="19" customWidth="1"/>
    <col min="12030" max="12031" width="9.81640625" style="19" customWidth="1"/>
    <col min="12032" max="12032" width="11.1796875" style="19" customWidth="1"/>
    <col min="12033" max="12033" width="2.81640625" style="19" customWidth="1"/>
    <col min="12034" max="12034" width="3.54296875" style="19" customWidth="1"/>
    <col min="12035" max="12279" width="9.1796875" style="19"/>
    <col min="12280" max="12280" width="8.7265625" style="19" customWidth="1"/>
    <col min="12281" max="12281" width="9.81640625" style="19" customWidth="1"/>
    <col min="12282" max="12282" width="14.453125" style="19" customWidth="1"/>
    <col min="12283" max="12283" width="7.26953125" style="19" customWidth="1"/>
    <col min="12284" max="12284" width="5.54296875" style="19" customWidth="1"/>
    <col min="12285" max="12285" width="9" style="19" customWidth="1"/>
    <col min="12286" max="12287" width="9.81640625" style="19" customWidth="1"/>
    <col min="12288" max="12288" width="11.1796875" style="19" customWidth="1"/>
    <col min="12289" max="12289" width="2.81640625" style="19" customWidth="1"/>
    <col min="12290" max="12290" width="3.54296875" style="19" customWidth="1"/>
    <col min="12291" max="12535" width="9.1796875" style="19"/>
    <col min="12536" max="12536" width="8.7265625" style="19" customWidth="1"/>
    <col min="12537" max="12537" width="9.81640625" style="19" customWidth="1"/>
    <col min="12538" max="12538" width="14.453125" style="19" customWidth="1"/>
    <col min="12539" max="12539" width="7.26953125" style="19" customWidth="1"/>
    <col min="12540" max="12540" width="5.54296875" style="19" customWidth="1"/>
    <col min="12541" max="12541" width="9" style="19" customWidth="1"/>
    <col min="12542" max="12543" width="9.81640625" style="19" customWidth="1"/>
    <col min="12544" max="12544" width="11.1796875" style="19" customWidth="1"/>
    <col min="12545" max="12545" width="2.81640625" style="19" customWidth="1"/>
    <col min="12546" max="12546" width="3.54296875" style="19" customWidth="1"/>
    <col min="12547" max="12791" width="9.1796875" style="19"/>
    <col min="12792" max="12792" width="8.7265625" style="19" customWidth="1"/>
    <col min="12793" max="12793" width="9.81640625" style="19" customWidth="1"/>
    <col min="12794" max="12794" width="14.453125" style="19" customWidth="1"/>
    <col min="12795" max="12795" width="7.26953125" style="19" customWidth="1"/>
    <col min="12796" max="12796" width="5.54296875" style="19" customWidth="1"/>
    <col min="12797" max="12797" width="9" style="19" customWidth="1"/>
    <col min="12798" max="12799" width="9.81640625" style="19" customWidth="1"/>
    <col min="12800" max="12800" width="11.1796875" style="19" customWidth="1"/>
    <col min="12801" max="12801" width="2.81640625" style="19" customWidth="1"/>
    <col min="12802" max="12802" width="3.54296875" style="19" customWidth="1"/>
    <col min="12803" max="13047" width="9.1796875" style="19"/>
    <col min="13048" max="13048" width="8.7265625" style="19" customWidth="1"/>
    <col min="13049" max="13049" width="9.81640625" style="19" customWidth="1"/>
    <col min="13050" max="13050" width="14.453125" style="19" customWidth="1"/>
    <col min="13051" max="13051" width="7.26953125" style="19" customWidth="1"/>
    <col min="13052" max="13052" width="5.54296875" style="19" customWidth="1"/>
    <col min="13053" max="13053" width="9" style="19" customWidth="1"/>
    <col min="13054" max="13055" width="9.81640625" style="19" customWidth="1"/>
    <col min="13056" max="13056" width="11.1796875" style="19" customWidth="1"/>
    <col min="13057" max="13057" width="2.81640625" style="19" customWidth="1"/>
    <col min="13058" max="13058" width="3.54296875" style="19" customWidth="1"/>
    <col min="13059" max="13303" width="9.1796875" style="19"/>
    <col min="13304" max="13304" width="8.7265625" style="19" customWidth="1"/>
    <col min="13305" max="13305" width="9.81640625" style="19" customWidth="1"/>
    <col min="13306" max="13306" width="14.453125" style="19" customWidth="1"/>
    <col min="13307" max="13307" width="7.26953125" style="19" customWidth="1"/>
    <col min="13308" max="13308" width="5.54296875" style="19" customWidth="1"/>
    <col min="13309" max="13309" width="9" style="19" customWidth="1"/>
    <col min="13310" max="13311" width="9.81640625" style="19" customWidth="1"/>
    <col min="13312" max="13312" width="11.1796875" style="19" customWidth="1"/>
    <col min="13313" max="13313" width="2.81640625" style="19" customWidth="1"/>
    <col min="13314" max="13314" width="3.54296875" style="19" customWidth="1"/>
    <col min="13315" max="13559" width="9.1796875" style="19"/>
    <col min="13560" max="13560" width="8.7265625" style="19" customWidth="1"/>
    <col min="13561" max="13561" width="9.81640625" style="19" customWidth="1"/>
    <col min="13562" max="13562" width="14.453125" style="19" customWidth="1"/>
    <col min="13563" max="13563" width="7.26953125" style="19" customWidth="1"/>
    <col min="13564" max="13564" width="5.54296875" style="19" customWidth="1"/>
    <col min="13565" max="13565" width="9" style="19" customWidth="1"/>
    <col min="13566" max="13567" width="9.81640625" style="19" customWidth="1"/>
    <col min="13568" max="13568" width="11.1796875" style="19" customWidth="1"/>
    <col min="13569" max="13569" width="2.81640625" style="19" customWidth="1"/>
    <col min="13570" max="13570" width="3.54296875" style="19" customWidth="1"/>
    <col min="13571" max="13815" width="9.1796875" style="19"/>
    <col min="13816" max="13816" width="8.7265625" style="19" customWidth="1"/>
    <col min="13817" max="13817" width="9.81640625" style="19" customWidth="1"/>
    <col min="13818" max="13818" width="14.453125" style="19" customWidth="1"/>
    <col min="13819" max="13819" width="7.26953125" style="19" customWidth="1"/>
    <col min="13820" max="13820" width="5.54296875" style="19" customWidth="1"/>
    <col min="13821" max="13821" width="9" style="19" customWidth="1"/>
    <col min="13822" max="13823" width="9.81640625" style="19" customWidth="1"/>
    <col min="13824" max="13824" width="11.1796875" style="19" customWidth="1"/>
    <col min="13825" max="13825" width="2.81640625" style="19" customWidth="1"/>
    <col min="13826" max="13826" width="3.54296875" style="19" customWidth="1"/>
    <col min="13827" max="14071" width="9.1796875" style="19"/>
    <col min="14072" max="14072" width="8.7265625" style="19" customWidth="1"/>
    <col min="14073" max="14073" width="9.81640625" style="19" customWidth="1"/>
    <col min="14074" max="14074" width="14.453125" style="19" customWidth="1"/>
    <col min="14075" max="14075" width="7.26953125" style="19" customWidth="1"/>
    <col min="14076" max="14076" width="5.54296875" style="19" customWidth="1"/>
    <col min="14077" max="14077" width="9" style="19" customWidth="1"/>
    <col min="14078" max="14079" width="9.81640625" style="19" customWidth="1"/>
    <col min="14080" max="14080" width="11.1796875" style="19" customWidth="1"/>
    <col min="14081" max="14081" width="2.81640625" style="19" customWidth="1"/>
    <col min="14082" max="14082" width="3.54296875" style="19" customWidth="1"/>
    <col min="14083" max="14327" width="9.1796875" style="19"/>
    <col min="14328" max="14328" width="8.7265625" style="19" customWidth="1"/>
    <col min="14329" max="14329" width="9.81640625" style="19" customWidth="1"/>
    <col min="14330" max="14330" width="14.453125" style="19" customWidth="1"/>
    <col min="14331" max="14331" width="7.26953125" style="19" customWidth="1"/>
    <col min="14332" max="14332" width="5.54296875" style="19" customWidth="1"/>
    <col min="14333" max="14333" width="9" style="19" customWidth="1"/>
    <col min="14334" max="14335" width="9.81640625" style="19" customWidth="1"/>
    <col min="14336" max="14336" width="11.1796875" style="19" customWidth="1"/>
    <col min="14337" max="14337" width="2.81640625" style="19" customWidth="1"/>
    <col min="14338" max="14338" width="3.54296875" style="19" customWidth="1"/>
    <col min="14339" max="14583" width="9.1796875" style="19"/>
    <col min="14584" max="14584" width="8.7265625" style="19" customWidth="1"/>
    <col min="14585" max="14585" width="9.81640625" style="19" customWidth="1"/>
    <col min="14586" max="14586" width="14.453125" style="19" customWidth="1"/>
    <col min="14587" max="14587" width="7.26953125" style="19" customWidth="1"/>
    <col min="14588" max="14588" width="5.54296875" style="19" customWidth="1"/>
    <col min="14589" max="14589" width="9" style="19" customWidth="1"/>
    <col min="14590" max="14591" width="9.81640625" style="19" customWidth="1"/>
    <col min="14592" max="14592" width="11.1796875" style="19" customWidth="1"/>
    <col min="14593" max="14593" width="2.81640625" style="19" customWidth="1"/>
    <col min="14594" max="14594" width="3.54296875" style="19" customWidth="1"/>
    <col min="14595" max="14839" width="9.1796875" style="19"/>
    <col min="14840" max="14840" width="8.7265625" style="19" customWidth="1"/>
    <col min="14841" max="14841" width="9.81640625" style="19" customWidth="1"/>
    <col min="14842" max="14842" width="14.453125" style="19" customWidth="1"/>
    <col min="14843" max="14843" width="7.26953125" style="19" customWidth="1"/>
    <col min="14844" max="14844" width="5.54296875" style="19" customWidth="1"/>
    <col min="14845" max="14845" width="9" style="19" customWidth="1"/>
    <col min="14846" max="14847" width="9.81640625" style="19" customWidth="1"/>
    <col min="14848" max="14848" width="11.1796875" style="19" customWidth="1"/>
    <col min="14849" max="14849" width="2.81640625" style="19" customWidth="1"/>
    <col min="14850" max="14850" width="3.54296875" style="19" customWidth="1"/>
    <col min="14851" max="15095" width="9.1796875" style="19"/>
    <col min="15096" max="15096" width="8.7265625" style="19" customWidth="1"/>
    <col min="15097" max="15097" width="9.81640625" style="19" customWidth="1"/>
    <col min="15098" max="15098" width="14.453125" style="19" customWidth="1"/>
    <col min="15099" max="15099" width="7.26953125" style="19" customWidth="1"/>
    <col min="15100" max="15100" width="5.54296875" style="19" customWidth="1"/>
    <col min="15101" max="15101" width="9" style="19" customWidth="1"/>
    <col min="15102" max="15103" width="9.81640625" style="19" customWidth="1"/>
    <col min="15104" max="15104" width="11.1796875" style="19" customWidth="1"/>
    <col min="15105" max="15105" width="2.81640625" style="19" customWidth="1"/>
    <col min="15106" max="15106" width="3.54296875" style="19" customWidth="1"/>
    <col min="15107" max="15351" width="9.1796875" style="19"/>
    <col min="15352" max="15352" width="8.7265625" style="19" customWidth="1"/>
    <col min="15353" max="15353" width="9.81640625" style="19" customWidth="1"/>
    <col min="15354" max="15354" width="14.453125" style="19" customWidth="1"/>
    <col min="15355" max="15355" width="7.26953125" style="19" customWidth="1"/>
    <col min="15356" max="15356" width="5.54296875" style="19" customWidth="1"/>
    <col min="15357" max="15357" width="9" style="19" customWidth="1"/>
    <col min="15358" max="15359" width="9.81640625" style="19" customWidth="1"/>
    <col min="15360" max="15360" width="11.1796875" style="19" customWidth="1"/>
    <col min="15361" max="15361" width="2.81640625" style="19" customWidth="1"/>
    <col min="15362" max="15362" width="3.54296875" style="19" customWidth="1"/>
    <col min="15363" max="15607" width="9.1796875" style="19"/>
    <col min="15608" max="15608" width="8.7265625" style="19" customWidth="1"/>
    <col min="15609" max="15609" width="9.81640625" style="19" customWidth="1"/>
    <col min="15610" max="15610" width="14.453125" style="19" customWidth="1"/>
    <col min="15611" max="15611" width="7.26953125" style="19" customWidth="1"/>
    <col min="15612" max="15612" width="5.54296875" style="19" customWidth="1"/>
    <col min="15613" max="15613" width="9" style="19" customWidth="1"/>
    <col min="15614" max="15615" width="9.81640625" style="19" customWidth="1"/>
    <col min="15616" max="15616" width="11.1796875" style="19" customWidth="1"/>
    <col min="15617" max="15617" width="2.81640625" style="19" customWidth="1"/>
    <col min="15618" max="15618" width="3.54296875" style="19" customWidth="1"/>
    <col min="15619" max="15863" width="9.1796875" style="19"/>
    <col min="15864" max="15864" width="8.7265625" style="19" customWidth="1"/>
    <col min="15865" max="15865" width="9.81640625" style="19" customWidth="1"/>
    <col min="15866" max="15866" width="14.453125" style="19" customWidth="1"/>
    <col min="15867" max="15867" width="7.26953125" style="19" customWidth="1"/>
    <col min="15868" max="15868" width="5.54296875" style="19" customWidth="1"/>
    <col min="15869" max="15869" width="9" style="19" customWidth="1"/>
    <col min="15870" max="15871" width="9.81640625" style="19" customWidth="1"/>
    <col min="15872" max="15872" width="11.1796875" style="19" customWidth="1"/>
    <col min="15873" max="15873" width="2.81640625" style="19" customWidth="1"/>
    <col min="15874" max="15874" width="3.54296875" style="19" customWidth="1"/>
    <col min="15875" max="16119" width="9.1796875" style="19"/>
    <col min="16120" max="16120" width="8.7265625" style="19" customWidth="1"/>
    <col min="16121" max="16121" width="9.81640625" style="19" customWidth="1"/>
    <col min="16122" max="16122" width="14.453125" style="19" customWidth="1"/>
    <col min="16123" max="16123" width="7.26953125" style="19" customWidth="1"/>
    <col min="16124" max="16124" width="5.54296875" style="19" customWidth="1"/>
    <col min="16125" max="16125" width="9" style="19" customWidth="1"/>
    <col min="16126" max="16127" width="9.81640625" style="19" customWidth="1"/>
    <col min="16128" max="16128" width="11.1796875" style="19" customWidth="1"/>
    <col min="16129" max="16129" width="2.81640625" style="19" customWidth="1"/>
    <col min="16130" max="16130" width="3.54296875" style="19" customWidth="1"/>
    <col min="16131" max="16384" width="9.1796875" style="19"/>
  </cols>
  <sheetData>
    <row r="1" spans="1:10" ht="46.5" customHeight="1" x14ac:dyDescent="0.35">
      <c r="A1" s="128" t="s">
        <v>189</v>
      </c>
      <c r="B1" s="128"/>
      <c r="C1" s="128"/>
      <c r="D1" s="128"/>
      <c r="E1" s="128"/>
      <c r="F1" s="128"/>
      <c r="G1" s="128"/>
      <c r="H1" s="128"/>
    </row>
    <row r="2" spans="1:10" ht="16.5" customHeight="1" x14ac:dyDescent="0.35">
      <c r="A2" s="129" t="s">
        <v>0</v>
      </c>
      <c r="B2" s="129"/>
      <c r="C2" s="129"/>
      <c r="D2" s="129"/>
      <c r="E2" s="129"/>
      <c r="F2" s="129"/>
      <c r="G2" s="129"/>
      <c r="H2" s="129"/>
    </row>
    <row r="3" spans="1:10" x14ac:dyDescent="0.35">
      <c r="A3" s="54" t="s">
        <v>1</v>
      </c>
      <c r="B3" s="54"/>
      <c r="C3" s="54"/>
      <c r="D3" s="54"/>
      <c r="E3" s="54" t="str">
        <f ca="1">TEXT(TODAY(),"DD/MM/YYYY")</f>
        <v>25/09/2025</v>
      </c>
      <c r="F3" s="54"/>
      <c r="G3" s="54"/>
      <c r="H3" s="54"/>
    </row>
    <row r="4" spans="1:10" ht="15" customHeight="1" x14ac:dyDescent="0.35">
      <c r="A4" s="54" t="s">
        <v>2</v>
      </c>
      <c r="B4" s="54"/>
      <c r="C4" s="54"/>
      <c r="D4" s="54"/>
      <c r="E4" s="54" t="s">
        <v>165</v>
      </c>
      <c r="F4" s="54"/>
      <c r="G4" s="54"/>
      <c r="H4" s="54"/>
    </row>
    <row r="5" spans="1:10" x14ac:dyDescent="0.35">
      <c r="A5" s="54" t="s">
        <v>3</v>
      </c>
      <c r="B5" s="54"/>
      <c r="C5" s="54"/>
      <c r="D5" s="54"/>
      <c r="E5" s="130">
        <v>45925</v>
      </c>
      <c r="F5" s="54"/>
      <c r="G5" s="54"/>
      <c r="H5" s="54"/>
    </row>
    <row r="6" spans="1:10" ht="16.5" customHeight="1" x14ac:dyDescent="0.35">
      <c r="A6" s="54" t="s">
        <v>4</v>
      </c>
      <c r="B6" s="54"/>
      <c r="C6" s="54"/>
      <c r="D6" s="54"/>
      <c r="E6" s="54" t="s">
        <v>213</v>
      </c>
      <c r="F6" s="54"/>
      <c r="G6" s="54"/>
      <c r="H6" s="54"/>
    </row>
    <row r="7" spans="1:10" ht="15" customHeight="1" x14ac:dyDescent="0.35">
      <c r="A7" s="54" t="s">
        <v>5</v>
      </c>
      <c r="B7" s="54"/>
      <c r="C7" s="54"/>
      <c r="D7" s="54"/>
      <c r="E7" s="54" t="str">
        <f>E6</f>
        <v>M/s. Runwal Construction Private Limited</v>
      </c>
      <c r="F7" s="54"/>
      <c r="G7" s="54"/>
      <c r="H7" s="54"/>
    </row>
    <row r="8" spans="1:10" ht="15" customHeight="1" x14ac:dyDescent="0.35">
      <c r="A8" s="54" t="s">
        <v>216</v>
      </c>
      <c r="B8" s="54"/>
      <c r="C8" s="54"/>
      <c r="D8" s="54"/>
      <c r="E8" s="55" t="s">
        <v>166</v>
      </c>
      <c r="F8" s="55"/>
      <c r="G8" s="55"/>
      <c r="H8" s="55"/>
    </row>
    <row r="9" spans="1:10" x14ac:dyDescent="0.35">
      <c r="A9" s="54" t="s">
        <v>217</v>
      </c>
      <c r="B9" s="54"/>
      <c r="C9" s="54"/>
      <c r="D9" s="54"/>
      <c r="E9" s="55" t="s">
        <v>214</v>
      </c>
      <c r="F9" s="55"/>
      <c r="G9" s="55"/>
      <c r="H9" s="55"/>
      <c r="J9" s="19" t="s">
        <v>214</v>
      </c>
    </row>
    <row r="10" spans="1:10" x14ac:dyDescent="0.35">
      <c r="A10" s="54" t="s">
        <v>119</v>
      </c>
      <c r="B10" s="54"/>
      <c r="C10" s="54"/>
      <c r="D10" s="54"/>
      <c r="E10" s="54" t="s">
        <v>167</v>
      </c>
      <c r="F10" s="54"/>
      <c r="G10" s="54"/>
      <c r="H10" s="54"/>
    </row>
    <row r="11" spans="1:10" x14ac:dyDescent="0.35">
      <c r="A11" s="54" t="s">
        <v>191</v>
      </c>
      <c r="B11" s="54"/>
      <c r="C11" s="54"/>
      <c r="D11" s="54"/>
      <c r="E11" s="54" t="s">
        <v>29</v>
      </c>
      <c r="F11" s="54"/>
      <c r="G11" s="54"/>
      <c r="H11" s="54"/>
    </row>
    <row r="12" spans="1:10" x14ac:dyDescent="0.35">
      <c r="A12" s="54" t="s">
        <v>6</v>
      </c>
      <c r="B12" s="54"/>
      <c r="C12" s="54"/>
      <c r="D12" s="54"/>
      <c r="E12" s="54" t="s">
        <v>177</v>
      </c>
      <c r="F12" s="54"/>
      <c r="G12" s="54"/>
      <c r="H12" s="54"/>
    </row>
    <row r="13" spans="1:10" x14ac:dyDescent="0.35">
      <c r="A13" s="74" t="s">
        <v>7</v>
      </c>
      <c r="B13" s="74"/>
      <c r="C13" s="74"/>
      <c r="D13" s="74"/>
      <c r="E13" s="95" t="s">
        <v>176</v>
      </c>
      <c r="F13" s="95"/>
      <c r="G13" s="95"/>
      <c r="H13" s="95"/>
    </row>
    <row r="14" spans="1:10" x14ac:dyDescent="0.35">
      <c r="A14" s="74" t="s">
        <v>8</v>
      </c>
      <c r="B14" s="74"/>
      <c r="C14" s="74"/>
      <c r="D14" s="74"/>
      <c r="E14" s="95" t="s">
        <v>168</v>
      </c>
      <c r="F14" s="54"/>
      <c r="G14" s="54"/>
      <c r="H14" s="54"/>
    </row>
    <row r="15" spans="1:10" ht="66.75" customHeight="1" x14ac:dyDescent="0.35">
      <c r="A15" s="105" t="s">
        <v>9</v>
      </c>
      <c r="B15" s="105"/>
      <c r="C15" s="105" t="str">
        <f>CONCATENATE((IF(OR(E9="",E9="NA"),"",E9)),", ",(IF(OR(A16="",A16="NA"),"",A16)),".",(IF(OR(C16="",C16="NA"),"",C16)),", near ",(IF(OR(C21="",C21="NA"),"",C21)),", ",(IF(OR(C18="",C18="NA"),"",C18)),", ",(IF(OR(C17="",C17="NA"),"",C17)),", ",(IF(OR(G18="",G18="NA"),"",G18)),", ",(IF(OR(C19="",C19="NA"),"",C19)),", ",(IF(OR(C20="",C20="NA"),"",C20)),", ",(IF(OR(G19="",G19="NA"),"",G19))," - ",(IF(OR(G20="",G20="NA"),"",G20)),".")</f>
        <v>Runwal Enchanted, Survey No.1/1,,1/2A, 1/2B, 1/3, 1/4A, 1/4B, 1/4C, 1/4D,1/5, 1/6,1/7, 1/8, 1/10, 1/11, 1/12, 1/13, 1/15, 2/1A, 2/1B, 2/1C, &amp; Others, near Kapleshwara Pinnacle Gloria, Kolshet Road, , Kolshet, Thane West, Thane, Thane - 400607.</v>
      </c>
      <c r="D15" s="105"/>
      <c r="E15" s="105"/>
      <c r="F15" s="105"/>
      <c r="G15" s="105"/>
      <c r="H15" s="105"/>
    </row>
    <row r="16" spans="1:10" ht="33.75" customHeight="1" x14ac:dyDescent="0.35">
      <c r="A16" s="95" t="s">
        <v>170</v>
      </c>
      <c r="B16" s="95"/>
      <c r="C16" s="95" t="s">
        <v>171</v>
      </c>
      <c r="D16" s="95"/>
      <c r="E16" s="95"/>
      <c r="F16" s="95"/>
      <c r="G16" s="95"/>
      <c r="H16" s="95"/>
    </row>
    <row r="17" spans="1:8" ht="15.75" hidden="1" customHeight="1" x14ac:dyDescent="0.35">
      <c r="A17" s="125" t="s">
        <v>162</v>
      </c>
      <c r="B17" s="126"/>
      <c r="C17" s="125"/>
      <c r="D17" s="127"/>
      <c r="E17" s="127"/>
      <c r="F17" s="127"/>
      <c r="G17" s="127"/>
      <c r="H17" s="126"/>
    </row>
    <row r="18" spans="1:8" ht="15.75" customHeight="1" x14ac:dyDescent="0.35">
      <c r="A18" s="105" t="s">
        <v>10</v>
      </c>
      <c r="B18" s="105"/>
      <c r="C18" s="54" t="s">
        <v>175</v>
      </c>
      <c r="D18" s="54"/>
      <c r="E18" s="105" t="s">
        <v>163</v>
      </c>
      <c r="F18" s="105"/>
      <c r="G18" s="95" t="s">
        <v>173</v>
      </c>
      <c r="H18" s="95"/>
    </row>
    <row r="19" spans="1:8" x14ac:dyDescent="0.35">
      <c r="A19" s="74" t="s">
        <v>12</v>
      </c>
      <c r="B19" s="74"/>
      <c r="C19" s="95" t="s">
        <v>172</v>
      </c>
      <c r="D19" s="95"/>
      <c r="E19" s="105" t="s">
        <v>11</v>
      </c>
      <c r="F19" s="105"/>
      <c r="G19" s="131" t="s">
        <v>174</v>
      </c>
      <c r="H19" s="131"/>
    </row>
    <row r="20" spans="1:8" x14ac:dyDescent="0.35">
      <c r="A20" s="74" t="s">
        <v>72</v>
      </c>
      <c r="B20" s="74"/>
      <c r="C20" s="95" t="s">
        <v>174</v>
      </c>
      <c r="D20" s="95"/>
      <c r="E20" s="105" t="s">
        <v>13</v>
      </c>
      <c r="F20" s="105"/>
      <c r="G20" s="95">
        <v>400607</v>
      </c>
      <c r="H20" s="95"/>
    </row>
    <row r="21" spans="1:8" ht="32.25" customHeight="1" x14ac:dyDescent="0.35">
      <c r="A21" s="74" t="s">
        <v>121</v>
      </c>
      <c r="B21" s="74"/>
      <c r="C21" s="95" t="s">
        <v>187</v>
      </c>
      <c r="D21" s="95"/>
      <c r="E21" s="105" t="s">
        <v>14</v>
      </c>
      <c r="F21" s="105"/>
      <c r="G21" s="95" t="s">
        <v>211</v>
      </c>
      <c r="H21" s="95"/>
    </row>
    <row r="22" spans="1:8" ht="15" customHeight="1" x14ac:dyDescent="0.35">
      <c r="A22" s="105" t="s">
        <v>74</v>
      </c>
      <c r="B22" s="105"/>
      <c r="C22" s="105"/>
      <c r="D22" s="105"/>
      <c r="E22" s="54" t="s">
        <v>15</v>
      </c>
      <c r="F22" s="54"/>
      <c r="G22" s="54"/>
      <c r="H22" s="54"/>
    </row>
    <row r="23" spans="1:8" ht="18.75" customHeight="1" x14ac:dyDescent="0.35">
      <c r="A23" s="105"/>
      <c r="B23" s="105"/>
      <c r="C23" s="105"/>
      <c r="D23" s="105"/>
      <c r="E23" s="54"/>
      <c r="F23" s="54"/>
      <c r="G23" s="54"/>
      <c r="H23" s="54"/>
    </row>
    <row r="24" spans="1:8" ht="15" customHeight="1" x14ac:dyDescent="0.35">
      <c r="A24" s="105" t="s">
        <v>16</v>
      </c>
      <c r="B24" s="105"/>
      <c r="C24" s="105"/>
      <c r="D24" s="105"/>
      <c r="E24" s="95" t="s">
        <v>17</v>
      </c>
      <c r="F24" s="95"/>
      <c r="G24" s="95"/>
      <c r="H24" s="95"/>
    </row>
    <row r="25" spans="1:8" ht="15" customHeight="1" x14ac:dyDescent="0.35">
      <c r="A25" s="74" t="s">
        <v>18</v>
      </c>
      <c r="B25" s="74"/>
      <c r="C25" s="74"/>
      <c r="D25" s="74"/>
      <c r="E25" s="95" t="str">
        <f>IF(AND(G19="Mumbai"),"Upper Class","Middle Class")</f>
        <v>Middle Class</v>
      </c>
      <c r="F25" s="95"/>
      <c r="G25" s="95"/>
      <c r="H25" s="95"/>
    </row>
    <row r="26" spans="1:8" x14ac:dyDescent="0.35">
      <c r="A26" s="74" t="s">
        <v>19</v>
      </c>
      <c r="B26" s="74"/>
      <c r="C26" s="74"/>
      <c r="D26" s="74"/>
      <c r="E26" s="95" t="s">
        <v>20</v>
      </c>
      <c r="F26" s="95"/>
      <c r="G26" s="95"/>
      <c r="H26" s="95"/>
    </row>
    <row r="27" spans="1:8" ht="15.75" customHeight="1" x14ac:dyDescent="0.35">
      <c r="A27" s="74" t="s">
        <v>21</v>
      </c>
      <c r="B27" s="74"/>
      <c r="C27" s="74"/>
      <c r="D27" s="74"/>
      <c r="E27" s="95" t="str">
        <f>IF(AND(G19="Mumbai"),"Developed","Developing")</f>
        <v>Developing</v>
      </c>
      <c r="F27" s="95"/>
      <c r="G27" s="95"/>
      <c r="H27" s="95"/>
    </row>
    <row r="28" spans="1:8" x14ac:dyDescent="0.35">
      <c r="A28" s="74" t="s">
        <v>22</v>
      </c>
      <c r="B28" s="74"/>
      <c r="C28" s="74"/>
      <c r="D28" s="74"/>
      <c r="E28" s="95" t="s">
        <v>23</v>
      </c>
      <c r="F28" s="95"/>
      <c r="G28" s="95"/>
      <c r="H28" s="95"/>
    </row>
    <row r="29" spans="1:8" ht="15.75" customHeight="1" x14ac:dyDescent="0.35">
      <c r="A29" s="74" t="s">
        <v>79</v>
      </c>
      <c r="B29" s="74"/>
      <c r="C29" s="74"/>
      <c r="D29" s="74"/>
      <c r="E29" s="95" t="s">
        <v>80</v>
      </c>
      <c r="F29" s="95"/>
      <c r="G29" s="95"/>
      <c r="H29" s="95"/>
    </row>
    <row r="30" spans="1:8" ht="15" customHeight="1" x14ac:dyDescent="0.35">
      <c r="A30" s="74" t="s">
        <v>32</v>
      </c>
      <c r="B30" s="74"/>
      <c r="C30" s="74"/>
      <c r="D30" s="74"/>
      <c r="E30" s="95" t="str">
        <f>IF(AND(ISNUMBER(SEARCH("Flat",D57)),ISNUMBER(SEARCH("Shop",D57)),ISNUMBER(SEARCH("Office",D57))),"Residential + Commercial",IF(AND(ISNUMBER(SEARCH("Flat",D57)),ISNUMBER(SEARCH("Shop",D57))),"Residential + Commercial",IF(AND(ISNUMBER(SEARCH("Flat",D57)),ISNUMBER(SEARCH("Office",D57))),"Residential + Commercial",IF(AND(ISNUMBER(SEARCH("Shop",D57)),ISNUMBER(SEARCH("Office",D57))),"Commercial",IF(ISNUMBER(SEARCH("Shop",D57)),"Commercial",IF(ISNUMBER(SEARCH("Office",D57)),"Commercial",IF(ISNUMBER(SEARCH("Flat",D57)),"Residential")))))))</f>
        <v>Residential</v>
      </c>
      <c r="F30" s="95"/>
      <c r="G30" s="95"/>
      <c r="H30" s="95"/>
    </row>
    <row r="31" spans="1:8" ht="15.75" customHeight="1" x14ac:dyDescent="0.35">
      <c r="A31" s="74" t="s">
        <v>91</v>
      </c>
      <c r="B31" s="74"/>
      <c r="C31" s="74"/>
      <c r="D31" s="74"/>
      <c r="E31" s="95" t="s">
        <v>33</v>
      </c>
      <c r="F31" s="95"/>
      <c r="G31" s="95"/>
      <c r="H31" s="95"/>
    </row>
    <row r="32" spans="1:8" s="20" customFormat="1" x14ac:dyDescent="0.35">
      <c r="A32" s="135" t="s">
        <v>92</v>
      </c>
      <c r="B32" s="135"/>
      <c r="C32" s="134" t="s">
        <v>28</v>
      </c>
      <c r="D32" s="134"/>
      <c r="E32" s="134"/>
      <c r="F32" s="134" t="s">
        <v>30</v>
      </c>
      <c r="G32" s="134"/>
      <c r="H32" s="134"/>
    </row>
    <row r="33" spans="1:8" s="20" customFormat="1" x14ac:dyDescent="0.35">
      <c r="A33" s="132" t="s">
        <v>24</v>
      </c>
      <c r="B33" s="132" t="s">
        <v>29</v>
      </c>
      <c r="C33" s="133" t="s">
        <v>196</v>
      </c>
      <c r="D33" s="133"/>
      <c r="E33" s="133"/>
      <c r="F33" s="133" t="s">
        <v>178</v>
      </c>
      <c r="G33" s="133"/>
      <c r="H33" s="133"/>
    </row>
    <row r="34" spans="1:8" x14ac:dyDescent="0.35">
      <c r="A34" s="132" t="s">
        <v>25</v>
      </c>
      <c r="B34" s="132" t="s">
        <v>29</v>
      </c>
      <c r="C34" s="133" t="s">
        <v>196</v>
      </c>
      <c r="D34" s="133"/>
      <c r="E34" s="133"/>
      <c r="F34" s="133" t="s">
        <v>178</v>
      </c>
      <c r="G34" s="133"/>
      <c r="H34" s="133"/>
    </row>
    <row r="35" spans="1:8" s="20" customFormat="1" x14ac:dyDescent="0.35">
      <c r="A35" s="132" t="s">
        <v>27</v>
      </c>
      <c r="B35" s="132" t="s">
        <v>29</v>
      </c>
      <c r="C35" s="133" t="s">
        <v>195</v>
      </c>
      <c r="D35" s="133"/>
      <c r="E35" s="133"/>
      <c r="F35" s="133" t="s">
        <v>175</v>
      </c>
      <c r="G35" s="133"/>
      <c r="H35" s="133"/>
    </row>
    <row r="36" spans="1:8" x14ac:dyDescent="0.35">
      <c r="A36" s="132" t="s">
        <v>26</v>
      </c>
      <c r="B36" s="132" t="s">
        <v>29</v>
      </c>
      <c r="C36" s="133" t="s">
        <v>196</v>
      </c>
      <c r="D36" s="133"/>
      <c r="E36" s="133"/>
      <c r="F36" s="133" t="s">
        <v>178</v>
      </c>
      <c r="G36" s="133"/>
      <c r="H36" s="133"/>
    </row>
    <row r="37" spans="1:8" x14ac:dyDescent="0.35">
      <c r="A37" s="74" t="s">
        <v>31</v>
      </c>
      <c r="B37" s="74"/>
      <c r="C37" s="74"/>
      <c r="D37" s="74"/>
      <c r="E37" s="74"/>
      <c r="F37" s="74"/>
      <c r="G37" s="74"/>
      <c r="H37" s="74"/>
    </row>
    <row r="38" spans="1:8" ht="15.75" customHeight="1" x14ac:dyDescent="0.35">
      <c r="A38" s="74" t="s">
        <v>188</v>
      </c>
      <c r="B38" s="74"/>
      <c r="C38" s="161" t="s">
        <v>209</v>
      </c>
      <c r="D38" s="161"/>
      <c r="E38" s="161"/>
      <c r="F38" s="161"/>
      <c r="G38" s="161"/>
      <c r="H38" s="161"/>
    </row>
    <row r="39" spans="1:8" x14ac:dyDescent="0.35">
      <c r="A39" s="74" t="s">
        <v>161</v>
      </c>
      <c r="B39" s="74"/>
      <c r="C39" s="94" t="s">
        <v>210</v>
      </c>
      <c r="D39" s="95"/>
      <c r="E39" s="95"/>
      <c r="F39" s="95"/>
      <c r="G39" s="95"/>
      <c r="H39" s="95"/>
    </row>
    <row r="40" spans="1:8" x14ac:dyDescent="0.35">
      <c r="A40" s="102" t="s">
        <v>34</v>
      </c>
      <c r="B40" s="102"/>
      <c r="C40" s="102"/>
      <c r="D40" s="102"/>
      <c r="E40" s="102"/>
      <c r="F40" s="102"/>
      <c r="G40" s="102"/>
      <c r="H40" s="102"/>
    </row>
    <row r="41" spans="1:8" x14ac:dyDescent="0.35">
      <c r="A41" s="74" t="s">
        <v>35</v>
      </c>
      <c r="B41" s="74"/>
      <c r="C41" s="74"/>
      <c r="D41" s="74"/>
      <c r="E41" s="138">
        <v>34671.67</v>
      </c>
      <c r="F41" s="138"/>
      <c r="G41" s="138"/>
      <c r="H41" s="138"/>
    </row>
    <row r="42" spans="1:8" x14ac:dyDescent="0.35">
      <c r="A42" s="74" t="s">
        <v>36</v>
      </c>
      <c r="B42" s="74"/>
      <c r="C42" s="74"/>
      <c r="D42" s="74"/>
      <c r="E42" s="88">
        <f>41440.89/E41</f>
        <v>1.1952377834699051</v>
      </c>
      <c r="F42" s="88"/>
      <c r="G42" s="88"/>
      <c r="H42" s="88"/>
    </row>
    <row r="43" spans="1:8" x14ac:dyDescent="0.35">
      <c r="A43" s="74" t="s">
        <v>37</v>
      </c>
      <c r="B43" s="74"/>
      <c r="C43" s="74"/>
      <c r="D43" s="74"/>
      <c r="E43" s="88">
        <f>E45/E41-E42</f>
        <v>3.7022361484174255</v>
      </c>
      <c r="F43" s="88"/>
      <c r="G43" s="88"/>
      <c r="H43" s="88"/>
    </row>
    <row r="44" spans="1:8" x14ac:dyDescent="0.35">
      <c r="A44" s="74" t="s">
        <v>38</v>
      </c>
      <c r="B44" s="74"/>
      <c r="C44" s="74"/>
      <c r="D44" s="74"/>
      <c r="E44" s="88">
        <f>E42+E43</f>
        <v>4.8974739318873306</v>
      </c>
      <c r="F44" s="88"/>
      <c r="G44" s="88"/>
      <c r="H44" s="88"/>
    </row>
    <row r="45" spans="1:8" x14ac:dyDescent="0.35">
      <c r="A45" s="74" t="s">
        <v>90</v>
      </c>
      <c r="B45" s="74"/>
      <c r="C45" s="74"/>
      <c r="D45" s="74"/>
      <c r="E45" s="137">
        <v>169803.6</v>
      </c>
      <c r="F45" s="137"/>
      <c r="G45" s="137"/>
      <c r="H45" s="137"/>
    </row>
    <row r="46" spans="1:8" x14ac:dyDescent="0.35">
      <c r="A46" s="54" t="s">
        <v>39</v>
      </c>
      <c r="B46" s="54"/>
      <c r="C46" s="54"/>
      <c r="D46" s="54"/>
      <c r="E46" s="54" t="s">
        <v>120</v>
      </c>
      <c r="F46" s="54"/>
      <c r="G46" s="54"/>
      <c r="H46" s="54"/>
    </row>
    <row r="47" spans="1:8" x14ac:dyDescent="0.35">
      <c r="A47" s="102" t="s">
        <v>40</v>
      </c>
      <c r="B47" s="102"/>
      <c r="C47" s="102"/>
      <c r="D47" s="102"/>
      <c r="E47" s="102"/>
      <c r="F47" s="102"/>
      <c r="G47" s="102"/>
      <c r="H47" s="102"/>
    </row>
    <row r="48" spans="1:8" ht="33.75" customHeight="1" x14ac:dyDescent="0.35">
      <c r="A48" s="89" t="s">
        <v>150</v>
      </c>
      <c r="B48" s="90"/>
      <c r="C48" s="142" t="s">
        <v>169</v>
      </c>
      <c r="D48" s="143"/>
      <c r="E48" s="143"/>
      <c r="F48" s="143"/>
      <c r="G48" s="143"/>
      <c r="H48" s="144"/>
    </row>
    <row r="49" spans="1:14" x14ac:dyDescent="0.35">
      <c r="A49" s="89" t="s">
        <v>41</v>
      </c>
      <c r="B49" s="90"/>
      <c r="C49" s="89" t="s">
        <v>212</v>
      </c>
      <c r="D49" s="91"/>
      <c r="E49" s="90"/>
      <c r="F49" s="16" t="s">
        <v>42</v>
      </c>
      <c r="G49" s="92">
        <v>45412</v>
      </c>
      <c r="H49" s="93"/>
    </row>
    <row r="50" spans="1:14" x14ac:dyDescent="0.35">
      <c r="A50" s="89" t="s">
        <v>43</v>
      </c>
      <c r="B50" s="90"/>
      <c r="C50" s="89" t="str">
        <f>C49</f>
        <v>S05/0096/15TMC/TDDP/TPS/0127/(P/C)</v>
      </c>
      <c r="D50" s="91"/>
      <c r="E50" s="90"/>
      <c r="F50" s="16" t="s">
        <v>42</v>
      </c>
      <c r="G50" s="92">
        <f>G49</f>
        <v>45412</v>
      </c>
      <c r="H50" s="93"/>
    </row>
    <row r="51" spans="1:14" s="21" customFormat="1" ht="15.75" customHeight="1" x14ac:dyDescent="0.35">
      <c r="A51" s="96" t="s">
        <v>154</v>
      </c>
      <c r="B51" s="97"/>
      <c r="C51" s="89" t="s">
        <v>192</v>
      </c>
      <c r="D51" s="91"/>
      <c r="E51" s="90"/>
      <c r="F51" s="16" t="s">
        <v>42</v>
      </c>
      <c r="G51" s="92">
        <v>45412</v>
      </c>
      <c r="H51" s="93"/>
    </row>
    <row r="52" spans="1:14" s="21" customFormat="1" ht="33" customHeight="1" x14ac:dyDescent="0.35">
      <c r="A52" s="98"/>
      <c r="B52" s="99"/>
      <c r="C52" s="89" t="s">
        <v>193</v>
      </c>
      <c r="D52" s="91"/>
      <c r="E52" s="91"/>
      <c r="F52" s="91"/>
      <c r="G52" s="91"/>
      <c r="H52" s="90"/>
    </row>
    <row r="53" spans="1:14" x14ac:dyDescent="0.35">
      <c r="A53" s="156" t="s">
        <v>164</v>
      </c>
      <c r="B53" s="157"/>
      <c r="C53" s="150" t="s">
        <v>29</v>
      </c>
      <c r="D53" s="151"/>
      <c r="E53" s="152"/>
      <c r="F53" s="47" t="s">
        <v>42</v>
      </c>
      <c r="G53" s="154" t="s">
        <v>29</v>
      </c>
      <c r="H53" s="155"/>
    </row>
    <row r="54" spans="1:14" hidden="1" x14ac:dyDescent="0.35">
      <c r="A54" s="158"/>
      <c r="B54" s="159"/>
      <c r="C54" s="150" t="s">
        <v>29</v>
      </c>
      <c r="D54" s="151"/>
      <c r="E54" s="151"/>
      <c r="F54" s="151"/>
      <c r="G54" s="151"/>
      <c r="H54" s="152"/>
    </row>
    <row r="55" spans="1:14" x14ac:dyDescent="0.35">
      <c r="A55" s="106" t="s">
        <v>45</v>
      </c>
      <c r="B55" s="106"/>
      <c r="C55" s="106"/>
      <c r="D55" s="106"/>
      <c r="E55" s="106"/>
      <c r="F55" s="106"/>
      <c r="G55" s="106"/>
      <c r="H55" s="106"/>
    </row>
    <row r="56" spans="1:14" x14ac:dyDescent="0.35">
      <c r="A56" s="105" t="s">
        <v>89</v>
      </c>
      <c r="B56" s="105"/>
      <c r="C56" s="105"/>
      <c r="D56" s="74">
        <f>40289.35</f>
        <v>40289.35</v>
      </c>
      <c r="E56" s="74"/>
      <c r="F56" s="74"/>
      <c r="G56" s="74"/>
      <c r="H56" s="74"/>
    </row>
    <row r="57" spans="1:14" x14ac:dyDescent="0.35">
      <c r="A57" s="95" t="s">
        <v>46</v>
      </c>
      <c r="B57" s="54"/>
      <c r="C57" s="54"/>
      <c r="D57" s="54" t="s">
        <v>208</v>
      </c>
      <c r="E57" s="54"/>
      <c r="F57" s="54"/>
      <c r="G57" s="54"/>
      <c r="H57" s="54"/>
      <c r="I57" s="22"/>
    </row>
    <row r="58" spans="1:14" ht="33" customHeight="1" x14ac:dyDescent="0.35">
      <c r="A58" s="147" t="s">
        <v>47</v>
      </c>
      <c r="B58" s="148"/>
      <c r="C58" s="149"/>
      <c r="D58" s="139" t="s">
        <v>197</v>
      </c>
      <c r="E58" s="140"/>
      <c r="F58" s="140"/>
      <c r="G58" s="140"/>
      <c r="H58" s="140"/>
    </row>
    <row r="59" spans="1:14" ht="30.75" customHeight="1" x14ac:dyDescent="0.35">
      <c r="A59" s="95" t="s">
        <v>87</v>
      </c>
      <c r="B59" s="95"/>
      <c r="C59" s="95"/>
      <c r="D59" s="95" t="s">
        <v>198</v>
      </c>
      <c r="E59" s="54"/>
      <c r="F59" s="54"/>
      <c r="G59" s="54"/>
      <c r="H59" s="54"/>
    </row>
    <row r="60" spans="1:14" ht="15.75" customHeight="1" x14ac:dyDescent="0.35">
      <c r="A60" s="74" t="s">
        <v>44</v>
      </c>
      <c r="B60" s="74"/>
      <c r="C60" s="74"/>
      <c r="D60" s="105" t="s">
        <v>179</v>
      </c>
      <c r="E60" s="105"/>
      <c r="F60" s="105"/>
      <c r="G60" s="105"/>
      <c r="H60" s="105"/>
      <c r="J60" s="23"/>
      <c r="K60" s="22"/>
      <c r="N60" s="22"/>
    </row>
    <row r="61" spans="1:14" ht="15.75" customHeight="1" x14ac:dyDescent="0.35">
      <c r="A61" s="74" t="s">
        <v>85</v>
      </c>
      <c r="B61" s="74"/>
      <c r="C61" s="74"/>
      <c r="D61" s="136" t="str">
        <f>(IF(G53="NA","60 Years After Completion",IF(G53&lt;&gt;"NA",""&amp;60-ROUNDDOWN((E3-G53)/360,0)&amp;" Years"," ")))</f>
        <v>60 Years After Completion</v>
      </c>
      <c r="E61" s="136"/>
      <c r="F61" s="136"/>
      <c r="G61" s="136"/>
      <c r="H61" s="136"/>
      <c r="N61" s="22"/>
    </row>
    <row r="62" spans="1:14" ht="15.75" customHeight="1" x14ac:dyDescent="0.35">
      <c r="A62" s="74" t="s">
        <v>86</v>
      </c>
      <c r="B62" s="74"/>
      <c r="C62" s="74"/>
      <c r="D62" s="105" t="s">
        <v>23</v>
      </c>
      <c r="E62" s="105"/>
      <c r="F62" s="105"/>
      <c r="G62" s="105"/>
      <c r="H62" s="105"/>
      <c r="J62" s="24"/>
      <c r="K62" s="24"/>
    </row>
    <row r="63" spans="1:14" ht="15" hidden="1" customHeight="1" x14ac:dyDescent="0.35">
      <c r="A63" s="74" t="s">
        <v>73</v>
      </c>
      <c r="B63" s="74"/>
      <c r="C63" s="74"/>
      <c r="D63" s="95" t="s">
        <v>147</v>
      </c>
      <c r="E63" s="105"/>
      <c r="F63" s="105"/>
      <c r="G63" s="105"/>
      <c r="H63" s="105"/>
    </row>
    <row r="64" spans="1:14" x14ac:dyDescent="0.35">
      <c r="A64" s="105" t="s">
        <v>148</v>
      </c>
      <c r="B64" s="105"/>
      <c r="C64" s="105"/>
      <c r="D64" s="105" t="s">
        <v>29</v>
      </c>
      <c r="E64" s="105"/>
      <c r="F64" s="105"/>
      <c r="G64" s="105"/>
      <c r="H64" s="105"/>
      <c r="I64" s="25"/>
      <c r="J64" s="25"/>
      <c r="K64" s="25"/>
      <c r="L64" s="25"/>
      <c r="M64" s="25"/>
      <c r="N64" s="25"/>
    </row>
    <row r="65" spans="1:10" ht="15.75" customHeight="1" x14ac:dyDescent="0.35">
      <c r="A65" s="74" t="s">
        <v>84</v>
      </c>
      <c r="B65" s="74"/>
      <c r="C65" s="74"/>
      <c r="D65" s="95" t="str">
        <f ca="1">(IF(G71&gt;95%,"Nothing",IF(G71&gt;0%,"Cement, Aggregate, Steel, etc",IF(G71=0%,"Work not yet Started"))))</f>
        <v>Cement, Aggregate, Steel, etc</v>
      </c>
      <c r="E65" s="95"/>
      <c r="F65" s="95"/>
      <c r="G65" s="95"/>
      <c r="H65" s="95"/>
      <c r="J65" s="24"/>
    </row>
    <row r="66" spans="1:10" ht="33.75" customHeight="1" thickBot="1" x14ac:dyDescent="0.4">
      <c r="A66" s="105" t="s">
        <v>116</v>
      </c>
      <c r="B66" s="105"/>
      <c r="C66" s="105"/>
      <c r="D66" s="95" t="str">
        <f ca="1">(IF(D65="Nothing","Yes",IF(D65="Cement, Aggregate, Steel, etc","Under Construction",IF(D65="Work not yet Started","Work not yet Started"))))</f>
        <v>Under Construction</v>
      </c>
      <c r="E66" s="95"/>
      <c r="F66" s="95" t="str">
        <f ca="1">(IF(D65="Nothing","Yes",IF(D65="Cement, Aggregate, Steel, etc","Under Construction",IF(D65="Work not yet Started","Work not yet Started"))))</f>
        <v>Under Construction</v>
      </c>
      <c r="G66" s="95"/>
      <c r="H66" s="95"/>
    </row>
    <row r="67" spans="1:10" ht="31.5" customHeight="1" x14ac:dyDescent="0.35">
      <c r="A67" s="165" t="s">
        <v>139</v>
      </c>
      <c r="B67" s="165"/>
      <c r="C67" s="165" t="str">
        <f>D59</f>
        <v>D Wing = 2B + Gr + 1P to 5P + Upper Gr + 1st to 25th Floor + Service Floor + 50th Floor</v>
      </c>
      <c r="D67" s="165"/>
      <c r="E67" s="165"/>
      <c r="F67" s="165"/>
      <c r="G67" s="165"/>
      <c r="H67" s="165"/>
      <c r="I67" s="162" t="str">
        <f ca="1">IF(D80=100%,"All work Completed. Possession granted to the Building.",IF(D79=100%,"All work Completed, Waiting for OC",I68&amp;""&amp;I69&amp;""&amp;J68&amp;""&amp;J67&amp;" "&amp;J69))</f>
        <v>Excavation, Plinth Completed, RCC upto 25 Slab, Brickwork upto 18 Floor, Internal Plaster upto 13.5 Floor, External Plaster upto 11.7 Floor Completed</v>
      </c>
      <c r="J67" s="45" t="str">
        <f ca="1">(IF(C73=(D68+F68+H68),"",IF(C73&gt;0,", RCC upto "&amp;C73&amp;" Slab","")))&amp;(IF(C74=H68,"",IF(C74&gt;0,", Brickwork upto "&amp;C74&amp;" Floor","")))&amp;(IF(C75=H68,"",IF(C75&gt;0,", Internal Plaster upto "&amp;C75&amp;" Floor","")))&amp;(IF(C76=H68,"",IF(C76&gt;0,", External Plaster upto "&amp;C76&amp;" Floor","")))&amp;(IF(C77=H68,"",IF(C77&gt;0,", Flooring upto "&amp;C77&amp;" Floor","")))&amp;(IF(C78=H68,"",IF(C78&gt;0,", Painting upto "&amp;C78&amp;" Floor","")))&amp;(IF(C79=H68,"",IF(C79&gt;0,", Finishing upto "&amp;C79&amp;" Floor","")))&amp;(IF(C80=H68,"",IF(C80&gt;0,", Possession upto "&amp;C80&amp;" Floor","")))</f>
        <v>, RCC upto 25 Slab, Brickwork upto 18 Floor, Internal Plaster upto 13.5 Floor, External Plaster upto 11.7 Floor</v>
      </c>
    </row>
    <row r="68" spans="1:10" s="21" customFormat="1" x14ac:dyDescent="0.35">
      <c r="A68" s="53" t="s">
        <v>141</v>
      </c>
      <c r="B68" s="53">
        <v>2</v>
      </c>
      <c r="C68" s="53" t="s">
        <v>71</v>
      </c>
      <c r="D68" s="53">
        <v>1</v>
      </c>
      <c r="E68" s="53" t="s">
        <v>70</v>
      </c>
      <c r="F68" s="53">
        <v>6</v>
      </c>
      <c r="G68" s="53" t="s">
        <v>78</v>
      </c>
      <c r="H68" s="53">
        <f ca="1">--TRIM(RIGHT(SUBSTITUTE(LEFT(C67,_xlfn.AGGREGATE(16,6,FIND({0,1,2,3,4,5,6,7,8,9},C67,ROW(INDIRECT("1:"&amp;LEN(C67)))),1))," ",REPT(" ",LEN(C67))),LEN(C67)))</f>
        <v>50</v>
      </c>
      <c r="I68" s="163" t="str">
        <f ca="1">IF(D71=100%,"Excavation","")&amp;IF(D72=100%,", Plinth","")&amp;IF(D73=100%,", RCC Slab","")&amp;IF(D74=100%,", Brickwork","")&amp;IF(D75=100%,", Internal Plaster","")&amp;IF(D76=100%,", External Plaster","")&amp;IF(D77=100%,", Flooring","")&amp;IF(D78=100%,", Painting","")&amp;IF(D79=100%,", Building common Amenities","")</f>
        <v>Excavation, Plinth</v>
      </c>
      <c r="J68" s="49" t="str">
        <f ca="1">(IF(C71=0,"Work not yet Started.",IF(D71=25%,"Piling work in process",IF(D71=50%,"Excavation work in process",IF(D71=100%,"","0")))))&amp;(IF(C72=0%,"",IF(C72=J73,", Footing work is process",IF(C72=J74,", Footing work Completed",IF(C72=J75,", 1st Basement Completed",IF(C72=J76,", 1st &amp; 2nd Basement Completed",IF(C72=J77,", 1st to 3rd Basement Completed",IF(C72=J78,", 1st to 4th Basement Completed",IF(C72=J79,", Plinth work is process",IF(C72=J80,"","0"))))))))))</f>
        <v/>
      </c>
    </row>
    <row r="69" spans="1:10" ht="34.15" customHeight="1" x14ac:dyDescent="0.35">
      <c r="A69" s="55" t="s">
        <v>88</v>
      </c>
      <c r="B69" s="55"/>
      <c r="C69" s="141" t="str">
        <f ca="1">(IF($C$54=C67,"All work Completed. OC Received.",I67))</f>
        <v>Excavation, Plinth Completed, RCC upto 25 Slab, Brickwork upto 18 Floor, Internal Plaster upto 13.5 Floor, External Plaster upto 11.7 Floor Completed</v>
      </c>
      <c r="D69" s="141"/>
      <c r="E69" s="141"/>
      <c r="F69" s="141"/>
      <c r="G69" s="141"/>
      <c r="H69" s="141"/>
      <c r="I69" s="164" t="str">
        <f ca="1">IF(I68&lt;&gt;""," Completed","")</f>
        <v xml:space="preserve"> Completed</v>
      </c>
      <c r="J69" s="46" t="str">
        <f ca="1">IF(J67&lt;&gt;"","Completed","")</f>
        <v>Completed</v>
      </c>
    </row>
    <row r="70" spans="1:10" ht="15.75" customHeight="1" x14ac:dyDescent="0.35">
      <c r="A70" s="86" t="s">
        <v>48</v>
      </c>
      <c r="B70" s="86"/>
      <c r="C70" s="52" t="s">
        <v>138</v>
      </c>
      <c r="D70" s="52" t="s">
        <v>81</v>
      </c>
      <c r="E70" s="86" t="s">
        <v>83</v>
      </c>
      <c r="F70" s="86"/>
      <c r="G70" s="86" t="s">
        <v>82</v>
      </c>
      <c r="H70" s="86"/>
      <c r="I70" s="14" t="s">
        <v>140</v>
      </c>
      <c r="J70" s="26">
        <f ca="1">H68*25%</f>
        <v>12.5</v>
      </c>
    </row>
    <row r="71" spans="1:10" x14ac:dyDescent="0.35">
      <c r="A71" s="85" t="s">
        <v>127</v>
      </c>
      <c r="B71" s="86"/>
      <c r="C71" s="41">
        <f ca="1">J72</f>
        <v>50</v>
      </c>
      <c r="D71" s="17">
        <f ca="1">((100/H68)*C71)/100</f>
        <v>1</v>
      </c>
      <c r="E71" s="113">
        <f ca="1">(((C72/H68*10)+(40/(D68+F68+H68)*C73)+(7.5/(H68)*C74)+(7.5/(H68)*C75)+(10/H68*C76)+(10/H68*C77)+(5/H68*C78)+(5/H68*C79)+(5/H68*C80))/100)</f>
        <v>0.34608859649122808</v>
      </c>
      <c r="F71" s="114"/>
      <c r="G71" s="113">
        <f ca="1">((((C71/H68)*20)+((C72/H68)*25)+(30/(H68+F68+D68)*C73)+(5/H68*C74)+(5/H68*C75)+(5/H68*C76)+(5/H68*C77)+(0/H68*C78)+(0/H68*C79)+(5/H68*C80))/100)</f>
        <v>0.62477894736842099</v>
      </c>
      <c r="H71" s="119"/>
      <c r="I71" s="14" t="s">
        <v>99</v>
      </c>
      <c r="J71" s="27">
        <f ca="1">H68*50%</f>
        <v>25</v>
      </c>
    </row>
    <row r="72" spans="1:10" x14ac:dyDescent="0.35">
      <c r="A72" s="85" t="s">
        <v>49</v>
      </c>
      <c r="B72" s="86"/>
      <c r="C72" s="50">
        <v>50</v>
      </c>
      <c r="D72" s="17">
        <f ca="1">((100/H68)*C72)/100</f>
        <v>1</v>
      </c>
      <c r="E72" s="115"/>
      <c r="F72" s="116"/>
      <c r="G72" s="115"/>
      <c r="H72" s="120"/>
      <c r="I72" s="14" t="s">
        <v>100</v>
      </c>
      <c r="J72" s="27">
        <f ca="1">H68</f>
        <v>50</v>
      </c>
    </row>
    <row r="73" spans="1:10" ht="15.75" customHeight="1" x14ac:dyDescent="0.35">
      <c r="A73" s="85" t="s">
        <v>128</v>
      </c>
      <c r="B73" s="86"/>
      <c r="C73" s="41">
        <f>F68+19</f>
        <v>25</v>
      </c>
      <c r="D73" s="17">
        <f ca="1">((100/(D68+F68+H68))*C73)/100</f>
        <v>0.43859649122807015</v>
      </c>
      <c r="E73" s="115"/>
      <c r="F73" s="116"/>
      <c r="G73" s="115"/>
      <c r="H73" s="120"/>
      <c r="I73" s="14" t="s">
        <v>101</v>
      </c>
      <c r="J73" s="28">
        <f ca="1">(IF(B68&gt;1,(H68/(B68+2)),H68/4))</f>
        <v>12.5</v>
      </c>
    </row>
    <row r="74" spans="1:10" ht="15.75" customHeight="1" x14ac:dyDescent="0.35">
      <c r="A74" s="85" t="s">
        <v>135</v>
      </c>
      <c r="B74" s="86" t="s">
        <v>129</v>
      </c>
      <c r="C74" s="41">
        <f>C73-F68-1</f>
        <v>18</v>
      </c>
      <c r="D74" s="17">
        <f ca="1">((100/H68)*C74)/100</f>
        <v>0.36</v>
      </c>
      <c r="E74" s="115"/>
      <c r="F74" s="116"/>
      <c r="G74" s="115"/>
      <c r="H74" s="120"/>
      <c r="I74" s="14" t="s">
        <v>102</v>
      </c>
      <c r="J74" s="28">
        <f ca="1">(IF(B68&gt;1,(H68/(B68+2)+J73),H68/4+J73))</f>
        <v>25</v>
      </c>
    </row>
    <row r="75" spans="1:10" ht="15.75" customHeight="1" x14ac:dyDescent="0.35">
      <c r="A75" s="85" t="s">
        <v>136</v>
      </c>
      <c r="B75" s="86" t="s">
        <v>129</v>
      </c>
      <c r="C75" s="50">
        <f>C74*0.75</f>
        <v>13.5</v>
      </c>
      <c r="D75" s="17">
        <f ca="1">((100/H68)*C75)/100</f>
        <v>0.27</v>
      </c>
      <c r="E75" s="115"/>
      <c r="F75" s="116"/>
      <c r="G75" s="115"/>
      <c r="H75" s="120"/>
      <c r="I75" s="14" t="s">
        <v>145</v>
      </c>
      <c r="J75" s="28">
        <f ca="1">(IF(B68&gt;1,(H68/(B68+2)+J74),0))</f>
        <v>37.5</v>
      </c>
    </row>
    <row r="76" spans="1:10" ht="15" customHeight="1" x14ac:dyDescent="0.35">
      <c r="A76" s="85" t="s">
        <v>134</v>
      </c>
      <c r="B76" s="86" t="s">
        <v>131</v>
      </c>
      <c r="C76" s="50">
        <f>C74*0.65</f>
        <v>11.700000000000001</v>
      </c>
      <c r="D76" s="17">
        <f ca="1">((100/(H68))*C76)/100</f>
        <v>0.23400000000000001</v>
      </c>
      <c r="E76" s="115"/>
      <c r="F76" s="116"/>
      <c r="G76" s="115"/>
      <c r="H76" s="120"/>
      <c r="I76" s="14" t="s">
        <v>142</v>
      </c>
      <c r="J76" s="28">
        <f>(IF(B68&gt;2,(H68/(B68+2)+J75),0))</f>
        <v>0</v>
      </c>
    </row>
    <row r="77" spans="1:10" ht="15.75" customHeight="1" x14ac:dyDescent="0.35">
      <c r="A77" s="85" t="s">
        <v>130</v>
      </c>
      <c r="B77" s="86" t="s">
        <v>130</v>
      </c>
      <c r="C77" s="41">
        <v>0</v>
      </c>
      <c r="D77" s="17">
        <f ca="1">((100/H68)*C77)/100</f>
        <v>0</v>
      </c>
      <c r="E77" s="115"/>
      <c r="F77" s="116"/>
      <c r="G77" s="115"/>
      <c r="H77" s="120"/>
      <c r="I77" s="14" t="s">
        <v>143</v>
      </c>
      <c r="J77" s="29">
        <f>(IF(B68&gt;3,(H68/(B68+2)+J76),0))</f>
        <v>0</v>
      </c>
    </row>
    <row r="78" spans="1:10" ht="15.75" customHeight="1" x14ac:dyDescent="0.35">
      <c r="A78" s="85" t="s">
        <v>137</v>
      </c>
      <c r="B78" s="86"/>
      <c r="C78" s="41">
        <v>0</v>
      </c>
      <c r="D78" s="17">
        <f ca="1">((100/H68)*C78)/100</f>
        <v>0</v>
      </c>
      <c r="E78" s="115"/>
      <c r="F78" s="116"/>
      <c r="G78" s="115"/>
      <c r="H78" s="120"/>
      <c r="I78" s="14" t="s">
        <v>144</v>
      </c>
      <c r="J78" s="28">
        <f>(IF(B68&gt;4,(H68/(B68+2)+J77),0))</f>
        <v>0</v>
      </c>
    </row>
    <row r="79" spans="1:10" ht="15.75" customHeight="1" x14ac:dyDescent="0.35">
      <c r="A79" s="85" t="s">
        <v>132</v>
      </c>
      <c r="B79" s="86" t="s">
        <v>132</v>
      </c>
      <c r="C79" s="41">
        <v>0</v>
      </c>
      <c r="D79" s="17">
        <f ca="1">((100/(H68))*C79)/100</f>
        <v>0</v>
      </c>
      <c r="E79" s="115"/>
      <c r="F79" s="116"/>
      <c r="G79" s="115"/>
      <c r="H79" s="120"/>
      <c r="I79" s="14" t="s">
        <v>146</v>
      </c>
      <c r="J79" s="28">
        <f>(IF(B68=1,(H68/(B68+3)+J74),IF(B68=0,(H68/4+J74),IF(B68&gt;1,0))))</f>
        <v>0</v>
      </c>
    </row>
    <row r="80" spans="1:10" ht="16" thickBot="1" x14ac:dyDescent="0.4">
      <c r="A80" s="122" t="s">
        <v>133</v>
      </c>
      <c r="B80" s="123"/>
      <c r="C80" s="42">
        <v>0</v>
      </c>
      <c r="D80" s="18">
        <f ca="1">((100/(H68))*C80)/100</f>
        <v>0</v>
      </c>
      <c r="E80" s="117"/>
      <c r="F80" s="118"/>
      <c r="G80" s="117"/>
      <c r="H80" s="121"/>
      <c r="I80" s="15" t="s">
        <v>103</v>
      </c>
      <c r="J80" s="30">
        <f ca="1">(IF(B68&gt;1.5,(H68/(B68+2)+J74+MAX(0,J75-J74)+MAX(0,J76-J75)+MAX(0,J77-J76)+MAX(0,J78-J77)+MAX(0,J79-J78)),IF(B68=1,(H68/(B68+3)+J79),IF(B68=0,H68/4+J79))))</f>
        <v>50</v>
      </c>
    </row>
    <row r="81" spans="1:9" x14ac:dyDescent="0.35">
      <c r="A81" s="124" t="s">
        <v>155</v>
      </c>
      <c r="B81" s="124"/>
      <c r="C81" s="124"/>
      <c r="D81" s="124"/>
      <c r="E81" s="124"/>
      <c r="F81" s="153" t="s">
        <v>159</v>
      </c>
      <c r="G81" s="153"/>
      <c r="H81" s="153"/>
    </row>
    <row r="82" spans="1:9" x14ac:dyDescent="0.35">
      <c r="A82" s="74" t="s">
        <v>157</v>
      </c>
      <c r="B82" s="74"/>
      <c r="C82" s="74"/>
      <c r="D82" s="74"/>
      <c r="E82" s="74"/>
      <c r="F82" s="87">
        <v>12500</v>
      </c>
      <c r="G82" s="87"/>
      <c r="H82" s="87"/>
      <c r="I82" s="19">
        <f>19000/1.6</f>
        <v>11875</v>
      </c>
    </row>
    <row r="83" spans="1:9" hidden="1" x14ac:dyDescent="0.35">
      <c r="A83" s="74" t="s">
        <v>156</v>
      </c>
      <c r="B83" s="74"/>
      <c r="C83" s="74"/>
      <c r="D83" s="74"/>
      <c r="E83" s="74"/>
      <c r="F83" s="87"/>
      <c r="G83" s="87"/>
      <c r="H83" s="87"/>
    </row>
    <row r="84" spans="1:9" hidden="1" x14ac:dyDescent="0.35">
      <c r="A84" s="74" t="s">
        <v>158</v>
      </c>
      <c r="B84" s="74"/>
      <c r="C84" s="74"/>
      <c r="D84" s="74"/>
      <c r="E84" s="74"/>
      <c r="F84" s="87"/>
      <c r="G84" s="87"/>
      <c r="H84" s="87"/>
    </row>
    <row r="85" spans="1:9" s="31" customFormat="1" x14ac:dyDescent="0.3">
      <c r="A85" s="74" t="s">
        <v>186</v>
      </c>
      <c r="B85" s="74"/>
      <c r="C85" s="74"/>
      <c r="D85" s="74"/>
      <c r="E85" s="74"/>
      <c r="F85" s="87">
        <v>30</v>
      </c>
      <c r="G85" s="87"/>
      <c r="H85" s="87"/>
      <c r="I85" s="31">
        <f>50/1.6</f>
        <v>31.25</v>
      </c>
    </row>
    <row r="86" spans="1:9" s="31" customFormat="1" hidden="1" x14ac:dyDescent="0.3">
      <c r="A86" s="74" t="s">
        <v>93</v>
      </c>
      <c r="B86" s="74"/>
      <c r="C86" s="74"/>
      <c r="D86" s="74"/>
      <c r="E86" s="74"/>
      <c r="F86" s="87"/>
      <c r="G86" s="87"/>
      <c r="H86" s="87"/>
    </row>
    <row r="87" spans="1:9" s="31" customFormat="1" hidden="1" x14ac:dyDescent="0.3">
      <c r="A87" s="74" t="s">
        <v>94</v>
      </c>
      <c r="B87" s="74"/>
      <c r="C87" s="74"/>
      <c r="D87" s="74"/>
      <c r="E87" s="74"/>
      <c r="F87" s="87"/>
      <c r="G87" s="87"/>
      <c r="H87" s="87"/>
    </row>
    <row r="88" spans="1:9" s="31" customFormat="1" hidden="1" x14ac:dyDescent="0.3">
      <c r="A88" s="74" t="s">
        <v>160</v>
      </c>
      <c r="B88" s="74"/>
      <c r="C88" s="74"/>
      <c r="D88" s="74"/>
      <c r="E88" s="74"/>
      <c r="F88" s="87"/>
      <c r="G88" s="87"/>
      <c r="H88" s="87"/>
    </row>
    <row r="89" spans="1:9" s="31" customFormat="1" hidden="1" x14ac:dyDescent="0.3">
      <c r="A89" s="74" t="s">
        <v>95</v>
      </c>
      <c r="B89" s="74"/>
      <c r="C89" s="74"/>
      <c r="D89" s="74"/>
      <c r="E89" s="74"/>
      <c r="F89" s="87"/>
      <c r="G89" s="87"/>
      <c r="H89" s="87"/>
    </row>
    <row r="90" spans="1:9" s="31" customFormat="1" hidden="1" x14ac:dyDescent="0.3">
      <c r="A90" s="74" t="s">
        <v>96</v>
      </c>
      <c r="B90" s="74"/>
      <c r="C90" s="74"/>
      <c r="D90" s="74"/>
      <c r="E90" s="74"/>
      <c r="F90" s="87"/>
      <c r="G90" s="87"/>
      <c r="H90" s="87"/>
    </row>
    <row r="91" spans="1:9" s="31" customFormat="1" hidden="1" x14ac:dyDescent="0.3">
      <c r="A91" s="74" t="s">
        <v>97</v>
      </c>
      <c r="B91" s="74"/>
      <c r="C91" s="74"/>
      <c r="D91" s="74"/>
      <c r="E91" s="74"/>
      <c r="F91" s="87"/>
      <c r="G91" s="87"/>
      <c r="H91" s="87"/>
    </row>
    <row r="92" spans="1:9" s="31" customFormat="1" hidden="1" x14ac:dyDescent="0.3">
      <c r="A92" s="74" t="s">
        <v>98</v>
      </c>
      <c r="B92" s="74"/>
      <c r="C92" s="74"/>
      <c r="D92" s="74"/>
      <c r="E92" s="74"/>
      <c r="F92" s="87"/>
      <c r="G92" s="87"/>
      <c r="H92" s="87"/>
    </row>
    <row r="93" spans="1:9" x14ac:dyDescent="0.35">
      <c r="A93" s="74" t="s">
        <v>50</v>
      </c>
      <c r="B93" s="74"/>
      <c r="C93" s="74"/>
      <c r="D93" s="74"/>
      <c r="E93" s="74"/>
      <c r="F93" s="87">
        <v>700000</v>
      </c>
      <c r="G93" s="87"/>
      <c r="H93" s="87"/>
    </row>
    <row r="94" spans="1:9" s="32" customFormat="1" x14ac:dyDescent="0.35">
      <c r="A94" s="102" t="s">
        <v>51</v>
      </c>
      <c r="B94" s="102"/>
      <c r="C94" s="102"/>
      <c r="D94" s="102"/>
      <c r="E94" s="102"/>
      <c r="F94" s="87">
        <f>F82*0.8</f>
        <v>10000</v>
      </c>
      <c r="G94" s="87"/>
      <c r="H94" s="87"/>
    </row>
    <row r="95" spans="1:9" s="33" customFormat="1" x14ac:dyDescent="0.35">
      <c r="A95" s="104" t="s">
        <v>182</v>
      </c>
      <c r="B95" s="104"/>
      <c r="C95" s="104"/>
      <c r="D95" s="104"/>
      <c r="E95" s="104"/>
      <c r="F95" s="104"/>
      <c r="G95" s="104"/>
      <c r="H95" s="104"/>
    </row>
    <row r="96" spans="1:9" s="33" customFormat="1" ht="15.75" customHeight="1" x14ac:dyDescent="0.35">
      <c r="A96" s="76" t="s">
        <v>52</v>
      </c>
      <c r="B96" s="76"/>
      <c r="C96" s="145" t="s">
        <v>76</v>
      </c>
      <c r="D96" s="145"/>
      <c r="E96" s="146" t="s">
        <v>53</v>
      </c>
      <c r="F96" s="146"/>
      <c r="G96" s="76" t="s">
        <v>54</v>
      </c>
      <c r="H96" s="76"/>
    </row>
    <row r="97" spans="1:14" s="33" customFormat="1" x14ac:dyDescent="0.35">
      <c r="A97" s="103" t="s">
        <v>177</v>
      </c>
      <c r="B97" s="103"/>
      <c r="C97" s="111">
        <f>COUNT(D107:D112)*5+COUNT(D114:D119)+COUNT(D121:D127,D129:D132)*11+COUNT(D134:D145)*38</f>
        <v>613</v>
      </c>
      <c r="D97" s="111"/>
      <c r="E97" s="112">
        <f>SUM(D107:D112)*5+SUM(D114:D119)+SUM(D121:D127,D129:D132)*11+SUM(D134:D145)*38</f>
        <v>294722.51796000003</v>
      </c>
      <c r="F97" s="112"/>
      <c r="G97" s="112">
        <f>SUM(F107:F112)*5+SUM(F114:F119)+SUM(F121:F127,F129:F132)*11+SUM(F134:F145)*38</f>
        <v>471556.02873599995</v>
      </c>
      <c r="H97" s="112"/>
    </row>
    <row r="98" spans="1:14" s="32" customFormat="1" x14ac:dyDescent="0.35">
      <c r="A98" s="129" t="s">
        <v>55</v>
      </c>
      <c r="B98" s="129"/>
      <c r="C98" s="129"/>
      <c r="D98" s="129"/>
      <c r="E98" s="129"/>
      <c r="F98" s="129"/>
      <c r="G98" s="129"/>
      <c r="H98" s="129"/>
    </row>
    <row r="99" spans="1:14" x14ac:dyDescent="0.35">
      <c r="A99" s="129" t="s">
        <v>56</v>
      </c>
      <c r="B99" s="129"/>
      <c r="C99" s="129"/>
      <c r="D99" s="129"/>
      <c r="E99" s="129"/>
      <c r="F99" s="129"/>
      <c r="G99" s="129"/>
      <c r="H99" s="129"/>
    </row>
    <row r="100" spans="1:14" ht="47.25" customHeight="1" x14ac:dyDescent="0.35">
      <c r="A100" s="77" t="s">
        <v>117</v>
      </c>
      <c r="B100" s="77" t="s">
        <v>118</v>
      </c>
      <c r="C100" s="77" t="s">
        <v>57</v>
      </c>
      <c r="D100" s="77" t="s">
        <v>58</v>
      </c>
      <c r="E100" s="79" t="s">
        <v>59</v>
      </c>
      <c r="F100" s="40" t="s">
        <v>149</v>
      </c>
      <c r="G100" s="81" t="s">
        <v>60</v>
      </c>
      <c r="H100" s="82"/>
      <c r="I100" s="34"/>
    </row>
    <row r="101" spans="1:14" s="44" customFormat="1" x14ac:dyDescent="0.35">
      <c r="A101" s="78"/>
      <c r="B101" s="78"/>
      <c r="C101" s="78"/>
      <c r="D101" s="78"/>
      <c r="E101" s="80"/>
      <c r="F101" s="13">
        <v>0.6</v>
      </c>
      <c r="G101" s="83"/>
      <c r="H101" s="84"/>
      <c r="I101" s="34"/>
    </row>
    <row r="102" spans="1:14" s="44" customFormat="1" x14ac:dyDescent="0.35">
      <c r="A102" s="59" t="s">
        <v>177</v>
      </c>
      <c r="B102" s="60"/>
      <c r="C102" s="60"/>
      <c r="D102" s="60"/>
      <c r="E102" s="60"/>
      <c r="F102" s="60"/>
      <c r="G102" s="60"/>
      <c r="H102" s="61"/>
      <c r="J102" s="34"/>
    </row>
    <row r="103" spans="1:14" s="44" customFormat="1" x14ac:dyDescent="0.35">
      <c r="A103" s="59" t="s">
        <v>199</v>
      </c>
      <c r="B103" s="60"/>
      <c r="C103" s="60"/>
      <c r="D103" s="60"/>
      <c r="E103" s="60"/>
      <c r="F103" s="60"/>
      <c r="G103" s="60"/>
      <c r="H103" s="61"/>
      <c r="J103" s="34"/>
    </row>
    <row r="104" spans="1:14" s="44" customFormat="1" x14ac:dyDescent="0.35">
      <c r="A104" s="59" t="s">
        <v>200</v>
      </c>
      <c r="B104" s="60"/>
      <c r="C104" s="60"/>
      <c r="D104" s="60"/>
      <c r="E104" s="60"/>
      <c r="F104" s="60"/>
      <c r="G104" s="60"/>
      <c r="H104" s="61"/>
      <c r="J104" s="34"/>
    </row>
    <row r="105" spans="1:14" s="44" customFormat="1" x14ac:dyDescent="0.35">
      <c r="A105" s="59" t="s">
        <v>180</v>
      </c>
      <c r="B105" s="60"/>
      <c r="C105" s="60"/>
      <c r="D105" s="60"/>
      <c r="E105" s="60"/>
      <c r="F105" s="60"/>
      <c r="G105" s="60"/>
      <c r="H105" s="61"/>
      <c r="J105" s="34"/>
    </row>
    <row r="106" spans="1:14" s="44" customFormat="1" x14ac:dyDescent="0.35">
      <c r="A106" s="59" t="s">
        <v>201</v>
      </c>
      <c r="B106" s="60"/>
      <c r="C106" s="60"/>
      <c r="D106" s="60"/>
      <c r="E106" s="60"/>
      <c r="F106" s="60"/>
      <c r="G106" s="60"/>
      <c r="H106" s="61"/>
      <c r="J106" s="34"/>
    </row>
    <row r="107" spans="1:14" s="44" customFormat="1" ht="15.75" customHeight="1" x14ac:dyDescent="0.35">
      <c r="A107" s="57">
        <v>1</v>
      </c>
      <c r="B107" s="58"/>
      <c r="C107" s="48">
        <v>2</v>
      </c>
      <c r="D107" s="39">
        <f>(51.66+2.9)*(10.764)</f>
        <v>587.28383999999994</v>
      </c>
      <c r="E107" s="39">
        <v>0</v>
      </c>
      <c r="F107" s="39">
        <f t="shared" ref="F107:F112" si="0">D107*(($F$101)+1)+(IF(E107&lt;101,E107,IF(E107&lt;201,E107/2,IF(E107&lt;=301,E107/3,E107/4))))</f>
        <v>939.65414399999997</v>
      </c>
      <c r="G107" s="65" t="str">
        <f>A106</f>
        <v>1st Podium to 5th Podium Floor for Residential &amp; Parking</v>
      </c>
      <c r="H107" s="66"/>
      <c r="I107" s="34"/>
      <c r="L107" s="56"/>
      <c r="M107" s="56"/>
      <c r="N107" s="34"/>
    </row>
    <row r="108" spans="1:14" s="44" customFormat="1" ht="15.75" customHeight="1" x14ac:dyDescent="0.35">
      <c r="A108" s="57">
        <f>A107+1</f>
        <v>2</v>
      </c>
      <c r="B108" s="58"/>
      <c r="C108" s="51">
        <v>1.5</v>
      </c>
      <c r="D108" s="39">
        <f>(47.19)*(10.764)</f>
        <v>507.95315999999997</v>
      </c>
      <c r="E108" s="39">
        <v>0</v>
      </c>
      <c r="F108" s="39">
        <f t="shared" si="0"/>
        <v>812.725056</v>
      </c>
      <c r="G108" s="67"/>
      <c r="H108" s="68"/>
      <c r="I108" s="34"/>
      <c r="L108" s="56"/>
      <c r="M108" s="56"/>
      <c r="N108" s="34"/>
    </row>
    <row r="109" spans="1:14" s="44" customFormat="1" ht="15.75" customHeight="1" x14ac:dyDescent="0.35">
      <c r="A109" s="57">
        <f>A108+1</f>
        <v>3</v>
      </c>
      <c r="B109" s="58"/>
      <c r="C109" s="48">
        <v>1</v>
      </c>
      <c r="D109" s="39">
        <f>(32.95)*(10.764)</f>
        <v>354.67380000000003</v>
      </c>
      <c r="E109" s="39">
        <v>0</v>
      </c>
      <c r="F109" s="39">
        <f t="shared" si="0"/>
        <v>567.47808000000009</v>
      </c>
      <c r="G109" s="67"/>
      <c r="H109" s="68"/>
      <c r="I109" s="34"/>
      <c r="L109" s="56"/>
      <c r="M109" s="56"/>
      <c r="N109" s="34"/>
    </row>
    <row r="110" spans="1:14" s="44" customFormat="1" ht="15.75" customHeight="1" x14ac:dyDescent="0.35">
      <c r="A110" s="57">
        <f>A109+1</f>
        <v>4</v>
      </c>
      <c r="B110" s="58"/>
      <c r="C110" s="48">
        <v>1</v>
      </c>
      <c r="D110" s="39">
        <f>(32.95)*(10.764)</f>
        <v>354.67380000000003</v>
      </c>
      <c r="E110" s="39">
        <v>0</v>
      </c>
      <c r="F110" s="39">
        <f t="shared" si="0"/>
        <v>567.47808000000009</v>
      </c>
      <c r="G110" s="67"/>
      <c r="H110" s="68"/>
      <c r="I110" s="34"/>
      <c r="L110" s="56"/>
      <c r="M110" s="56"/>
      <c r="N110" s="34"/>
    </row>
    <row r="111" spans="1:14" s="44" customFormat="1" ht="15.75" customHeight="1" x14ac:dyDescent="0.35">
      <c r="A111" s="57">
        <f>A110+1</f>
        <v>5</v>
      </c>
      <c r="B111" s="58"/>
      <c r="C111" s="51">
        <v>1.5</v>
      </c>
      <c r="D111" s="39">
        <f>(47.19)*(10.764)</f>
        <v>507.95315999999997</v>
      </c>
      <c r="E111" s="39">
        <v>0</v>
      </c>
      <c r="F111" s="39">
        <f t="shared" si="0"/>
        <v>812.725056</v>
      </c>
      <c r="G111" s="67"/>
      <c r="H111" s="68"/>
      <c r="I111" s="34"/>
      <c r="L111" s="56"/>
      <c r="M111" s="56"/>
      <c r="N111" s="34"/>
    </row>
    <row r="112" spans="1:14" s="44" customFormat="1" ht="15.75" customHeight="1" x14ac:dyDescent="0.35">
      <c r="A112" s="57">
        <f>A111+1</f>
        <v>6</v>
      </c>
      <c r="B112" s="58"/>
      <c r="C112" s="48">
        <v>2</v>
      </c>
      <c r="D112" s="39">
        <f>(55.24+2.99)*(10.764)</f>
        <v>626.78772000000004</v>
      </c>
      <c r="E112" s="39">
        <v>0</v>
      </c>
      <c r="F112" s="39">
        <f t="shared" si="0"/>
        <v>1002.8603520000001</v>
      </c>
      <c r="G112" s="69"/>
      <c r="H112" s="70"/>
      <c r="I112" s="34"/>
      <c r="L112" s="56"/>
      <c r="M112" s="56"/>
      <c r="N112" s="34"/>
    </row>
    <row r="113" spans="1:14" s="44" customFormat="1" x14ac:dyDescent="0.35">
      <c r="A113" s="59" t="s">
        <v>202</v>
      </c>
      <c r="B113" s="60"/>
      <c r="C113" s="60"/>
      <c r="D113" s="60"/>
      <c r="E113" s="60"/>
      <c r="F113" s="60"/>
      <c r="G113" s="60"/>
      <c r="H113" s="61"/>
      <c r="J113" s="34"/>
    </row>
    <row r="114" spans="1:14" s="44" customFormat="1" ht="15.75" customHeight="1" x14ac:dyDescent="0.35">
      <c r="A114" s="57">
        <v>1</v>
      </c>
      <c r="B114" s="58"/>
      <c r="C114" s="48">
        <v>2</v>
      </c>
      <c r="D114" s="39">
        <f>(51.66+2.9)*(10.764)</f>
        <v>587.28383999999994</v>
      </c>
      <c r="E114" s="39">
        <v>0</v>
      </c>
      <c r="F114" s="39">
        <f t="shared" ref="F114:F119" si="1">D114*(($F$101)+1)+(IF(E114&lt;101,E114,IF(E114&lt;201,E114/2,IF(E114&lt;=301,E114/3,E114/4))))</f>
        <v>939.65414399999997</v>
      </c>
      <c r="G114" s="65" t="str">
        <f>A113</f>
        <v xml:space="preserve">Upper Stilt Floor for Residential, Fitness Center, Creche &amp; Amenity Area </v>
      </c>
      <c r="H114" s="66"/>
      <c r="I114" s="34"/>
      <c r="L114" s="56"/>
      <c r="M114" s="56"/>
      <c r="N114" s="34"/>
    </row>
    <row r="115" spans="1:14" s="44" customFormat="1" ht="15.75" customHeight="1" x14ac:dyDescent="0.35">
      <c r="A115" s="57">
        <f>A114+1</f>
        <v>2</v>
      </c>
      <c r="B115" s="58"/>
      <c r="C115" s="51">
        <v>1.5</v>
      </c>
      <c r="D115" s="39">
        <f>(47.19)*(10.764)</f>
        <v>507.95315999999997</v>
      </c>
      <c r="E115" s="39">
        <v>0</v>
      </c>
      <c r="F115" s="39">
        <f t="shared" si="1"/>
        <v>812.725056</v>
      </c>
      <c r="G115" s="67"/>
      <c r="H115" s="68"/>
      <c r="I115" s="34"/>
      <c r="L115" s="56"/>
      <c r="M115" s="56"/>
      <c r="N115" s="34"/>
    </row>
    <row r="116" spans="1:14" s="44" customFormat="1" ht="15.75" customHeight="1" x14ac:dyDescent="0.35">
      <c r="A116" s="57">
        <f>A115+1</f>
        <v>3</v>
      </c>
      <c r="B116" s="58"/>
      <c r="C116" s="48">
        <v>1</v>
      </c>
      <c r="D116" s="39">
        <f>(32.95)*(10.764)</f>
        <v>354.67380000000003</v>
      </c>
      <c r="E116" s="39">
        <v>0</v>
      </c>
      <c r="F116" s="39">
        <f t="shared" si="1"/>
        <v>567.47808000000009</v>
      </c>
      <c r="G116" s="67"/>
      <c r="H116" s="68"/>
      <c r="I116" s="34"/>
      <c r="L116" s="56"/>
      <c r="M116" s="56"/>
      <c r="N116" s="34"/>
    </row>
    <row r="117" spans="1:14" s="44" customFormat="1" ht="15.75" customHeight="1" x14ac:dyDescent="0.35">
      <c r="A117" s="57">
        <f>A116+1</f>
        <v>4</v>
      </c>
      <c r="B117" s="58"/>
      <c r="C117" s="48">
        <v>1</v>
      </c>
      <c r="D117" s="39">
        <f>(32.95)*(10.764)</f>
        <v>354.67380000000003</v>
      </c>
      <c r="E117" s="39">
        <v>0</v>
      </c>
      <c r="F117" s="39">
        <f t="shared" si="1"/>
        <v>567.47808000000009</v>
      </c>
      <c r="G117" s="67"/>
      <c r="H117" s="68"/>
      <c r="I117" s="34"/>
      <c r="L117" s="56"/>
      <c r="M117" s="56"/>
      <c r="N117" s="34"/>
    </row>
    <row r="118" spans="1:14" s="44" customFormat="1" ht="15.75" customHeight="1" x14ac:dyDescent="0.35">
      <c r="A118" s="57">
        <f>A117+1</f>
        <v>5</v>
      </c>
      <c r="B118" s="58"/>
      <c r="C118" s="51">
        <v>1.5</v>
      </c>
      <c r="D118" s="39">
        <f>(47.19)*(10.764)</f>
        <v>507.95315999999997</v>
      </c>
      <c r="E118" s="39">
        <v>0</v>
      </c>
      <c r="F118" s="39">
        <f t="shared" si="1"/>
        <v>812.725056</v>
      </c>
      <c r="G118" s="67"/>
      <c r="H118" s="68"/>
      <c r="I118" s="34"/>
      <c r="L118" s="56"/>
      <c r="M118" s="56"/>
      <c r="N118" s="34"/>
    </row>
    <row r="119" spans="1:14" s="44" customFormat="1" ht="15.75" customHeight="1" x14ac:dyDescent="0.35">
      <c r="A119" s="57">
        <f>A118+1</f>
        <v>6</v>
      </c>
      <c r="B119" s="58"/>
      <c r="C119" s="48">
        <v>2</v>
      </c>
      <c r="D119" s="39">
        <f>(55.24+2.99)*(10.764)</f>
        <v>626.78772000000004</v>
      </c>
      <c r="E119" s="39">
        <v>0</v>
      </c>
      <c r="F119" s="39">
        <f t="shared" si="1"/>
        <v>1002.8603520000001</v>
      </c>
      <c r="G119" s="69"/>
      <c r="H119" s="70"/>
      <c r="I119" s="34"/>
      <c r="L119" s="56"/>
      <c r="M119" s="56"/>
      <c r="N119" s="34"/>
    </row>
    <row r="120" spans="1:14" s="44" customFormat="1" ht="37.5" customHeight="1" x14ac:dyDescent="0.35">
      <c r="A120" s="59" t="s">
        <v>203</v>
      </c>
      <c r="B120" s="60"/>
      <c r="C120" s="60"/>
      <c r="D120" s="60"/>
      <c r="E120" s="60"/>
      <c r="F120" s="60"/>
      <c r="G120" s="60"/>
      <c r="H120" s="61"/>
      <c r="J120" s="34"/>
    </row>
    <row r="121" spans="1:14" s="44" customFormat="1" ht="15.75" customHeight="1" x14ac:dyDescent="0.35">
      <c r="A121" s="57">
        <v>1</v>
      </c>
      <c r="B121" s="58"/>
      <c r="C121" s="48">
        <v>2</v>
      </c>
      <c r="D121" s="39">
        <f>(55.24+2.99)*(10.764)</f>
        <v>626.78772000000004</v>
      </c>
      <c r="E121" s="39">
        <v>0</v>
      </c>
      <c r="F121" s="39">
        <f t="shared" ref="F121:F126" si="2">D121*(($F$101)+1)+(IF(E121&lt;101,E121,IF(E121&lt;201,E121/2,IF(E121&lt;=301,E121/3,E121/4))))</f>
        <v>1002.8603520000001</v>
      </c>
      <c r="G121" s="65" t="str">
        <f>A120</f>
        <v>1st, 6th, 11th, 15th, 20th, 25th, 29th, 34th, 39th, 
44th, 49th Floor For Residential (Part Refuge Area)</v>
      </c>
      <c r="H121" s="66"/>
      <c r="I121" s="34"/>
      <c r="L121" s="56"/>
      <c r="M121" s="56"/>
      <c r="N121" s="34"/>
    </row>
    <row r="122" spans="1:14" s="44" customFormat="1" ht="15.75" customHeight="1" x14ac:dyDescent="0.35">
      <c r="A122" s="57">
        <f>A121+1</f>
        <v>2</v>
      </c>
      <c r="B122" s="58"/>
      <c r="C122" s="48">
        <v>1</v>
      </c>
      <c r="D122" s="39">
        <f>(36.22)*(10.764)</f>
        <v>389.87207999999998</v>
      </c>
      <c r="E122" s="39">
        <v>0</v>
      </c>
      <c r="F122" s="39">
        <f t="shared" si="2"/>
        <v>623.79532800000004</v>
      </c>
      <c r="G122" s="67"/>
      <c r="H122" s="68"/>
      <c r="I122" s="34"/>
      <c r="L122" s="56"/>
      <c r="M122" s="56"/>
      <c r="N122" s="34"/>
    </row>
    <row r="123" spans="1:14" s="44" customFormat="1" ht="15.75" customHeight="1" x14ac:dyDescent="0.35">
      <c r="A123" s="57">
        <f>A122+1</f>
        <v>3</v>
      </c>
      <c r="B123" s="58"/>
      <c r="C123" s="48">
        <v>1</v>
      </c>
      <c r="D123" s="39">
        <f>(36.29+2.53)*(10.764)</f>
        <v>417.85847999999999</v>
      </c>
      <c r="E123" s="39">
        <v>0</v>
      </c>
      <c r="F123" s="39">
        <f t="shared" si="2"/>
        <v>668.57356800000002</v>
      </c>
      <c r="G123" s="67"/>
      <c r="H123" s="68"/>
      <c r="I123" s="34"/>
      <c r="L123" s="56"/>
      <c r="M123" s="56"/>
      <c r="N123" s="34"/>
    </row>
    <row r="124" spans="1:14" s="44" customFormat="1" ht="15.75" customHeight="1" x14ac:dyDescent="0.35">
      <c r="A124" s="57">
        <f>A123+1</f>
        <v>4</v>
      </c>
      <c r="B124" s="58"/>
      <c r="C124" s="48">
        <v>1</v>
      </c>
      <c r="D124" s="39">
        <f>(36.29+2.53)*(10.764)</f>
        <v>417.85847999999999</v>
      </c>
      <c r="E124" s="39">
        <v>0</v>
      </c>
      <c r="F124" s="39">
        <f t="shared" si="2"/>
        <v>668.57356800000002</v>
      </c>
      <c r="G124" s="67"/>
      <c r="H124" s="68"/>
      <c r="I124" s="34"/>
      <c r="L124" s="56"/>
      <c r="M124" s="56"/>
      <c r="N124" s="34"/>
    </row>
    <row r="125" spans="1:14" s="44" customFormat="1" ht="15.75" customHeight="1" x14ac:dyDescent="0.35">
      <c r="A125" s="57">
        <f>A124+1</f>
        <v>5</v>
      </c>
      <c r="B125" s="58"/>
      <c r="C125" s="48">
        <v>1</v>
      </c>
      <c r="D125" s="39">
        <f>(36.22)*(10.764)</f>
        <v>389.87207999999998</v>
      </c>
      <c r="E125" s="39">
        <v>0</v>
      </c>
      <c r="F125" s="39">
        <f t="shared" si="2"/>
        <v>623.79532800000004</v>
      </c>
      <c r="G125" s="67"/>
      <c r="H125" s="68"/>
      <c r="I125" s="34"/>
      <c r="L125" s="56"/>
      <c r="M125" s="56"/>
      <c r="N125" s="34"/>
    </row>
    <row r="126" spans="1:14" s="44" customFormat="1" ht="15.75" customHeight="1" x14ac:dyDescent="0.35">
      <c r="A126" s="57">
        <f>A125+1</f>
        <v>6</v>
      </c>
      <c r="B126" s="58"/>
      <c r="C126" s="48">
        <v>2</v>
      </c>
      <c r="D126" s="39">
        <f>(51.66+2.9)*(10.764)</f>
        <v>587.28383999999994</v>
      </c>
      <c r="E126" s="39">
        <v>0</v>
      </c>
      <c r="F126" s="39">
        <f t="shared" si="2"/>
        <v>939.65414399999997</v>
      </c>
      <c r="G126" s="67"/>
      <c r="H126" s="68"/>
      <c r="I126" s="34"/>
      <c r="L126" s="56"/>
      <c r="M126" s="56"/>
      <c r="N126" s="34"/>
    </row>
    <row r="127" spans="1:14" s="44" customFormat="1" ht="15.75" customHeight="1" x14ac:dyDescent="0.35">
      <c r="A127" s="57">
        <f t="shared" ref="A127:A132" si="3">A126+1</f>
        <v>7</v>
      </c>
      <c r="B127" s="58"/>
      <c r="C127" s="48">
        <v>2</v>
      </c>
      <c r="D127" s="39">
        <f>(51.66+2.9)*(10.764)</f>
        <v>587.28383999999994</v>
      </c>
      <c r="E127" s="39">
        <v>0</v>
      </c>
      <c r="F127" s="39">
        <f t="shared" ref="F127:F132" si="4">D127*(($F$101)+1)+(IF(E127&lt;101,E127,IF(E127&lt;201,E127/2,IF(E127&lt;=301,E127/3,E127/4))))</f>
        <v>939.65414399999997</v>
      </c>
      <c r="G127" s="67"/>
      <c r="H127" s="68"/>
      <c r="I127" s="34"/>
      <c r="L127" s="56"/>
      <c r="M127" s="56"/>
      <c r="N127" s="34"/>
    </row>
    <row r="128" spans="1:14" s="44" customFormat="1" ht="15.75" customHeight="1" x14ac:dyDescent="0.35">
      <c r="A128" s="57">
        <f t="shared" si="3"/>
        <v>8</v>
      </c>
      <c r="B128" s="58"/>
      <c r="C128" s="71" t="s">
        <v>181</v>
      </c>
      <c r="D128" s="72"/>
      <c r="E128" s="72"/>
      <c r="F128" s="73"/>
      <c r="G128" s="67"/>
      <c r="H128" s="68"/>
      <c r="I128" s="34"/>
      <c r="L128" s="56"/>
      <c r="M128" s="56"/>
      <c r="N128" s="34"/>
    </row>
    <row r="129" spans="1:14" s="44" customFormat="1" ht="15.75" customHeight="1" x14ac:dyDescent="0.35">
      <c r="A129" s="57">
        <f t="shared" si="3"/>
        <v>9</v>
      </c>
      <c r="B129" s="58"/>
      <c r="C129" s="48">
        <v>1</v>
      </c>
      <c r="D129" s="39">
        <f>(32.95)*(10.764)</f>
        <v>354.67380000000003</v>
      </c>
      <c r="E129" s="39">
        <v>0</v>
      </c>
      <c r="F129" s="39">
        <f t="shared" si="4"/>
        <v>567.47808000000009</v>
      </c>
      <c r="G129" s="67"/>
      <c r="H129" s="68"/>
      <c r="I129" s="34"/>
      <c r="L129" s="56"/>
      <c r="M129" s="56"/>
      <c r="N129" s="34"/>
    </row>
    <row r="130" spans="1:14" s="44" customFormat="1" ht="15.75" customHeight="1" x14ac:dyDescent="0.35">
      <c r="A130" s="57">
        <f t="shared" si="3"/>
        <v>10</v>
      </c>
      <c r="B130" s="58"/>
      <c r="C130" s="48">
        <v>1</v>
      </c>
      <c r="D130" s="39">
        <f>(32.95)*(10.764)</f>
        <v>354.67380000000003</v>
      </c>
      <c r="E130" s="39">
        <v>0</v>
      </c>
      <c r="F130" s="39">
        <f t="shared" si="4"/>
        <v>567.47808000000009</v>
      </c>
      <c r="G130" s="67"/>
      <c r="H130" s="68"/>
      <c r="I130" s="34"/>
      <c r="L130" s="56"/>
      <c r="M130" s="56"/>
      <c r="N130" s="34"/>
    </row>
    <row r="131" spans="1:14" s="44" customFormat="1" ht="15.75" customHeight="1" x14ac:dyDescent="0.35">
      <c r="A131" s="57">
        <f t="shared" si="3"/>
        <v>11</v>
      </c>
      <c r="B131" s="58"/>
      <c r="C131" s="51">
        <v>1.5</v>
      </c>
      <c r="D131" s="39">
        <f>(47.19)*(10.764)</f>
        <v>507.95315999999997</v>
      </c>
      <c r="E131" s="39">
        <v>0</v>
      </c>
      <c r="F131" s="39">
        <f t="shared" si="4"/>
        <v>812.725056</v>
      </c>
      <c r="G131" s="67"/>
      <c r="H131" s="68"/>
      <c r="I131" s="34"/>
      <c r="L131" s="56"/>
      <c r="M131" s="56"/>
      <c r="N131" s="34"/>
    </row>
    <row r="132" spans="1:14" s="44" customFormat="1" ht="15.75" customHeight="1" x14ac:dyDescent="0.35">
      <c r="A132" s="57">
        <f t="shared" si="3"/>
        <v>12</v>
      </c>
      <c r="B132" s="58"/>
      <c r="C132" s="48">
        <v>2</v>
      </c>
      <c r="D132" s="39">
        <f>(55.24+2.99)*(10.764)</f>
        <v>626.78772000000004</v>
      </c>
      <c r="E132" s="39">
        <v>0</v>
      </c>
      <c r="F132" s="39">
        <f t="shared" si="4"/>
        <v>1002.8603520000001</v>
      </c>
      <c r="G132" s="69"/>
      <c r="H132" s="70"/>
      <c r="I132" s="34"/>
      <c r="L132" s="56"/>
      <c r="M132" s="56"/>
      <c r="N132" s="34"/>
    </row>
    <row r="133" spans="1:14" s="44" customFormat="1" ht="37.5" customHeight="1" x14ac:dyDescent="0.35">
      <c r="A133" s="59" t="s">
        <v>204</v>
      </c>
      <c r="B133" s="60"/>
      <c r="C133" s="60"/>
      <c r="D133" s="60"/>
      <c r="E133" s="60"/>
      <c r="F133" s="60"/>
      <c r="G133" s="60"/>
      <c r="H133" s="61"/>
      <c r="J133" s="34"/>
    </row>
    <row r="134" spans="1:14" s="44" customFormat="1" ht="15.75" customHeight="1" x14ac:dyDescent="0.35">
      <c r="A134" s="57">
        <v>1</v>
      </c>
      <c r="B134" s="58"/>
      <c r="C134" s="48">
        <v>2</v>
      </c>
      <c r="D134" s="39">
        <f>(55.24+2.99)*(10.764)</f>
        <v>626.78772000000004</v>
      </c>
      <c r="E134" s="39">
        <v>0</v>
      </c>
      <c r="F134" s="39">
        <f t="shared" ref="F134:F140" si="5">D134*(($F$101)+1)+(IF(E134&lt;101,E134,IF(E134&lt;201,E134/2,IF(E134&lt;=301,E134/3,E134/4))))</f>
        <v>1002.8603520000001</v>
      </c>
      <c r="G134" s="65" t="str">
        <f>A133</f>
        <v>2nd to 5th, 7th to 10th, 12th to 14th, 16th to 19th, 21st to 24th, 26th to 28th, 30th to 33rd, 35th to 38th, 40th to 43rd, 45th to 48th Floor For Residential</v>
      </c>
      <c r="H134" s="66"/>
      <c r="I134" s="34"/>
      <c r="L134" s="56"/>
      <c r="M134" s="56"/>
      <c r="N134" s="34"/>
    </row>
    <row r="135" spans="1:14" s="44" customFormat="1" ht="15.75" customHeight="1" x14ac:dyDescent="0.35">
      <c r="A135" s="57">
        <f>A134+1</f>
        <v>2</v>
      </c>
      <c r="B135" s="58"/>
      <c r="C135" s="48">
        <v>1</v>
      </c>
      <c r="D135" s="39">
        <f>(36.22)*(10.764)</f>
        <v>389.87207999999998</v>
      </c>
      <c r="E135" s="39">
        <v>0</v>
      </c>
      <c r="F135" s="39">
        <f t="shared" si="5"/>
        <v>623.79532800000004</v>
      </c>
      <c r="G135" s="67"/>
      <c r="H135" s="68"/>
      <c r="I135" s="34"/>
      <c r="L135" s="56"/>
      <c r="M135" s="56"/>
      <c r="N135" s="34"/>
    </row>
    <row r="136" spans="1:14" s="44" customFormat="1" ht="15.75" customHeight="1" x14ac:dyDescent="0.35">
      <c r="A136" s="57">
        <f>A135+1</f>
        <v>3</v>
      </c>
      <c r="B136" s="58"/>
      <c r="C136" s="48">
        <v>1</v>
      </c>
      <c r="D136" s="39">
        <f>(36.29+2.53)*(10.764)</f>
        <v>417.85847999999999</v>
      </c>
      <c r="E136" s="39">
        <v>0</v>
      </c>
      <c r="F136" s="39">
        <f t="shared" si="5"/>
        <v>668.57356800000002</v>
      </c>
      <c r="G136" s="67"/>
      <c r="H136" s="68"/>
      <c r="I136" s="34"/>
      <c r="L136" s="56"/>
      <c r="M136" s="56"/>
      <c r="N136" s="34"/>
    </row>
    <row r="137" spans="1:14" s="44" customFormat="1" ht="15.75" customHeight="1" x14ac:dyDescent="0.35">
      <c r="A137" s="57">
        <f>A136+1</f>
        <v>4</v>
      </c>
      <c r="B137" s="58"/>
      <c r="C137" s="48">
        <v>1</v>
      </c>
      <c r="D137" s="39">
        <f>(36.29+2.53)*(10.764)</f>
        <v>417.85847999999999</v>
      </c>
      <c r="E137" s="39">
        <v>0</v>
      </c>
      <c r="F137" s="39">
        <f t="shared" si="5"/>
        <v>668.57356800000002</v>
      </c>
      <c r="G137" s="67"/>
      <c r="H137" s="68"/>
      <c r="I137" s="34"/>
      <c r="L137" s="56"/>
      <c r="M137" s="56"/>
      <c r="N137" s="34"/>
    </row>
    <row r="138" spans="1:14" s="44" customFormat="1" ht="15.75" customHeight="1" x14ac:dyDescent="0.35">
      <c r="A138" s="57">
        <f>A137+1</f>
        <v>5</v>
      </c>
      <c r="B138" s="58"/>
      <c r="C138" s="48">
        <v>1</v>
      </c>
      <c r="D138" s="39">
        <f>(36.22)*(10.764)</f>
        <v>389.87207999999998</v>
      </c>
      <c r="E138" s="39">
        <v>0</v>
      </c>
      <c r="F138" s="39">
        <f t="shared" si="5"/>
        <v>623.79532800000004</v>
      </c>
      <c r="G138" s="67"/>
      <c r="H138" s="68"/>
      <c r="I138" s="34"/>
      <c r="L138" s="56"/>
      <c r="M138" s="56"/>
      <c r="N138" s="34"/>
    </row>
    <row r="139" spans="1:14" s="44" customFormat="1" ht="15.75" customHeight="1" x14ac:dyDescent="0.35">
      <c r="A139" s="57">
        <f>A138+1</f>
        <v>6</v>
      </c>
      <c r="B139" s="58"/>
      <c r="C139" s="48">
        <v>2</v>
      </c>
      <c r="D139" s="39">
        <f>(51.66+2.9)*(10.764)</f>
        <v>587.28383999999994</v>
      </c>
      <c r="E139" s="39">
        <v>0</v>
      </c>
      <c r="F139" s="39">
        <f t="shared" si="5"/>
        <v>939.65414399999997</v>
      </c>
      <c r="G139" s="67"/>
      <c r="H139" s="68"/>
      <c r="I139" s="34"/>
      <c r="L139" s="56"/>
      <c r="M139" s="56"/>
      <c r="N139" s="34"/>
    </row>
    <row r="140" spans="1:14" s="44" customFormat="1" ht="15.75" customHeight="1" x14ac:dyDescent="0.35">
      <c r="A140" s="57">
        <f t="shared" ref="A140:A145" si="6">A139+1</f>
        <v>7</v>
      </c>
      <c r="B140" s="58"/>
      <c r="C140" s="48">
        <v>2</v>
      </c>
      <c r="D140" s="39">
        <f>(51.66+2.9)*(10.764)</f>
        <v>587.28383999999994</v>
      </c>
      <c r="E140" s="39">
        <v>0</v>
      </c>
      <c r="F140" s="39">
        <f t="shared" si="5"/>
        <v>939.65414399999997</v>
      </c>
      <c r="G140" s="67"/>
      <c r="H140" s="68"/>
      <c r="I140" s="34"/>
      <c r="L140" s="56"/>
      <c r="M140" s="56"/>
      <c r="N140" s="34"/>
    </row>
    <row r="141" spans="1:14" s="44" customFormat="1" ht="15.75" customHeight="1" x14ac:dyDescent="0.35">
      <c r="A141" s="57">
        <f t="shared" si="6"/>
        <v>8</v>
      </c>
      <c r="B141" s="58"/>
      <c r="C141" s="51">
        <v>1.5</v>
      </c>
      <c r="D141" s="39">
        <f>(47.19)*(10.764)</f>
        <v>507.95315999999997</v>
      </c>
      <c r="E141" s="39">
        <v>0</v>
      </c>
      <c r="F141" s="39">
        <f t="shared" ref="F141" si="7">D141*(($F$101)+1)+(IF(E141&lt;101,E141,IF(E141&lt;201,E141/2,IF(E141&lt;=301,E141/3,E141/4))))</f>
        <v>812.725056</v>
      </c>
      <c r="G141" s="67"/>
      <c r="H141" s="68"/>
      <c r="I141" s="34"/>
      <c r="L141" s="56"/>
      <c r="M141" s="56"/>
      <c r="N141" s="34"/>
    </row>
    <row r="142" spans="1:14" s="44" customFormat="1" ht="15.75" customHeight="1" x14ac:dyDescent="0.35">
      <c r="A142" s="57">
        <f t="shared" si="6"/>
        <v>9</v>
      </c>
      <c r="B142" s="58"/>
      <c r="C142" s="48">
        <v>1</v>
      </c>
      <c r="D142" s="39">
        <f>(32.95)*(10.764)</f>
        <v>354.67380000000003</v>
      </c>
      <c r="E142" s="39">
        <v>0</v>
      </c>
      <c r="F142" s="39">
        <f t="shared" ref="F142:F145" si="8">D142*(($F$101)+1)+(IF(E142&lt;101,E142,IF(E142&lt;201,E142/2,IF(E142&lt;=301,E142/3,E142/4))))</f>
        <v>567.47808000000009</v>
      </c>
      <c r="G142" s="67"/>
      <c r="H142" s="68"/>
      <c r="I142" s="34"/>
      <c r="L142" s="56"/>
      <c r="M142" s="56"/>
      <c r="N142" s="34"/>
    </row>
    <row r="143" spans="1:14" s="44" customFormat="1" ht="15.75" customHeight="1" x14ac:dyDescent="0.35">
      <c r="A143" s="57">
        <f t="shared" si="6"/>
        <v>10</v>
      </c>
      <c r="B143" s="58"/>
      <c r="C143" s="48">
        <v>1</v>
      </c>
      <c r="D143" s="39">
        <f>(32.95)*(10.764)</f>
        <v>354.67380000000003</v>
      </c>
      <c r="E143" s="39">
        <v>0</v>
      </c>
      <c r="F143" s="39">
        <f t="shared" si="8"/>
        <v>567.47808000000009</v>
      </c>
      <c r="G143" s="67"/>
      <c r="H143" s="68"/>
      <c r="I143" s="34"/>
      <c r="L143" s="56"/>
      <c r="M143" s="56"/>
      <c r="N143" s="34"/>
    </row>
    <row r="144" spans="1:14" s="44" customFormat="1" ht="15.75" customHeight="1" x14ac:dyDescent="0.35">
      <c r="A144" s="57">
        <f t="shared" si="6"/>
        <v>11</v>
      </c>
      <c r="B144" s="58"/>
      <c r="C144" s="51">
        <v>1.5</v>
      </c>
      <c r="D144" s="39">
        <f>(47.19)*(10.764)</f>
        <v>507.95315999999997</v>
      </c>
      <c r="E144" s="39">
        <v>0</v>
      </c>
      <c r="F144" s="39">
        <f t="shared" si="8"/>
        <v>812.725056</v>
      </c>
      <c r="G144" s="67"/>
      <c r="H144" s="68"/>
      <c r="I144" s="34"/>
      <c r="L144" s="56"/>
      <c r="M144" s="56"/>
      <c r="N144" s="34"/>
    </row>
    <row r="145" spans="1:14" s="44" customFormat="1" ht="15.75" customHeight="1" x14ac:dyDescent="0.35">
      <c r="A145" s="57">
        <f t="shared" si="6"/>
        <v>12</v>
      </c>
      <c r="B145" s="58"/>
      <c r="C145" s="48">
        <v>2</v>
      </c>
      <c r="D145" s="39">
        <f>(55.24+2.99)*(10.764)</f>
        <v>626.78772000000004</v>
      </c>
      <c r="E145" s="39">
        <v>0</v>
      </c>
      <c r="F145" s="39">
        <f t="shared" si="8"/>
        <v>1002.8603520000001</v>
      </c>
      <c r="G145" s="69"/>
      <c r="H145" s="70"/>
      <c r="I145" s="34"/>
      <c r="L145" s="56"/>
      <c r="M145" s="56"/>
      <c r="N145" s="34"/>
    </row>
    <row r="146" spans="1:14" s="44" customFormat="1" ht="32.25" customHeight="1" x14ac:dyDescent="0.35">
      <c r="A146" s="59" t="s">
        <v>205</v>
      </c>
      <c r="B146" s="60"/>
      <c r="C146" s="60"/>
      <c r="D146" s="60"/>
      <c r="E146" s="60"/>
      <c r="F146" s="60"/>
      <c r="G146" s="60"/>
      <c r="H146" s="61"/>
      <c r="J146" s="34"/>
    </row>
    <row r="147" spans="1:14" s="33" customFormat="1" x14ac:dyDescent="0.35">
      <c r="A147" s="110" t="s">
        <v>68</v>
      </c>
      <c r="B147" s="110"/>
      <c r="C147" s="110"/>
      <c r="D147" s="110"/>
      <c r="E147" s="110"/>
      <c r="F147" s="110"/>
      <c r="G147" s="110"/>
      <c r="H147" s="110"/>
    </row>
    <row r="148" spans="1:14" s="33" customFormat="1" x14ac:dyDescent="0.35">
      <c r="A148" s="43" t="s">
        <v>152</v>
      </c>
      <c r="B148" s="62" t="s">
        <v>215</v>
      </c>
      <c r="C148" s="63"/>
      <c r="D148" s="63"/>
      <c r="E148" s="63"/>
      <c r="F148" s="63"/>
      <c r="G148" s="63"/>
      <c r="H148" s="64"/>
    </row>
    <row r="149" spans="1:14" s="33" customFormat="1" x14ac:dyDescent="0.35">
      <c r="A149" s="43" t="s">
        <v>152</v>
      </c>
      <c r="B149" s="62" t="str">
        <f>(IF(F100="Saleable area Loading :","We have considered Saleable area of Flats as per our Calculation.","We considered Saleable area of Flat as per Builder area Sheet."))</f>
        <v>We have considered Saleable area of Flats as per our Calculation.</v>
      </c>
      <c r="C149" s="63"/>
      <c r="D149" s="63"/>
      <c r="E149" s="63"/>
      <c r="F149" s="63"/>
      <c r="G149" s="63"/>
      <c r="H149" s="64"/>
    </row>
    <row r="150" spans="1:14" s="33" customFormat="1" x14ac:dyDescent="0.35">
      <c r="A150" s="43" t="s">
        <v>152</v>
      </c>
      <c r="B150" s="107" t="s">
        <v>122</v>
      </c>
      <c r="C150" s="108"/>
      <c r="D150" s="108"/>
      <c r="E150" s="108"/>
      <c r="F150" s="108"/>
      <c r="G150" s="108"/>
      <c r="H150" s="109"/>
    </row>
    <row r="151" spans="1:14" s="33" customFormat="1" x14ac:dyDescent="0.35">
      <c r="A151" s="43" t="s">
        <v>152</v>
      </c>
      <c r="B151" s="107" t="s">
        <v>183</v>
      </c>
      <c r="C151" s="108"/>
      <c r="D151" s="108"/>
      <c r="E151" s="108"/>
      <c r="F151" s="108"/>
      <c r="G151" s="108"/>
      <c r="H151" s="109"/>
    </row>
    <row r="152" spans="1:14" s="33" customFormat="1" x14ac:dyDescent="0.35">
      <c r="A152" s="43" t="s">
        <v>152</v>
      </c>
      <c r="B152" s="107" t="s">
        <v>151</v>
      </c>
      <c r="C152" s="108"/>
      <c r="D152" s="108"/>
      <c r="E152" s="108"/>
      <c r="F152" s="108"/>
      <c r="G152" s="108"/>
      <c r="H152" s="109"/>
    </row>
    <row r="153" spans="1:14" s="33" customFormat="1" x14ac:dyDescent="0.35">
      <c r="A153" s="43" t="s">
        <v>152</v>
      </c>
      <c r="B153" s="107" t="s">
        <v>123</v>
      </c>
      <c r="C153" s="108"/>
      <c r="D153" s="108"/>
      <c r="E153" s="108"/>
      <c r="F153" s="108"/>
      <c r="G153" s="108"/>
      <c r="H153" s="109"/>
    </row>
    <row r="154" spans="1:14" s="33" customFormat="1" ht="34.5" customHeight="1" x14ac:dyDescent="0.35">
      <c r="A154" s="43" t="s">
        <v>152</v>
      </c>
      <c r="B154" s="107" t="s">
        <v>153</v>
      </c>
      <c r="C154" s="108"/>
      <c r="D154" s="108"/>
      <c r="E154" s="108"/>
      <c r="F154" s="108"/>
      <c r="G154" s="108"/>
      <c r="H154" s="109"/>
    </row>
    <row r="155" spans="1:14" s="33" customFormat="1" x14ac:dyDescent="0.35">
      <c r="A155" s="43" t="s">
        <v>152</v>
      </c>
      <c r="B155" s="107" t="s">
        <v>124</v>
      </c>
      <c r="C155" s="108"/>
      <c r="D155" s="108"/>
      <c r="E155" s="108"/>
      <c r="F155" s="108"/>
      <c r="G155" s="108"/>
      <c r="H155" s="109"/>
    </row>
    <row r="156" spans="1:14" s="33" customFormat="1" hidden="1" x14ac:dyDescent="0.35">
      <c r="A156" s="43" t="s">
        <v>152</v>
      </c>
      <c r="B156" s="62" t="s">
        <v>184</v>
      </c>
      <c r="C156" s="63"/>
      <c r="D156" s="63"/>
      <c r="E156" s="63"/>
      <c r="F156" s="63"/>
      <c r="G156" s="63"/>
      <c r="H156" s="64"/>
    </row>
    <row r="157" spans="1:14" s="33" customFormat="1" x14ac:dyDescent="0.35">
      <c r="A157" s="43" t="s">
        <v>152</v>
      </c>
      <c r="B157" s="62" t="s">
        <v>185</v>
      </c>
      <c r="C157" s="63"/>
      <c r="D157" s="63"/>
      <c r="E157" s="63"/>
      <c r="F157" s="63"/>
      <c r="G157" s="63"/>
      <c r="H157" s="64"/>
    </row>
    <row r="158" spans="1:14" s="33" customFormat="1" x14ac:dyDescent="0.35">
      <c r="A158" s="43" t="s">
        <v>152</v>
      </c>
      <c r="B158" s="62" t="s">
        <v>194</v>
      </c>
      <c r="C158" s="63"/>
      <c r="D158" s="63"/>
      <c r="E158" s="63"/>
      <c r="F158" s="63"/>
      <c r="G158" s="63"/>
      <c r="H158" s="64"/>
    </row>
    <row r="159" spans="1:14" s="33" customFormat="1" x14ac:dyDescent="0.35">
      <c r="A159" s="43" t="s">
        <v>152</v>
      </c>
      <c r="B159" s="62" t="s">
        <v>206</v>
      </c>
      <c r="C159" s="63"/>
      <c r="D159" s="63"/>
      <c r="E159" s="63"/>
      <c r="F159" s="63"/>
      <c r="G159" s="63"/>
      <c r="H159" s="64"/>
    </row>
    <row r="160" spans="1:14" x14ac:dyDescent="0.35">
      <c r="A160" s="106" t="s">
        <v>61</v>
      </c>
      <c r="B160" s="106"/>
      <c r="C160" s="106"/>
      <c r="D160" s="106"/>
      <c r="E160" s="106"/>
      <c r="F160" s="106"/>
      <c r="G160" s="106"/>
      <c r="H160" s="106"/>
    </row>
    <row r="161" spans="1:8" x14ac:dyDescent="0.35">
      <c r="A161" s="74" t="s">
        <v>62</v>
      </c>
      <c r="B161" s="74"/>
      <c r="C161" s="74"/>
      <c r="D161" s="74"/>
      <c r="E161" s="74"/>
      <c r="F161" s="74"/>
      <c r="G161" s="74"/>
      <c r="H161" s="74"/>
    </row>
    <row r="162" spans="1:8" ht="15.75" customHeight="1" x14ac:dyDescent="0.35">
      <c r="A162" s="75" t="s">
        <v>63</v>
      </c>
      <c r="B162" s="75"/>
      <c r="C162" s="75"/>
      <c r="D162" s="75"/>
      <c r="E162" s="75"/>
      <c r="F162" s="75"/>
      <c r="G162" s="75"/>
      <c r="H162" s="75"/>
    </row>
    <row r="163" spans="1:8" x14ac:dyDescent="0.35">
      <c r="A163" s="74" t="s">
        <v>64</v>
      </c>
      <c r="B163" s="74"/>
      <c r="C163" s="74"/>
      <c r="D163" s="74"/>
      <c r="E163" s="74"/>
      <c r="F163" s="74"/>
      <c r="G163" s="74"/>
      <c r="H163" s="74"/>
    </row>
    <row r="164" spans="1:8" x14ac:dyDescent="0.35">
      <c r="A164" s="74" t="s">
        <v>65</v>
      </c>
      <c r="B164" s="74"/>
      <c r="C164" s="74"/>
      <c r="D164" s="74"/>
      <c r="E164" s="74"/>
      <c r="F164" s="74"/>
      <c r="G164" s="74"/>
      <c r="H164" s="74"/>
    </row>
    <row r="165" spans="1:8" x14ac:dyDescent="0.35">
      <c r="A165" s="74" t="s">
        <v>125</v>
      </c>
      <c r="B165" s="74"/>
      <c r="C165" s="74"/>
      <c r="D165" s="74"/>
      <c r="E165" s="74"/>
      <c r="F165" s="74"/>
      <c r="G165" s="74"/>
      <c r="H165" s="74"/>
    </row>
    <row r="166" spans="1:8" ht="35.25" customHeight="1" x14ac:dyDescent="0.35">
      <c r="A166" s="105" t="s">
        <v>126</v>
      </c>
      <c r="B166" s="105"/>
      <c r="C166" s="105"/>
      <c r="D166" s="105"/>
      <c r="E166" s="105"/>
      <c r="F166" s="105"/>
      <c r="G166" s="105"/>
      <c r="H166" s="105"/>
    </row>
    <row r="167" spans="1:8" x14ac:dyDescent="0.35">
      <c r="A167" s="101" t="s">
        <v>75</v>
      </c>
      <c r="B167" s="101"/>
      <c r="C167" s="101" t="s">
        <v>190</v>
      </c>
      <c r="D167" s="101"/>
      <c r="E167" s="101" t="s">
        <v>104</v>
      </c>
      <c r="F167" s="101"/>
      <c r="G167" s="101" t="s">
        <v>218</v>
      </c>
      <c r="H167" s="101"/>
    </row>
    <row r="168" spans="1:8" x14ac:dyDescent="0.35">
      <c r="A168" s="100" t="s">
        <v>77</v>
      </c>
      <c r="B168" s="100"/>
      <c r="C168" s="100"/>
      <c r="D168" s="100"/>
      <c r="E168" s="100"/>
      <c r="F168" s="100"/>
      <c r="G168" s="100"/>
      <c r="H168" s="100"/>
    </row>
    <row r="169" spans="1:8" x14ac:dyDescent="0.35">
      <c r="A169" s="100"/>
      <c r="B169" s="100"/>
      <c r="C169" s="100"/>
      <c r="D169" s="100"/>
      <c r="E169" s="100"/>
      <c r="F169" s="100"/>
      <c r="G169" s="100"/>
      <c r="H169" s="100"/>
    </row>
    <row r="170" spans="1:8" x14ac:dyDescent="0.35">
      <c r="A170" s="100"/>
      <c r="B170" s="100"/>
      <c r="C170" s="100"/>
      <c r="D170" s="100"/>
      <c r="E170" s="100"/>
      <c r="F170" s="100"/>
      <c r="G170" s="100"/>
      <c r="H170" s="100"/>
    </row>
    <row r="171" spans="1:8" x14ac:dyDescent="0.35">
      <c r="A171" s="100"/>
      <c r="B171" s="100"/>
      <c r="C171" s="100"/>
      <c r="D171" s="100"/>
      <c r="E171" s="100"/>
      <c r="F171" s="100"/>
      <c r="G171" s="100"/>
      <c r="H171" s="100"/>
    </row>
    <row r="172" spans="1:8" x14ac:dyDescent="0.35">
      <c r="A172" s="35" t="s">
        <v>66</v>
      </c>
      <c r="B172" s="36"/>
      <c r="C172" s="36"/>
      <c r="D172" s="35" t="str">
        <f>E9</f>
        <v>Runwal Enchanted</v>
      </c>
      <c r="F172" s="36"/>
      <c r="G172" s="36"/>
      <c r="H172" s="36"/>
    </row>
    <row r="173" spans="1:8" x14ac:dyDescent="0.35">
      <c r="A173" s="36"/>
      <c r="B173" s="36"/>
      <c r="C173" s="36"/>
      <c r="D173" s="36"/>
      <c r="E173" s="36"/>
      <c r="F173" s="36"/>
      <c r="G173" s="36"/>
      <c r="H173" s="36"/>
    </row>
    <row r="174" spans="1:8" x14ac:dyDescent="0.35">
      <c r="A174" s="36"/>
      <c r="B174" s="36"/>
      <c r="C174" s="36"/>
      <c r="D174" s="36"/>
      <c r="E174" s="36"/>
      <c r="F174" s="36"/>
      <c r="G174" s="36"/>
      <c r="H174" s="36"/>
    </row>
    <row r="175" spans="1:8" ht="15" customHeight="1" x14ac:dyDescent="0.35"/>
    <row r="213" spans="1:1" x14ac:dyDescent="0.35">
      <c r="A213" s="38" t="s">
        <v>207</v>
      </c>
    </row>
    <row r="249" spans="1:1" x14ac:dyDescent="0.35">
      <c r="A249" s="38" t="s">
        <v>67</v>
      </c>
    </row>
  </sheetData>
  <mergeCells count="314">
    <mergeCell ref="A123:B123"/>
    <mergeCell ref="D65:H65"/>
    <mergeCell ref="A55:H55"/>
    <mergeCell ref="A56:C56"/>
    <mergeCell ref="A57:C57"/>
    <mergeCell ref="D57:H57"/>
    <mergeCell ref="G53:H53"/>
    <mergeCell ref="A62:C62"/>
    <mergeCell ref="D62:H62"/>
    <mergeCell ref="A63:C63"/>
    <mergeCell ref="A53:B54"/>
    <mergeCell ref="L121:M121"/>
    <mergeCell ref="L122:M122"/>
    <mergeCell ref="A112:B112"/>
    <mergeCell ref="L112:M112"/>
    <mergeCell ref="A111:B111"/>
    <mergeCell ref="L111:M111"/>
    <mergeCell ref="A71:B71"/>
    <mergeCell ref="F81:H81"/>
    <mergeCell ref="F86:H86"/>
    <mergeCell ref="L114:M114"/>
    <mergeCell ref="L115:M115"/>
    <mergeCell ref="A116:B116"/>
    <mergeCell ref="L116:M116"/>
    <mergeCell ref="A117:B117"/>
    <mergeCell ref="L117:M117"/>
    <mergeCell ref="A118:B118"/>
    <mergeCell ref="L118:M118"/>
    <mergeCell ref="L119:M119"/>
    <mergeCell ref="A100:A101"/>
    <mergeCell ref="A119:B119"/>
    <mergeCell ref="A83:E83"/>
    <mergeCell ref="A121:B121"/>
    <mergeCell ref="A122:B122"/>
    <mergeCell ref="A67:B67"/>
    <mergeCell ref="C67:H67"/>
    <mergeCell ref="A48:B48"/>
    <mergeCell ref="C48:H48"/>
    <mergeCell ref="A110:B110"/>
    <mergeCell ref="A92:E92"/>
    <mergeCell ref="C96:D96"/>
    <mergeCell ref="G96:H96"/>
    <mergeCell ref="A84:E84"/>
    <mergeCell ref="C100:C101"/>
    <mergeCell ref="A106:H106"/>
    <mergeCell ref="A99:H99"/>
    <mergeCell ref="F87:H87"/>
    <mergeCell ref="A98:H98"/>
    <mergeCell ref="E96:F96"/>
    <mergeCell ref="B100:B101"/>
    <mergeCell ref="A58:C58"/>
    <mergeCell ref="G50:H50"/>
    <mergeCell ref="D63:H63"/>
    <mergeCell ref="A66:C66"/>
    <mergeCell ref="D66:H66"/>
    <mergeCell ref="C54:H54"/>
    <mergeCell ref="A59:C59"/>
    <mergeCell ref="D59:H59"/>
    <mergeCell ref="A64:C64"/>
    <mergeCell ref="D64:H64"/>
    <mergeCell ref="A65:C65"/>
    <mergeCell ref="L110:M110"/>
    <mergeCell ref="L107:M107"/>
    <mergeCell ref="A108:B108"/>
    <mergeCell ref="L108:M108"/>
    <mergeCell ref="A109:B109"/>
    <mergeCell ref="L109:M109"/>
    <mergeCell ref="A107:B107"/>
    <mergeCell ref="A88:E88"/>
    <mergeCell ref="G107:H112"/>
    <mergeCell ref="A103:H103"/>
    <mergeCell ref="A102:H102"/>
    <mergeCell ref="A104:H104"/>
    <mergeCell ref="A105:H105"/>
    <mergeCell ref="C69:H69"/>
    <mergeCell ref="A72:B72"/>
    <mergeCell ref="A74:B74"/>
    <mergeCell ref="A75:B75"/>
    <mergeCell ref="F83:H83"/>
    <mergeCell ref="A77:B77"/>
    <mergeCell ref="A70:B70"/>
    <mergeCell ref="A73:B73"/>
    <mergeCell ref="A37:H37"/>
    <mergeCell ref="A36:B36"/>
    <mergeCell ref="C36:E36"/>
    <mergeCell ref="F33:H33"/>
    <mergeCell ref="F34:H34"/>
    <mergeCell ref="A40:H40"/>
    <mergeCell ref="A60:C60"/>
    <mergeCell ref="A61:C61"/>
    <mergeCell ref="D60:H60"/>
    <mergeCell ref="D61:H61"/>
    <mergeCell ref="A43:D43"/>
    <mergeCell ref="E43:H43"/>
    <mergeCell ref="E44:H44"/>
    <mergeCell ref="E45:H45"/>
    <mergeCell ref="E46:H46"/>
    <mergeCell ref="A44:D44"/>
    <mergeCell ref="F36:H36"/>
    <mergeCell ref="A38:B38"/>
    <mergeCell ref="A45:D45"/>
    <mergeCell ref="A46:D46"/>
    <mergeCell ref="A41:D41"/>
    <mergeCell ref="E41:H41"/>
    <mergeCell ref="A47:H47"/>
    <mergeCell ref="D58:H58"/>
    <mergeCell ref="E26:H26"/>
    <mergeCell ref="A28:D28"/>
    <mergeCell ref="E28:H28"/>
    <mergeCell ref="A25:D25"/>
    <mergeCell ref="E25:H25"/>
    <mergeCell ref="A29:D29"/>
    <mergeCell ref="E29:H29"/>
    <mergeCell ref="A26:D26"/>
    <mergeCell ref="A35:B35"/>
    <mergeCell ref="C35:E35"/>
    <mergeCell ref="A30:D30"/>
    <mergeCell ref="E30:H30"/>
    <mergeCell ref="A31:D31"/>
    <mergeCell ref="E31:H31"/>
    <mergeCell ref="A27:D27"/>
    <mergeCell ref="E27:H27"/>
    <mergeCell ref="C32:E32"/>
    <mergeCell ref="F35:H35"/>
    <mergeCell ref="F32:H32"/>
    <mergeCell ref="A33:B33"/>
    <mergeCell ref="A32:B32"/>
    <mergeCell ref="C33:E33"/>
    <mergeCell ref="A34:B34"/>
    <mergeCell ref="C34:E34"/>
    <mergeCell ref="A12:D12"/>
    <mergeCell ref="E12:H12"/>
    <mergeCell ref="A24:D24"/>
    <mergeCell ref="E24:H24"/>
    <mergeCell ref="A18:B18"/>
    <mergeCell ref="C18:D18"/>
    <mergeCell ref="E18:F18"/>
    <mergeCell ref="G18:H18"/>
    <mergeCell ref="A19:B19"/>
    <mergeCell ref="C19:D19"/>
    <mergeCell ref="E19:F19"/>
    <mergeCell ref="G19:H19"/>
    <mergeCell ref="A20:B20"/>
    <mergeCell ref="C20:D20"/>
    <mergeCell ref="E20:F20"/>
    <mergeCell ref="G20:H20"/>
    <mergeCell ref="A21:B21"/>
    <mergeCell ref="C21:D21"/>
    <mergeCell ref="E21:F21"/>
    <mergeCell ref="G21:H21"/>
    <mergeCell ref="A16:B16"/>
    <mergeCell ref="A13:D13"/>
    <mergeCell ref="E13:H13"/>
    <mergeCell ref="A14:D14"/>
    <mergeCell ref="A22:D23"/>
    <mergeCell ref="E22:H23"/>
    <mergeCell ref="E14:H14"/>
    <mergeCell ref="A15:B15"/>
    <mergeCell ref="C15:H15"/>
    <mergeCell ref="C16:H16"/>
    <mergeCell ref="A17:B17"/>
    <mergeCell ref="C17:H17"/>
    <mergeCell ref="A1:H1"/>
    <mergeCell ref="A2:H2"/>
    <mergeCell ref="A3:D3"/>
    <mergeCell ref="E3:H3"/>
    <mergeCell ref="A4:D4"/>
    <mergeCell ref="A9:D9"/>
    <mergeCell ref="E9:H9"/>
    <mergeCell ref="A11:D11"/>
    <mergeCell ref="E11:H11"/>
    <mergeCell ref="E4:H4"/>
    <mergeCell ref="A5:D5"/>
    <mergeCell ref="E5:H5"/>
    <mergeCell ref="A6:D6"/>
    <mergeCell ref="E6:H6"/>
    <mergeCell ref="A7:D7"/>
    <mergeCell ref="E7:H7"/>
    <mergeCell ref="A10:D10"/>
    <mergeCell ref="E10:H10"/>
    <mergeCell ref="E70:F70"/>
    <mergeCell ref="C97:D97"/>
    <mergeCell ref="E97:F97"/>
    <mergeCell ref="G97:H97"/>
    <mergeCell ref="F88:H88"/>
    <mergeCell ref="A82:E82"/>
    <mergeCell ref="F89:H89"/>
    <mergeCell ref="F92:H92"/>
    <mergeCell ref="F90:H90"/>
    <mergeCell ref="A91:E91"/>
    <mergeCell ref="G70:H70"/>
    <mergeCell ref="E71:F80"/>
    <mergeCell ref="G71:H80"/>
    <mergeCell ref="A79:B79"/>
    <mergeCell ref="A80:B80"/>
    <mergeCell ref="A78:B78"/>
    <mergeCell ref="A90:E90"/>
    <mergeCell ref="F84:H84"/>
    <mergeCell ref="A89:E89"/>
    <mergeCell ref="A86:E86"/>
    <mergeCell ref="A87:E87"/>
    <mergeCell ref="A81:E81"/>
    <mergeCell ref="A168:H171"/>
    <mergeCell ref="A167:B167"/>
    <mergeCell ref="E167:F167"/>
    <mergeCell ref="C167:D167"/>
    <mergeCell ref="G167:H167"/>
    <mergeCell ref="A93:E93"/>
    <mergeCell ref="F93:H93"/>
    <mergeCell ref="A94:E94"/>
    <mergeCell ref="F94:H94"/>
    <mergeCell ref="A113:H113"/>
    <mergeCell ref="A97:B97"/>
    <mergeCell ref="A163:H163"/>
    <mergeCell ref="A95:H95"/>
    <mergeCell ref="A166:H166"/>
    <mergeCell ref="A164:H164"/>
    <mergeCell ref="A160:H160"/>
    <mergeCell ref="A161:H161"/>
    <mergeCell ref="A144:B144"/>
    <mergeCell ref="B152:H152"/>
    <mergeCell ref="A147:H147"/>
    <mergeCell ref="A120:H120"/>
    <mergeCell ref="B158:H158"/>
    <mergeCell ref="G114:H119"/>
    <mergeCell ref="A115:B115"/>
    <mergeCell ref="C38:H38"/>
    <mergeCell ref="E42:H42"/>
    <mergeCell ref="A42:D42"/>
    <mergeCell ref="A49:B49"/>
    <mergeCell ref="C49:E49"/>
    <mergeCell ref="C52:H52"/>
    <mergeCell ref="G49:H49"/>
    <mergeCell ref="G51:H51"/>
    <mergeCell ref="D56:H56"/>
    <mergeCell ref="C51:E51"/>
    <mergeCell ref="A39:B39"/>
    <mergeCell ref="C39:H39"/>
    <mergeCell ref="A51:B52"/>
    <mergeCell ref="C50:E50"/>
    <mergeCell ref="C53:E53"/>
    <mergeCell ref="A50:B50"/>
    <mergeCell ref="A69:B69"/>
    <mergeCell ref="A165:H165"/>
    <mergeCell ref="A162:H162"/>
    <mergeCell ref="A114:B114"/>
    <mergeCell ref="A96:B96"/>
    <mergeCell ref="D100:D101"/>
    <mergeCell ref="E100:E101"/>
    <mergeCell ref="G100:H101"/>
    <mergeCell ref="A76:B76"/>
    <mergeCell ref="F82:H82"/>
    <mergeCell ref="A142:B142"/>
    <mergeCell ref="B157:H157"/>
    <mergeCell ref="A136:B136"/>
    <mergeCell ref="A85:E85"/>
    <mergeCell ref="F85:H85"/>
    <mergeCell ref="F91:H91"/>
    <mergeCell ref="B148:H148"/>
    <mergeCell ref="B149:H149"/>
    <mergeCell ref="B150:H150"/>
    <mergeCell ref="B155:H155"/>
    <mergeCell ref="B156:H156"/>
    <mergeCell ref="B153:H153"/>
    <mergeCell ref="B154:H154"/>
    <mergeCell ref="B151:H151"/>
    <mergeCell ref="A141:B141"/>
    <mergeCell ref="L141:M141"/>
    <mergeCell ref="L142:M142"/>
    <mergeCell ref="A143:B143"/>
    <mergeCell ref="L143:M143"/>
    <mergeCell ref="L123:M123"/>
    <mergeCell ref="L124:M124"/>
    <mergeCell ref="L125:M125"/>
    <mergeCell ref="A126:B126"/>
    <mergeCell ref="A127:B127"/>
    <mergeCell ref="L127:M127"/>
    <mergeCell ref="A128:B128"/>
    <mergeCell ref="L128:M128"/>
    <mergeCell ref="A129:B129"/>
    <mergeCell ref="L129:M129"/>
    <mergeCell ref="L126:M126"/>
    <mergeCell ref="A137:B137"/>
    <mergeCell ref="A138:B138"/>
    <mergeCell ref="A131:B131"/>
    <mergeCell ref="A132:B132"/>
    <mergeCell ref="A134:B134"/>
    <mergeCell ref="A135:B135"/>
    <mergeCell ref="A124:B124"/>
    <mergeCell ref="A125:B125"/>
    <mergeCell ref="A8:D8"/>
    <mergeCell ref="E8:H8"/>
    <mergeCell ref="L144:M144"/>
    <mergeCell ref="A145:B145"/>
    <mergeCell ref="L145:M145"/>
    <mergeCell ref="A146:H146"/>
    <mergeCell ref="B159:H159"/>
    <mergeCell ref="A130:B130"/>
    <mergeCell ref="L130:M130"/>
    <mergeCell ref="L131:M131"/>
    <mergeCell ref="L132:M132"/>
    <mergeCell ref="G121:H132"/>
    <mergeCell ref="C128:F128"/>
    <mergeCell ref="A133:H133"/>
    <mergeCell ref="G134:H145"/>
    <mergeCell ref="L134:M134"/>
    <mergeCell ref="L135:M135"/>
    <mergeCell ref="L136:M136"/>
    <mergeCell ref="L137:M137"/>
    <mergeCell ref="L138:M138"/>
    <mergeCell ref="A139:B139"/>
    <mergeCell ref="L139:M139"/>
    <mergeCell ref="A140:B140"/>
    <mergeCell ref="L140:M140"/>
  </mergeCells>
  <hyperlinks>
    <hyperlink ref="C39" r:id="rId1"/>
  </hyperlinks>
  <printOptions horizontalCentered="1"/>
  <pageMargins left="0.39370078740157483" right="0.39370078740157483" top="0.82677165354330717" bottom="0.78740157480314965" header="0.15748031496062992" footer="0.19685039370078741"/>
  <pageSetup paperSize="2" fitToHeight="0" orientation="portrait" r:id="rId2"/>
  <headerFooter>
    <oddHeader>&amp;C&amp;G</oddHeader>
    <oddFooter>&amp;L&amp;"Times New Roman,Bold"&amp;12Ref No: &amp;F&amp;C&amp;G&amp;R&amp;"Times New Roman,Bold"&amp;12&amp;P</oddFooter>
  </headerFooter>
  <rowBreaks count="4" manualBreakCount="4">
    <brk id="66" max="16383" man="1"/>
    <brk id="171" max="16383" man="1"/>
    <brk id="212" max="16383" man="1"/>
    <brk id="248" max="16383" man="1"/>
  </rowBreaks>
  <drawing r:id="rId3"/>
  <legacyDrawingHF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I16"/>
  <sheetViews>
    <sheetView zoomScale="85" zoomScaleNormal="85" workbookViewId="0">
      <selection activeCell="C20" sqref="C20"/>
    </sheetView>
  </sheetViews>
  <sheetFormatPr defaultColWidth="8.7265625" defaultRowHeight="14.5" x14ac:dyDescent="0.35"/>
  <cols>
    <col min="1" max="1" width="8.7265625" style="1"/>
    <col min="2" max="2" width="22.1796875" style="1" customWidth="1"/>
    <col min="3" max="3" width="37" style="1" customWidth="1"/>
    <col min="4" max="5" width="11.453125" style="1" customWidth="1"/>
    <col min="6" max="6" width="14" style="1" customWidth="1"/>
    <col min="7" max="7" width="20" style="1" customWidth="1"/>
    <col min="8" max="8" width="16.453125" style="1" customWidth="1"/>
    <col min="9" max="16384" width="8.7265625" style="1"/>
  </cols>
  <sheetData>
    <row r="1" spans="1:9" ht="15" customHeight="1" x14ac:dyDescent="0.35"/>
    <row r="2" spans="1:9" ht="15" customHeight="1" x14ac:dyDescent="0.35">
      <c r="A2" s="2"/>
      <c r="B2" s="2"/>
      <c r="C2" s="2"/>
      <c r="D2" s="2"/>
      <c r="E2" s="2"/>
      <c r="F2" s="2"/>
      <c r="G2" s="2"/>
      <c r="H2" s="2"/>
    </row>
    <row r="3" spans="1:9" ht="15.75" customHeight="1" x14ac:dyDescent="0.35">
      <c r="A3" s="2"/>
      <c r="B3" s="160" t="s">
        <v>105</v>
      </c>
      <c r="C3" s="160"/>
      <c r="D3" s="160"/>
      <c r="E3" s="160"/>
      <c r="F3" s="160"/>
      <c r="G3" s="160"/>
      <c r="H3" s="160"/>
    </row>
    <row r="4" spans="1:9" x14ac:dyDescent="0.35">
      <c r="A4" s="2"/>
      <c r="B4" s="3" t="s">
        <v>106</v>
      </c>
      <c r="C4" s="3" t="s">
        <v>107</v>
      </c>
      <c r="D4" s="3" t="s">
        <v>69</v>
      </c>
      <c r="E4" s="3" t="s">
        <v>108</v>
      </c>
      <c r="F4" s="3" t="s">
        <v>114</v>
      </c>
      <c r="G4" s="3" t="s">
        <v>115</v>
      </c>
      <c r="H4" s="3" t="s">
        <v>109</v>
      </c>
    </row>
    <row r="5" spans="1:9" ht="15" customHeight="1" x14ac:dyDescent="0.35">
      <c r="A5" s="2"/>
      <c r="B5" s="5" t="s">
        <v>110</v>
      </c>
      <c r="C5" s="6"/>
      <c r="D5" s="5"/>
      <c r="E5" s="5"/>
      <c r="F5" s="7">
        <f>E5*1.6</f>
        <v>0</v>
      </c>
      <c r="G5" s="7" t="e">
        <f>H5/F5</f>
        <v>#DIV/0!</v>
      </c>
      <c r="H5" s="8"/>
    </row>
    <row r="6" spans="1:9" x14ac:dyDescent="0.35">
      <c r="A6" s="2"/>
      <c r="B6" s="5" t="s">
        <v>110</v>
      </c>
      <c r="C6" s="9"/>
      <c r="D6" s="5"/>
      <c r="E6" s="5"/>
      <c r="F6" s="7">
        <f t="shared" ref="F6:F11" si="0">E6*1.6</f>
        <v>0</v>
      </c>
      <c r="G6" s="7" t="e">
        <f t="shared" ref="G6:G11" si="1">H6/F6</f>
        <v>#DIV/0!</v>
      </c>
      <c r="H6" s="8"/>
    </row>
    <row r="7" spans="1:9" ht="15" customHeight="1" x14ac:dyDescent="0.35">
      <c r="A7" s="2"/>
      <c r="B7" s="5" t="s">
        <v>110</v>
      </c>
      <c r="C7" s="6"/>
      <c r="D7" s="5"/>
      <c r="E7" s="5"/>
      <c r="F7" s="7">
        <f t="shared" si="0"/>
        <v>0</v>
      </c>
      <c r="G7" s="7" t="e">
        <f t="shared" si="1"/>
        <v>#DIV/0!</v>
      </c>
      <c r="H7" s="8"/>
    </row>
    <row r="8" spans="1:9" x14ac:dyDescent="0.35">
      <c r="A8" s="2"/>
      <c r="B8" s="5" t="s">
        <v>110</v>
      </c>
      <c r="C8" s="9"/>
      <c r="D8" s="5"/>
      <c r="E8" s="5"/>
      <c r="F8" s="7">
        <f t="shared" si="0"/>
        <v>0</v>
      </c>
      <c r="G8" s="7" t="e">
        <f t="shared" si="1"/>
        <v>#DIV/0!</v>
      </c>
      <c r="H8" s="8"/>
    </row>
    <row r="9" spans="1:9" ht="15" customHeight="1" x14ac:dyDescent="0.35">
      <c r="A9" s="2"/>
      <c r="B9" s="5" t="s">
        <v>110</v>
      </c>
      <c r="C9" s="9"/>
      <c r="D9" s="5"/>
      <c r="E9" s="5"/>
      <c r="F9" s="7">
        <f t="shared" si="0"/>
        <v>0</v>
      </c>
      <c r="G9" s="7" t="e">
        <f t="shared" si="1"/>
        <v>#DIV/0!</v>
      </c>
      <c r="H9" s="8"/>
    </row>
    <row r="10" spans="1:9" ht="15" customHeight="1" x14ac:dyDescent="0.35">
      <c r="A10" s="2"/>
      <c r="B10" s="5" t="s">
        <v>111</v>
      </c>
      <c r="C10" s="6"/>
      <c r="D10" s="5"/>
      <c r="E10" s="5"/>
      <c r="F10" s="7">
        <f t="shared" si="0"/>
        <v>0</v>
      </c>
      <c r="G10" s="7" t="e">
        <f t="shared" si="1"/>
        <v>#DIV/0!</v>
      </c>
      <c r="H10" s="8"/>
    </row>
    <row r="11" spans="1:9" ht="15" customHeight="1" x14ac:dyDescent="0.35">
      <c r="A11" s="2"/>
      <c r="B11" s="5" t="s">
        <v>111</v>
      </c>
      <c r="C11" s="6"/>
      <c r="D11" s="5"/>
      <c r="E11" s="5"/>
      <c r="F11" s="7">
        <f t="shared" si="0"/>
        <v>0</v>
      </c>
      <c r="G11" s="7" t="e">
        <f t="shared" si="1"/>
        <v>#DIV/0!</v>
      </c>
      <c r="H11" s="8"/>
    </row>
    <row r="12" spans="1:9" ht="15" customHeight="1" x14ac:dyDescent="0.35">
      <c r="A12" s="2"/>
      <c r="B12" s="10" t="s">
        <v>112</v>
      </c>
      <c r="C12" s="5"/>
      <c r="D12" s="5"/>
      <c r="E12" s="5"/>
      <c r="F12" s="5"/>
      <c r="G12" s="11" t="e">
        <f>AVERAGE(G5:G11)</f>
        <v>#DIV/0!</v>
      </c>
      <c r="H12" s="5"/>
    </row>
    <row r="13" spans="1:9" ht="15" customHeight="1" x14ac:dyDescent="0.35">
      <c r="B13" s="10" t="s">
        <v>113</v>
      </c>
      <c r="C13" s="5"/>
      <c r="D13" s="5"/>
      <c r="E13" s="5"/>
      <c r="F13" s="12"/>
      <c r="G13" s="10"/>
      <c r="H13" s="10"/>
      <c r="I13" s="4"/>
    </row>
    <row r="14" spans="1:9" ht="15" customHeight="1" x14ac:dyDescent="0.35"/>
    <row r="15" spans="1:9" ht="15" customHeight="1" x14ac:dyDescent="0.35"/>
    <row r="16" spans="1:9" ht="15" customHeight="1" x14ac:dyDescent="0.35"/>
  </sheetData>
  <mergeCells count="1">
    <mergeCell ref="B3:H3"/>
  </mergeCells>
  <pageMargins left="0.7" right="0.7" top="0.75" bottom="0.75" header="0.3" footer="0.3"/>
  <pageSetup orientation="portrait" horizontalDpi="300"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
  <sheetViews>
    <sheetView zoomScale="70" zoomScaleNormal="70" workbookViewId="0">
      <selection activeCell="E24" sqref="E24"/>
    </sheetView>
  </sheetViews>
  <sheetFormatPr defaultRowHeight="14.5" x14ac:dyDescent="0.3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1</vt:i4>
      </vt:variant>
    </vt:vector>
  </HeadingPairs>
  <TitlesOfParts>
    <vt:vector size="4" baseType="lpstr">
      <vt:lpstr>Report</vt:lpstr>
      <vt:lpstr>valuation</vt:lpstr>
      <vt:lpstr>Note</vt:lpstr>
      <vt:lpstr>Report!Print_Area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Hp Elitebook 840 G6</cp:lastModifiedBy>
  <cp:lastPrinted>2025-09-25T14:48:05Z</cp:lastPrinted>
  <dcterms:created xsi:type="dcterms:W3CDTF">2019-07-16T09:29:46Z</dcterms:created>
  <dcterms:modified xsi:type="dcterms:W3CDTF">2025-09-25T15:05:21Z</dcterms:modified>
</cp:coreProperties>
</file>