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5-09-2025\"/>
    </mc:Choice>
  </mc:AlternateContent>
  <bookViews>
    <workbookView xWindow="0" yWindow="0" windowWidth="19200" windowHeight="6640" tabRatio="725"/>
  </bookViews>
  <sheets>
    <sheet name="Report" sheetId="1" r:id="rId1"/>
    <sheet name="Sheet1" sheetId="6" r:id="rId2"/>
    <sheet name="valuation" sheetId="5" r:id="rId3"/>
    <sheet name="Note" sheetId="4" r:id="rId4"/>
  </sheets>
  <definedNames>
    <definedName name="_xlnm.Print_Area" localSheetId="0">Report!$A$1:$H$280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F146" i="1" s="1"/>
  <c r="D145" i="1"/>
  <c r="D144" i="1"/>
  <c r="F144" i="1" s="1"/>
  <c r="D143" i="1"/>
  <c r="F143" i="1" s="1"/>
  <c r="D142" i="1"/>
  <c r="F142" i="1" s="1"/>
  <c r="D141" i="1"/>
  <c r="F141" i="1" s="1"/>
  <c r="I140" i="1"/>
  <c r="G140" i="1"/>
  <c r="D140" i="1"/>
  <c r="F140" i="1" s="1"/>
  <c r="J140" i="1" s="1"/>
  <c r="I141" i="1" l="1"/>
  <c r="K141" i="1"/>
  <c r="I143" i="1"/>
  <c r="J143" i="1"/>
  <c r="E170" i="1"/>
  <c r="E169" i="1"/>
  <c r="E168" i="1"/>
  <c r="E167" i="1"/>
  <c r="E166" i="1"/>
  <c r="E165" i="1"/>
  <c r="E164" i="1"/>
  <c r="E161" i="1"/>
  <c r="E160" i="1"/>
  <c r="E159" i="1"/>
  <c r="E153" i="1"/>
  <c r="J147" i="1"/>
  <c r="D170" i="1"/>
  <c r="D169" i="1"/>
  <c r="D168" i="1"/>
  <c r="D167" i="1"/>
  <c r="D166" i="1"/>
  <c r="D165" i="1"/>
  <c r="D164" i="1"/>
  <c r="G164" i="1"/>
  <c r="D161" i="1"/>
  <c r="D160" i="1"/>
  <c r="D159" i="1"/>
  <c r="D162" i="1"/>
  <c r="F162" i="1" s="1"/>
  <c r="D158" i="1"/>
  <c r="F158" i="1" s="1"/>
  <c r="D157" i="1"/>
  <c r="F157" i="1" s="1"/>
  <c r="G156" i="1"/>
  <c r="D156" i="1"/>
  <c r="F156" i="1" s="1"/>
  <c r="D153" i="1"/>
  <c r="D154" i="1"/>
  <c r="F154" i="1" s="1"/>
  <c r="D152" i="1"/>
  <c r="F152" i="1" s="1"/>
  <c r="D151" i="1"/>
  <c r="F151" i="1" s="1"/>
  <c r="D150" i="1"/>
  <c r="L147" i="1" s="1"/>
  <c r="L149" i="1" s="1"/>
  <c r="L150" i="1" s="1"/>
  <c r="D149" i="1"/>
  <c r="F149" i="1" s="1"/>
  <c r="K149" i="1" s="1"/>
  <c r="K150" i="1" s="1"/>
  <c r="G148" i="1"/>
  <c r="D148" i="1"/>
  <c r="F148" i="1" s="1"/>
  <c r="D132" i="1"/>
  <c r="D137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F165" i="1" l="1"/>
  <c r="F150" i="1"/>
  <c r="F153" i="1"/>
  <c r="F166" i="1"/>
  <c r="F160" i="1"/>
  <c r="F170" i="1"/>
  <c r="F169" i="1"/>
  <c r="F168" i="1"/>
  <c r="F167" i="1"/>
  <c r="F164" i="1"/>
  <c r="F161" i="1"/>
  <c r="F159" i="1"/>
  <c r="I89" i="1"/>
  <c r="I84" i="1"/>
  <c r="J84" i="1" l="1"/>
  <c r="D138" i="1"/>
  <c r="F138" i="1" s="1"/>
  <c r="F137" i="1"/>
  <c r="I137" i="1" s="1"/>
  <c r="D136" i="1"/>
  <c r="D135" i="1"/>
  <c r="D134" i="1"/>
  <c r="D133" i="1"/>
  <c r="I132" i="1"/>
  <c r="F124" i="1"/>
  <c r="F123" i="1"/>
  <c r="F122" i="1"/>
  <c r="F121" i="1"/>
  <c r="F120" i="1"/>
  <c r="F119" i="1"/>
  <c r="F118" i="1"/>
  <c r="D106" i="1"/>
  <c r="D105" i="1"/>
  <c r="I105" i="1"/>
  <c r="F125" i="1"/>
  <c r="F117" i="1"/>
  <c r="J43" i="1"/>
  <c r="J39" i="1"/>
  <c r="C98" i="1" l="1"/>
  <c r="E98" i="1"/>
  <c r="E95" i="1"/>
  <c r="J137" i="1"/>
  <c r="C95" i="1"/>
  <c r="F105" i="1"/>
  <c r="E99" i="1" l="1"/>
  <c r="C99" i="1"/>
  <c r="F116" i="1"/>
  <c r="F115" i="1"/>
  <c r="F114" i="1"/>
  <c r="F113" i="1"/>
  <c r="F112" i="1"/>
  <c r="F111" i="1"/>
  <c r="F110" i="1"/>
  <c r="F109" i="1"/>
  <c r="B174" i="1" l="1"/>
  <c r="C13" i="1" l="1"/>
  <c r="E28" i="1" l="1"/>
  <c r="F92" i="1" l="1"/>
  <c r="F106" i="1" l="1"/>
  <c r="F107" i="1"/>
  <c r="F108" i="1"/>
  <c r="G95" i="1" l="1"/>
  <c r="B173" i="1"/>
  <c r="F136" i="1" l="1"/>
  <c r="F135" i="1"/>
  <c r="F134" i="1"/>
  <c r="F133" i="1"/>
  <c r="F132" i="1"/>
  <c r="G98" i="1" l="1"/>
  <c r="G99" i="1" s="1"/>
  <c r="I133" i="1"/>
  <c r="K133" i="1"/>
  <c r="I135" i="1"/>
  <c r="J135" i="1"/>
  <c r="J132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8" i="1"/>
  <c r="G132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G105" i="1"/>
  <c r="J76" i="1"/>
  <c r="J75" i="1"/>
  <c r="J74" i="1"/>
  <c r="J73" i="1"/>
  <c r="C65" i="1"/>
  <c r="D54" i="1"/>
  <c r="G48" i="1"/>
  <c r="C48" i="1"/>
  <c r="E41" i="1"/>
  <c r="E42" i="1" s="1"/>
  <c r="E25" i="1"/>
  <c r="E23" i="1"/>
  <c r="E7" i="1"/>
  <c r="E3" i="1"/>
  <c r="H66" i="1"/>
  <c r="A117" i="1" l="1"/>
  <c r="A118" i="1" s="1"/>
  <c r="A119" i="1" s="1"/>
  <c r="A120" i="1" s="1"/>
  <c r="A121" i="1" s="1"/>
  <c r="A122" i="1" s="1"/>
  <c r="A123" i="1" s="1"/>
  <c r="A124" i="1" s="1"/>
  <c r="A125" i="1" s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D70" i="1"/>
  <c r="D71" i="1"/>
  <c r="J67" i="1"/>
  <c r="D69" i="1"/>
  <c r="E69" i="1" l="1"/>
  <c r="J66" i="1"/>
  <c r="G69" i="1"/>
  <c r="D63" i="1" s="1"/>
  <c r="D64" i="1" s="1"/>
  <c r="I66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<sst xmlns="http://schemas.openxmlformats.org/spreadsheetml/2006/main" count="311" uniqueCount="234">
  <si>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</si>
  <si>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</si>
  <si>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</si>
  <si>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</si>
  <si>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</si>
  <si>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</si>
  <si>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</si>
  <si>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</si>
  <si>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</si>
  <si>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</si>
  <si>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</si>
  <si>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</si>
  <si>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</si>
  <si>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</si>
  <si>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</si>
  <si>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</si>
  <si>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</si>
  <si>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</si>
  <si>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</si>
  <si>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</si>
  <si>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</si>
  <si>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</si>
  <si>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</si>
  <si>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</si>
  <si>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</si>
  <si>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</si>
  <si>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</si>
  <si>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</si>
  <si>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</si>
  <si>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</si>
  <si>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</si>
  <si>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</si>
  <si>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</si>
  <si>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</si>
  <si>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</si>
  <si>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</si>
  <si>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</si>
  <si>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</si>
  <si>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</si>
  <si>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</si>
  <si>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</si>
  <si>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</si>
  <si>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</si>
  <si>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</si>
  <si>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</si>
  <si>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</si>
  <si>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</si>
  <si>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</si>
  <si>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</si>
  <si>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</si>
  <si>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</si>
  <si>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</si>
  <si>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</si>
  <si>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</si>
  <si>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</si>
  <si>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</si>
  <si>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</si>
  <si>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</si>
  <si>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</si>
  <si>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</si>
  <si>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</si>
  <si>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</si>
  <si>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</si>
  <si>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</si>
  <si>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</si>
  <si>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</si>
  <si>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</si>
  <si>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</si>
  <si>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</si>
  <si>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</si>
  <si>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</si>
  <si>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</si>
  <si>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</si>
  <si>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</si>
  <si>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</si>
  <si>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</si>
  <si>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</si>
  <si>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</si>
  <si>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</si>
  <si>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</si>
  <si>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</si>
  <si>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</si>
  <si>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</si>
  <si>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</si>
  <si>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</si>
  <si>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</si>
  <si>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</si>
  <si>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</si>
  <si>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</si>
  <si>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</si>
  <si>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</si>
  <si>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</si>
  <si>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</si>
  <si>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</si>
  <si>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</si>
  <si>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</si>
  <si>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</si>
  <si>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</si>
  <si>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</si>
  <si>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</si>
  <si>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</si>
  <si>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</si>
  <si>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</si>
  <si>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</si>
  <si>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</si>
  <si>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</si>
  <si>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</si>
  <si>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</si>
  <si>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</si>
  <si>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</si>
  <si>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</si>
  <si>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</si>
  <si>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</si>
  <si>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</si>
  <si>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</si>
  <si>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</si>
  <si>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</si>
  <si>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</si>
  <si>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</si>
  <si>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</si>
  <si>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</si>
  <si>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</si>
  <si>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</si>
  <si>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</si>
  <si>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</si>
  <si>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</si>
  <si>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</si>
  <si>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</si>
  <si>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</si>
  <si>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</si>
  <si>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</si>
  <si>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</si>
  <si>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</si>
  <si>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</si>
  <si>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</si>
  <si>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</si>
  <si>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</si>
  <si>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</si>
  <si>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</si>
  <si>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</si>
  <si>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</si>
  <si>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</si>
  <si>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</si>
  <si>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</si>
  <si>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</si>
  <si>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</si>
  <si>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</si>
  <si>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</si>
  <si>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</si>
  <si>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</si>
  <si>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</si>
  <si>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</si>
  <si>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</si>
  <si>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</si>
  <si>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</si>
  <si>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</si>
  <si>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</si>
  <si>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</si>
  <si>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</si>
  <si>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</si>
  <si>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</si>
  <si>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</si>
  <si>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</si>
  <si>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</si>
  <si>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</si>
  <si>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</si>
  <si>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</si>
  <si>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</si>
  <si>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</si>
  <si>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Sanpada</t>
  </si>
  <si>
    <t>Millennium Group</t>
  </si>
  <si>
    <t>Millennium Urbania</t>
  </si>
  <si>
    <t>1 Building</t>
  </si>
  <si>
    <t>P52000045626</t>
  </si>
  <si>
    <t>Plot No</t>
  </si>
  <si>
    <t>17C, Sector - 16E</t>
  </si>
  <si>
    <t>Panvel</t>
  </si>
  <si>
    <t>Raigad</t>
  </si>
  <si>
    <t>Kalamboli</t>
  </si>
  <si>
    <t>https://goo.gl/maps/nnwcUrqeLeorfEkd9</t>
  </si>
  <si>
    <t>Roadpali Road</t>
  </si>
  <si>
    <t>5.4 KM from Mansarovar Railway Station</t>
  </si>
  <si>
    <t>Open Plot</t>
  </si>
  <si>
    <t>Panvel Municipal Corporation</t>
  </si>
  <si>
    <t>As per RERA - 31/12/2026</t>
  </si>
  <si>
    <t>Shop</t>
  </si>
  <si>
    <t>1st to 3rd Floor for Parking</t>
  </si>
  <si>
    <t>cost sheet</t>
  </si>
  <si>
    <r>
      <rPr>
        <sz val="12"/>
        <rFont val="Times New Roman"/>
        <family val="1"/>
      </rPr>
      <t>Approved Plans, CC,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Cost Sheet</t>
    </r>
  </si>
  <si>
    <t>Cake road</t>
  </si>
  <si>
    <t>Ground Floor for Commercial &amp; Parking</t>
  </si>
  <si>
    <t>4th Floor for Garden &amp; Club House</t>
  </si>
  <si>
    <t>Club Membership</t>
  </si>
  <si>
    <t>rate sheet</t>
  </si>
  <si>
    <t xml:space="preserve">flat </t>
  </si>
  <si>
    <t>shop</t>
  </si>
  <si>
    <t>visitor</t>
  </si>
  <si>
    <t>99A</t>
  </si>
  <si>
    <t>Market</t>
  </si>
  <si>
    <t>dewello</t>
  </si>
  <si>
    <t>We considered Gross carpet area = Net carpet + Chajja Area.</t>
  </si>
  <si>
    <t>Gr/Stilt + 1st to 4th Floor (Podium) + 5th to 17th Floor</t>
  </si>
  <si>
    <t xml:space="preserve">1.Vitrified tiles flooring 2. Granite Kitchen Platform  3. Decorative Enternace  etc. 
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</si>
  <si>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</si>
  <si>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PMC/TP/Kalamboli/16E/17C/21-23/16279/923/2023</t>
  </si>
  <si>
    <t>Gr/Stilt + 1st to 4th Floor (Podium) + 5th to 17th Floor
(For Flats = 91 &amp; Commercial Unit = 21)</t>
  </si>
  <si>
    <t>PMP/NRV/16279/JK-923/2023</t>
  </si>
  <si>
    <t>15th Floor</t>
  </si>
  <si>
    <t>16th Floor</t>
  </si>
  <si>
    <t>17th Floor (Part Refuge Area at Midlanding)</t>
  </si>
  <si>
    <t>Shops</t>
  </si>
  <si>
    <t>Flats</t>
  </si>
  <si>
    <t>Grand Total</t>
  </si>
  <si>
    <t>Flats - 91, Shops - 21</t>
  </si>
  <si>
    <t>We have updated Approved layout plan, floor plan &amp; CC (on 26/12/2023).</t>
  </si>
  <si>
    <t>Verona CHS Apartment</t>
  </si>
  <si>
    <t xml:space="preserve"> </t>
  </si>
  <si>
    <t>Truck Terminal is adjacent to the project.</t>
  </si>
  <si>
    <t>The Hindu crematorium is on West side of project @90m.</t>
  </si>
  <si>
    <t>Infrastructure Charges (Only For 2BHK)</t>
  </si>
  <si>
    <t>Floor Rise Rate (From 6th Floor) (Only For 2BHK)</t>
  </si>
  <si>
    <t>8200 to 8400 &amp; OC Charges</t>
  </si>
  <si>
    <t>smith</t>
  </si>
  <si>
    <t>8400 to 8500 &amp; FR + CAR PARK 5L BY smith on 24/07/2024</t>
  </si>
  <si>
    <t>5th to 13th Floor for Residential (Part Refuge Area at Midlanding @ 7th &amp; 12th Floor)</t>
  </si>
  <si>
    <t>14th Floor</t>
  </si>
  <si>
    <t>Recommended Rates/Other Charges of the Property have been revised on 26/12/2023, 11/03/2024 &amp; 24/07/2024.</t>
  </si>
  <si>
    <t>FR n 1406 area changed by Smith on 24/07/2024</t>
  </si>
  <si>
    <t>Construction work has incresed as compare to last visited date 17/08/2024 but at the time of visit no labour or no active work found on site.</t>
  </si>
  <si>
    <t>Construction work is the same as last visit (dtd.11/11/2024), but work is in process at the time of the visit. (Slow Speed)</t>
  </si>
  <si>
    <t>Construction work is in process at the time of visit (Labour found).</t>
  </si>
  <si>
    <t>Pooja Kawale</t>
  </si>
  <si>
    <t>Sunil Peravi</t>
  </si>
  <si>
    <t>On site we met Ambekar : 7400377747.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</si>
</sst>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4" fontId="7" fillId="0" borderId="0" xfId="1" applyNumberFormat="1" applyFont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27" fillId="0" borderId="0" xfId="1" applyFont="1"/>
    <xf numFmtId="0" fontId="28" fillId="0" borderId="0" xfId="1" applyFont="1"/>
    <xf numFmtId="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2" borderId="0" xfId="1" applyFont="1" applyFill="1"/>
    <xf numFmtId="14" fontId="12" fillId="2" borderId="0" xfId="1" applyNumberFormat="1" applyFont="1" applyFill="1"/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1" xfId="1" applyFont="1" applyBorder="1" applyAlignment="1" applyProtection="1">
      <alignment horizontal="center" vertical="top"/>
      <protection locked="0"/>
    </xf>
    <xf numFmtId="20" fontId="7" fillId="0" borderId="0" xfId="1" applyNumberFormat="1" applyFont="1"/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10" fillId="0" borderId="28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2" xfId="0" applyFont="1" applyFill="1" applyBorder="1"/>
    <xf numFmtId="0" fontId="25" fillId="0" borderId="8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242</xdr:row>
      <xdr:rowOff>38100</xdr:rowOff>
    </xdr:from>
    <xdr:to>
      <xdr:col>7</xdr:col>
      <xdr:colOff>66000</xdr:colOff>
      <xdr:row>258</xdr:row>
      <xdr:rowOff>193257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46072425"/>
          <a:ext cx="5409525" cy="33555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771525</xdr:colOff>
      <xdr:row>260</xdr:row>
      <xdr:rowOff>14478</xdr:rowOff>
    </xdr:from>
    <xdr:to>
      <xdr:col>7</xdr:col>
      <xdr:colOff>66000</xdr:colOff>
      <xdr:row>276</xdr:row>
      <xdr:rowOff>169635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49649253"/>
          <a:ext cx="5409525" cy="33555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600075</xdr:colOff>
      <xdr:row>198</xdr:row>
      <xdr:rowOff>66674</xdr:rowOff>
    </xdr:from>
    <xdr:to>
      <xdr:col>16</xdr:col>
      <xdr:colOff>310069</xdr:colOff>
      <xdr:row>229</xdr:row>
      <xdr:rowOff>159750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445375" y="42002074"/>
          <a:ext cx="6631494" cy="6189076"/>
          <a:chOff x="95250" y="42595799"/>
          <a:chExt cx="6320344" cy="6284326"/>
        </a:xfrm>
      </xdr:grpSpPr>
      <xdr:pic>
        <xdr:nvPicPr>
          <xdr:cNvPr id="15" name="Picture 14" descr="https://vsjcllp.vsjadon.com/upload/insp-217377-1525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91075" y="4672012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17377-845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46713775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17377-849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57525" y="4671060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17377-1022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0975" y="42595799"/>
            <a:ext cx="3015908" cy="40100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17377-843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42595800"/>
            <a:ext cx="3023072" cy="401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514349</xdr:colOff>
      <xdr:row>198</xdr:row>
      <xdr:rowOff>200024</xdr:rowOff>
    </xdr:from>
    <xdr:to>
      <xdr:col>16</xdr:col>
      <xdr:colOff>147190</xdr:colOff>
      <xdr:row>237</xdr:row>
      <xdr:rowOff>121650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359649" y="42135424"/>
          <a:ext cx="6554341" cy="7592426"/>
          <a:chOff x="152399" y="42595799"/>
          <a:chExt cx="6243191" cy="7713076"/>
        </a:xfrm>
      </xdr:grpSpPr>
      <xdr:pic>
        <xdr:nvPicPr>
          <xdr:cNvPr id="23" name="Picture 22" descr="https://vsjcllp.vsjadon.com/upload/insp-234001-1525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5" y="4813935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4001-843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62449" y="42595799"/>
            <a:ext cx="2033141" cy="2714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4001-84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4" y="45386625"/>
            <a:ext cx="2004607" cy="26765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4001-844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0024" y="45386625"/>
            <a:ext cx="2004607" cy="26765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01-849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52924" y="45386625"/>
            <a:ext cx="2004607" cy="26765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4001-851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71625" y="4814887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01-871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899" y="42595799"/>
            <a:ext cx="2033141" cy="2714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01-874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399" y="42595799"/>
            <a:ext cx="2033141" cy="2714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120650</xdr:colOff>
      <xdr:row>198</xdr:row>
      <xdr:rowOff>57150</xdr:rowOff>
    </xdr:from>
    <xdr:to>
      <xdr:col>7</xdr:col>
      <xdr:colOff>736150</xdr:colOff>
      <xdr:row>238</xdr:row>
      <xdr:rowOff>190500</xdr:rowOff>
    </xdr:to>
    <xdr:grpSp>
      <xdr:nvGrpSpPr>
        <xdr:cNvPr id="6" name="Group 5"/>
        <xdr:cNvGrpSpPr/>
      </xdr:nvGrpSpPr>
      <xdr:grpSpPr>
        <a:xfrm>
          <a:off x="120650" y="41992550"/>
          <a:ext cx="6590850" cy="8001000"/>
          <a:chOff x="120650" y="41808400"/>
          <a:chExt cx="6590850" cy="8001000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2828" y="48701398"/>
            <a:ext cx="1348594" cy="11080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384" y="4181257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9440" y="41808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5496" y="41808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89226" y="48701398"/>
            <a:ext cx="1348594" cy="11080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446488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6064" y="46801124"/>
            <a:ext cx="2397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5081" y="46801124"/>
            <a:ext cx="2397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9728" y="446488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80" y="4680112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5353" y="446488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71027" y="48701398"/>
            <a:ext cx="1348594" cy="11080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4103" y="446488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281456</xdr:colOff>
      <xdr:row>30</xdr:row>
      <xdr:rowOff>25880</xdr:rowOff>
    </xdr:from>
    <xdr:to>
      <xdr:col>4</xdr:col>
      <xdr:colOff>697486</xdr:colOff>
      <xdr:row>45</xdr:row>
      <xdr:rowOff>48380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162" y="575208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47</xdr:row>
      <xdr:rowOff>51039</xdr:rowOff>
    </xdr:from>
    <xdr:to>
      <xdr:col>4</xdr:col>
      <xdr:colOff>697486</xdr:colOff>
      <xdr:row>62</xdr:row>
      <xdr:rowOff>73539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9015745"/>
          <a:ext cx="540395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200675</xdr:colOff>
      <xdr:row>47</xdr:row>
      <xdr:rowOff>51039</xdr:rowOff>
    </xdr:from>
    <xdr:to>
      <xdr:col>11</xdr:col>
      <xdr:colOff>213292</xdr:colOff>
      <xdr:row>62</xdr:row>
      <xdr:rowOff>73539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1851" y="9015745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200675</xdr:colOff>
      <xdr:row>30</xdr:row>
      <xdr:rowOff>25880</xdr:rowOff>
    </xdr:from>
    <xdr:to>
      <xdr:col>11</xdr:col>
      <xdr:colOff>213292</xdr:colOff>
      <xdr:row>45</xdr:row>
      <xdr:rowOff>48380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1851" y="575208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200675</xdr:colOff>
      <xdr:row>14</xdr:row>
      <xdr:rowOff>0</xdr:rowOff>
    </xdr:from>
    <xdr:to>
      <xdr:col>11</xdr:col>
      <xdr:colOff>213292</xdr:colOff>
      <xdr:row>29</xdr:row>
      <xdr:rowOff>22500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1851" y="26782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582705</xdr:colOff>
      <xdr:row>42</xdr:row>
      <xdr:rowOff>112059</xdr:rowOff>
    </xdr:from>
    <xdr:to>
      <xdr:col>22</xdr:col>
      <xdr:colOff>1341</xdr:colOff>
      <xdr:row>67</xdr:row>
      <xdr:rowOff>76834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43764" y="8124265"/>
          <a:ext cx="5828401" cy="4727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nwcUrqeLeorfEkd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1"/>
  <sheetViews>
    <sheetView tabSelected="1" view="pageBreakPreview" topLeftCell="A176" zoomScaleNormal="100" zoomScaleSheetLayoutView="100" workbookViewId="0">
      <selection activeCell="K184" sqref="K184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3.7265625" style="19" bestFit="1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1" ht="46.5" customHeight="1" x14ac:dyDescent="0.35">
      <c r="A1" s="148" t="s">
        <v>203</v>
      </c>
      <c r="B1" s="148"/>
      <c r="C1" s="148"/>
      <c r="D1" s="148"/>
      <c r="E1" s="148"/>
      <c r="F1" s="148"/>
      <c r="G1" s="148"/>
      <c r="H1" s="148"/>
    </row>
    <row r="2" spans="1:11" ht="16.5" customHeight="1" x14ac:dyDescent="0.3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11" x14ac:dyDescent="0.35">
      <c r="A3" s="149" t="s">
        <v>1</v>
      </c>
      <c r="B3" s="149"/>
      <c r="C3" s="149"/>
      <c r="D3" s="149"/>
      <c r="E3" s="149" t="str">
        <f ca="1">TEXT(TODAY(),"DD/MM/YYYY")</f>
        <v>26/09/2025</v>
      </c>
      <c r="F3" s="149"/>
      <c r="G3" s="149"/>
      <c r="H3" s="149"/>
    </row>
    <row r="4" spans="1:11" ht="15" customHeight="1" x14ac:dyDescent="0.35">
      <c r="A4" s="149" t="s">
        <v>2</v>
      </c>
      <c r="B4" s="149"/>
      <c r="C4" s="149"/>
      <c r="D4" s="149"/>
      <c r="E4" s="149" t="s">
        <v>169</v>
      </c>
      <c r="F4" s="149"/>
      <c r="G4" s="149"/>
      <c r="H4" s="149"/>
    </row>
    <row r="5" spans="1:11" x14ac:dyDescent="0.35">
      <c r="A5" s="149" t="s">
        <v>3</v>
      </c>
      <c r="B5" s="149"/>
      <c r="C5" s="149"/>
      <c r="D5" s="149"/>
      <c r="E5" s="151">
        <v>45926</v>
      </c>
      <c r="F5" s="149"/>
      <c r="G5" s="149"/>
      <c r="H5" s="149"/>
    </row>
    <row r="6" spans="1:11" ht="16.5" customHeight="1" x14ac:dyDescent="0.35">
      <c r="A6" s="149" t="s">
        <v>4</v>
      </c>
      <c r="B6" s="149"/>
      <c r="C6" s="149"/>
      <c r="D6" s="149"/>
      <c r="E6" s="149" t="s">
        <v>170</v>
      </c>
      <c r="F6" s="149"/>
      <c r="G6" s="149"/>
      <c r="H6" s="149"/>
    </row>
    <row r="7" spans="1:11" ht="15" customHeight="1" x14ac:dyDescent="0.35">
      <c r="A7" s="149" t="s">
        <v>5</v>
      </c>
      <c r="B7" s="149"/>
      <c r="C7" s="149"/>
      <c r="D7" s="149"/>
      <c r="E7" s="149" t="str">
        <f>E6</f>
        <v>Millennium Group</v>
      </c>
      <c r="F7" s="149"/>
      <c r="G7" s="149"/>
      <c r="H7" s="149"/>
    </row>
    <row r="8" spans="1:11" x14ac:dyDescent="0.35">
      <c r="A8" s="149" t="s">
        <v>6</v>
      </c>
      <c r="B8" s="149"/>
      <c r="C8" s="149"/>
      <c r="D8" s="149"/>
      <c r="E8" s="150" t="s">
        <v>171</v>
      </c>
      <c r="F8" s="150"/>
      <c r="G8" s="150"/>
      <c r="H8" s="150"/>
    </row>
    <row r="9" spans="1:11" x14ac:dyDescent="0.35">
      <c r="A9" s="149" t="s">
        <v>125</v>
      </c>
      <c r="B9" s="149"/>
      <c r="C9" s="149"/>
      <c r="D9" s="149"/>
      <c r="E9" s="149">
        <v>9322917679</v>
      </c>
      <c r="F9" s="149"/>
      <c r="G9" s="149"/>
      <c r="H9" s="149"/>
    </row>
    <row r="10" spans="1:11" x14ac:dyDescent="0.35">
      <c r="A10" s="149" t="s">
        <v>7</v>
      </c>
      <c r="B10" s="149"/>
      <c r="C10" s="149"/>
      <c r="D10" s="149"/>
      <c r="E10" s="149" t="s">
        <v>172</v>
      </c>
      <c r="F10" s="149"/>
      <c r="G10" s="149"/>
      <c r="H10" s="149"/>
    </row>
    <row r="11" spans="1:11" x14ac:dyDescent="0.35">
      <c r="A11" s="90" t="s">
        <v>8</v>
      </c>
      <c r="B11" s="90"/>
      <c r="C11" s="90"/>
      <c r="D11" s="90"/>
      <c r="E11" s="152" t="s">
        <v>188</v>
      </c>
      <c r="F11" s="152"/>
      <c r="G11" s="152"/>
      <c r="H11" s="152"/>
      <c r="I11" s="65"/>
      <c r="J11" s="65"/>
      <c r="K11" s="65"/>
    </row>
    <row r="12" spans="1:11" x14ac:dyDescent="0.35">
      <c r="A12" s="90" t="s">
        <v>9</v>
      </c>
      <c r="B12" s="90"/>
      <c r="C12" s="90"/>
      <c r="D12" s="90"/>
      <c r="E12" s="133" t="s">
        <v>173</v>
      </c>
      <c r="F12" s="155"/>
      <c r="G12" s="155"/>
      <c r="H12" s="155"/>
    </row>
    <row r="13" spans="1:11" ht="36" customHeight="1" x14ac:dyDescent="0.35">
      <c r="A13" s="115" t="s">
        <v>10</v>
      </c>
      <c r="B13" s="115"/>
      <c r="C13" s="11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Millennium Urbania, Plot No.17C, Sector - 16E, near Verona CHS Apartment, Roadpali Road, Kalamboli, Kalamboli, Kalamboli, Panvel, Raigad - 410218.</v>
      </c>
      <c r="D13" s="115"/>
      <c r="E13" s="115"/>
      <c r="F13" s="115"/>
      <c r="G13" s="115"/>
      <c r="H13" s="115"/>
    </row>
    <row r="14" spans="1:11" x14ac:dyDescent="0.35">
      <c r="A14" s="133" t="s">
        <v>174</v>
      </c>
      <c r="B14" s="133"/>
      <c r="C14" s="133" t="s">
        <v>175</v>
      </c>
      <c r="D14" s="133"/>
      <c r="E14" s="133"/>
      <c r="F14" s="133"/>
      <c r="G14" s="133"/>
      <c r="H14" s="133"/>
    </row>
    <row r="15" spans="1:11" ht="15.75" customHeight="1" x14ac:dyDescent="0.35">
      <c r="A15" s="176" t="s">
        <v>166</v>
      </c>
      <c r="B15" s="177"/>
      <c r="C15" s="176" t="s">
        <v>178</v>
      </c>
      <c r="D15" s="178"/>
      <c r="E15" s="178"/>
      <c r="F15" s="178"/>
      <c r="G15" s="178"/>
      <c r="H15" s="177"/>
    </row>
    <row r="16" spans="1:11" ht="15.75" customHeight="1" x14ac:dyDescent="0.35">
      <c r="A16" s="115" t="s">
        <v>11</v>
      </c>
      <c r="B16" s="115"/>
      <c r="C16" s="149" t="s">
        <v>180</v>
      </c>
      <c r="D16" s="149"/>
      <c r="E16" s="115" t="s">
        <v>167</v>
      </c>
      <c r="F16" s="115"/>
      <c r="G16" s="133" t="s">
        <v>178</v>
      </c>
      <c r="H16" s="133"/>
    </row>
    <row r="17" spans="1:8" x14ac:dyDescent="0.35">
      <c r="A17" s="90" t="s">
        <v>13</v>
      </c>
      <c r="B17" s="90"/>
      <c r="C17" s="133" t="s">
        <v>178</v>
      </c>
      <c r="D17" s="133"/>
      <c r="E17" s="115" t="s">
        <v>12</v>
      </c>
      <c r="F17" s="115"/>
      <c r="G17" s="156" t="s">
        <v>177</v>
      </c>
      <c r="H17" s="156"/>
    </row>
    <row r="18" spans="1:8" x14ac:dyDescent="0.35">
      <c r="A18" s="90" t="s">
        <v>76</v>
      </c>
      <c r="B18" s="90"/>
      <c r="C18" s="133" t="s">
        <v>176</v>
      </c>
      <c r="D18" s="133"/>
      <c r="E18" s="115" t="s">
        <v>14</v>
      </c>
      <c r="F18" s="115"/>
      <c r="G18" s="133">
        <v>410218</v>
      </c>
      <c r="H18" s="133"/>
    </row>
    <row r="19" spans="1:8" ht="32.25" customHeight="1" x14ac:dyDescent="0.35">
      <c r="A19" s="90" t="s">
        <v>126</v>
      </c>
      <c r="B19" s="90"/>
      <c r="C19" s="133" t="s">
        <v>215</v>
      </c>
      <c r="D19" s="133"/>
      <c r="E19" s="115" t="s">
        <v>15</v>
      </c>
      <c r="F19" s="115"/>
      <c r="G19" s="133" t="s">
        <v>181</v>
      </c>
      <c r="H19" s="133"/>
    </row>
    <row r="20" spans="1:8" ht="15" customHeight="1" x14ac:dyDescent="0.35">
      <c r="A20" s="115" t="s">
        <v>79</v>
      </c>
      <c r="B20" s="115"/>
      <c r="C20" s="115"/>
      <c r="D20" s="115"/>
      <c r="E20" s="149" t="s">
        <v>16</v>
      </c>
      <c r="F20" s="149"/>
      <c r="G20" s="149"/>
      <c r="H20" s="149"/>
    </row>
    <row r="21" spans="1:8" ht="18.75" customHeight="1" x14ac:dyDescent="0.35">
      <c r="A21" s="115"/>
      <c r="B21" s="115"/>
      <c r="C21" s="115"/>
      <c r="D21" s="115"/>
      <c r="E21" s="149"/>
      <c r="F21" s="149"/>
      <c r="G21" s="149"/>
      <c r="H21" s="149"/>
    </row>
    <row r="22" spans="1:8" ht="15" customHeight="1" x14ac:dyDescent="0.35">
      <c r="A22" s="115" t="s">
        <v>17</v>
      </c>
      <c r="B22" s="115"/>
      <c r="C22" s="115"/>
      <c r="D22" s="115"/>
      <c r="E22" s="133" t="s">
        <v>18</v>
      </c>
      <c r="F22" s="133"/>
      <c r="G22" s="133"/>
      <c r="H22" s="133"/>
    </row>
    <row r="23" spans="1:8" ht="15" customHeight="1" x14ac:dyDescent="0.35">
      <c r="A23" s="90" t="s">
        <v>19</v>
      </c>
      <c r="B23" s="90"/>
      <c r="C23" s="90"/>
      <c r="D23" s="90"/>
      <c r="E23" s="133" t="str">
        <f>IF(AND(G17="Mumbai"),"Upper Class","Middle Class")</f>
        <v>Middle Class</v>
      </c>
      <c r="F23" s="133"/>
      <c r="G23" s="133"/>
      <c r="H23" s="133"/>
    </row>
    <row r="24" spans="1:8" x14ac:dyDescent="0.35">
      <c r="A24" s="90" t="s">
        <v>20</v>
      </c>
      <c r="B24" s="90"/>
      <c r="C24" s="90"/>
      <c r="D24" s="90"/>
      <c r="E24" s="133" t="s">
        <v>21</v>
      </c>
      <c r="F24" s="133"/>
      <c r="G24" s="133"/>
      <c r="H24" s="133"/>
    </row>
    <row r="25" spans="1:8" ht="15.75" customHeight="1" x14ac:dyDescent="0.35">
      <c r="A25" s="90" t="s">
        <v>22</v>
      </c>
      <c r="B25" s="90"/>
      <c r="C25" s="90"/>
      <c r="D25" s="90"/>
      <c r="E25" s="133" t="str">
        <f>IF(AND(G17="Mumbai"),"Developed","Developing")</f>
        <v>Developing</v>
      </c>
      <c r="F25" s="133"/>
      <c r="G25" s="133"/>
      <c r="H25" s="133"/>
    </row>
    <row r="26" spans="1:8" x14ac:dyDescent="0.35">
      <c r="A26" s="90" t="s">
        <v>23</v>
      </c>
      <c r="B26" s="90"/>
      <c r="C26" s="90"/>
      <c r="D26" s="90"/>
      <c r="E26" s="133" t="s">
        <v>24</v>
      </c>
      <c r="F26" s="133"/>
      <c r="G26" s="133"/>
      <c r="H26" s="133"/>
    </row>
    <row r="27" spans="1:8" ht="15.75" customHeight="1" x14ac:dyDescent="0.35">
      <c r="A27" s="90" t="s">
        <v>84</v>
      </c>
      <c r="B27" s="90"/>
      <c r="C27" s="90"/>
      <c r="D27" s="90"/>
      <c r="E27" s="133" t="s">
        <v>85</v>
      </c>
      <c r="F27" s="133"/>
      <c r="G27" s="133"/>
      <c r="H27" s="133"/>
    </row>
    <row r="28" spans="1:8" ht="15" customHeight="1" x14ac:dyDescent="0.35">
      <c r="A28" s="90" t="s">
        <v>35</v>
      </c>
      <c r="B28" s="90"/>
      <c r="C28" s="90"/>
      <c r="D28" s="90"/>
      <c r="E28" s="13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33"/>
      <c r="G28" s="133"/>
      <c r="H28" s="133"/>
    </row>
    <row r="29" spans="1:8" ht="15.75" customHeight="1" x14ac:dyDescent="0.35">
      <c r="A29" s="90" t="s">
        <v>96</v>
      </c>
      <c r="B29" s="90"/>
      <c r="C29" s="90"/>
      <c r="D29" s="90"/>
      <c r="E29" s="133" t="s">
        <v>36</v>
      </c>
      <c r="F29" s="133"/>
      <c r="G29" s="133"/>
      <c r="H29" s="133"/>
    </row>
    <row r="30" spans="1:8" s="20" customFormat="1" x14ac:dyDescent="0.35">
      <c r="A30" s="159" t="s">
        <v>97</v>
      </c>
      <c r="B30" s="159"/>
      <c r="C30" s="158" t="s">
        <v>29</v>
      </c>
      <c r="D30" s="158"/>
      <c r="E30" s="158"/>
      <c r="F30" s="158" t="s">
        <v>31</v>
      </c>
      <c r="G30" s="158"/>
      <c r="H30" s="158"/>
    </row>
    <row r="31" spans="1:8" s="20" customFormat="1" x14ac:dyDescent="0.35">
      <c r="A31" s="154" t="s">
        <v>25</v>
      </c>
      <c r="B31" s="154" t="s">
        <v>30</v>
      </c>
      <c r="C31" s="153" t="s">
        <v>30</v>
      </c>
      <c r="D31" s="153"/>
      <c r="E31" s="153"/>
      <c r="F31" s="153" t="s">
        <v>189</v>
      </c>
      <c r="G31" s="153"/>
      <c r="H31" s="153"/>
    </row>
    <row r="32" spans="1:8" x14ac:dyDescent="0.35">
      <c r="A32" s="154" t="s">
        <v>26</v>
      </c>
      <c r="B32" s="154" t="s">
        <v>30</v>
      </c>
      <c r="C32" s="153" t="s">
        <v>30</v>
      </c>
      <c r="D32" s="153"/>
      <c r="E32" s="153"/>
      <c r="F32" s="153" t="s">
        <v>182</v>
      </c>
      <c r="G32" s="153"/>
      <c r="H32" s="153"/>
    </row>
    <row r="33" spans="1:10" s="20" customFormat="1" x14ac:dyDescent="0.35">
      <c r="A33" s="154" t="s">
        <v>28</v>
      </c>
      <c r="B33" s="154" t="s">
        <v>30</v>
      </c>
      <c r="C33" s="153" t="s">
        <v>30</v>
      </c>
      <c r="D33" s="153"/>
      <c r="E33" s="153"/>
      <c r="F33" s="153" t="s">
        <v>180</v>
      </c>
      <c r="G33" s="153"/>
      <c r="H33" s="153"/>
    </row>
    <row r="34" spans="1:10" x14ac:dyDescent="0.35">
      <c r="A34" s="154" t="s">
        <v>27</v>
      </c>
      <c r="B34" s="154" t="s">
        <v>30</v>
      </c>
      <c r="C34" s="153" t="s">
        <v>30</v>
      </c>
      <c r="D34" s="153"/>
      <c r="E34" s="153"/>
      <c r="F34" s="153" t="s">
        <v>215</v>
      </c>
      <c r="G34" s="153"/>
      <c r="H34" s="153"/>
    </row>
    <row r="35" spans="1:10" x14ac:dyDescent="0.35">
      <c r="A35" s="90" t="s">
        <v>32</v>
      </c>
      <c r="B35" s="90"/>
      <c r="C35" s="90"/>
      <c r="D35" s="90"/>
      <c r="E35" s="90"/>
      <c r="F35" s="90"/>
      <c r="G35" s="90"/>
      <c r="H35" s="90"/>
    </row>
    <row r="36" spans="1:10" ht="15.75" customHeight="1" x14ac:dyDescent="0.35">
      <c r="A36" s="134" t="s">
        <v>33</v>
      </c>
      <c r="B36" s="134"/>
      <c r="C36" s="161">
        <v>19.0438902</v>
      </c>
      <c r="D36" s="161"/>
      <c r="E36" s="134" t="s">
        <v>34</v>
      </c>
      <c r="F36" s="134"/>
      <c r="G36" s="162">
        <v>73.101126800000003</v>
      </c>
      <c r="H36" s="162"/>
    </row>
    <row r="37" spans="1:10" x14ac:dyDescent="0.35">
      <c r="A37" s="134" t="s">
        <v>165</v>
      </c>
      <c r="B37" s="134"/>
      <c r="C37" s="179" t="s">
        <v>179</v>
      </c>
      <c r="D37" s="133"/>
      <c r="E37" s="133"/>
      <c r="F37" s="133"/>
      <c r="G37" s="133"/>
      <c r="H37" s="133"/>
    </row>
    <row r="38" spans="1:10" x14ac:dyDescent="0.35">
      <c r="A38" s="141" t="s">
        <v>37</v>
      </c>
      <c r="B38" s="141"/>
      <c r="C38" s="141"/>
      <c r="D38" s="141"/>
      <c r="E38" s="141"/>
      <c r="F38" s="141"/>
      <c r="G38" s="141"/>
      <c r="H38" s="141"/>
    </row>
    <row r="39" spans="1:10" x14ac:dyDescent="0.35">
      <c r="A39" s="90" t="s">
        <v>38</v>
      </c>
      <c r="B39" s="90"/>
      <c r="C39" s="90"/>
      <c r="D39" s="90"/>
      <c r="E39" s="160">
        <v>2022.58</v>
      </c>
      <c r="F39" s="160"/>
      <c r="G39" s="160"/>
      <c r="H39" s="160"/>
      <c r="J39" s="19">
        <f>3033.87/E39</f>
        <v>1.5</v>
      </c>
    </row>
    <row r="40" spans="1:10" x14ac:dyDescent="0.35">
      <c r="A40" s="90" t="s">
        <v>39</v>
      </c>
      <c r="B40" s="90"/>
      <c r="C40" s="90"/>
      <c r="D40" s="90"/>
      <c r="E40" s="157">
        <v>1.5</v>
      </c>
      <c r="F40" s="157"/>
      <c r="G40" s="157"/>
      <c r="H40" s="157"/>
    </row>
    <row r="41" spans="1:10" x14ac:dyDescent="0.35">
      <c r="A41" s="90" t="s">
        <v>40</v>
      </c>
      <c r="B41" s="90"/>
      <c r="C41" s="90"/>
      <c r="D41" s="90"/>
      <c r="E41" s="157">
        <f>E43/E39-E40</f>
        <v>1.7289664685698463</v>
      </c>
      <c r="F41" s="157"/>
      <c r="G41" s="157"/>
      <c r="H41" s="157"/>
    </row>
    <row r="42" spans="1:10" x14ac:dyDescent="0.35">
      <c r="A42" s="90" t="s">
        <v>41</v>
      </c>
      <c r="B42" s="90"/>
      <c r="C42" s="90"/>
      <c r="D42" s="90"/>
      <c r="E42" s="157">
        <f>E40+E41</f>
        <v>3.2289664685698463</v>
      </c>
      <c r="F42" s="157"/>
      <c r="G42" s="157"/>
      <c r="H42" s="157"/>
    </row>
    <row r="43" spans="1:10" x14ac:dyDescent="0.35">
      <c r="A43" s="90" t="s">
        <v>95</v>
      </c>
      <c r="B43" s="90"/>
      <c r="C43" s="90"/>
      <c r="D43" s="90"/>
      <c r="E43" s="168">
        <v>6530.8429999999998</v>
      </c>
      <c r="F43" s="168"/>
      <c r="G43" s="168"/>
      <c r="H43" s="168"/>
      <c r="J43" s="49">
        <f>E43/E39</f>
        <v>3.2289664685698463</v>
      </c>
    </row>
    <row r="44" spans="1:10" x14ac:dyDescent="0.35">
      <c r="A44" s="149" t="s">
        <v>42</v>
      </c>
      <c r="B44" s="149"/>
      <c r="C44" s="149"/>
      <c r="D44" s="149"/>
      <c r="E44" s="149" t="s">
        <v>172</v>
      </c>
      <c r="F44" s="149"/>
      <c r="G44" s="149"/>
      <c r="H44" s="149"/>
    </row>
    <row r="45" spans="1:10" x14ac:dyDescent="0.35">
      <c r="A45" s="141" t="s">
        <v>43</v>
      </c>
      <c r="B45" s="141"/>
      <c r="C45" s="141"/>
      <c r="D45" s="141"/>
      <c r="E45" s="141"/>
      <c r="F45" s="141"/>
      <c r="G45" s="141"/>
      <c r="H45" s="141"/>
    </row>
    <row r="46" spans="1:10" ht="33.75" customHeight="1" x14ac:dyDescent="0.35">
      <c r="A46" s="85" t="s">
        <v>154</v>
      </c>
      <c r="B46" s="87"/>
      <c r="C46" s="180" t="s">
        <v>183</v>
      </c>
      <c r="D46" s="181"/>
      <c r="E46" s="181"/>
      <c r="F46" s="181"/>
      <c r="G46" s="181"/>
      <c r="H46" s="182"/>
    </row>
    <row r="47" spans="1:10" ht="15.75" customHeight="1" x14ac:dyDescent="0.35">
      <c r="A47" s="85" t="s">
        <v>44</v>
      </c>
      <c r="B47" s="87"/>
      <c r="C47" s="85" t="s">
        <v>206</v>
      </c>
      <c r="D47" s="86"/>
      <c r="E47" s="87"/>
      <c r="F47" s="16" t="s">
        <v>45</v>
      </c>
      <c r="G47" s="88">
        <v>45016</v>
      </c>
      <c r="H47" s="87"/>
    </row>
    <row r="48" spans="1:10" x14ac:dyDescent="0.35">
      <c r="A48" s="85" t="s">
        <v>46</v>
      </c>
      <c r="B48" s="87"/>
      <c r="C48" s="85" t="str">
        <f>C47</f>
        <v>PMP/NRV/16279/JK-923/2023</v>
      </c>
      <c r="D48" s="86"/>
      <c r="E48" s="87"/>
      <c r="F48" s="16" t="s">
        <v>45</v>
      </c>
      <c r="G48" s="88">
        <f>G47</f>
        <v>45016</v>
      </c>
      <c r="H48" s="89"/>
    </row>
    <row r="49" spans="1:14" s="21" customFormat="1" ht="35.25" customHeight="1" x14ac:dyDescent="0.35">
      <c r="A49" s="164" t="s">
        <v>158</v>
      </c>
      <c r="B49" s="165"/>
      <c r="C49" s="85" t="s">
        <v>204</v>
      </c>
      <c r="D49" s="86"/>
      <c r="E49" s="87"/>
      <c r="F49" s="16" t="s">
        <v>45</v>
      </c>
      <c r="G49" s="88">
        <v>45016</v>
      </c>
      <c r="H49" s="89"/>
    </row>
    <row r="50" spans="1:14" s="21" customFormat="1" ht="33" customHeight="1" x14ac:dyDescent="0.35">
      <c r="A50" s="166"/>
      <c r="B50" s="167"/>
      <c r="C50" s="85" t="s">
        <v>205</v>
      </c>
      <c r="D50" s="86"/>
      <c r="E50" s="86"/>
      <c r="F50" s="86"/>
      <c r="G50" s="86"/>
      <c r="H50" s="87"/>
    </row>
    <row r="51" spans="1:14" x14ac:dyDescent="0.35">
      <c r="A51" s="172" t="s">
        <v>168</v>
      </c>
      <c r="B51" s="173"/>
      <c r="C51" s="95" t="s">
        <v>30</v>
      </c>
      <c r="D51" s="96"/>
      <c r="E51" s="97"/>
      <c r="F51" s="47" t="s">
        <v>45</v>
      </c>
      <c r="G51" s="170" t="s">
        <v>30</v>
      </c>
      <c r="H51" s="171"/>
    </row>
    <row r="52" spans="1:14" hidden="1" x14ac:dyDescent="0.35">
      <c r="A52" s="174"/>
      <c r="B52" s="175"/>
      <c r="C52" s="95" t="s">
        <v>30</v>
      </c>
      <c r="D52" s="96"/>
      <c r="E52" s="96"/>
      <c r="F52" s="96"/>
      <c r="G52" s="96"/>
      <c r="H52" s="97"/>
    </row>
    <row r="53" spans="1:14" x14ac:dyDescent="0.35">
      <c r="A53" s="98" t="s">
        <v>48</v>
      </c>
      <c r="B53" s="98"/>
      <c r="C53" s="98"/>
      <c r="D53" s="98"/>
      <c r="E53" s="98"/>
      <c r="F53" s="98"/>
      <c r="G53" s="98"/>
      <c r="H53" s="98"/>
    </row>
    <row r="54" spans="1:14" x14ac:dyDescent="0.35">
      <c r="A54" s="115" t="s">
        <v>94</v>
      </c>
      <c r="B54" s="115"/>
      <c r="C54" s="115"/>
      <c r="D54" s="90">
        <f>E43</f>
        <v>6530.8429999999998</v>
      </c>
      <c r="E54" s="90"/>
      <c r="F54" s="90"/>
      <c r="G54" s="90"/>
      <c r="H54" s="90"/>
    </row>
    <row r="55" spans="1:14" x14ac:dyDescent="0.35">
      <c r="A55" s="133" t="s">
        <v>49</v>
      </c>
      <c r="B55" s="149"/>
      <c r="C55" s="149"/>
      <c r="D55" s="149" t="s">
        <v>213</v>
      </c>
      <c r="E55" s="149"/>
      <c r="F55" s="149"/>
      <c r="G55" s="149"/>
      <c r="H55" s="149"/>
      <c r="I55" s="22"/>
    </row>
    <row r="56" spans="1:14" s="21" customFormat="1" ht="15.75" customHeight="1" x14ac:dyDescent="0.35">
      <c r="A56" s="91" t="s">
        <v>50</v>
      </c>
      <c r="B56" s="92"/>
      <c r="C56" s="163"/>
      <c r="D56" s="93" t="s">
        <v>201</v>
      </c>
      <c r="E56" s="94"/>
      <c r="F56" s="94"/>
      <c r="G56" s="94"/>
      <c r="H56" s="94"/>
    </row>
    <row r="57" spans="1:14" ht="15.75" customHeight="1" x14ac:dyDescent="0.35">
      <c r="A57" s="91" t="s">
        <v>92</v>
      </c>
      <c r="B57" s="92"/>
      <c r="C57" s="92"/>
      <c r="D57" s="93" t="s">
        <v>201</v>
      </c>
      <c r="E57" s="94"/>
      <c r="F57" s="94"/>
      <c r="G57" s="94"/>
      <c r="H57" s="94"/>
    </row>
    <row r="58" spans="1:14" ht="15.75" customHeight="1" x14ac:dyDescent="0.35">
      <c r="A58" s="90" t="s">
        <v>47</v>
      </c>
      <c r="B58" s="90"/>
      <c r="C58" s="90"/>
      <c r="D58" s="133" t="s">
        <v>184</v>
      </c>
      <c r="E58" s="133"/>
      <c r="F58" s="133"/>
      <c r="G58" s="133"/>
      <c r="H58" s="133"/>
      <c r="J58" s="23"/>
      <c r="K58" s="22"/>
      <c r="N58" s="22"/>
    </row>
    <row r="59" spans="1:14" ht="15.75" customHeight="1" x14ac:dyDescent="0.35">
      <c r="A59" s="90" t="s">
        <v>90</v>
      </c>
      <c r="B59" s="90"/>
      <c r="C59" s="90"/>
      <c r="D59" s="113" t="str">
        <f>(IF(G51="NA","60 Years After Completion",IF(G51&lt;&gt;"NA",""&amp;60-ROUNDDOWN((E3-G51)/360,0)&amp;" Years"," ")))</f>
        <v>60 Years After Completion</v>
      </c>
      <c r="E59" s="113"/>
      <c r="F59" s="113"/>
      <c r="G59" s="113"/>
      <c r="H59" s="113"/>
      <c r="N59" s="22"/>
    </row>
    <row r="60" spans="1:14" ht="15.75" customHeight="1" x14ac:dyDescent="0.35">
      <c r="A60" s="90" t="s">
        <v>91</v>
      </c>
      <c r="B60" s="90"/>
      <c r="C60" s="90"/>
      <c r="D60" s="115" t="s">
        <v>24</v>
      </c>
      <c r="E60" s="115"/>
      <c r="F60" s="115"/>
      <c r="G60" s="115"/>
      <c r="H60" s="115"/>
      <c r="J60" s="24"/>
      <c r="K60" s="24"/>
    </row>
    <row r="61" spans="1:14" ht="30" customHeight="1" x14ac:dyDescent="0.35">
      <c r="A61" s="90" t="s">
        <v>77</v>
      </c>
      <c r="B61" s="90"/>
      <c r="C61" s="90"/>
      <c r="D61" s="133" t="s">
        <v>202</v>
      </c>
      <c r="E61" s="115"/>
      <c r="F61" s="115"/>
      <c r="G61" s="115"/>
      <c r="H61" s="115"/>
    </row>
    <row r="62" spans="1:14" x14ac:dyDescent="0.35">
      <c r="A62" s="115" t="s">
        <v>152</v>
      </c>
      <c r="B62" s="115"/>
      <c r="C62" s="115"/>
      <c r="D62" s="115" t="s">
        <v>30</v>
      </c>
      <c r="E62" s="115"/>
      <c r="F62" s="115"/>
      <c r="G62" s="115"/>
      <c r="H62" s="115"/>
      <c r="I62" s="25"/>
      <c r="J62" s="25"/>
      <c r="K62" s="25"/>
      <c r="L62" s="25"/>
      <c r="M62" s="25"/>
      <c r="N62" s="25"/>
    </row>
    <row r="63" spans="1:14" ht="15.75" customHeight="1" x14ac:dyDescent="0.35">
      <c r="A63" s="90" t="s">
        <v>89</v>
      </c>
      <c r="B63" s="90"/>
      <c r="C63" s="90"/>
      <c r="D63" s="133" t="str">
        <f ca="1">(IF(G69&gt;95%,"Nothing",IF(G69&gt;0%,"Cement, Aggregate, Steel, etc",IF(G69=0%,"Work not yet Started"))))</f>
        <v>Cement, Aggregate, Steel, etc</v>
      </c>
      <c r="E63" s="133"/>
      <c r="F63" s="133"/>
      <c r="G63" s="133"/>
      <c r="H63" s="133"/>
      <c r="J63" s="24"/>
    </row>
    <row r="64" spans="1:14" ht="33.75" customHeight="1" thickBot="1" x14ac:dyDescent="0.4">
      <c r="A64" s="115" t="s">
        <v>120</v>
      </c>
      <c r="B64" s="115"/>
      <c r="C64" s="115"/>
      <c r="D64" s="133" t="str">
        <f ca="1">(IF(D63="Nothing","Yes",IF(D63="Cement, Aggregate, Steel, etc","Under Construction",IF(D63="Work not yet Started","Work not yet Started"))))</f>
        <v>Under Construction</v>
      </c>
      <c r="E64" s="133"/>
      <c r="F64" s="133" t="str">
        <f ca="1">(IF(D63="Nothing","Yes",IF(D63="Cement, Aggregate, Steel, etc","Under Construction",IF(D63="Work not yet Started","Work not yet Started"))))</f>
        <v>Under Construction</v>
      </c>
      <c r="G64" s="133"/>
      <c r="H64" s="133"/>
    </row>
    <row r="65" spans="1:13" ht="15.75" customHeight="1" x14ac:dyDescent="0.35">
      <c r="A65" s="190" t="s">
        <v>144</v>
      </c>
      <c r="B65" s="190"/>
      <c r="C65" s="190" t="str">
        <f>D57</f>
        <v>Gr/Stilt + 1st to 4th Floor (Podium) + 5th to 17th Floor</v>
      </c>
      <c r="D65" s="190"/>
      <c r="E65" s="190"/>
      <c r="F65" s="190"/>
      <c r="G65" s="190"/>
      <c r="H65" s="190"/>
      <c r="I65" s="188" t="str">
        <f ca="1">IF(D78=100%,"All work Completed. Possession granted to the Building.",IF(D77=100%,"All work Completed, Waiting for OC",I66&amp;""&amp;I67&amp;""&amp;J66&amp;""&amp;J65&amp;" "&amp;J67))</f>
        <v>Excavation, Plinth Completed, RCC upto 17 Slab, Brickwork upto 16 Floor, Internal Plaster upto 15 Floor, External Plaster upto 10 Floor, Flooring upto 3 Floor, Painting upto 2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17 Slab, Brickwork upto 16 Floor, Internal Plaster upto 15 Floor, External Plaster upto 10 Floor, Flooring upto 3 Floor, Painting upto 2 Floor</v>
      </c>
    </row>
    <row r="66" spans="1:13" x14ac:dyDescent="0.35">
      <c r="A66" s="64" t="s">
        <v>146</v>
      </c>
      <c r="B66" s="64">
        <v>0</v>
      </c>
      <c r="C66" s="64" t="s">
        <v>75</v>
      </c>
      <c r="D66" s="64">
        <v>1</v>
      </c>
      <c r="E66" s="64" t="s">
        <v>74</v>
      </c>
      <c r="F66" s="64">
        <v>0</v>
      </c>
      <c r="G66" s="64" t="s">
        <v>83</v>
      </c>
      <c r="H66" s="64">
        <f ca="1">--TRIM(RIGHT(SUBSTITUTE(LEFT(C65,_xlfn.AGGREGATE(16,6,FIND({0,1,2,3,4,5,6,7,8,9},C65,ROW(INDIRECT("1:"&amp;LEN(C65)))),1))," ",REPT(" ",LEN(C65))),LEN(C65)))</f>
        <v>17</v>
      </c>
      <c r="I66" s="18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49.5" customHeight="1" x14ac:dyDescent="0.35">
      <c r="A67" s="150" t="s">
        <v>93</v>
      </c>
      <c r="B67" s="150"/>
      <c r="C67" s="169" t="str">
        <f ca="1">(IF($C$52=C65,"All work Completed. OC Received.",I65))</f>
        <v>Excavation, Plinth Completed, RCC upto 17 Slab, Brickwork upto 16 Floor, Internal Plaster upto 15 Floor, External Plaster upto 10 Floor, Flooring upto 3 Floor, Painting upto 2 Floor Completed</v>
      </c>
      <c r="D67" s="169"/>
      <c r="E67" s="169"/>
      <c r="F67" s="169"/>
      <c r="G67" s="169"/>
      <c r="H67" s="169"/>
      <c r="I67" s="189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3" ht="15.75" customHeight="1" x14ac:dyDescent="0.35">
      <c r="A68" s="109" t="s">
        <v>51</v>
      </c>
      <c r="B68" s="110"/>
      <c r="C68" s="42" t="s">
        <v>143</v>
      </c>
      <c r="D68" s="42" t="s">
        <v>86</v>
      </c>
      <c r="E68" s="110" t="s">
        <v>88</v>
      </c>
      <c r="F68" s="110"/>
      <c r="G68" s="110" t="s">
        <v>87</v>
      </c>
      <c r="H68" s="135"/>
      <c r="I68" s="14" t="s">
        <v>145</v>
      </c>
      <c r="J68" s="26">
        <f ca="1">H66*25%</f>
        <v>4.25</v>
      </c>
    </row>
    <row r="69" spans="1:13" x14ac:dyDescent="0.35">
      <c r="A69" s="109" t="s">
        <v>132</v>
      </c>
      <c r="B69" s="110"/>
      <c r="C69" s="42">
        <f ca="1">J70</f>
        <v>17</v>
      </c>
      <c r="D69" s="17">
        <f ca="1">((100/H66)*C69)/100</f>
        <v>1</v>
      </c>
      <c r="E69" s="100">
        <f ca="1">(((C70/H66*10)+(40/(D66+F66+H66)*C71)+(7.5/(H66)*C72)+(7.5/(H66)*C73)+(10/H66*C74)+(10/H66*C75)+(5/H66*C76)+(5/H66*C77)+(5/H66*C78))/100)</f>
        <v>0.69689542483660138</v>
      </c>
      <c r="F69" s="101"/>
      <c r="G69" s="100">
        <f ca="1">((((C69/H66)*20)+((C70/H66)*25)+(30/(H66+F66+D66)*C71)+(5/H66*C72)+(5/H66*C73)+(5/H66*C74)+(5/H66*C75)+(0/H66*C76)+(0/H66*C77)+(5/H66*C78))/100)</f>
        <v>0.86274509803921562</v>
      </c>
      <c r="H69" s="106"/>
      <c r="I69" s="14" t="s">
        <v>103</v>
      </c>
      <c r="J69" s="27">
        <f ca="1">H66*50%</f>
        <v>8.5</v>
      </c>
    </row>
    <row r="70" spans="1:13" x14ac:dyDescent="0.35">
      <c r="A70" s="109" t="s">
        <v>52</v>
      </c>
      <c r="B70" s="110"/>
      <c r="C70" s="50">
        <v>17</v>
      </c>
      <c r="D70" s="17">
        <f ca="1">((100/H66)*C70)/100</f>
        <v>1</v>
      </c>
      <c r="E70" s="102"/>
      <c r="F70" s="103"/>
      <c r="G70" s="102"/>
      <c r="H70" s="107"/>
      <c r="I70" s="14" t="s">
        <v>104</v>
      </c>
      <c r="J70" s="27">
        <f ca="1">H66</f>
        <v>17</v>
      </c>
    </row>
    <row r="71" spans="1:13" ht="15.75" customHeight="1" x14ac:dyDescent="0.35">
      <c r="A71" s="109" t="s">
        <v>133</v>
      </c>
      <c r="B71" s="110"/>
      <c r="C71" s="42">
        <v>17</v>
      </c>
      <c r="D71" s="17">
        <f ca="1">((100/(D66+F66+H66))*C71)/100</f>
        <v>0.94444444444444442</v>
      </c>
      <c r="E71" s="102"/>
      <c r="F71" s="103"/>
      <c r="G71" s="102"/>
      <c r="H71" s="107"/>
      <c r="I71" s="14" t="s">
        <v>105</v>
      </c>
      <c r="J71" s="28">
        <f ca="1">(IF(B66&gt;1,(H66/(B66+2)),H66/4))</f>
        <v>4.25</v>
      </c>
    </row>
    <row r="72" spans="1:13" ht="15.75" customHeight="1" x14ac:dyDescent="0.35">
      <c r="A72" s="109" t="s">
        <v>140</v>
      </c>
      <c r="B72" s="110" t="s">
        <v>134</v>
      </c>
      <c r="C72" s="42">
        <v>16</v>
      </c>
      <c r="D72" s="17">
        <f ca="1">((100/H66)*C72)/100</f>
        <v>0.94117647058823539</v>
      </c>
      <c r="E72" s="102"/>
      <c r="F72" s="103"/>
      <c r="G72" s="102"/>
      <c r="H72" s="107"/>
      <c r="I72" s="14" t="s">
        <v>106</v>
      </c>
      <c r="J72" s="28">
        <f ca="1">(IF(B66&gt;1,(H66/(B66+2)+J71),H66/4+J71))</f>
        <v>8.5</v>
      </c>
    </row>
    <row r="73" spans="1:13" ht="15.75" customHeight="1" x14ac:dyDescent="0.35">
      <c r="A73" s="109" t="s">
        <v>141</v>
      </c>
      <c r="B73" s="110" t="s">
        <v>134</v>
      </c>
      <c r="C73" s="42">
        <v>15</v>
      </c>
      <c r="D73" s="17">
        <f ca="1">((100/H66)*C73)/100</f>
        <v>0.88235294117647067</v>
      </c>
      <c r="E73" s="102"/>
      <c r="F73" s="103"/>
      <c r="G73" s="102"/>
      <c r="H73" s="107"/>
      <c r="I73" s="14" t="s">
        <v>150</v>
      </c>
      <c r="J73" s="28">
        <f>(IF(B66&gt;1,(H66/(B66+2)+J72),0))</f>
        <v>0</v>
      </c>
    </row>
    <row r="74" spans="1:13" ht="15" customHeight="1" x14ac:dyDescent="0.35">
      <c r="A74" s="109" t="s">
        <v>139</v>
      </c>
      <c r="B74" s="110" t="s">
        <v>136</v>
      </c>
      <c r="C74" s="42">
        <v>10</v>
      </c>
      <c r="D74" s="17">
        <f ca="1">((100/(H66))*C74)/100</f>
        <v>0.58823529411764708</v>
      </c>
      <c r="E74" s="102"/>
      <c r="F74" s="103"/>
      <c r="G74" s="102"/>
      <c r="H74" s="107"/>
      <c r="I74" s="14" t="s">
        <v>147</v>
      </c>
      <c r="J74" s="28">
        <f>(IF(B66&gt;2,(H66/(B66+2)+J73),0))</f>
        <v>0</v>
      </c>
    </row>
    <row r="75" spans="1:13" ht="15.75" customHeight="1" x14ac:dyDescent="0.35">
      <c r="A75" s="109" t="s">
        <v>135</v>
      </c>
      <c r="B75" s="110" t="s">
        <v>135</v>
      </c>
      <c r="C75" s="42">
        <v>3</v>
      </c>
      <c r="D75" s="17">
        <f ca="1">((100/H66)*C75)/100</f>
        <v>0.17647058823529413</v>
      </c>
      <c r="E75" s="102"/>
      <c r="F75" s="103"/>
      <c r="G75" s="102"/>
      <c r="H75" s="107"/>
      <c r="I75" s="14" t="s">
        <v>148</v>
      </c>
      <c r="J75" s="29">
        <f>(IF(B66&gt;3,(H66/(B66+2)+J74),0))</f>
        <v>0</v>
      </c>
    </row>
    <row r="76" spans="1:13" ht="15.75" customHeight="1" x14ac:dyDescent="0.35">
      <c r="A76" s="109" t="s">
        <v>142</v>
      </c>
      <c r="B76" s="110"/>
      <c r="C76" s="42">
        <v>2</v>
      </c>
      <c r="D76" s="17">
        <f ca="1">((100/H66)*C76)/100</f>
        <v>0.11764705882352942</v>
      </c>
      <c r="E76" s="102"/>
      <c r="F76" s="103"/>
      <c r="G76" s="102"/>
      <c r="H76" s="107"/>
      <c r="I76" s="14" t="s">
        <v>149</v>
      </c>
      <c r="J76" s="28">
        <f>(IF(B66&gt;4,(H66/(B66+2)+J75),0))</f>
        <v>0</v>
      </c>
    </row>
    <row r="77" spans="1:13" ht="15.75" customHeight="1" x14ac:dyDescent="0.35">
      <c r="A77" s="109" t="s">
        <v>137</v>
      </c>
      <c r="B77" s="110" t="s">
        <v>137</v>
      </c>
      <c r="C77" s="42">
        <v>0</v>
      </c>
      <c r="D77" s="17">
        <f ca="1">((100/(H66))*C77)/100</f>
        <v>0</v>
      </c>
      <c r="E77" s="102"/>
      <c r="F77" s="103"/>
      <c r="G77" s="102"/>
      <c r="H77" s="107"/>
      <c r="I77" s="14" t="s">
        <v>151</v>
      </c>
      <c r="J77" s="28">
        <f ca="1">(IF(B66=1,(H66/(B66+3)+J72),IF(B66=0,(H66/4+J72),IF(B66&gt;1,0))))</f>
        <v>12.75</v>
      </c>
    </row>
    <row r="78" spans="1:13" ht="16" thickBot="1" x14ac:dyDescent="0.4">
      <c r="A78" s="111" t="s">
        <v>138</v>
      </c>
      <c r="B78" s="112"/>
      <c r="C78" s="43">
        <v>0</v>
      </c>
      <c r="D78" s="18">
        <f ca="1">((100/(H66))*C78)/100</f>
        <v>0</v>
      </c>
      <c r="E78" s="104"/>
      <c r="F78" s="105"/>
      <c r="G78" s="104"/>
      <c r="H78" s="108"/>
      <c r="I78" s="15" t="s">
        <v>107</v>
      </c>
      <c r="J78" s="30">
        <f ca="1">(IF(B66&gt;1.5,(H66/(B66+2)+J72+MAX(0,J73-J72)+MAX(0,J74-J73)+MAX(0,J75-J74)+MAX(0,J76-J75)+MAX(0,J77-J76)),IF(B66=1,(H66/(B66+3)+J77),IF(B66=0,H66/4+J77))))</f>
        <v>17</v>
      </c>
    </row>
    <row r="79" spans="1:13" x14ac:dyDescent="0.35">
      <c r="A79" s="137" t="s">
        <v>160</v>
      </c>
      <c r="B79" s="137"/>
      <c r="C79" s="137"/>
      <c r="D79" s="137"/>
      <c r="E79" s="137"/>
      <c r="F79" s="132" t="s">
        <v>164</v>
      </c>
      <c r="G79" s="132"/>
      <c r="H79" s="132"/>
    </row>
    <row r="80" spans="1:13" x14ac:dyDescent="0.35">
      <c r="A80" s="90" t="s">
        <v>162</v>
      </c>
      <c r="B80" s="90"/>
      <c r="C80" s="90"/>
      <c r="D80" s="90"/>
      <c r="E80" s="90"/>
      <c r="F80" s="125">
        <v>8500</v>
      </c>
      <c r="G80" s="125"/>
      <c r="H80" s="125"/>
      <c r="I80" s="59" t="s">
        <v>221</v>
      </c>
      <c r="J80" s="59"/>
      <c r="K80" s="59" t="s">
        <v>222</v>
      </c>
      <c r="L80" s="60">
        <v>45362</v>
      </c>
      <c r="M80" s="59"/>
    </row>
    <row r="81" spans="1:13" x14ac:dyDescent="0.35">
      <c r="A81" s="90" t="s">
        <v>161</v>
      </c>
      <c r="B81" s="90"/>
      <c r="C81" s="90"/>
      <c r="D81" s="90"/>
      <c r="E81" s="90"/>
      <c r="F81" s="136">
        <v>17000</v>
      </c>
      <c r="G81" s="136"/>
      <c r="H81" s="136"/>
      <c r="I81" s="59" t="s">
        <v>223</v>
      </c>
      <c r="J81" s="59"/>
      <c r="K81" s="59"/>
      <c r="L81" s="59"/>
      <c r="M81" s="59"/>
    </row>
    <row r="82" spans="1:13" hidden="1" x14ac:dyDescent="0.35">
      <c r="A82" s="90" t="s">
        <v>163</v>
      </c>
      <c r="B82" s="90"/>
      <c r="C82" s="90"/>
      <c r="D82" s="90"/>
      <c r="E82" s="90"/>
      <c r="F82" s="136"/>
      <c r="G82" s="136"/>
      <c r="H82" s="136"/>
      <c r="I82" s="20"/>
      <c r="J82" s="20"/>
      <c r="K82" s="20"/>
      <c r="L82" s="20"/>
    </row>
    <row r="83" spans="1:13" s="31" customFormat="1" x14ac:dyDescent="0.3">
      <c r="A83" s="90" t="s">
        <v>220</v>
      </c>
      <c r="B83" s="90"/>
      <c r="C83" s="90"/>
      <c r="D83" s="90"/>
      <c r="E83" s="90"/>
      <c r="F83" s="136">
        <v>40</v>
      </c>
      <c r="G83" s="136"/>
      <c r="H83" s="136"/>
      <c r="I83" s="55" t="s">
        <v>227</v>
      </c>
      <c r="J83" s="55"/>
      <c r="K83" s="55"/>
      <c r="L83" s="55"/>
    </row>
    <row r="84" spans="1:13" s="31" customFormat="1" x14ac:dyDescent="0.3">
      <c r="A84" s="90" t="s">
        <v>98</v>
      </c>
      <c r="B84" s="90"/>
      <c r="C84" s="90"/>
      <c r="D84" s="90"/>
      <c r="E84" s="90"/>
      <c r="F84" s="136">
        <v>150000</v>
      </c>
      <c r="G84" s="136"/>
      <c r="H84" s="136"/>
      <c r="I84" s="31">
        <f>670*350</f>
        <v>234500</v>
      </c>
      <c r="J84" s="56" t="e">
        <f>AVERAGE(J80:J83)</f>
        <v>#DIV/0!</v>
      </c>
    </row>
    <row r="85" spans="1:13" s="31" customFormat="1" x14ac:dyDescent="0.3">
      <c r="A85" s="90" t="s">
        <v>192</v>
      </c>
      <c r="B85" s="90"/>
      <c r="C85" s="90"/>
      <c r="D85" s="90"/>
      <c r="E85" s="90"/>
      <c r="F85" s="136">
        <v>100000</v>
      </c>
      <c r="G85" s="136"/>
      <c r="H85" s="136"/>
    </row>
    <row r="86" spans="1:13" s="31" customFormat="1" x14ac:dyDescent="0.3">
      <c r="A86" s="90" t="s">
        <v>219</v>
      </c>
      <c r="B86" s="90"/>
      <c r="C86" s="90"/>
      <c r="D86" s="90"/>
      <c r="E86" s="90"/>
      <c r="F86" s="136">
        <v>200000</v>
      </c>
      <c r="G86" s="136"/>
      <c r="H86" s="136"/>
    </row>
    <row r="87" spans="1:13" s="31" customFormat="1" hidden="1" x14ac:dyDescent="0.3">
      <c r="A87" s="90" t="s">
        <v>99</v>
      </c>
      <c r="B87" s="90"/>
      <c r="C87" s="90"/>
      <c r="D87" s="90"/>
      <c r="E87" s="90"/>
      <c r="F87" s="136"/>
      <c r="G87" s="136"/>
      <c r="H87" s="136"/>
    </row>
    <row r="88" spans="1:13" s="31" customFormat="1" hidden="1" x14ac:dyDescent="0.3">
      <c r="A88" s="90" t="s">
        <v>100</v>
      </c>
      <c r="B88" s="90"/>
      <c r="C88" s="90"/>
      <c r="D88" s="90"/>
      <c r="E88" s="90"/>
      <c r="F88" s="136"/>
      <c r="G88" s="136"/>
      <c r="H88" s="136"/>
    </row>
    <row r="89" spans="1:13" s="31" customFormat="1" x14ac:dyDescent="0.3">
      <c r="A89" s="90" t="s">
        <v>101</v>
      </c>
      <c r="B89" s="90"/>
      <c r="C89" s="90"/>
      <c r="D89" s="90"/>
      <c r="E89" s="90"/>
      <c r="F89" s="136">
        <v>50000</v>
      </c>
      <c r="G89" s="136"/>
      <c r="H89" s="136"/>
      <c r="I89" s="31">
        <f>100*670</f>
        <v>67000</v>
      </c>
    </row>
    <row r="90" spans="1:13" s="31" customFormat="1" hidden="1" x14ac:dyDescent="0.3">
      <c r="A90" s="90" t="s">
        <v>102</v>
      </c>
      <c r="B90" s="90"/>
      <c r="C90" s="90"/>
      <c r="D90" s="90"/>
      <c r="E90" s="90"/>
      <c r="F90" s="136"/>
      <c r="G90" s="136"/>
      <c r="H90" s="136"/>
    </row>
    <row r="91" spans="1:13" x14ac:dyDescent="0.35">
      <c r="A91" s="90" t="s">
        <v>53</v>
      </c>
      <c r="B91" s="90"/>
      <c r="C91" s="90"/>
      <c r="D91" s="90"/>
      <c r="E91" s="90"/>
      <c r="F91" s="136">
        <v>500000</v>
      </c>
      <c r="G91" s="136"/>
      <c r="H91" s="136"/>
    </row>
    <row r="92" spans="1:13" s="32" customFormat="1" x14ac:dyDescent="0.35">
      <c r="A92" s="141" t="s">
        <v>54</v>
      </c>
      <c r="B92" s="141"/>
      <c r="C92" s="141"/>
      <c r="D92" s="141"/>
      <c r="E92" s="141"/>
      <c r="F92" s="136">
        <f>F80*0.8</f>
        <v>6800</v>
      </c>
      <c r="G92" s="136"/>
      <c r="H92" s="136"/>
    </row>
    <row r="93" spans="1:13" s="33" customFormat="1" ht="15.75" customHeight="1" x14ac:dyDescent="0.35">
      <c r="A93" s="140" t="s">
        <v>78</v>
      </c>
      <c r="B93" s="140"/>
      <c r="C93" s="140"/>
      <c r="D93" s="140"/>
      <c r="E93" s="140"/>
      <c r="F93" s="140"/>
      <c r="G93" s="140"/>
      <c r="H93" s="140"/>
    </row>
    <row r="94" spans="1:13" s="33" customFormat="1" ht="15.75" customHeight="1" x14ac:dyDescent="0.35">
      <c r="A94" s="114" t="s">
        <v>55</v>
      </c>
      <c r="B94" s="114"/>
      <c r="C94" s="99" t="s">
        <v>81</v>
      </c>
      <c r="D94" s="99"/>
      <c r="E94" s="128" t="s">
        <v>56</v>
      </c>
      <c r="F94" s="128"/>
      <c r="G94" s="114" t="s">
        <v>57</v>
      </c>
      <c r="H94" s="114"/>
      <c r="J94" s="33" t="s">
        <v>193</v>
      </c>
    </row>
    <row r="95" spans="1:13" s="33" customFormat="1" x14ac:dyDescent="0.35">
      <c r="A95" s="143" t="s">
        <v>210</v>
      </c>
      <c r="B95" s="143"/>
      <c r="C95" s="144">
        <f>COUNT(D105:D125)</f>
        <v>21</v>
      </c>
      <c r="D95" s="145"/>
      <c r="E95" s="126">
        <f>SUM(D105:D125)</f>
        <v>6742.6557119999989</v>
      </c>
      <c r="F95" s="127"/>
      <c r="G95" s="126">
        <f>SUM(F105:F125)</f>
        <v>10451.116353599999</v>
      </c>
      <c r="H95" s="127"/>
      <c r="J95" s="33" t="s">
        <v>187</v>
      </c>
      <c r="K95" s="33" t="s">
        <v>196</v>
      </c>
      <c r="L95" s="33" t="s">
        <v>198</v>
      </c>
    </row>
    <row r="96" spans="1:13" s="33" customFormat="1" x14ac:dyDescent="0.35">
      <c r="A96" s="140" t="s">
        <v>73</v>
      </c>
      <c r="B96" s="140"/>
      <c r="C96" s="140"/>
      <c r="D96" s="140"/>
      <c r="E96" s="140"/>
      <c r="F96" s="140"/>
      <c r="G96" s="140"/>
      <c r="H96" s="140"/>
      <c r="I96" s="33" t="s">
        <v>194</v>
      </c>
      <c r="J96" s="33">
        <v>9000</v>
      </c>
      <c r="K96" s="33">
        <v>6250</v>
      </c>
      <c r="L96" s="33">
        <v>8800</v>
      </c>
    </row>
    <row r="97" spans="1:14" s="33" customFormat="1" ht="15.75" customHeight="1" x14ac:dyDescent="0.35">
      <c r="A97" s="114" t="s">
        <v>55</v>
      </c>
      <c r="B97" s="114"/>
      <c r="C97" s="99" t="s">
        <v>81</v>
      </c>
      <c r="D97" s="99"/>
      <c r="E97" s="128" t="s">
        <v>56</v>
      </c>
      <c r="F97" s="128"/>
      <c r="G97" s="114" t="s">
        <v>57</v>
      </c>
      <c r="H97" s="114"/>
      <c r="I97" s="33" t="s">
        <v>195</v>
      </c>
      <c r="J97" s="33">
        <v>20000</v>
      </c>
    </row>
    <row r="98" spans="1:14" s="33" customFormat="1" ht="16" thickBot="1" x14ac:dyDescent="0.4">
      <c r="A98" s="142" t="s">
        <v>211</v>
      </c>
      <c r="B98" s="142"/>
      <c r="C98" s="146">
        <f>COUNT(D132:D138)*10+COUNT(D148:D154)+COUNT(D156:D162)+COUNT(D164:D170)</f>
        <v>91</v>
      </c>
      <c r="D98" s="146"/>
      <c r="E98" s="147">
        <f>SUM(D132:D138)*10+SUM(D148:D154)+SUM(D156:D162)+SUM(D164:D170)</f>
        <v>48437.160407999996</v>
      </c>
      <c r="F98" s="147"/>
      <c r="G98" s="147">
        <f>SUM(F132:F138)*10+SUM(F148:F154)+SUM(F156:F162)+SUM(F164:F170)</f>
        <v>73503.916901999997</v>
      </c>
      <c r="H98" s="147"/>
    </row>
    <row r="99" spans="1:14" s="33" customFormat="1" ht="16" thickBot="1" x14ac:dyDescent="0.4">
      <c r="A99" s="183" t="s">
        <v>212</v>
      </c>
      <c r="B99" s="184"/>
      <c r="C99" s="80">
        <f>C95+C98</f>
        <v>112</v>
      </c>
      <c r="D99" s="81"/>
      <c r="E99" s="82">
        <f>E95+E98</f>
        <v>55179.816119999996</v>
      </c>
      <c r="F99" s="82"/>
      <c r="G99" s="82">
        <f>G95+G98</f>
        <v>83955.033255599992</v>
      </c>
      <c r="H99" s="83"/>
    </row>
    <row r="100" spans="1:14" s="32" customFormat="1" x14ac:dyDescent="0.35">
      <c r="A100" s="132" t="s">
        <v>58</v>
      </c>
      <c r="B100" s="132"/>
      <c r="C100" s="132"/>
      <c r="D100" s="132"/>
      <c r="E100" s="132"/>
      <c r="F100" s="132"/>
      <c r="G100" s="132"/>
      <c r="H100" s="132"/>
    </row>
    <row r="101" spans="1:14" x14ac:dyDescent="0.35">
      <c r="A101" s="134" t="s">
        <v>59</v>
      </c>
      <c r="B101" s="134"/>
      <c r="C101" s="134"/>
      <c r="D101" s="134"/>
      <c r="E101" s="134"/>
      <c r="F101" s="134"/>
      <c r="G101" s="134"/>
      <c r="H101" s="134"/>
      <c r="J101" s="22"/>
      <c r="K101" s="22"/>
    </row>
    <row r="102" spans="1:14" ht="47.25" customHeight="1" x14ac:dyDescent="0.35">
      <c r="A102" s="117" t="s">
        <v>122</v>
      </c>
      <c r="B102" s="117" t="s">
        <v>121</v>
      </c>
      <c r="C102" s="117" t="s">
        <v>60</v>
      </c>
      <c r="D102" s="117" t="s">
        <v>61</v>
      </c>
      <c r="E102" s="119" t="s">
        <v>159</v>
      </c>
      <c r="F102" s="41" t="s">
        <v>153</v>
      </c>
      <c r="G102" s="121" t="s">
        <v>63</v>
      </c>
      <c r="H102" s="122"/>
    </row>
    <row r="103" spans="1:14" s="35" customFormat="1" x14ac:dyDescent="0.35">
      <c r="A103" s="118"/>
      <c r="B103" s="118"/>
      <c r="C103" s="118"/>
      <c r="D103" s="118"/>
      <c r="E103" s="120"/>
      <c r="F103" s="13">
        <v>0.55000000000000004</v>
      </c>
      <c r="G103" s="123"/>
      <c r="H103" s="124"/>
      <c r="J103" s="54">
        <v>10.763999999999999</v>
      </c>
    </row>
    <row r="104" spans="1:14" s="35" customFormat="1" x14ac:dyDescent="0.35">
      <c r="A104" s="66" t="s">
        <v>190</v>
      </c>
      <c r="B104" s="67"/>
      <c r="C104" s="67"/>
      <c r="D104" s="67"/>
      <c r="E104" s="67"/>
      <c r="F104" s="67"/>
      <c r="G104" s="67"/>
      <c r="H104" s="68"/>
      <c r="J104" s="34"/>
    </row>
    <row r="105" spans="1:14" s="35" customFormat="1" ht="15.75" customHeight="1" x14ac:dyDescent="0.35">
      <c r="A105" s="69">
        <v>1</v>
      </c>
      <c r="B105" s="70"/>
      <c r="C105" s="40" t="s">
        <v>185</v>
      </c>
      <c r="D105" s="54">
        <f>(36.531)*10.764</f>
        <v>393.21968399999997</v>
      </c>
      <c r="E105" s="40">
        <v>0</v>
      </c>
      <c r="F105" s="40">
        <f>(D105+E105)*(($F$103)+1)</f>
        <v>609.49051020000002</v>
      </c>
      <c r="G105" s="71" t="str">
        <f>A104</f>
        <v>Ground Floor for Commercial &amp; Parking</v>
      </c>
      <c r="H105" s="72"/>
      <c r="I105" s="53">
        <f>3.35*10.905</f>
        <v>36.531749999999995</v>
      </c>
      <c r="L105" s="84"/>
      <c r="M105" s="84"/>
      <c r="N105" s="34"/>
    </row>
    <row r="106" spans="1:14" s="35" customFormat="1" x14ac:dyDescent="0.35">
      <c r="A106" s="69">
        <f t="shared" ref="A106:A125" si="0">A105+1</f>
        <v>2</v>
      </c>
      <c r="B106" s="70"/>
      <c r="C106" s="40" t="s">
        <v>185</v>
      </c>
      <c r="D106" s="54">
        <f>(37.486)*10.764</f>
        <v>403.49930399999994</v>
      </c>
      <c r="E106" s="40">
        <v>0</v>
      </c>
      <c r="F106" s="40">
        <f t="shared" ref="F106:F108" si="1">(D106+E106)*(($F$103)+1)</f>
        <v>625.42392119999988</v>
      </c>
      <c r="G106" s="73"/>
      <c r="H106" s="74"/>
      <c r="I106" s="34"/>
      <c r="L106" s="84"/>
      <c r="M106" s="84"/>
      <c r="N106" s="34"/>
    </row>
    <row r="107" spans="1:14" s="35" customFormat="1" x14ac:dyDescent="0.35">
      <c r="A107" s="69">
        <f t="shared" si="0"/>
        <v>3</v>
      </c>
      <c r="B107" s="70"/>
      <c r="C107" s="40" t="s">
        <v>185</v>
      </c>
      <c r="D107" s="54">
        <f>(39.182)*10.764</f>
        <v>421.75504799999999</v>
      </c>
      <c r="E107" s="40">
        <v>0</v>
      </c>
      <c r="F107" s="40">
        <f t="shared" si="1"/>
        <v>653.72032439999998</v>
      </c>
      <c r="G107" s="73"/>
      <c r="H107" s="74"/>
      <c r="I107" s="34"/>
      <c r="L107" s="84"/>
      <c r="M107" s="84"/>
      <c r="N107" s="34"/>
    </row>
    <row r="108" spans="1:14" s="35" customFormat="1" x14ac:dyDescent="0.35">
      <c r="A108" s="69">
        <f t="shared" si="0"/>
        <v>4</v>
      </c>
      <c r="B108" s="70"/>
      <c r="C108" s="40" t="s">
        <v>185</v>
      </c>
      <c r="D108" s="54">
        <f>(38.271)*10.764</f>
        <v>411.94904399999996</v>
      </c>
      <c r="E108" s="40">
        <v>0</v>
      </c>
      <c r="F108" s="40">
        <f t="shared" si="1"/>
        <v>638.52101819999996</v>
      </c>
      <c r="G108" s="73"/>
      <c r="H108" s="74"/>
      <c r="I108" s="34"/>
      <c r="L108" s="84"/>
      <c r="M108" s="84"/>
      <c r="N108" s="34"/>
    </row>
    <row r="109" spans="1:14" s="35" customFormat="1" x14ac:dyDescent="0.35">
      <c r="A109" s="69">
        <f t="shared" si="0"/>
        <v>5</v>
      </c>
      <c r="B109" s="70"/>
      <c r="C109" s="40" t="s">
        <v>185</v>
      </c>
      <c r="D109" s="54">
        <f>(40.309)*10.764</f>
        <v>433.88607599999995</v>
      </c>
      <c r="E109" s="40">
        <v>0</v>
      </c>
      <c r="F109" s="40">
        <f t="shared" ref="F109:F111" si="2">(D109+E109)*(($F$103)+1)</f>
        <v>672.52341779999995</v>
      </c>
      <c r="G109" s="73"/>
      <c r="H109" s="74"/>
      <c r="I109" s="34"/>
      <c r="L109" s="84"/>
      <c r="M109" s="84"/>
      <c r="N109" s="34"/>
    </row>
    <row r="110" spans="1:14" s="35" customFormat="1" x14ac:dyDescent="0.35">
      <c r="A110" s="69">
        <f t="shared" si="0"/>
        <v>6</v>
      </c>
      <c r="B110" s="70"/>
      <c r="C110" s="40" t="s">
        <v>185</v>
      </c>
      <c r="D110" s="54">
        <f>(41.058)*10.764</f>
        <v>441.94831199999999</v>
      </c>
      <c r="E110" s="40">
        <v>0</v>
      </c>
      <c r="F110" s="40">
        <f t="shared" si="2"/>
        <v>685.01988359999996</v>
      </c>
      <c r="G110" s="73"/>
      <c r="H110" s="74"/>
      <c r="I110" s="34"/>
      <c r="L110" s="84"/>
      <c r="M110" s="84"/>
      <c r="N110" s="34"/>
    </row>
    <row r="111" spans="1:14" s="35" customFormat="1" x14ac:dyDescent="0.35">
      <c r="A111" s="69">
        <f t="shared" si="0"/>
        <v>7</v>
      </c>
      <c r="B111" s="70"/>
      <c r="C111" s="40" t="s">
        <v>185</v>
      </c>
      <c r="D111" s="54">
        <f>(42.243)*10.764</f>
        <v>454.70365199999998</v>
      </c>
      <c r="E111" s="40">
        <v>0</v>
      </c>
      <c r="F111" s="40">
        <f t="shared" si="2"/>
        <v>704.79066060000002</v>
      </c>
      <c r="G111" s="73"/>
      <c r="H111" s="74"/>
      <c r="I111" s="34"/>
      <c r="L111" s="84"/>
      <c r="M111" s="84"/>
      <c r="N111" s="34"/>
    </row>
    <row r="112" spans="1:14" s="35" customFormat="1" x14ac:dyDescent="0.35">
      <c r="A112" s="69">
        <f t="shared" si="0"/>
        <v>8</v>
      </c>
      <c r="B112" s="70"/>
      <c r="C112" s="40" t="s">
        <v>185</v>
      </c>
      <c r="D112" s="54">
        <f>(43.198)*10.764</f>
        <v>464.983272</v>
      </c>
      <c r="E112" s="40">
        <v>0</v>
      </c>
      <c r="F112" s="40">
        <f t="shared" ref="F112:F113" si="3">(D112+E112)*(($F$103)+1)</f>
        <v>720.7240716</v>
      </c>
      <c r="G112" s="73"/>
      <c r="H112" s="74"/>
      <c r="I112" s="34"/>
      <c r="L112" s="84"/>
      <c r="M112" s="84"/>
      <c r="N112" s="34"/>
    </row>
    <row r="113" spans="1:14" s="35" customFormat="1" x14ac:dyDescent="0.35">
      <c r="A113" s="69">
        <f t="shared" si="0"/>
        <v>9</v>
      </c>
      <c r="B113" s="70"/>
      <c r="C113" s="40" t="s">
        <v>185</v>
      </c>
      <c r="D113" s="54">
        <f>(44.013)*10.764</f>
        <v>473.75593199999997</v>
      </c>
      <c r="E113" s="40">
        <v>0</v>
      </c>
      <c r="F113" s="40">
        <f t="shared" si="3"/>
        <v>734.3216946</v>
      </c>
      <c r="G113" s="73"/>
      <c r="H113" s="74"/>
      <c r="I113" s="34"/>
      <c r="L113" s="84"/>
      <c r="M113" s="84"/>
      <c r="N113" s="34"/>
    </row>
    <row r="114" spans="1:14" s="35" customFormat="1" x14ac:dyDescent="0.35">
      <c r="A114" s="69">
        <f t="shared" si="0"/>
        <v>10</v>
      </c>
      <c r="B114" s="70"/>
      <c r="C114" s="40" t="s">
        <v>185</v>
      </c>
      <c r="D114" s="54">
        <f>(31.047)*10.764</f>
        <v>334.189908</v>
      </c>
      <c r="E114" s="40">
        <v>0</v>
      </c>
      <c r="F114" s="40">
        <f t="shared" ref="F114:F115" si="4">(D114+E114)*(($F$103)+1)</f>
        <v>517.99435740000001</v>
      </c>
      <c r="G114" s="73"/>
      <c r="H114" s="74"/>
      <c r="I114" s="34"/>
      <c r="L114" s="84"/>
      <c r="M114" s="84"/>
      <c r="N114" s="34"/>
    </row>
    <row r="115" spans="1:14" s="35" customFormat="1" x14ac:dyDescent="0.35">
      <c r="A115" s="69">
        <f t="shared" si="0"/>
        <v>11</v>
      </c>
      <c r="B115" s="70"/>
      <c r="C115" s="40" t="s">
        <v>185</v>
      </c>
      <c r="D115" s="54">
        <f>(32.185)*10.764</f>
        <v>346.43934000000002</v>
      </c>
      <c r="E115" s="40">
        <v>0</v>
      </c>
      <c r="F115" s="40">
        <f t="shared" si="4"/>
        <v>536.98097700000005</v>
      </c>
      <c r="G115" s="73"/>
      <c r="H115" s="74"/>
      <c r="I115" s="34"/>
      <c r="L115" s="84"/>
      <c r="M115" s="84"/>
      <c r="N115" s="34"/>
    </row>
    <row r="116" spans="1:14" s="35" customFormat="1" x14ac:dyDescent="0.35">
      <c r="A116" s="69">
        <f t="shared" si="0"/>
        <v>12</v>
      </c>
      <c r="B116" s="70"/>
      <c r="C116" s="40" t="s">
        <v>185</v>
      </c>
      <c r="D116" s="54">
        <f>(26.622)*10.764</f>
        <v>286.55920799999996</v>
      </c>
      <c r="E116" s="40">
        <v>0</v>
      </c>
      <c r="F116" s="40">
        <f t="shared" ref="F116" si="5">(D116+E116)*(($F$103)+1)</f>
        <v>444.16677239999996</v>
      </c>
      <c r="G116" s="73"/>
      <c r="H116" s="74"/>
      <c r="I116" s="34"/>
      <c r="L116" s="84"/>
      <c r="M116" s="84"/>
      <c r="N116" s="34"/>
    </row>
    <row r="117" spans="1:14" s="35" customFormat="1" x14ac:dyDescent="0.35">
      <c r="A117" s="69">
        <f t="shared" si="0"/>
        <v>13</v>
      </c>
      <c r="B117" s="70"/>
      <c r="C117" s="40" t="s">
        <v>185</v>
      </c>
      <c r="D117" s="54">
        <f>(26.324)*10.764</f>
        <v>283.35153600000001</v>
      </c>
      <c r="E117" s="40">
        <v>0</v>
      </c>
      <c r="F117" s="40">
        <f>(D117+E117)*(($F$103)+1)</f>
        <v>439.19488080000002</v>
      </c>
      <c r="G117" s="73"/>
      <c r="H117" s="74"/>
      <c r="I117" s="34"/>
      <c r="L117" s="84"/>
      <c r="M117" s="84"/>
      <c r="N117" s="34"/>
    </row>
    <row r="118" spans="1:14" s="35" customFormat="1" x14ac:dyDescent="0.35">
      <c r="A118" s="69">
        <f t="shared" si="0"/>
        <v>14</v>
      </c>
      <c r="B118" s="70"/>
      <c r="C118" s="40" t="s">
        <v>185</v>
      </c>
      <c r="D118" s="54">
        <f>(25.563)*10.764</f>
        <v>275.16013199999998</v>
      </c>
      <c r="E118" s="40">
        <v>0</v>
      </c>
      <c r="F118" s="40">
        <f t="shared" ref="F118:F124" si="6">(D118+E118)*(($F$103)+1)</f>
        <v>426.49820459999995</v>
      </c>
      <c r="G118" s="73"/>
      <c r="H118" s="74"/>
      <c r="I118" s="34"/>
      <c r="L118" s="84"/>
      <c r="M118" s="84"/>
      <c r="N118" s="34"/>
    </row>
    <row r="119" spans="1:14" s="35" customFormat="1" x14ac:dyDescent="0.35">
      <c r="A119" s="69">
        <f t="shared" si="0"/>
        <v>15</v>
      </c>
      <c r="B119" s="70"/>
      <c r="C119" s="40" t="s">
        <v>185</v>
      </c>
      <c r="D119" s="54">
        <f>(22.479)*10.764</f>
        <v>241.96395599999997</v>
      </c>
      <c r="E119" s="40">
        <v>0</v>
      </c>
      <c r="F119" s="40">
        <f t="shared" si="6"/>
        <v>375.04413179999995</v>
      </c>
      <c r="G119" s="73"/>
      <c r="H119" s="74"/>
      <c r="I119" s="34"/>
      <c r="L119" s="84"/>
      <c r="M119" s="84"/>
      <c r="N119" s="34"/>
    </row>
    <row r="120" spans="1:14" s="35" customFormat="1" x14ac:dyDescent="0.35">
      <c r="A120" s="69">
        <f t="shared" si="0"/>
        <v>16</v>
      </c>
      <c r="B120" s="70"/>
      <c r="C120" s="40" t="s">
        <v>185</v>
      </c>
      <c r="D120" s="54">
        <f>(20.527)*10.764</f>
        <v>220.952628</v>
      </c>
      <c r="E120" s="40">
        <v>0</v>
      </c>
      <c r="F120" s="40">
        <f t="shared" si="6"/>
        <v>342.47657340000001</v>
      </c>
      <c r="G120" s="73"/>
      <c r="H120" s="74"/>
      <c r="I120" s="34"/>
      <c r="L120" s="84"/>
      <c r="M120" s="84"/>
      <c r="N120" s="34"/>
    </row>
    <row r="121" spans="1:14" s="35" customFormat="1" x14ac:dyDescent="0.35">
      <c r="A121" s="69">
        <f t="shared" si="0"/>
        <v>17</v>
      </c>
      <c r="B121" s="70"/>
      <c r="C121" s="40" t="s">
        <v>185</v>
      </c>
      <c r="D121" s="54">
        <f>(16.903)*10.764</f>
        <v>181.94389199999998</v>
      </c>
      <c r="E121" s="40">
        <v>0</v>
      </c>
      <c r="F121" s="40">
        <f t="shared" si="6"/>
        <v>282.01303259999997</v>
      </c>
      <c r="G121" s="73"/>
      <c r="H121" s="74"/>
      <c r="I121" s="34"/>
      <c r="L121" s="84"/>
      <c r="M121" s="84"/>
      <c r="N121" s="34"/>
    </row>
    <row r="122" spans="1:14" s="35" customFormat="1" x14ac:dyDescent="0.35">
      <c r="A122" s="69">
        <f t="shared" si="0"/>
        <v>18</v>
      </c>
      <c r="B122" s="70"/>
      <c r="C122" s="40" t="s">
        <v>185</v>
      </c>
      <c r="D122" s="54">
        <f>(8.103)*10.764</f>
        <v>87.220691999999985</v>
      </c>
      <c r="E122" s="40">
        <v>0</v>
      </c>
      <c r="F122" s="40">
        <f t="shared" si="6"/>
        <v>135.19207259999999</v>
      </c>
      <c r="G122" s="73"/>
      <c r="H122" s="74"/>
      <c r="I122" s="34"/>
      <c r="L122" s="84"/>
      <c r="M122" s="84"/>
      <c r="N122" s="34"/>
    </row>
    <row r="123" spans="1:14" s="35" customFormat="1" x14ac:dyDescent="0.35">
      <c r="A123" s="69">
        <f t="shared" si="0"/>
        <v>19</v>
      </c>
      <c r="B123" s="70"/>
      <c r="C123" s="40" t="s">
        <v>185</v>
      </c>
      <c r="D123" s="54">
        <f>(7.514)*10.764</f>
        <v>80.880696</v>
      </c>
      <c r="E123" s="40">
        <v>0</v>
      </c>
      <c r="F123" s="40">
        <f t="shared" si="6"/>
        <v>125.36507880000001</v>
      </c>
      <c r="G123" s="73"/>
      <c r="H123" s="74"/>
      <c r="I123" s="34"/>
      <c r="L123" s="84"/>
      <c r="M123" s="84"/>
      <c r="N123" s="34"/>
    </row>
    <row r="124" spans="1:14" s="35" customFormat="1" x14ac:dyDescent="0.35">
      <c r="A124" s="69">
        <f t="shared" si="0"/>
        <v>20</v>
      </c>
      <c r="B124" s="70"/>
      <c r="C124" s="40" t="s">
        <v>185</v>
      </c>
      <c r="D124" s="54">
        <f>(24.167)*10.764</f>
        <v>260.13358799999997</v>
      </c>
      <c r="E124" s="40">
        <v>0</v>
      </c>
      <c r="F124" s="40">
        <f t="shared" si="6"/>
        <v>403.20706139999999</v>
      </c>
      <c r="G124" s="73"/>
      <c r="H124" s="74"/>
      <c r="I124" s="34"/>
      <c r="L124" s="84"/>
      <c r="M124" s="84"/>
      <c r="N124" s="34"/>
    </row>
    <row r="125" spans="1:14" s="35" customFormat="1" x14ac:dyDescent="0.35">
      <c r="A125" s="69">
        <f t="shared" si="0"/>
        <v>21</v>
      </c>
      <c r="B125" s="70"/>
      <c r="C125" s="40" t="s">
        <v>185</v>
      </c>
      <c r="D125" s="54">
        <f>(22.683)*10.764</f>
        <v>244.15981199999999</v>
      </c>
      <c r="E125" s="40">
        <v>0</v>
      </c>
      <c r="F125" s="40">
        <f t="shared" ref="F125" si="7">(D125+E125)*(($F$103)+1)</f>
        <v>378.4477086</v>
      </c>
      <c r="G125" s="75"/>
      <c r="H125" s="76"/>
      <c r="I125" s="34"/>
      <c r="L125" s="84"/>
      <c r="M125" s="84"/>
      <c r="N125" s="34"/>
    </row>
    <row r="126" spans="1:14" s="35" customFormat="1" x14ac:dyDescent="0.35">
      <c r="A126" s="69"/>
      <c r="B126" s="186"/>
      <c r="C126" s="186"/>
      <c r="D126" s="186"/>
      <c r="E126" s="186"/>
      <c r="F126" s="186"/>
      <c r="G126" s="186"/>
      <c r="H126" s="70"/>
      <c r="I126" s="34"/>
      <c r="N126" s="34"/>
    </row>
    <row r="127" spans="1:14" ht="47.25" customHeight="1" x14ac:dyDescent="0.35">
      <c r="A127" s="121" t="s">
        <v>123</v>
      </c>
      <c r="B127" s="121" t="s">
        <v>124</v>
      </c>
      <c r="C127" s="117" t="s">
        <v>60</v>
      </c>
      <c r="D127" s="117" t="s">
        <v>61</v>
      </c>
      <c r="E127" s="119" t="s">
        <v>62</v>
      </c>
      <c r="F127" s="41" t="s">
        <v>153</v>
      </c>
      <c r="G127" s="121" t="s">
        <v>63</v>
      </c>
      <c r="H127" s="122"/>
      <c r="I127" s="34"/>
    </row>
    <row r="128" spans="1:14" s="35" customFormat="1" x14ac:dyDescent="0.35">
      <c r="A128" s="123"/>
      <c r="B128" s="123"/>
      <c r="C128" s="118"/>
      <c r="D128" s="118"/>
      <c r="E128" s="120"/>
      <c r="F128" s="13">
        <v>0.5</v>
      </c>
      <c r="G128" s="123"/>
      <c r="H128" s="124"/>
      <c r="I128" s="34"/>
    </row>
    <row r="129" spans="1:12" s="35" customFormat="1" x14ac:dyDescent="0.35">
      <c r="A129" s="66" t="s">
        <v>186</v>
      </c>
      <c r="B129" s="67"/>
      <c r="C129" s="67"/>
      <c r="D129" s="67"/>
      <c r="E129" s="67"/>
      <c r="F129" s="67"/>
      <c r="G129" s="67"/>
      <c r="H129" s="68"/>
      <c r="J129" s="34"/>
    </row>
    <row r="130" spans="1:12" s="35" customFormat="1" x14ac:dyDescent="0.35">
      <c r="A130" s="66" t="s">
        <v>191</v>
      </c>
      <c r="B130" s="67"/>
      <c r="C130" s="67"/>
      <c r="D130" s="67"/>
      <c r="E130" s="67"/>
      <c r="F130" s="67"/>
      <c r="G130" s="67"/>
      <c r="H130" s="68"/>
      <c r="J130" s="34"/>
    </row>
    <row r="131" spans="1:12" s="35" customFormat="1" x14ac:dyDescent="0.35">
      <c r="A131" s="66" t="s">
        <v>224</v>
      </c>
      <c r="B131" s="67"/>
      <c r="C131" s="67"/>
      <c r="D131" s="67"/>
      <c r="E131" s="67"/>
      <c r="F131" s="67"/>
      <c r="G131" s="67"/>
      <c r="H131" s="68"/>
      <c r="I131" s="34"/>
    </row>
    <row r="132" spans="1:12" s="35" customFormat="1" ht="15.75" customHeight="1" x14ac:dyDescent="0.35">
      <c r="A132" s="69">
        <v>1</v>
      </c>
      <c r="B132" s="70"/>
      <c r="C132" s="48">
        <v>1</v>
      </c>
      <c r="D132" s="54">
        <f>(35.561+0.75*(2.9+2.14+2.9))*10.764</f>
        <v>446.87822399999993</v>
      </c>
      <c r="E132" s="40">
        <v>0</v>
      </c>
      <c r="F132" s="40">
        <f t="shared" ref="F132:F138" si="8">D132*(($F$128)+1)+(IF(E132&lt;101,E132,IF(E132&lt;201,E132/2,IF(E132&lt;=301,E132/3,E132/4))))</f>
        <v>670.31733599999984</v>
      </c>
      <c r="G132" s="71" t="str">
        <f>A131</f>
        <v>5th to 13th Floor for Residential (Part Refuge Area at Midlanding @ 7th &amp; 12th Floor)</v>
      </c>
      <c r="H132" s="72"/>
      <c r="I132" s="53">
        <f>2.9*4.27+2.14*2.1+2.9*3.135+1.8*1.2+1.2*1.8+1.15*1.3+2.14*0.9+0.75*(2.9+2.14+2.9)</f>
        <v>39.664499999999997</v>
      </c>
      <c r="J132" s="35">
        <f>5700000/F132</f>
        <v>8503.4351550770589</v>
      </c>
    </row>
    <row r="133" spans="1:12" s="35" customFormat="1" x14ac:dyDescent="0.35">
      <c r="A133" s="69">
        <v>2</v>
      </c>
      <c r="B133" s="70"/>
      <c r="C133" s="48">
        <v>1</v>
      </c>
      <c r="D133" s="54">
        <f>(33.561+0.75*(2.9+2.1+2.75))*10.764</f>
        <v>423.81635399999999</v>
      </c>
      <c r="E133" s="40">
        <v>0</v>
      </c>
      <c r="F133" s="40">
        <f t="shared" si="8"/>
        <v>635.72453099999996</v>
      </c>
      <c r="G133" s="73"/>
      <c r="H133" s="74"/>
      <c r="I133" s="34">
        <f>5700000/F133</f>
        <v>8966.1476347842872</v>
      </c>
      <c r="J133" s="35" t="s">
        <v>197</v>
      </c>
      <c r="K133" s="35">
        <f>5600000/F133</f>
        <v>8808.8467990863173</v>
      </c>
      <c r="L133" s="35" t="s">
        <v>199</v>
      </c>
    </row>
    <row r="134" spans="1:12" s="35" customFormat="1" x14ac:dyDescent="0.35">
      <c r="A134" s="69">
        <v>3</v>
      </c>
      <c r="B134" s="70"/>
      <c r="C134" s="48">
        <v>1</v>
      </c>
      <c r="D134" s="54">
        <f>(33.561+0.75*(2.9+2.1+2.75))*10.764</f>
        <v>423.81635399999999</v>
      </c>
      <c r="E134" s="40">
        <v>0</v>
      </c>
      <c r="F134" s="40">
        <f t="shared" si="8"/>
        <v>635.72453099999996</v>
      </c>
      <c r="G134" s="73"/>
      <c r="H134" s="74"/>
      <c r="I134" s="34"/>
    </row>
    <row r="135" spans="1:12" s="35" customFormat="1" x14ac:dyDescent="0.35">
      <c r="A135" s="69">
        <v>4</v>
      </c>
      <c r="B135" s="70"/>
      <c r="C135" s="48">
        <v>2</v>
      </c>
      <c r="D135" s="54">
        <f>(53.178+0.75*(2.9+2.15+2.9+3.05))*10.764</f>
        <v>661.21099199999992</v>
      </c>
      <c r="E135" s="40">
        <v>0</v>
      </c>
      <c r="F135" s="40">
        <f t="shared" si="8"/>
        <v>991.81648799999994</v>
      </c>
      <c r="G135" s="73"/>
      <c r="H135" s="74"/>
      <c r="I135" s="34">
        <f>8580000/F135</f>
        <v>8650.7938754895968</v>
      </c>
      <c r="J135" s="35">
        <f>8580000/F135</f>
        <v>8650.7938754895968</v>
      </c>
      <c r="K135" s="35" t="s">
        <v>197</v>
      </c>
    </row>
    <row r="136" spans="1:12" s="35" customFormat="1" x14ac:dyDescent="0.35">
      <c r="A136" s="69">
        <v>5</v>
      </c>
      <c r="B136" s="70"/>
      <c r="C136" s="48">
        <v>2</v>
      </c>
      <c r="D136" s="54">
        <f>(54.769+0.75*(2.9+2.15+2.9+3.05))*10.764</f>
        <v>678.33651599999996</v>
      </c>
      <c r="E136" s="40">
        <v>0</v>
      </c>
      <c r="F136" s="40">
        <f t="shared" si="8"/>
        <v>1017.504774</v>
      </c>
      <c r="G136" s="73"/>
      <c r="H136" s="74"/>
      <c r="I136" s="34"/>
    </row>
    <row r="137" spans="1:12" s="35" customFormat="1" x14ac:dyDescent="0.35">
      <c r="A137" s="69">
        <v>6</v>
      </c>
      <c r="B137" s="70"/>
      <c r="C137" s="48">
        <v>3</v>
      </c>
      <c r="D137" s="54">
        <f>(71.669+0.75*(3.05+2.75+2.9+1.9))*10.764</f>
        <v>857.01891599999999</v>
      </c>
      <c r="E137" s="40">
        <v>0</v>
      </c>
      <c r="F137" s="40">
        <f t="shared" si="8"/>
        <v>1285.528374</v>
      </c>
      <c r="G137" s="73"/>
      <c r="H137" s="74"/>
      <c r="I137" s="34">
        <f>11600000/F137</f>
        <v>9023.5270061802621</v>
      </c>
      <c r="J137" s="35">
        <f>11600000/F137</f>
        <v>9023.5270061802621</v>
      </c>
      <c r="K137" s="35" t="s">
        <v>197</v>
      </c>
    </row>
    <row r="138" spans="1:12" s="35" customFormat="1" x14ac:dyDescent="0.35">
      <c r="A138" s="69">
        <v>7</v>
      </c>
      <c r="B138" s="70"/>
      <c r="C138" s="48">
        <v>1</v>
      </c>
      <c r="D138" s="54">
        <f>(36.501+0.75*(2.9+2.75+2.14))*10.764</f>
        <v>455.78543399999995</v>
      </c>
      <c r="E138" s="40">
        <v>0</v>
      </c>
      <c r="F138" s="40">
        <f t="shared" si="8"/>
        <v>683.67815099999996</v>
      </c>
      <c r="G138" s="75"/>
      <c r="H138" s="76"/>
      <c r="I138" s="34"/>
    </row>
    <row r="139" spans="1:12" s="58" customFormat="1" x14ac:dyDescent="0.35">
      <c r="A139" s="66" t="s">
        <v>225</v>
      </c>
      <c r="B139" s="67"/>
      <c r="C139" s="67"/>
      <c r="D139" s="67"/>
      <c r="E139" s="67"/>
      <c r="F139" s="67"/>
      <c r="G139" s="67"/>
      <c r="H139" s="68"/>
      <c r="I139" s="34"/>
    </row>
    <row r="140" spans="1:12" s="58" customFormat="1" ht="15.75" customHeight="1" x14ac:dyDescent="0.35">
      <c r="A140" s="69">
        <v>1</v>
      </c>
      <c r="B140" s="70"/>
      <c r="C140" s="48">
        <v>1</v>
      </c>
      <c r="D140" s="54">
        <f>(35.561+0.75*(2.9+2.14+2.9))*10.764</f>
        <v>446.87822399999993</v>
      </c>
      <c r="E140" s="40">
        <v>0</v>
      </c>
      <c r="F140" s="40">
        <f t="shared" ref="F140:F146" si="9">D140*(($F$128)+1)+(IF(E140&lt;101,E140,IF(E140&lt;201,E140/2,IF(E140&lt;=301,E140/3,E140/4))))</f>
        <v>670.31733599999984</v>
      </c>
      <c r="G140" s="71" t="str">
        <f>A139</f>
        <v>14th Floor</v>
      </c>
      <c r="H140" s="72"/>
      <c r="I140" s="53">
        <f>2.9*4.27+2.14*2.1+2.9*3.135+1.8*1.2+1.2*1.8+1.15*1.3+2.14*0.9+0.75*(2.9+2.14+2.9)</f>
        <v>39.664499999999997</v>
      </c>
      <c r="J140" s="58">
        <f>5700000/F140</f>
        <v>8503.4351550770589</v>
      </c>
    </row>
    <row r="141" spans="1:12" s="58" customFormat="1" ht="15.75" customHeight="1" x14ac:dyDescent="0.35">
      <c r="A141" s="69">
        <v>2</v>
      </c>
      <c r="B141" s="70"/>
      <c r="C141" s="48">
        <v>1</v>
      </c>
      <c r="D141" s="54">
        <f>(33.561+0.75*(2.9+2.1+2.75))*10.764</f>
        <v>423.81635399999999</v>
      </c>
      <c r="E141" s="40">
        <v>0</v>
      </c>
      <c r="F141" s="40">
        <f t="shared" si="9"/>
        <v>635.72453099999996</v>
      </c>
      <c r="G141" s="73"/>
      <c r="H141" s="74"/>
      <c r="I141" s="34">
        <f>5700000/F141</f>
        <v>8966.1476347842872</v>
      </c>
      <c r="J141" s="58" t="s">
        <v>197</v>
      </c>
      <c r="K141" s="58">
        <f>5600000/F141</f>
        <v>8808.8467990863173</v>
      </c>
      <c r="L141" s="58" t="s">
        <v>199</v>
      </c>
    </row>
    <row r="142" spans="1:12" s="58" customFormat="1" ht="15.75" customHeight="1" x14ac:dyDescent="0.35">
      <c r="A142" s="69">
        <v>3</v>
      </c>
      <c r="B142" s="70"/>
      <c r="C142" s="48">
        <v>1</v>
      </c>
      <c r="D142" s="54">
        <f>(33.561+0.75*(2.9+2.1+2.75))*10.764</f>
        <v>423.81635399999999</v>
      </c>
      <c r="E142" s="40">
        <v>0</v>
      </c>
      <c r="F142" s="40">
        <f t="shared" si="9"/>
        <v>635.72453099999996</v>
      </c>
      <c r="G142" s="73"/>
      <c r="H142" s="74"/>
      <c r="I142" s="34"/>
    </row>
    <row r="143" spans="1:12" s="58" customFormat="1" ht="15.75" customHeight="1" x14ac:dyDescent="0.35">
      <c r="A143" s="69">
        <v>4</v>
      </c>
      <c r="B143" s="70"/>
      <c r="C143" s="48">
        <v>2</v>
      </c>
      <c r="D143" s="54">
        <f>(53.178+0.75*(2.9+2.15+2.9+3.05))*10.764</f>
        <v>661.21099199999992</v>
      </c>
      <c r="E143" s="40">
        <v>0</v>
      </c>
      <c r="F143" s="40">
        <f t="shared" si="9"/>
        <v>991.81648799999994</v>
      </c>
      <c r="G143" s="73"/>
      <c r="H143" s="74"/>
      <c r="I143" s="34">
        <f>8580000/F143</f>
        <v>8650.7938754895968</v>
      </c>
      <c r="J143" s="58">
        <f>8580000/F143</f>
        <v>8650.7938754895968</v>
      </c>
      <c r="K143" s="58" t="s">
        <v>197</v>
      </c>
    </row>
    <row r="144" spans="1:12" s="58" customFormat="1" ht="15.75" customHeight="1" x14ac:dyDescent="0.35">
      <c r="A144" s="69">
        <v>5</v>
      </c>
      <c r="B144" s="70"/>
      <c r="C144" s="48">
        <v>2</v>
      </c>
      <c r="D144" s="54">
        <f>(54.769+0.75*(2.9+2.15+2.9+3.05))*10.764</f>
        <v>678.33651599999996</v>
      </c>
      <c r="E144" s="40">
        <v>0</v>
      </c>
      <c r="F144" s="40">
        <f t="shared" si="9"/>
        <v>1017.504774</v>
      </c>
      <c r="G144" s="73"/>
      <c r="H144" s="74"/>
      <c r="I144" s="34"/>
    </row>
    <row r="145" spans="1:14" s="58" customFormat="1" ht="15.75" customHeight="1" x14ac:dyDescent="0.3">
      <c r="A145" s="69">
        <v>6</v>
      </c>
      <c r="B145" s="70"/>
      <c r="C145" s="48">
        <v>3</v>
      </c>
      <c r="D145" s="54">
        <f>(71.669+0.75*(3.05+2.75+2.9+1.9))*10.764</f>
        <v>857.01891599999999</v>
      </c>
      <c r="E145" s="40">
        <v>0</v>
      </c>
      <c r="F145" s="40">
        <v>1327</v>
      </c>
      <c r="G145" s="73"/>
      <c r="H145" s="74"/>
      <c r="I145" s="31" t="s">
        <v>227</v>
      </c>
    </row>
    <row r="146" spans="1:14" s="58" customFormat="1" ht="15.75" customHeight="1" x14ac:dyDescent="0.35">
      <c r="A146" s="69">
        <v>7</v>
      </c>
      <c r="B146" s="70"/>
      <c r="C146" s="48">
        <v>1</v>
      </c>
      <c r="D146" s="54">
        <f>(36.501+0.75*(2.9+2.75+2.14))*10.764</f>
        <v>455.78543399999995</v>
      </c>
      <c r="E146" s="40">
        <v>0</v>
      </c>
      <c r="F146" s="40">
        <f t="shared" si="9"/>
        <v>683.67815099999996</v>
      </c>
      <c r="G146" s="75"/>
      <c r="H146" s="76"/>
      <c r="I146" s="34"/>
    </row>
    <row r="147" spans="1:14" s="35" customFormat="1" x14ac:dyDescent="0.35">
      <c r="A147" s="66" t="s">
        <v>207</v>
      </c>
      <c r="B147" s="67"/>
      <c r="C147" s="67"/>
      <c r="D147" s="67"/>
      <c r="E147" s="67"/>
      <c r="F147" s="67"/>
      <c r="G147" s="67"/>
      <c r="H147" s="68"/>
      <c r="I147" s="34"/>
      <c r="J147" s="54">
        <f>10.764</f>
        <v>10.763999999999999</v>
      </c>
      <c r="L147" s="35">
        <f>D150*1.45</f>
        <v>614.53371329999993</v>
      </c>
    </row>
    <row r="148" spans="1:14" s="35" customFormat="1" ht="15.75" customHeight="1" x14ac:dyDescent="0.35">
      <c r="A148" s="69">
        <v>1501</v>
      </c>
      <c r="B148" s="70"/>
      <c r="C148" s="48">
        <v>1</v>
      </c>
      <c r="D148" s="54">
        <f>(35.561+0.75*(2.9+2.14+2.9))*10.764</f>
        <v>446.87822399999993</v>
      </c>
      <c r="E148" s="40">
        <v>0</v>
      </c>
      <c r="F148" s="40">
        <f t="shared" ref="F148:F154" si="10">D148*(($F$128)+1)+(IF(E148&lt;101,E148,IF(E148&lt;201,E148/2,IF(E148&lt;=301,E148/3,E148/4))))</f>
        <v>670.31733599999984</v>
      </c>
      <c r="G148" s="71" t="str">
        <f>A147</f>
        <v>15th Floor</v>
      </c>
      <c r="H148" s="72"/>
      <c r="I148" s="53"/>
      <c r="K148" s="57">
        <v>0.5</v>
      </c>
      <c r="L148" s="57">
        <v>0.45</v>
      </c>
    </row>
    <row r="149" spans="1:14" s="35" customFormat="1" x14ac:dyDescent="0.35">
      <c r="A149" s="69">
        <v>1502</v>
      </c>
      <c r="B149" s="70"/>
      <c r="C149" s="48">
        <v>1</v>
      </c>
      <c r="D149" s="54">
        <f>(33.561+0.75*(2.9+2.1+2.75))*10.764</f>
        <v>423.81635399999999</v>
      </c>
      <c r="E149" s="40">
        <v>0</v>
      </c>
      <c r="F149" s="40">
        <f t="shared" si="10"/>
        <v>635.72453099999996</v>
      </c>
      <c r="G149" s="73"/>
      <c r="H149" s="74"/>
      <c r="I149" s="34"/>
      <c r="K149" s="35">
        <f>8200*F149</f>
        <v>5212941.1541999998</v>
      </c>
      <c r="L149" s="35">
        <f>8200*L147</f>
        <v>5039176.4490599995</v>
      </c>
    </row>
    <row r="150" spans="1:14" s="35" customFormat="1" ht="15.75" customHeight="1" x14ac:dyDescent="0.35">
      <c r="A150" s="69">
        <v>1503</v>
      </c>
      <c r="B150" s="70"/>
      <c r="C150" s="48">
        <v>1</v>
      </c>
      <c r="D150" s="54">
        <f>(33.561+0.75*(2.9+2.1+2.75))*10.764</f>
        <v>423.81635399999999</v>
      </c>
      <c r="E150" s="40">
        <v>0</v>
      </c>
      <c r="F150" s="40">
        <f t="shared" si="10"/>
        <v>635.72453099999996</v>
      </c>
      <c r="G150" s="73"/>
      <c r="H150" s="74"/>
      <c r="I150" s="34"/>
      <c r="K150" s="35">
        <f>K149+447000</f>
        <v>5659941.1541999998</v>
      </c>
      <c r="L150" s="35">
        <f>L149+447000</f>
        <v>5486176.4490599995</v>
      </c>
    </row>
    <row r="151" spans="1:14" s="35" customFormat="1" ht="15.75" customHeight="1" x14ac:dyDescent="0.35">
      <c r="A151" s="69">
        <v>1504</v>
      </c>
      <c r="B151" s="70"/>
      <c r="C151" s="48">
        <v>2</v>
      </c>
      <c r="D151" s="54">
        <f>(53.178+0.75*(2.9+2.15+2.9+3.05))*10.764</f>
        <v>661.21099199999992</v>
      </c>
      <c r="E151" s="40">
        <v>0</v>
      </c>
      <c r="F151" s="40">
        <f t="shared" si="10"/>
        <v>991.81648799999994</v>
      </c>
      <c r="G151" s="73"/>
      <c r="H151" s="74"/>
      <c r="I151" s="34"/>
    </row>
    <row r="152" spans="1:14" s="35" customFormat="1" ht="15.75" customHeight="1" x14ac:dyDescent="0.35">
      <c r="A152" s="69">
        <v>1505</v>
      </c>
      <c r="B152" s="70"/>
      <c r="C152" s="48">
        <v>2</v>
      </c>
      <c r="D152" s="54">
        <f>(54.769+0.75*(2.9+2.15+2.9+3.05))*10.764</f>
        <v>678.33651599999996</v>
      </c>
      <c r="E152" s="40">
        <v>0</v>
      </c>
      <c r="F152" s="40">
        <f t="shared" si="10"/>
        <v>1017.504774</v>
      </c>
      <c r="G152" s="73"/>
      <c r="H152" s="74"/>
      <c r="I152" s="34"/>
    </row>
    <row r="153" spans="1:14" s="35" customFormat="1" ht="15.75" customHeight="1" x14ac:dyDescent="0.35">
      <c r="A153" s="69">
        <v>1506</v>
      </c>
      <c r="B153" s="70"/>
      <c r="C153" s="48">
        <v>2</v>
      </c>
      <c r="D153" s="54">
        <f>(58.198+0.75*(3.05+2.75+2.9))*10.764</f>
        <v>696.67837199999997</v>
      </c>
      <c r="E153" s="54">
        <f>(3.4*3.1+2.1*1.5)*(10.764)</f>
        <v>147.35915999999997</v>
      </c>
      <c r="F153" s="40">
        <f t="shared" si="10"/>
        <v>1118.697138</v>
      </c>
      <c r="G153" s="73"/>
      <c r="H153" s="74"/>
      <c r="I153" s="34"/>
    </row>
    <row r="154" spans="1:14" s="35" customFormat="1" ht="15.75" customHeight="1" x14ac:dyDescent="0.35">
      <c r="A154" s="69">
        <v>1507</v>
      </c>
      <c r="B154" s="70"/>
      <c r="C154" s="48">
        <v>1</v>
      </c>
      <c r="D154" s="54">
        <f>(36.501+0.75*(2.9+2.75+2.14))*10.764</f>
        <v>455.78543399999995</v>
      </c>
      <c r="E154" s="40">
        <v>0</v>
      </c>
      <c r="F154" s="40">
        <f t="shared" si="10"/>
        <v>683.67815099999996</v>
      </c>
      <c r="G154" s="75"/>
      <c r="H154" s="76"/>
      <c r="I154" s="34"/>
      <c r="N154" s="35" t="s">
        <v>216</v>
      </c>
    </row>
    <row r="155" spans="1:14" s="35" customFormat="1" x14ac:dyDescent="0.35">
      <c r="A155" s="66" t="s">
        <v>208</v>
      </c>
      <c r="B155" s="67"/>
      <c r="C155" s="67"/>
      <c r="D155" s="67"/>
      <c r="E155" s="67"/>
      <c r="F155" s="67"/>
      <c r="G155" s="67"/>
      <c r="H155" s="68"/>
      <c r="I155" s="34"/>
    </row>
    <row r="156" spans="1:14" s="35" customFormat="1" ht="15.75" customHeight="1" x14ac:dyDescent="0.35">
      <c r="A156" s="69">
        <v>1601</v>
      </c>
      <c r="B156" s="70"/>
      <c r="C156" s="48">
        <v>1</v>
      </c>
      <c r="D156" s="54">
        <f>(35.561+0.75*(2.9+2.14+2.9))*10.764</f>
        <v>446.87822399999993</v>
      </c>
      <c r="E156" s="40">
        <v>0</v>
      </c>
      <c r="F156" s="40">
        <f t="shared" ref="F156:F162" si="11">D156*(($F$128)+1)+(IF(E156&lt;101,E156,IF(E156&lt;201,E156/2,IF(E156&lt;=301,E156/3,E156/4))))</f>
        <v>670.31733599999984</v>
      </c>
      <c r="G156" s="71" t="str">
        <f>A155</f>
        <v>16th Floor</v>
      </c>
      <c r="H156" s="72"/>
      <c r="I156" s="53"/>
    </row>
    <row r="157" spans="1:14" s="35" customFormat="1" x14ac:dyDescent="0.35">
      <c r="A157" s="69">
        <v>1602</v>
      </c>
      <c r="B157" s="70"/>
      <c r="C157" s="48">
        <v>1</v>
      </c>
      <c r="D157" s="54">
        <f>(33.561+0.75*(2.9+2.1+2.75))*10.764</f>
        <v>423.81635399999999</v>
      </c>
      <c r="E157" s="40">
        <v>0</v>
      </c>
      <c r="F157" s="40">
        <f t="shared" si="11"/>
        <v>635.72453099999996</v>
      </c>
      <c r="G157" s="73"/>
      <c r="H157" s="74"/>
      <c r="I157" s="34"/>
    </row>
    <row r="158" spans="1:14" s="35" customFormat="1" ht="15.75" customHeight="1" x14ac:dyDescent="0.35">
      <c r="A158" s="69">
        <v>1603</v>
      </c>
      <c r="B158" s="70"/>
      <c r="C158" s="48">
        <v>1</v>
      </c>
      <c r="D158" s="54">
        <f>(33.561+0.75*(2.9+2.1+2.75))*10.764</f>
        <v>423.81635399999999</v>
      </c>
      <c r="E158" s="40">
        <v>0</v>
      </c>
      <c r="F158" s="40">
        <f t="shared" si="11"/>
        <v>635.72453099999996</v>
      </c>
      <c r="G158" s="73"/>
      <c r="H158" s="74"/>
      <c r="I158" s="34"/>
    </row>
    <row r="159" spans="1:14" s="35" customFormat="1" ht="15.75" customHeight="1" x14ac:dyDescent="0.35">
      <c r="A159" s="69">
        <v>1604</v>
      </c>
      <c r="B159" s="70"/>
      <c r="C159" s="48">
        <v>1</v>
      </c>
      <c r="D159" s="54">
        <f>(36.404+0.75*(2.9+2.15+2.9))*10.764</f>
        <v>456.033006</v>
      </c>
      <c r="E159" s="54">
        <f>(3.2*3.8+2*1.1+2*1.3)*(10.764)</f>
        <v>182.55743999999999</v>
      </c>
      <c r="F159" s="40">
        <f t="shared" si="11"/>
        <v>775.32822899999996</v>
      </c>
      <c r="G159" s="73"/>
      <c r="H159" s="74"/>
      <c r="I159" s="34"/>
    </row>
    <row r="160" spans="1:14" s="35" customFormat="1" ht="15.75" customHeight="1" x14ac:dyDescent="0.35">
      <c r="A160" s="69">
        <v>1605</v>
      </c>
      <c r="B160" s="70"/>
      <c r="C160" s="48">
        <v>1</v>
      </c>
      <c r="D160" s="54">
        <f>(41.607+0.75*(2.9+2.15+2.9))*10.764</f>
        <v>512.03809799999999</v>
      </c>
      <c r="E160" s="54">
        <f>(3.2*3.8+1.3*1)*(10.764)</f>
        <v>144.88344000000001</v>
      </c>
      <c r="F160" s="40">
        <f t="shared" si="11"/>
        <v>840.49886700000002</v>
      </c>
      <c r="G160" s="73"/>
      <c r="H160" s="74"/>
      <c r="I160" s="34"/>
    </row>
    <row r="161" spans="1:13" s="35" customFormat="1" ht="15.75" customHeight="1" x14ac:dyDescent="0.35">
      <c r="A161" s="69">
        <v>1606</v>
      </c>
      <c r="B161" s="70"/>
      <c r="C161" s="48">
        <v>1</v>
      </c>
      <c r="D161" s="54">
        <f>(42.593+0.75*(3.05+2.75))*10.764</f>
        <v>505.29445200000004</v>
      </c>
      <c r="E161" s="54">
        <f>(3*3.7+2.2*1.5)*(10.764)</f>
        <v>155.00160000000002</v>
      </c>
      <c r="F161" s="40">
        <f t="shared" si="11"/>
        <v>835.44247800000005</v>
      </c>
      <c r="G161" s="73"/>
      <c r="H161" s="74"/>
      <c r="I161" s="34"/>
    </row>
    <row r="162" spans="1:13" s="35" customFormat="1" ht="15.75" customHeight="1" x14ac:dyDescent="0.35">
      <c r="A162" s="69">
        <v>1607</v>
      </c>
      <c r="B162" s="70"/>
      <c r="C162" s="48">
        <v>1</v>
      </c>
      <c r="D162" s="54">
        <f>(36.501+0.75*(2.9+2.75+2.14))*10.764</f>
        <v>455.78543399999995</v>
      </c>
      <c r="E162" s="40">
        <v>0</v>
      </c>
      <c r="F162" s="40">
        <f t="shared" si="11"/>
        <v>683.67815099999996</v>
      </c>
      <c r="G162" s="75"/>
      <c r="H162" s="76"/>
      <c r="I162" s="34"/>
    </row>
    <row r="163" spans="1:13" s="35" customFormat="1" x14ac:dyDescent="0.35">
      <c r="A163" s="66" t="s">
        <v>209</v>
      </c>
      <c r="B163" s="67"/>
      <c r="C163" s="67"/>
      <c r="D163" s="67"/>
      <c r="E163" s="67"/>
      <c r="F163" s="67"/>
      <c r="G163" s="67"/>
      <c r="H163" s="68"/>
      <c r="I163" s="34"/>
    </row>
    <row r="164" spans="1:13" s="35" customFormat="1" ht="15.75" customHeight="1" x14ac:dyDescent="0.35">
      <c r="A164" s="69">
        <v>1701</v>
      </c>
      <c r="B164" s="70"/>
      <c r="C164" s="48">
        <v>0</v>
      </c>
      <c r="D164" s="54">
        <f>(22.608+0.75*(2.9+2.14))*10.764</f>
        <v>284.04043200000001</v>
      </c>
      <c r="E164" s="54">
        <f>(3*3.4+1.5*1.8+1*1)*(10.764)</f>
        <v>149.61959999999996</v>
      </c>
      <c r="F164" s="40">
        <f t="shared" ref="F164:F170" si="12">D164*(($F$128)+1)+(IF(E164&lt;101,E164,IF(E164&lt;201,E164/2,IF(E164&lt;=301,E164/3,E164/4))))</f>
        <v>500.87044800000001</v>
      </c>
      <c r="G164" s="71" t="str">
        <f>A163</f>
        <v>17th Floor (Part Refuge Area at Midlanding)</v>
      </c>
      <c r="H164" s="72"/>
      <c r="I164" s="53"/>
    </row>
    <row r="165" spans="1:13" s="35" customFormat="1" x14ac:dyDescent="0.35">
      <c r="A165" s="69">
        <v>1702</v>
      </c>
      <c r="B165" s="70"/>
      <c r="C165" s="48">
        <v>0</v>
      </c>
      <c r="D165" s="54">
        <f>(21.213+0.75*(2.9+2.1))*10.764</f>
        <v>268.70173199999999</v>
      </c>
      <c r="E165" s="54">
        <f>(2.75*3.3+1.5*1.9+1*1)*(10.764)</f>
        <v>139.12469999999999</v>
      </c>
      <c r="F165" s="40">
        <f t="shared" si="12"/>
        <v>472.61494799999997</v>
      </c>
      <c r="G165" s="73"/>
      <c r="H165" s="74"/>
      <c r="I165" s="34"/>
    </row>
    <row r="166" spans="1:13" s="35" customFormat="1" ht="15.75" customHeight="1" x14ac:dyDescent="0.35">
      <c r="A166" s="69">
        <v>1703</v>
      </c>
      <c r="B166" s="70"/>
      <c r="C166" s="48">
        <v>0</v>
      </c>
      <c r="D166" s="54">
        <f>(21.213+0.75*(2.9+2.1))*10.764</f>
        <v>268.70173199999999</v>
      </c>
      <c r="E166" s="54">
        <f>(3*3.3+2*1.5+1*1)*(10.764)</f>
        <v>149.61959999999996</v>
      </c>
      <c r="F166" s="40">
        <f t="shared" si="12"/>
        <v>477.86239799999998</v>
      </c>
      <c r="G166" s="73"/>
      <c r="H166" s="74"/>
      <c r="I166" s="34"/>
    </row>
    <row r="167" spans="1:13" s="35" customFormat="1" ht="15.75" customHeight="1" x14ac:dyDescent="0.35">
      <c r="A167" s="69">
        <v>1704</v>
      </c>
      <c r="B167" s="70"/>
      <c r="C167" s="48">
        <v>0</v>
      </c>
      <c r="D167" s="54">
        <f>(22.76+0.75*(2.15))*10.764</f>
        <v>262.34559000000002</v>
      </c>
      <c r="E167" s="54">
        <f>(3*2.75+1*1.4+2.9*1.3)*(10.764)</f>
        <v>144.45287999999999</v>
      </c>
      <c r="F167" s="40">
        <f t="shared" si="12"/>
        <v>465.74482499999999</v>
      </c>
      <c r="G167" s="73"/>
      <c r="H167" s="74"/>
      <c r="I167" s="34"/>
    </row>
    <row r="168" spans="1:13" s="35" customFormat="1" ht="15.75" customHeight="1" x14ac:dyDescent="0.35">
      <c r="A168" s="69">
        <v>1705</v>
      </c>
      <c r="B168" s="70"/>
      <c r="C168" s="48">
        <v>0</v>
      </c>
      <c r="D168" s="54">
        <f>(24.32+0.75*(2.15))*10.764</f>
        <v>279.13742999999999</v>
      </c>
      <c r="E168" s="54">
        <f>(3*3+2*2.75+2.9*1.3)*(10.764)</f>
        <v>196.65827999999999</v>
      </c>
      <c r="F168" s="40">
        <f t="shared" si="12"/>
        <v>517.03528499999993</v>
      </c>
      <c r="G168" s="73"/>
      <c r="H168" s="74"/>
      <c r="I168" s="34"/>
    </row>
    <row r="169" spans="1:13" s="35" customFormat="1" ht="15.75" customHeight="1" x14ac:dyDescent="0.35">
      <c r="A169" s="69">
        <v>1706</v>
      </c>
      <c r="B169" s="70"/>
      <c r="C169" s="48">
        <v>0</v>
      </c>
      <c r="D169" s="54">
        <f>(29.479)*10.764</f>
        <v>317.31195599999995</v>
      </c>
      <c r="E169" s="54">
        <f>(2.75*3.2+2.9*1.3)*(10.764)</f>
        <v>135.30348000000001</v>
      </c>
      <c r="F169" s="40">
        <f t="shared" si="12"/>
        <v>543.61967399999992</v>
      </c>
      <c r="G169" s="73"/>
      <c r="H169" s="74"/>
      <c r="I169" s="34"/>
    </row>
    <row r="170" spans="1:13" s="35" customFormat="1" ht="15.75" customHeight="1" x14ac:dyDescent="0.35">
      <c r="A170" s="69">
        <v>1707</v>
      </c>
      <c r="B170" s="70"/>
      <c r="C170" s="48">
        <v>0</v>
      </c>
      <c r="D170" s="54">
        <f>(23.662+0.75*(2.9))*10.764</f>
        <v>278.10946799999999</v>
      </c>
      <c r="E170" s="54">
        <f>(3*4.7)*(10.764)</f>
        <v>151.7724</v>
      </c>
      <c r="F170" s="40">
        <f t="shared" si="12"/>
        <v>493.05040199999996</v>
      </c>
      <c r="G170" s="75"/>
      <c r="H170" s="76"/>
      <c r="I170" s="34"/>
    </row>
    <row r="171" spans="1:13" s="33" customFormat="1" x14ac:dyDescent="0.35">
      <c r="A171" s="185" t="s">
        <v>71</v>
      </c>
      <c r="B171" s="185"/>
      <c r="C171" s="185"/>
      <c r="D171" s="185"/>
      <c r="E171" s="185"/>
      <c r="F171" s="185"/>
      <c r="G171" s="185"/>
      <c r="H171" s="185"/>
      <c r="M171" s="33" t="s">
        <v>229</v>
      </c>
    </row>
    <row r="172" spans="1:13" s="52" customFormat="1" x14ac:dyDescent="0.35">
      <c r="A172" s="51" t="s">
        <v>156</v>
      </c>
      <c r="B172" s="77" t="s">
        <v>230</v>
      </c>
      <c r="C172" s="78"/>
      <c r="D172" s="78"/>
      <c r="E172" s="78"/>
      <c r="F172" s="78"/>
      <c r="G172" s="78"/>
      <c r="H172" s="79"/>
      <c r="I172" s="62" t="s">
        <v>228</v>
      </c>
    </row>
    <row r="173" spans="1:13" s="33" customFormat="1" x14ac:dyDescent="0.35">
      <c r="A173" s="44" t="s">
        <v>156</v>
      </c>
      <c r="B173" s="77" t="str">
        <f>(IF(F127="Saleable area Loading :","We have considered Saleable area of Flats as per our Calculation.","We considered Saleable area of Flat as per Builder area Sheet."))</f>
        <v>We have considered Saleable area of Flats as per our Calculation.</v>
      </c>
      <c r="C173" s="78"/>
      <c r="D173" s="78"/>
      <c r="E173" s="78"/>
      <c r="F173" s="78"/>
      <c r="G173" s="78"/>
      <c r="H173" s="79"/>
    </row>
    <row r="174" spans="1:13" s="33" customFormat="1" x14ac:dyDescent="0.35">
      <c r="A174" s="44" t="s">
        <v>156</v>
      </c>
      <c r="B174" s="77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4" s="78"/>
      <c r="D174" s="78"/>
      <c r="E174" s="78"/>
      <c r="F174" s="78"/>
      <c r="G174" s="78"/>
      <c r="H174" s="79"/>
      <c r="I174" s="63"/>
    </row>
    <row r="175" spans="1:13" s="33" customFormat="1" x14ac:dyDescent="0.35">
      <c r="A175" s="44" t="s">
        <v>156</v>
      </c>
      <c r="B175" s="129" t="s">
        <v>127</v>
      </c>
      <c r="C175" s="130"/>
      <c r="D175" s="130"/>
      <c r="E175" s="130"/>
      <c r="F175" s="130"/>
      <c r="G175" s="130"/>
      <c r="H175" s="131"/>
      <c r="I175" s="61"/>
    </row>
    <row r="176" spans="1:13" s="33" customFormat="1" x14ac:dyDescent="0.35">
      <c r="A176" s="44" t="s">
        <v>156</v>
      </c>
      <c r="B176" s="77" t="s">
        <v>200</v>
      </c>
      <c r="C176" s="78"/>
      <c r="D176" s="78"/>
      <c r="E176" s="78"/>
      <c r="F176" s="78"/>
      <c r="G176" s="78"/>
      <c r="H176" s="79"/>
      <c r="I176" s="61"/>
    </row>
    <row r="177" spans="1:9" s="33" customFormat="1" x14ac:dyDescent="0.35">
      <c r="A177" s="44" t="s">
        <v>156</v>
      </c>
      <c r="B177" s="129" t="s">
        <v>155</v>
      </c>
      <c r="C177" s="130"/>
      <c r="D177" s="130"/>
      <c r="E177" s="130"/>
      <c r="F177" s="130"/>
      <c r="G177" s="130"/>
      <c r="H177" s="131"/>
      <c r="I177" s="61"/>
    </row>
    <row r="178" spans="1:9" s="33" customFormat="1" x14ac:dyDescent="0.35">
      <c r="A178" s="44" t="s">
        <v>156</v>
      </c>
      <c r="B178" s="129" t="s">
        <v>128</v>
      </c>
      <c r="C178" s="130"/>
      <c r="D178" s="130"/>
      <c r="E178" s="130"/>
      <c r="F178" s="130"/>
      <c r="G178" s="130"/>
      <c r="H178" s="131"/>
      <c r="I178" s="61"/>
    </row>
    <row r="179" spans="1:9" s="33" customFormat="1" ht="34.5" customHeight="1" x14ac:dyDescent="0.35">
      <c r="A179" s="44" t="s">
        <v>156</v>
      </c>
      <c r="B179" s="129" t="s">
        <v>157</v>
      </c>
      <c r="C179" s="130"/>
      <c r="D179" s="130"/>
      <c r="E179" s="130"/>
      <c r="F179" s="130"/>
      <c r="G179" s="130"/>
      <c r="H179" s="131"/>
    </row>
    <row r="180" spans="1:9" s="33" customFormat="1" x14ac:dyDescent="0.35">
      <c r="A180" s="44" t="s">
        <v>156</v>
      </c>
      <c r="B180" s="129" t="s">
        <v>129</v>
      </c>
      <c r="C180" s="130"/>
      <c r="D180" s="130"/>
      <c r="E180" s="130"/>
      <c r="F180" s="130"/>
      <c r="G180" s="130"/>
      <c r="H180" s="131"/>
    </row>
    <row r="181" spans="1:9" s="33" customFormat="1" x14ac:dyDescent="0.35">
      <c r="A181" s="44" t="s">
        <v>156</v>
      </c>
      <c r="B181" s="77" t="s">
        <v>217</v>
      </c>
      <c r="C181" s="78"/>
      <c r="D181" s="78"/>
      <c r="E181" s="78"/>
      <c r="F181" s="78"/>
      <c r="G181" s="78"/>
      <c r="H181" s="79"/>
    </row>
    <row r="182" spans="1:9" s="52" customFormat="1" x14ac:dyDescent="0.35">
      <c r="A182" s="51" t="s">
        <v>156</v>
      </c>
      <c r="B182" s="77" t="s">
        <v>218</v>
      </c>
      <c r="C182" s="78"/>
      <c r="D182" s="78"/>
      <c r="E182" s="78"/>
      <c r="F182" s="78"/>
      <c r="G182" s="78"/>
      <c r="H182" s="79"/>
    </row>
    <row r="183" spans="1:9" s="52" customFormat="1" x14ac:dyDescent="0.35">
      <c r="A183" s="51" t="s">
        <v>156</v>
      </c>
      <c r="B183" s="77" t="s">
        <v>214</v>
      </c>
      <c r="C183" s="78"/>
      <c r="D183" s="78"/>
      <c r="E183" s="78"/>
      <c r="F183" s="78"/>
      <c r="G183" s="78"/>
      <c r="H183" s="79"/>
    </row>
    <row r="184" spans="1:9" s="52" customFormat="1" ht="32.25" customHeight="1" x14ac:dyDescent="0.35">
      <c r="A184" s="51" t="s">
        <v>156</v>
      </c>
      <c r="B184" s="77" t="s">
        <v>226</v>
      </c>
      <c r="C184" s="78"/>
      <c r="D184" s="78"/>
      <c r="E184" s="78"/>
      <c r="F184" s="78"/>
      <c r="G184" s="78"/>
      <c r="H184" s="79"/>
    </row>
    <row r="185" spans="1:9" s="52" customFormat="1" x14ac:dyDescent="0.35">
      <c r="A185" s="51" t="s">
        <v>156</v>
      </c>
      <c r="B185" s="77" t="s">
        <v>233</v>
      </c>
      <c r="C185" s="78"/>
      <c r="D185" s="78"/>
      <c r="E185" s="78"/>
      <c r="F185" s="78"/>
      <c r="G185" s="78"/>
      <c r="H185" s="79"/>
    </row>
    <row r="186" spans="1:9" x14ac:dyDescent="0.35">
      <c r="A186" s="98" t="s">
        <v>64</v>
      </c>
      <c r="B186" s="98"/>
      <c r="C186" s="98"/>
      <c r="D186" s="98"/>
      <c r="E186" s="98"/>
      <c r="F186" s="98"/>
      <c r="G186" s="98"/>
      <c r="H186" s="98"/>
    </row>
    <row r="187" spans="1:9" x14ac:dyDescent="0.35">
      <c r="A187" s="90" t="s">
        <v>65</v>
      </c>
      <c r="B187" s="90"/>
      <c r="C187" s="90"/>
      <c r="D187" s="90"/>
      <c r="E187" s="90"/>
      <c r="F187" s="90"/>
      <c r="G187" s="90"/>
      <c r="H187" s="90"/>
    </row>
    <row r="188" spans="1:9" ht="15.75" customHeight="1" x14ac:dyDescent="0.35">
      <c r="A188" s="116" t="s">
        <v>66</v>
      </c>
      <c r="B188" s="116"/>
      <c r="C188" s="116"/>
      <c r="D188" s="116"/>
      <c r="E188" s="116"/>
      <c r="F188" s="116"/>
      <c r="G188" s="116"/>
      <c r="H188" s="116"/>
    </row>
    <row r="189" spans="1:9" x14ac:dyDescent="0.35">
      <c r="A189" s="90" t="s">
        <v>67</v>
      </c>
      <c r="B189" s="90"/>
      <c r="C189" s="90"/>
      <c r="D189" s="90"/>
      <c r="E189" s="90"/>
      <c r="F189" s="90"/>
      <c r="G189" s="90"/>
      <c r="H189" s="90"/>
    </row>
    <row r="190" spans="1:9" x14ac:dyDescent="0.35">
      <c r="A190" s="90" t="s">
        <v>68</v>
      </c>
      <c r="B190" s="90"/>
      <c r="C190" s="90"/>
      <c r="D190" s="90"/>
      <c r="E190" s="90"/>
      <c r="F190" s="90"/>
      <c r="G190" s="90"/>
      <c r="H190" s="90"/>
    </row>
    <row r="191" spans="1:9" x14ac:dyDescent="0.35">
      <c r="A191" s="90" t="s">
        <v>130</v>
      </c>
      <c r="B191" s="90"/>
      <c r="C191" s="90"/>
      <c r="D191" s="90"/>
      <c r="E191" s="90"/>
      <c r="F191" s="90"/>
      <c r="G191" s="90"/>
      <c r="H191" s="90"/>
    </row>
    <row r="192" spans="1:9" ht="35.25" customHeight="1" x14ac:dyDescent="0.35">
      <c r="A192" s="115" t="s">
        <v>131</v>
      </c>
      <c r="B192" s="115"/>
      <c r="C192" s="115"/>
      <c r="D192" s="115"/>
      <c r="E192" s="115"/>
      <c r="F192" s="115"/>
      <c r="G192" s="115"/>
      <c r="H192" s="115"/>
    </row>
    <row r="193" spans="1:8" x14ac:dyDescent="0.35">
      <c r="A193" s="139" t="s">
        <v>80</v>
      </c>
      <c r="B193" s="139"/>
      <c r="C193" s="139" t="s">
        <v>232</v>
      </c>
      <c r="D193" s="139"/>
      <c r="E193" s="139" t="s">
        <v>108</v>
      </c>
      <c r="F193" s="139"/>
      <c r="G193" s="139" t="s">
        <v>231</v>
      </c>
      <c r="H193" s="139"/>
    </row>
    <row r="194" spans="1:8" x14ac:dyDescent="0.35">
      <c r="A194" s="138" t="s">
        <v>82</v>
      </c>
      <c r="B194" s="138"/>
      <c r="C194" s="138"/>
      <c r="D194" s="138"/>
      <c r="E194" s="138"/>
      <c r="F194" s="138"/>
      <c r="G194" s="138"/>
      <c r="H194" s="138"/>
    </row>
    <row r="195" spans="1:8" x14ac:dyDescent="0.35">
      <c r="A195" s="138"/>
      <c r="B195" s="138"/>
      <c r="C195" s="138"/>
      <c r="D195" s="138"/>
      <c r="E195" s="138"/>
      <c r="F195" s="138"/>
      <c r="G195" s="138"/>
      <c r="H195" s="138"/>
    </row>
    <row r="196" spans="1:8" x14ac:dyDescent="0.35">
      <c r="A196" s="138"/>
      <c r="B196" s="138"/>
      <c r="C196" s="138"/>
      <c r="D196" s="138"/>
      <c r="E196" s="138"/>
      <c r="F196" s="138"/>
      <c r="G196" s="138"/>
      <c r="H196" s="138"/>
    </row>
    <row r="197" spans="1:8" x14ac:dyDescent="0.35">
      <c r="A197" s="138"/>
      <c r="B197" s="138"/>
      <c r="C197" s="138"/>
      <c r="D197" s="138"/>
      <c r="E197" s="138"/>
      <c r="F197" s="138"/>
      <c r="G197" s="138"/>
      <c r="H197" s="138"/>
    </row>
    <row r="198" spans="1:8" x14ac:dyDescent="0.35">
      <c r="A198" s="36" t="s">
        <v>69</v>
      </c>
      <c r="B198" s="37"/>
      <c r="C198" s="37"/>
      <c r="D198" s="36" t="str">
        <f>E8</f>
        <v>Millennium Urbania</v>
      </c>
      <c r="F198" s="37"/>
      <c r="G198" s="37"/>
      <c r="H198" s="37"/>
    </row>
    <row r="199" spans="1:8" x14ac:dyDescent="0.35">
      <c r="A199" s="37"/>
      <c r="B199" s="37"/>
      <c r="C199" s="37"/>
      <c r="D199" s="37"/>
      <c r="E199" s="37"/>
      <c r="F199" s="37"/>
      <c r="G199" s="37"/>
      <c r="H199" s="37"/>
    </row>
    <row r="200" spans="1:8" x14ac:dyDescent="0.35">
      <c r="A200" s="37"/>
      <c r="B200" s="37"/>
      <c r="C200" s="37"/>
      <c r="D200" s="37"/>
      <c r="E200" s="37"/>
      <c r="F200" s="37"/>
      <c r="G200" s="37"/>
      <c r="H200" s="37"/>
    </row>
    <row r="201" spans="1:8" ht="15" customHeight="1" x14ac:dyDescent="0.35"/>
    <row r="241" spans="1:8" x14ac:dyDescent="0.35">
      <c r="A241" s="39" t="s">
        <v>70</v>
      </c>
      <c r="B241" s="19"/>
      <c r="C241" s="19"/>
      <c r="D241" s="19"/>
      <c r="E241" s="19"/>
      <c r="F241" s="19"/>
      <c r="G241" s="19"/>
      <c r="H241" s="19"/>
    </row>
  </sheetData>
  <mergeCells count="339">
    <mergeCell ref="B185:H185"/>
    <mergeCell ref="B177:H177"/>
    <mergeCell ref="A171:H171"/>
    <mergeCell ref="A135:B135"/>
    <mergeCell ref="A136:B136"/>
    <mergeCell ref="L115:M115"/>
    <mergeCell ref="A152:B152"/>
    <mergeCell ref="A149:B149"/>
    <mergeCell ref="A150:B150"/>
    <mergeCell ref="A132:B132"/>
    <mergeCell ref="A133:B133"/>
    <mergeCell ref="L116:M116"/>
    <mergeCell ref="A117:B117"/>
    <mergeCell ref="L117:M117"/>
    <mergeCell ref="A118:B118"/>
    <mergeCell ref="L118:M118"/>
    <mergeCell ref="A126:H126"/>
    <mergeCell ref="A127:A128"/>
    <mergeCell ref="B175:H175"/>
    <mergeCell ref="B176:H176"/>
    <mergeCell ref="B172:H172"/>
    <mergeCell ref="B173:H173"/>
    <mergeCell ref="A131:H131"/>
    <mergeCell ref="C127:C128"/>
    <mergeCell ref="A116:B116"/>
    <mergeCell ref="L110:M110"/>
    <mergeCell ref="A111:B111"/>
    <mergeCell ref="L111:M111"/>
    <mergeCell ref="A112:B112"/>
    <mergeCell ref="L112:M112"/>
    <mergeCell ref="A113:B113"/>
    <mergeCell ref="L113:M113"/>
    <mergeCell ref="L114:M114"/>
    <mergeCell ref="A82:E82"/>
    <mergeCell ref="E95:F95"/>
    <mergeCell ref="B102:B103"/>
    <mergeCell ref="A102:A103"/>
    <mergeCell ref="A87:E87"/>
    <mergeCell ref="A84:E84"/>
    <mergeCell ref="F83:H83"/>
    <mergeCell ref="F89:H89"/>
    <mergeCell ref="A90:E90"/>
    <mergeCell ref="A99:B99"/>
    <mergeCell ref="A105:B105"/>
    <mergeCell ref="A106:B106"/>
    <mergeCell ref="A107:B107"/>
    <mergeCell ref="A114:B114"/>
    <mergeCell ref="A85:E85"/>
    <mergeCell ref="F85:H85"/>
    <mergeCell ref="A110:B110"/>
    <mergeCell ref="A115:B115"/>
    <mergeCell ref="A15:B15"/>
    <mergeCell ref="C15:H15"/>
    <mergeCell ref="A37:B37"/>
    <mergeCell ref="C37:H37"/>
    <mergeCell ref="A46:B46"/>
    <mergeCell ref="C46:H46"/>
    <mergeCell ref="F86:H86"/>
    <mergeCell ref="A80:E80"/>
    <mergeCell ref="A104:H104"/>
    <mergeCell ref="E102:E103"/>
    <mergeCell ref="G102:H103"/>
    <mergeCell ref="F79:H79"/>
    <mergeCell ref="F84:H84"/>
    <mergeCell ref="C102:C103"/>
    <mergeCell ref="E94:F94"/>
    <mergeCell ref="A94:B94"/>
    <mergeCell ref="F87:H87"/>
    <mergeCell ref="C94:D94"/>
    <mergeCell ref="F90:H90"/>
    <mergeCell ref="F88:H88"/>
    <mergeCell ref="F81:H81"/>
    <mergeCell ref="A109:B109"/>
    <mergeCell ref="E41:H41"/>
    <mergeCell ref="E42:H42"/>
    <mergeCell ref="E43:H43"/>
    <mergeCell ref="E44:H44"/>
    <mergeCell ref="A42:D42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59:C59"/>
    <mergeCell ref="A54:C54"/>
    <mergeCell ref="A55:C55"/>
    <mergeCell ref="D55:H55"/>
    <mergeCell ref="G51:H51"/>
    <mergeCell ref="A51:B52"/>
    <mergeCell ref="C52:H52"/>
    <mergeCell ref="D62:H62"/>
    <mergeCell ref="D102:D103"/>
    <mergeCell ref="A86:E86"/>
    <mergeCell ref="A35:H35"/>
    <mergeCell ref="A34:B34"/>
    <mergeCell ref="C34:E34"/>
    <mergeCell ref="A39:D39"/>
    <mergeCell ref="E39:H39"/>
    <mergeCell ref="F31:H31"/>
    <mergeCell ref="F32:H32"/>
    <mergeCell ref="A38:H38"/>
    <mergeCell ref="A58:C58"/>
    <mergeCell ref="F34:H34"/>
    <mergeCell ref="A36:B36"/>
    <mergeCell ref="E36:F36"/>
    <mergeCell ref="C36:D36"/>
    <mergeCell ref="G36:H36"/>
    <mergeCell ref="A43:D43"/>
    <mergeCell ref="A44:D44"/>
    <mergeCell ref="A45:H45"/>
    <mergeCell ref="D56:H56"/>
    <mergeCell ref="A56:C56"/>
    <mergeCell ref="G48:H48"/>
    <mergeCell ref="A49:B50"/>
    <mergeCell ref="A41:D41"/>
    <mergeCell ref="E40:H40"/>
    <mergeCell ref="A40:D40"/>
    <mergeCell ref="A47:B4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4:H197"/>
    <mergeCell ref="A193:B193"/>
    <mergeCell ref="E193:F193"/>
    <mergeCell ref="C193:D193"/>
    <mergeCell ref="G193:H193"/>
    <mergeCell ref="A93:H93"/>
    <mergeCell ref="A91:E91"/>
    <mergeCell ref="F91:H91"/>
    <mergeCell ref="A92:E92"/>
    <mergeCell ref="F92:H92"/>
    <mergeCell ref="A147:H147"/>
    <mergeCell ref="A98:B98"/>
    <mergeCell ref="A95:B95"/>
    <mergeCell ref="A189:H189"/>
    <mergeCell ref="A96:H96"/>
    <mergeCell ref="A192:H192"/>
    <mergeCell ref="A190:H190"/>
    <mergeCell ref="C95:D95"/>
    <mergeCell ref="C98:D98"/>
    <mergeCell ref="E98:F98"/>
    <mergeCell ref="G98:H98"/>
    <mergeCell ref="A108:B108"/>
    <mergeCell ref="G97:H97"/>
    <mergeCell ref="B179:H179"/>
    <mergeCell ref="D58:H58"/>
    <mergeCell ref="A101:H101"/>
    <mergeCell ref="A69:B69"/>
    <mergeCell ref="G68:H68"/>
    <mergeCell ref="A72:B72"/>
    <mergeCell ref="E68:F68"/>
    <mergeCell ref="A61:C61"/>
    <mergeCell ref="D61:H61"/>
    <mergeCell ref="A64:C64"/>
    <mergeCell ref="D64:H64"/>
    <mergeCell ref="A63:C63"/>
    <mergeCell ref="D63:H63"/>
    <mergeCell ref="A83:E83"/>
    <mergeCell ref="A81:E81"/>
    <mergeCell ref="F82:H82"/>
    <mergeCell ref="A79:E79"/>
    <mergeCell ref="A191:H191"/>
    <mergeCell ref="A188:H188"/>
    <mergeCell ref="A148:B148"/>
    <mergeCell ref="A97:B97"/>
    <mergeCell ref="D127:D128"/>
    <mergeCell ref="E127:E128"/>
    <mergeCell ref="G127:H128"/>
    <mergeCell ref="A74:B74"/>
    <mergeCell ref="F80:H80"/>
    <mergeCell ref="G95:H95"/>
    <mergeCell ref="A153:B153"/>
    <mergeCell ref="A154:B154"/>
    <mergeCell ref="G148:H154"/>
    <mergeCell ref="B182:H182"/>
    <mergeCell ref="A125:B125"/>
    <mergeCell ref="A186:H186"/>
    <mergeCell ref="A187:H187"/>
    <mergeCell ref="E97:F97"/>
    <mergeCell ref="B180:H180"/>
    <mergeCell ref="B181:H181"/>
    <mergeCell ref="B178:H178"/>
    <mergeCell ref="B174:H174"/>
    <mergeCell ref="A100:H100"/>
    <mergeCell ref="B127:B128"/>
    <mergeCell ref="L109:M109"/>
    <mergeCell ref="C47:E47"/>
    <mergeCell ref="G47:H47"/>
    <mergeCell ref="G49:H49"/>
    <mergeCell ref="D54:H54"/>
    <mergeCell ref="C49:E49"/>
    <mergeCell ref="A57:C57"/>
    <mergeCell ref="D57:H57"/>
    <mergeCell ref="C48:E48"/>
    <mergeCell ref="C51:E51"/>
    <mergeCell ref="A48:B48"/>
    <mergeCell ref="A53:H53"/>
    <mergeCell ref="C50:H50"/>
    <mergeCell ref="C97:D97"/>
    <mergeCell ref="E69:F78"/>
    <mergeCell ref="G69:H78"/>
    <mergeCell ref="A77:B77"/>
    <mergeCell ref="A78:B78"/>
    <mergeCell ref="D59:H59"/>
    <mergeCell ref="A76:B76"/>
    <mergeCell ref="G94:H94"/>
    <mergeCell ref="A89:E89"/>
    <mergeCell ref="A88:E88"/>
    <mergeCell ref="A62:C62"/>
    <mergeCell ref="B183:H183"/>
    <mergeCell ref="L125:M125"/>
    <mergeCell ref="G105:H125"/>
    <mergeCell ref="A129:H129"/>
    <mergeCell ref="A130:H130"/>
    <mergeCell ref="A137:B137"/>
    <mergeCell ref="A138:B138"/>
    <mergeCell ref="G132:H138"/>
    <mergeCell ref="A122:B122"/>
    <mergeCell ref="L122:M122"/>
    <mergeCell ref="A123:B123"/>
    <mergeCell ref="L123:M123"/>
    <mergeCell ref="A124:B124"/>
    <mergeCell ref="L124:M124"/>
    <mergeCell ref="A119:B119"/>
    <mergeCell ref="L119:M119"/>
    <mergeCell ref="A120:B120"/>
    <mergeCell ref="L120:M120"/>
    <mergeCell ref="A121:B121"/>
    <mergeCell ref="L121:M121"/>
    <mergeCell ref="L108:M108"/>
    <mergeCell ref="L107:M107"/>
    <mergeCell ref="L106:M106"/>
    <mergeCell ref="L105:M105"/>
    <mergeCell ref="B184:H184"/>
    <mergeCell ref="C99:D99"/>
    <mergeCell ref="E99:F99"/>
    <mergeCell ref="G99:H99"/>
    <mergeCell ref="A163:H163"/>
    <mergeCell ref="A164:B164"/>
    <mergeCell ref="G164:H170"/>
    <mergeCell ref="A165:B165"/>
    <mergeCell ref="A166:B166"/>
    <mergeCell ref="A167:B167"/>
    <mergeCell ref="A168:B168"/>
    <mergeCell ref="A169:B169"/>
    <mergeCell ref="A170:B170"/>
    <mergeCell ref="A151:B151"/>
    <mergeCell ref="A155:H155"/>
    <mergeCell ref="A156:B156"/>
    <mergeCell ref="G156:H162"/>
    <mergeCell ref="A157:B157"/>
    <mergeCell ref="A158:B158"/>
    <mergeCell ref="A159:B159"/>
    <mergeCell ref="A160:B160"/>
    <mergeCell ref="A161:B161"/>
    <mergeCell ref="A162:B162"/>
    <mergeCell ref="A134:B134"/>
    <mergeCell ref="A139:H139"/>
    <mergeCell ref="A140:B140"/>
    <mergeCell ref="G140:H146"/>
    <mergeCell ref="A141:B141"/>
    <mergeCell ref="A142:B142"/>
    <mergeCell ref="A143:B143"/>
    <mergeCell ref="A144:B144"/>
    <mergeCell ref="A145:B145"/>
    <mergeCell ref="A146:B146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4" max="16383" man="1"/>
    <brk id="197" max="16383" man="1"/>
    <brk id="24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4" zoomScale="85" zoomScaleNormal="85" workbookViewId="0">
      <selection activeCell="O44" sqref="O44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7" t="s">
        <v>109</v>
      </c>
      <c r="C3" s="187"/>
      <c r="D3" s="187"/>
      <c r="E3" s="187"/>
      <c r="F3" s="187"/>
      <c r="G3" s="187"/>
      <c r="H3" s="187"/>
    </row>
    <row r="4" spans="1:9" x14ac:dyDescent="0.35">
      <c r="A4" s="2"/>
      <c r="B4" s="3" t="s">
        <v>110</v>
      </c>
      <c r="C4" s="3" t="s">
        <v>111</v>
      </c>
      <c r="D4" s="3" t="s">
        <v>72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"/>
  <sheetViews>
    <sheetView zoomScale="145" zoomScaleNormal="145" workbookViewId="0">
      <selection activeCell="F7" sqref="F7"/>
    </sheetView>
  </sheetViews>
  <sheetFormatPr defaultRowHeight="14.5" x14ac:dyDescent="0.35"/>
  <sheetData>
    <row r="2" spans="3:3" x14ac:dyDescent="0.35">
      <c r="C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2025-09-26T14:50:49Z</cp:lastPrinted>
  <dcterms:created xsi:type="dcterms:W3CDTF">2019-07-16T09:29:46Z</dcterms:created>
  <dcterms:modified xsi:type="dcterms:W3CDTF">2025-09-26T14:51:15Z</dcterms:modified>
</cp:coreProperties>
</file>