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VSJCV\Making\AXIS\2025-26\Axis\APF Old\Sept 2025\25-09-2025\"/>
    </mc:Choice>
  </mc:AlternateContent>
  <bookViews>
    <workbookView xWindow="0" yWindow="0" windowWidth="19200" windowHeight="6640" tabRatio="725"/>
  </bookViews>
  <sheets>
    <sheet name="Report" sheetId="1" r:id="rId1"/>
    <sheet name="valuation" sheetId="5" r:id="rId2"/>
    <sheet name="Research" sheetId="4" r:id="rId3"/>
    <sheet name="Remarks" sheetId="6" r:id="rId4"/>
  </sheets>
  <definedNames>
    <definedName name="_xlnm.Print_Area" localSheetId="0">Report!$A$1:$H$452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81" i="1" l="1"/>
  <c r="C75" i="1" l="1"/>
  <c r="I65" i="1" l="1"/>
  <c r="A145" i="1"/>
  <c r="E261" i="1" l="1"/>
  <c r="D261" i="1"/>
  <c r="E260" i="1"/>
  <c r="D260" i="1"/>
  <c r="E259" i="1"/>
  <c r="D259" i="1"/>
  <c r="E258" i="1"/>
  <c r="D258" i="1"/>
  <c r="E257" i="1"/>
  <c r="D257" i="1"/>
  <c r="E254" i="1"/>
  <c r="D254" i="1"/>
  <c r="E253" i="1"/>
  <c r="D253" i="1"/>
  <c r="E252" i="1"/>
  <c r="D252" i="1"/>
  <c r="E251" i="1"/>
  <c r="D251" i="1"/>
  <c r="E250" i="1"/>
  <c r="D250" i="1"/>
  <c r="E249" i="1"/>
  <c r="D249" i="1"/>
  <c r="E248" i="1"/>
  <c r="D248" i="1"/>
  <c r="E247" i="1"/>
  <c r="D247" i="1"/>
  <c r="E245" i="1"/>
  <c r="D245" i="1"/>
  <c r="E244" i="1"/>
  <c r="D244" i="1"/>
  <c r="E243" i="1"/>
  <c r="D243" i="1"/>
  <c r="E242" i="1"/>
  <c r="D242" i="1"/>
  <c r="E241" i="1"/>
  <c r="D241" i="1"/>
  <c r="E240" i="1"/>
  <c r="D240" i="1"/>
  <c r="E239" i="1"/>
  <c r="D239" i="1"/>
  <c r="E238" i="1"/>
  <c r="D238" i="1"/>
  <c r="E237" i="1"/>
  <c r="D237" i="1"/>
  <c r="E236" i="1"/>
  <c r="D236" i="1"/>
  <c r="E235" i="1"/>
  <c r="D235" i="1"/>
  <c r="E234" i="1"/>
  <c r="D234" i="1"/>
  <c r="E233" i="1"/>
  <c r="D233" i="1"/>
  <c r="E232" i="1"/>
  <c r="D232" i="1"/>
  <c r="E231" i="1"/>
  <c r="D231" i="1"/>
  <c r="E178" i="1"/>
  <c r="D178" i="1"/>
  <c r="F178" i="1" s="1"/>
  <c r="E197" i="1"/>
  <c r="D197" i="1"/>
  <c r="D229" i="1"/>
  <c r="E229" i="1"/>
  <c r="E213" i="1"/>
  <c r="D213" i="1"/>
  <c r="E225" i="1"/>
  <c r="D225" i="1"/>
  <c r="E228" i="1"/>
  <c r="D228" i="1"/>
  <c r="E227" i="1"/>
  <c r="D227" i="1"/>
  <c r="E226" i="1"/>
  <c r="D226" i="1"/>
  <c r="E222" i="1"/>
  <c r="D222" i="1"/>
  <c r="E221" i="1"/>
  <c r="D221" i="1"/>
  <c r="E220" i="1"/>
  <c r="D220" i="1"/>
  <c r="E219" i="1"/>
  <c r="D219" i="1"/>
  <c r="E218" i="1"/>
  <c r="D218" i="1"/>
  <c r="E217" i="1"/>
  <c r="D217" i="1"/>
  <c r="E216" i="1"/>
  <c r="D216" i="1"/>
  <c r="E215" i="1"/>
  <c r="D215" i="1"/>
  <c r="E212" i="1"/>
  <c r="D212" i="1"/>
  <c r="E211" i="1"/>
  <c r="D211" i="1"/>
  <c r="E210" i="1"/>
  <c r="D210" i="1"/>
  <c r="E209" i="1"/>
  <c r="D209" i="1"/>
  <c r="E208" i="1"/>
  <c r="D208" i="1"/>
  <c r="E207" i="1"/>
  <c r="D207" i="1"/>
  <c r="E206" i="1"/>
  <c r="D206" i="1"/>
  <c r="E205" i="1"/>
  <c r="D205" i="1"/>
  <c r="E204" i="1"/>
  <c r="D204" i="1"/>
  <c r="E203" i="1"/>
  <c r="D203" i="1"/>
  <c r="E201" i="1"/>
  <c r="E200" i="1"/>
  <c r="D201" i="1"/>
  <c r="D200" i="1"/>
  <c r="E196" i="1"/>
  <c r="E195" i="1"/>
  <c r="E194" i="1"/>
  <c r="E193" i="1"/>
  <c r="E190" i="1"/>
  <c r="D190" i="1"/>
  <c r="E189" i="1"/>
  <c r="D189" i="1"/>
  <c r="E188" i="1"/>
  <c r="D188" i="1"/>
  <c r="E187" i="1"/>
  <c r="D187" i="1"/>
  <c r="E186" i="1"/>
  <c r="E185" i="1"/>
  <c r="E183" i="1"/>
  <c r="E181" i="1"/>
  <c r="E182" i="1"/>
  <c r="E180" i="1"/>
  <c r="E177" i="1"/>
  <c r="D177" i="1"/>
  <c r="E176" i="1"/>
  <c r="D176" i="1"/>
  <c r="E175" i="1"/>
  <c r="D175" i="1"/>
  <c r="E174" i="1"/>
  <c r="D174" i="1"/>
  <c r="E173" i="1"/>
  <c r="D173" i="1"/>
  <c r="E172" i="1"/>
  <c r="D172" i="1"/>
  <c r="E171" i="1"/>
  <c r="D171" i="1"/>
  <c r="E170" i="1"/>
  <c r="D170" i="1"/>
  <c r="E169" i="1"/>
  <c r="D169" i="1"/>
  <c r="E168" i="1"/>
  <c r="D168" i="1"/>
  <c r="E167" i="1"/>
  <c r="D167" i="1"/>
  <c r="E166" i="1"/>
  <c r="D166" i="1"/>
  <c r="E165" i="1"/>
  <c r="D165" i="1"/>
  <c r="E164" i="1"/>
  <c r="D164" i="1"/>
  <c r="E162" i="1"/>
  <c r="D162" i="1"/>
  <c r="E161" i="1"/>
  <c r="D161" i="1"/>
  <c r="E160" i="1"/>
  <c r="D160" i="1"/>
  <c r="E159" i="1"/>
  <c r="D159" i="1"/>
  <c r="E158" i="1"/>
  <c r="D158" i="1"/>
  <c r="E156" i="1"/>
  <c r="D156" i="1"/>
  <c r="E155" i="1"/>
  <c r="D155" i="1"/>
  <c r="E154" i="1"/>
  <c r="D154" i="1"/>
  <c r="E153" i="1"/>
  <c r="D153" i="1"/>
  <c r="E152" i="1"/>
  <c r="D152" i="1"/>
  <c r="E151" i="1"/>
  <c r="D151" i="1"/>
  <c r="E149" i="1"/>
  <c r="D149" i="1"/>
  <c r="F259" i="1" l="1"/>
  <c r="H259" i="1" s="1"/>
  <c r="F253" i="1"/>
  <c r="H253" i="1" s="1"/>
  <c r="A248" i="1"/>
  <c r="A249" i="1" s="1"/>
  <c r="A250" i="1" s="1"/>
  <c r="A251" i="1" s="1"/>
  <c r="A252" i="1" s="1"/>
  <c r="A253" i="1" s="1"/>
  <c r="A254" i="1" s="1"/>
  <c r="A255" i="1" s="1"/>
  <c r="A256" i="1" s="1"/>
  <c r="A257" i="1" s="1"/>
  <c r="A258" i="1" s="1"/>
  <c r="A259" i="1" s="1"/>
  <c r="A260" i="1" s="1"/>
  <c r="A261" i="1" s="1"/>
  <c r="F247" i="1"/>
  <c r="H247" i="1" s="1"/>
  <c r="F244" i="1"/>
  <c r="H244" i="1" s="1"/>
  <c r="F242" i="1"/>
  <c r="H242" i="1" s="1"/>
  <c r="F238" i="1"/>
  <c r="H238" i="1" s="1"/>
  <c r="F236" i="1"/>
  <c r="H236" i="1" s="1"/>
  <c r="F235" i="1"/>
  <c r="H235" i="1" s="1"/>
  <c r="A232" i="1"/>
  <c r="A233" i="1" s="1"/>
  <c r="A234" i="1" s="1"/>
  <c r="A235" i="1" s="1"/>
  <c r="A236" i="1" s="1"/>
  <c r="A237" i="1" s="1"/>
  <c r="A238" i="1" s="1"/>
  <c r="A239" i="1" s="1"/>
  <c r="A240" i="1" s="1"/>
  <c r="A241" i="1" s="1"/>
  <c r="A242" i="1" s="1"/>
  <c r="A243" i="1" s="1"/>
  <c r="A244" i="1" s="1"/>
  <c r="A245" i="1" s="1"/>
  <c r="F231" i="1"/>
  <c r="H231" i="1" s="1"/>
  <c r="F229" i="1"/>
  <c r="H229" i="1" s="1"/>
  <c r="F227" i="1"/>
  <c r="H227" i="1" s="1"/>
  <c r="F221" i="1"/>
  <c r="H221" i="1" s="1"/>
  <c r="F219" i="1"/>
  <c r="H219" i="1" s="1"/>
  <c r="F217" i="1"/>
  <c r="H217" i="1" s="1"/>
  <c r="A216" i="1"/>
  <c r="A217" i="1" s="1"/>
  <c r="A218" i="1" s="1"/>
  <c r="A219" i="1" s="1"/>
  <c r="A220" i="1" s="1"/>
  <c r="A221" i="1" s="1"/>
  <c r="A222" i="1" s="1"/>
  <c r="A223" i="1" s="1"/>
  <c r="A224" i="1" s="1"/>
  <c r="A225" i="1" s="1"/>
  <c r="A226" i="1" s="1"/>
  <c r="A227" i="1" s="1"/>
  <c r="A228" i="1" s="1"/>
  <c r="A229" i="1" s="1"/>
  <c r="E199" i="1"/>
  <c r="D202" i="1"/>
  <c r="D199" i="1"/>
  <c r="D186" i="1"/>
  <c r="D185" i="1"/>
  <c r="E184" i="1"/>
  <c r="D184" i="1"/>
  <c r="D183" i="1"/>
  <c r="D182" i="1"/>
  <c r="D181" i="1"/>
  <c r="D180" i="1"/>
  <c r="D196" i="1"/>
  <c r="D195" i="1"/>
  <c r="D194" i="1"/>
  <c r="D193" i="1"/>
  <c r="F226" i="1" l="1"/>
  <c r="H226" i="1" s="1"/>
  <c r="F232" i="1"/>
  <c r="H232" i="1" s="1"/>
  <c r="F252" i="1"/>
  <c r="H252" i="1" s="1"/>
  <c r="F258" i="1"/>
  <c r="H258" i="1" s="1"/>
  <c r="F261" i="1"/>
  <c r="H261" i="1" s="1"/>
  <c r="F218" i="1"/>
  <c r="H218" i="1" s="1"/>
  <c r="F241" i="1"/>
  <c r="H241" i="1" s="1"/>
  <c r="F243" i="1"/>
  <c r="H243" i="1" s="1"/>
  <c r="F245" i="1"/>
  <c r="H245" i="1" s="1"/>
  <c r="F249" i="1"/>
  <c r="H249" i="1" s="1"/>
  <c r="F250" i="1"/>
  <c r="H250" i="1" s="1"/>
  <c r="F197" i="1"/>
  <c r="H197" i="1" s="1"/>
  <c r="F216" i="1"/>
  <c r="H216" i="1" s="1"/>
  <c r="F228" i="1"/>
  <c r="H228" i="1" s="1"/>
  <c r="F240" i="1"/>
  <c r="H240" i="1" s="1"/>
  <c r="F251" i="1"/>
  <c r="H251" i="1" s="1"/>
  <c r="F254" i="1"/>
  <c r="H254" i="1" s="1"/>
  <c r="F222" i="1"/>
  <c r="H222" i="1" s="1"/>
  <c r="F257" i="1"/>
  <c r="H257" i="1" s="1"/>
  <c r="F215" i="1"/>
  <c r="H215" i="1" s="1"/>
  <c r="F220" i="1"/>
  <c r="H220" i="1" s="1"/>
  <c r="F225" i="1"/>
  <c r="H225" i="1" s="1"/>
  <c r="F234" i="1"/>
  <c r="H234" i="1" s="1"/>
  <c r="F237" i="1"/>
  <c r="H237" i="1" s="1"/>
  <c r="F239" i="1"/>
  <c r="H239" i="1" s="1"/>
  <c r="F248" i="1"/>
  <c r="H248" i="1" s="1"/>
  <c r="F260" i="1"/>
  <c r="H260" i="1" s="1"/>
  <c r="F233" i="1"/>
  <c r="H233" i="1" s="1"/>
  <c r="F195" i="1"/>
  <c r="H195" i="1" s="1"/>
  <c r="F196" i="1"/>
  <c r="H196" i="1" s="1"/>
  <c r="F185" i="1"/>
  <c r="H185" i="1" s="1"/>
  <c r="F188" i="1"/>
  <c r="H188" i="1" s="1"/>
  <c r="F193" i="1"/>
  <c r="H193" i="1" s="1"/>
  <c r="F183" i="1"/>
  <c r="H183" i="1" s="1"/>
  <c r="F194" i="1"/>
  <c r="H194" i="1" s="1"/>
  <c r="F190" i="1"/>
  <c r="H190" i="1" s="1"/>
  <c r="F189" i="1"/>
  <c r="H189" i="1" s="1"/>
  <c r="F187" i="1"/>
  <c r="H187" i="1" s="1"/>
  <c r="F186" i="1"/>
  <c r="H186" i="1" s="1"/>
  <c r="F184" i="1"/>
  <c r="H184" i="1" s="1"/>
  <c r="F182" i="1"/>
  <c r="H182" i="1" s="1"/>
  <c r="A188" i="1"/>
  <c r="A189" i="1" s="1"/>
  <c r="A190" i="1" s="1"/>
  <c r="A191" i="1" s="1"/>
  <c r="A192" i="1" s="1"/>
  <c r="A193" i="1" s="1"/>
  <c r="A194" i="1" s="1"/>
  <c r="A195" i="1" s="1"/>
  <c r="A196" i="1" s="1"/>
  <c r="A197" i="1" s="1"/>
  <c r="F181" i="1"/>
  <c r="H181" i="1" s="1"/>
  <c r="F180" i="1"/>
  <c r="H180" i="1" s="1"/>
  <c r="D138" i="1"/>
  <c r="D137" i="1" l="1"/>
  <c r="C51" i="1"/>
  <c r="E202" i="1" l="1"/>
  <c r="F210" i="1"/>
  <c r="A200" i="1"/>
  <c r="A201" i="1" s="1"/>
  <c r="A202" i="1" s="1"/>
  <c r="A203" i="1" s="1"/>
  <c r="A204" i="1" s="1"/>
  <c r="A205" i="1" s="1"/>
  <c r="A206" i="1" s="1"/>
  <c r="A207" i="1" s="1"/>
  <c r="A208" i="1" s="1"/>
  <c r="A209" i="1" s="1"/>
  <c r="A210" i="1" s="1"/>
  <c r="A211" i="1" s="1"/>
  <c r="A212" i="1" s="1"/>
  <c r="A213" i="1" s="1"/>
  <c r="A165" i="1"/>
  <c r="A166" i="1" s="1"/>
  <c r="A167" i="1" s="1"/>
  <c r="A168" i="1" s="1"/>
  <c r="A169" i="1" s="1"/>
  <c r="A170" i="1" s="1"/>
  <c r="A171" i="1" s="1"/>
  <c r="A172" i="1" s="1"/>
  <c r="A173" i="1" s="1"/>
  <c r="A174" i="1" s="1"/>
  <c r="A175" i="1" s="1"/>
  <c r="A176" i="1" s="1"/>
  <c r="A177" i="1" s="1"/>
  <c r="A178" i="1" s="1"/>
  <c r="F138" i="1"/>
  <c r="H138" i="1" s="1"/>
  <c r="F137" i="1"/>
  <c r="A138" i="1"/>
  <c r="H137" i="1" l="1"/>
  <c r="G119" i="1" s="1"/>
  <c r="C119" i="1"/>
  <c r="E119" i="1"/>
  <c r="F170" i="1"/>
  <c r="H170" i="1" s="1"/>
  <c r="F203" i="1"/>
  <c r="H203" i="1" s="1"/>
  <c r="F168" i="1"/>
  <c r="H168" i="1" s="1"/>
  <c r="F211" i="1"/>
  <c r="H211" i="1" s="1"/>
  <c r="F202" i="1"/>
  <c r="H202" i="1" s="1"/>
  <c r="F174" i="1"/>
  <c r="H174" i="1" s="1"/>
  <c r="F208" i="1"/>
  <c r="H208" i="1" s="1"/>
  <c r="F162" i="1"/>
  <c r="H162" i="1" s="1"/>
  <c r="F171" i="1"/>
  <c r="H171" i="1" s="1"/>
  <c r="F201" i="1"/>
  <c r="H201" i="1" s="1"/>
  <c r="F199" i="1"/>
  <c r="H199" i="1" s="1"/>
  <c r="F207" i="1"/>
  <c r="H207" i="1" s="1"/>
  <c r="F206" i="1"/>
  <c r="H206" i="1" s="1"/>
  <c r="F204" i="1"/>
  <c r="H204" i="1" s="1"/>
  <c r="F165" i="1"/>
  <c r="H165" i="1" s="1"/>
  <c r="F173" i="1"/>
  <c r="H173" i="1" s="1"/>
  <c r="F200" i="1"/>
  <c r="H200" i="1" s="1"/>
  <c r="F175" i="1"/>
  <c r="F172" i="1"/>
  <c r="H172" i="1" s="1"/>
  <c r="H178" i="1"/>
  <c r="F205" i="1"/>
  <c r="H205" i="1" s="1"/>
  <c r="F209" i="1"/>
  <c r="H209" i="1" s="1"/>
  <c r="F213" i="1"/>
  <c r="H213" i="1" s="1"/>
  <c r="H210" i="1"/>
  <c r="F212" i="1"/>
  <c r="H212" i="1" s="1"/>
  <c r="F176" i="1"/>
  <c r="H176" i="1" s="1"/>
  <c r="F177" i="1"/>
  <c r="H177" i="1" s="1"/>
  <c r="F169" i="1"/>
  <c r="H169" i="1" s="1"/>
  <c r="F167" i="1"/>
  <c r="F166" i="1"/>
  <c r="H166" i="1" s="1"/>
  <c r="F164" i="1"/>
  <c r="H164" i="1" s="1"/>
  <c r="G52" i="1"/>
  <c r="C121" i="1" l="1"/>
  <c r="E121" i="1"/>
  <c r="E118" i="1"/>
  <c r="C118" i="1"/>
  <c r="H167" i="1"/>
  <c r="G121" i="1" s="1"/>
  <c r="H175" i="1"/>
  <c r="G118" i="1" s="1"/>
  <c r="F115" i="1"/>
  <c r="D142" i="1" l="1"/>
  <c r="D141" i="1"/>
  <c r="D140" i="1"/>
  <c r="F161" i="1"/>
  <c r="F160" i="1"/>
  <c r="F159" i="1"/>
  <c r="F158" i="1"/>
  <c r="F156" i="1"/>
  <c r="F155" i="1"/>
  <c r="F154" i="1"/>
  <c r="F153" i="1"/>
  <c r="K127" i="1"/>
  <c r="H159" i="1" l="1"/>
  <c r="H153" i="1"/>
  <c r="H161" i="1"/>
  <c r="H160" i="1"/>
  <c r="H158" i="1"/>
  <c r="H156" i="1"/>
  <c r="H155" i="1"/>
  <c r="H154" i="1"/>
  <c r="I134" i="1"/>
  <c r="F142" i="1"/>
  <c r="H142" i="1" s="1"/>
  <c r="F141" i="1"/>
  <c r="H141" i="1" s="1"/>
  <c r="F140" i="1"/>
  <c r="A141" i="1"/>
  <c r="A142" i="1" s="1"/>
  <c r="H140" i="1" l="1"/>
  <c r="F151" i="1"/>
  <c r="F152" i="1"/>
  <c r="H152" i="1" s="1"/>
  <c r="F149" i="1"/>
  <c r="E122" i="1" s="1"/>
  <c r="E120" i="1" l="1"/>
  <c r="C120" i="1"/>
  <c r="C122" i="1"/>
  <c r="H151" i="1"/>
  <c r="G120" i="1" s="1"/>
  <c r="H149" i="1"/>
  <c r="G122" i="1" s="1"/>
  <c r="E123" i="1" l="1"/>
  <c r="C123" i="1"/>
  <c r="G123" i="1"/>
  <c r="G60" i="1"/>
  <c r="C60" i="1"/>
  <c r="C56" i="1"/>
  <c r="S33" i="1" l="1"/>
  <c r="F11" i="5" l="1"/>
  <c r="G11" i="5" s="1"/>
  <c r="F10" i="5"/>
  <c r="G10" i="5" s="1"/>
  <c r="F9" i="5"/>
  <c r="G9" i="5" s="1"/>
  <c r="F8" i="5"/>
  <c r="G8" i="5" s="1"/>
  <c r="F7" i="5"/>
  <c r="G7" i="5" s="1"/>
  <c r="F6" i="5"/>
  <c r="G6" i="5" s="1"/>
  <c r="F5" i="5"/>
  <c r="G5" i="5" s="1"/>
  <c r="G12" i="5" s="1"/>
  <c r="D324" i="1"/>
  <c r="B302" i="1"/>
  <c r="F299" i="1"/>
  <c r="H299" i="1" s="1"/>
  <c r="F298" i="1"/>
  <c r="H298" i="1" s="1"/>
  <c r="F297" i="1"/>
  <c r="H297" i="1" s="1"/>
  <c r="F296" i="1"/>
  <c r="H296" i="1" s="1"/>
  <c r="F295" i="1"/>
  <c r="H295" i="1" s="1"/>
  <c r="F293" i="1"/>
  <c r="H293" i="1" s="1"/>
  <c r="F292" i="1"/>
  <c r="H292" i="1" s="1"/>
  <c r="F291" i="1"/>
  <c r="H291" i="1" s="1"/>
  <c r="F290" i="1"/>
  <c r="H290" i="1" s="1"/>
  <c r="F289" i="1"/>
  <c r="H289" i="1" s="1"/>
  <c r="F287" i="1"/>
  <c r="H287" i="1" s="1"/>
  <c r="F286" i="1"/>
  <c r="H286" i="1" s="1"/>
  <c r="F285" i="1"/>
  <c r="H285" i="1" s="1"/>
  <c r="F284" i="1"/>
  <c r="H284" i="1" s="1"/>
  <c r="F283" i="1"/>
  <c r="H283" i="1" s="1"/>
  <c r="F281" i="1"/>
  <c r="H281" i="1" s="1"/>
  <c r="F280" i="1"/>
  <c r="H280" i="1" s="1"/>
  <c r="F279" i="1"/>
  <c r="H279" i="1" s="1"/>
  <c r="F278" i="1"/>
  <c r="H278" i="1" s="1"/>
  <c r="F277" i="1"/>
  <c r="H277" i="1" s="1"/>
  <c r="A277" i="1"/>
  <c r="A278" i="1" s="1"/>
  <c r="A279" i="1" s="1"/>
  <c r="A280" i="1" s="1"/>
  <c r="A281" i="1" s="1"/>
  <c r="F275" i="1"/>
  <c r="H275" i="1" s="1"/>
  <c r="F274" i="1"/>
  <c r="H274" i="1" s="1"/>
  <c r="F273" i="1"/>
  <c r="H273" i="1" s="1"/>
  <c r="A273" i="1"/>
  <c r="A274" i="1" s="1"/>
  <c r="A275" i="1" s="1"/>
  <c r="F272" i="1"/>
  <c r="H272" i="1" s="1"/>
  <c r="A152" i="1"/>
  <c r="A153" i="1" s="1"/>
  <c r="A154" i="1" s="1"/>
  <c r="A155" i="1" s="1"/>
  <c r="A156" i="1" s="1"/>
  <c r="A158" i="1" s="1"/>
  <c r="A159" i="1" s="1"/>
  <c r="A160" i="1" s="1"/>
  <c r="A161" i="1" s="1"/>
  <c r="A162" i="1" s="1"/>
  <c r="G129" i="1"/>
  <c r="E129" i="1"/>
  <c r="C129" i="1"/>
  <c r="D69" i="1"/>
  <c r="D64" i="1"/>
  <c r="G51" i="1"/>
  <c r="E44" i="1"/>
  <c r="E45" i="1" s="1"/>
  <c r="E31" i="1"/>
  <c r="E28" i="1"/>
  <c r="E26" i="1"/>
  <c r="C16" i="1"/>
  <c r="I15" i="1"/>
  <c r="Z13" i="1"/>
  <c r="E8" i="1"/>
  <c r="E3" i="1"/>
  <c r="A283" i="1"/>
  <c r="A289" i="1"/>
  <c r="A295" i="1"/>
  <c r="H76" i="1"/>
  <c r="J75" i="1" l="1"/>
  <c r="J77" i="1" s="1"/>
  <c r="J78" i="1"/>
  <c r="J79" i="1"/>
  <c r="J80" i="1"/>
  <c r="C79" i="1" s="1"/>
  <c r="D83" i="1"/>
  <c r="D85" i="1"/>
  <c r="D84" i="1"/>
  <c r="D88" i="1"/>
  <c r="D82" i="1"/>
  <c r="D87" i="1"/>
  <c r="D81" i="1"/>
  <c r="D86" i="1"/>
  <c r="B76" i="1"/>
  <c r="J81" i="1" s="1"/>
  <c r="A296" i="1"/>
  <c r="A290" i="1"/>
  <c r="A284" i="1"/>
  <c r="B90" i="1" l="1"/>
  <c r="D79" i="1"/>
  <c r="J85" i="1"/>
  <c r="J82" i="1"/>
  <c r="J86" i="1"/>
  <c r="A297" i="1"/>
  <c r="A285" i="1"/>
  <c r="A291" i="1"/>
  <c r="H90" i="1"/>
  <c r="J87" i="1" l="1"/>
  <c r="J94" i="1"/>
  <c r="C93" i="1" s="1"/>
  <c r="D93" i="1" s="1"/>
  <c r="J92" i="1"/>
  <c r="J89" i="1"/>
  <c r="J91" i="1" s="1"/>
  <c r="D100" i="1"/>
  <c r="D101" i="1"/>
  <c r="D99" i="1"/>
  <c r="D97" i="1"/>
  <c r="D95" i="1"/>
  <c r="J93" i="1"/>
  <c r="D102" i="1"/>
  <c r="D98" i="1"/>
  <c r="D96" i="1"/>
  <c r="J100" i="1"/>
  <c r="J98" i="1"/>
  <c r="J99" i="1"/>
  <c r="J95" i="1"/>
  <c r="J96" i="1" s="1"/>
  <c r="J83" i="1"/>
  <c r="J84" i="1" s="1"/>
  <c r="A286" i="1"/>
  <c r="A292" i="1"/>
  <c r="A298" i="1"/>
  <c r="J101" i="1" l="1"/>
  <c r="C94" i="1"/>
  <c r="J88" i="1"/>
  <c r="C80" i="1" s="1"/>
  <c r="J76" i="1" s="1"/>
  <c r="J97" i="1"/>
  <c r="A287" i="1"/>
  <c r="A299" i="1"/>
  <c r="A293" i="1"/>
  <c r="G79" i="1" l="1"/>
  <c r="D73" i="1" s="1"/>
  <c r="F74" i="1" s="1"/>
  <c r="E79" i="1"/>
  <c r="D80" i="1"/>
  <c r="I76" i="1" s="1"/>
  <c r="I77" i="1" s="1"/>
  <c r="I75" i="1" s="1"/>
  <c r="C77" i="1" s="1"/>
  <c r="J102" i="1"/>
  <c r="E93" i="1"/>
  <c r="D74" i="1" l="1"/>
  <c r="D94" i="1"/>
  <c r="I90" i="1" s="1"/>
  <c r="I91" i="1" s="1"/>
  <c r="J90" i="1"/>
  <c r="G93" i="1"/>
  <c r="I89" i="1" l="1"/>
  <c r="C91" i="1" s="1"/>
</calcChain>
</file>

<file path=xl/comments1.xml><?xml version="1.0" encoding="utf-8"?>
<comments xmlns="http://schemas.openxmlformats.org/spreadsheetml/2006/main">
  <authors>
    <author>Sachin</author>
    <author>SACHIN</author>
  </authors>
  <commentList>
    <comment ref="E12" authorId="0" shapeId="0">
      <text>
        <r>
          <rPr>
            <b/>
            <sz val="9"/>
            <color indexed="81"/>
            <rFont val="Tahoma"/>
            <family val="2"/>
          </rPr>
          <t>Sachin:</t>
        </r>
        <r>
          <rPr>
            <sz val="9"/>
            <color indexed="81"/>
            <rFont val="Tahoma"/>
            <family val="2"/>
          </rPr>
          <t xml:space="preserve">
Building No. 
Tower No.
Wing 
Bunglow No., etc</t>
        </r>
      </text>
    </comment>
    <comment ref="E13" authorId="0" shapeId="0">
      <text>
        <r>
          <rPr>
            <b/>
            <sz val="9"/>
            <color indexed="81"/>
            <rFont val="Tahoma"/>
            <family val="2"/>
          </rPr>
          <t>Sachin:</t>
        </r>
        <r>
          <rPr>
            <sz val="9"/>
            <color indexed="81"/>
            <rFont val="Tahoma"/>
            <family val="2"/>
          </rPr>
          <t xml:space="preserve">
If exisiting Building is provided write it or else
NA</t>
        </r>
      </text>
    </comment>
    <comment ref="C57" authorId="1" shapeId="0">
      <text>
        <r>
          <rPr>
            <b/>
            <sz val="9"/>
            <color indexed="81"/>
            <rFont val="Tahoma"/>
            <family val="2"/>
          </rPr>
          <t>SACHIN:</t>
        </r>
        <r>
          <rPr>
            <sz val="9"/>
            <color indexed="81"/>
            <rFont val="Tahoma"/>
            <family val="2"/>
          </rPr>
          <t xml:space="preserve">
Floor with height</t>
        </r>
      </text>
    </comment>
    <comment ref="C59" authorId="1" shapeId="0">
      <text>
        <r>
          <rPr>
            <b/>
            <sz val="9"/>
            <color indexed="81"/>
            <rFont val="Tahoma"/>
            <family val="2"/>
          </rPr>
          <t>SACHIN:</t>
        </r>
        <r>
          <rPr>
            <sz val="9"/>
            <color indexed="81"/>
            <rFont val="Tahoma"/>
            <family val="2"/>
          </rPr>
          <t xml:space="preserve">
Survey Nos.</t>
        </r>
      </text>
    </comment>
    <comment ref="C61" authorId="1" shapeId="0">
      <text>
        <r>
          <rPr>
            <b/>
            <sz val="9"/>
            <color indexed="81"/>
            <rFont val="Tahoma"/>
            <family val="2"/>
          </rPr>
          <t>SACHIN:</t>
        </r>
        <r>
          <rPr>
            <sz val="9"/>
            <color indexed="81"/>
            <rFont val="Tahoma"/>
            <family val="2"/>
          </rPr>
          <t xml:space="preserve">
Height from AMSL</t>
        </r>
      </text>
    </comment>
    <comment ref="D64" authorId="0" shapeId="0">
      <text>
        <r>
          <rPr>
            <b/>
            <sz val="9"/>
            <color indexed="81"/>
            <rFont val="Tahoma"/>
            <family val="2"/>
          </rPr>
          <t>Sachin:</t>
        </r>
        <r>
          <rPr>
            <sz val="9"/>
            <color indexed="81"/>
            <rFont val="Tahoma"/>
            <family val="2"/>
          </rPr>
          <t xml:space="preserve">
If multiple building in project or complex just mention builtup of required building</t>
        </r>
      </text>
    </comment>
    <comment ref="F108" authorId="1" shapeId="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270" authorId="1" shapeId="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authors>
    <author>SACHIN</author>
  </authors>
  <commentList>
    <comment ref="C9" authorId="0" shapeId="0">
      <text>
        <r>
          <rPr>
            <b/>
            <sz val="9"/>
            <color indexed="81"/>
            <rFont val="Tahoma"/>
            <family val="2"/>
          </rPr>
          <t>SACHIN:</t>
        </r>
        <r>
          <rPr>
            <sz val="9"/>
            <color indexed="81"/>
            <rFont val="Tahoma"/>
            <family val="2"/>
          </rPr>
          <t xml:space="preserve">
If banker changes the rate</t>
        </r>
      </text>
    </comment>
    <comment ref="C10" authorId="0" shapeId="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<sst xmlns="http://schemas.openxmlformats.org/spreadsheetml/2006/main" count="710" uniqueCount="377">
  <si>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</si>
  <si>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</si>
  <si>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</si>
  <si>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</si>
  <si>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</si>
  <si>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</si>
  <si>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</si>
  <si>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</si>
  <si>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</si>
  <si>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</si>
  <si>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</si>
  <si>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</si>
  <si>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</si>
  <si>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</si>
  <si>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</si>
  <si>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</si>
  <si>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</si>
  <si>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</si>
  <si>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</si>
  <si>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</si>
  <si>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</si>
  <si>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</si>
  <si>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</si>
  <si>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</si>
  <si>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</si>
  <si>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</si>
  <si>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</si>
  <si>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</si>
  <si>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</si>
  <si>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At site</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</si>
  <si>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</si>
  <si>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</si>
  <si>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</si>
  <si>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</si>
  <si>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</si>
  <si>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</si>
  <si>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</si>
  <si>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</si>
  <si>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</si>
  <si>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</si>
  <si>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</si>
  <si>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</si>
  <si>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</si>
  <si>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</si>
  <si>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</si>
  <si>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</si>
  <si>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</si>
  <si>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</si>
  <si>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</si>
  <si>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</si>
  <si>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</si>
  <si>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</si>
  <si>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</si>
  <si>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</si>
  <si>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</si>
  <si>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</si>
  <si>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</si>
  <si>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</si>
  <si>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</si>
  <si>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</si>
  <si>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</si>
  <si>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</si>
  <si>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</si>
  <si>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</si>
  <si>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</si>
  <si>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</si>
  <si>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</si>
  <si>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</si>
  <si>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</si>
  <si>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</si>
  <si>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</si>
  <si>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Commercial Area Details :</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</si>
  <si>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</si>
  <si>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</si>
  <si>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</si>
  <si>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</si>
  <si>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</si>
  <si>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</si>
  <si>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</si>
  <si>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</si>
  <si>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</si>
  <si>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</si>
  <si>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</si>
  <si>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</si>
  <si>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</si>
  <si>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</si>
  <si>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</si>
  <si>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</si>
  <si>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</si>
  <si>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</si>
  <si>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</si>
  <si>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</si>
  <si>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</si>
  <si>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</si>
  <si>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</si>
  <si>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</si>
  <si>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</si>
  <si>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</si>
  <si>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</si>
  <si>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</si>
  <si>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</si>
  <si>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</si>
  <si>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</si>
  <si>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</si>
  <si>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</si>
  <si>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</si>
  <si>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</si>
  <si>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</si>
  <si>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</si>
  <si>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</si>
  <si>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</si>
  <si>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</si>
  <si>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</si>
  <si>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</si>
  <si>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</si>
  <si>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</si>
  <si>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2nd Floor</t>
  </si>
  <si>
    <r>
      <t xml:space="preserve">Shop No.
</t>
    </r>
    <r>
      <rPr>
        <b/>
        <sz val="11"/>
        <color rgb="FF000000"/>
        <rFont val="Times New Roman"/>
        <family val="1"/>
      </rPr>
      <t>(Approved Plan)</t>
    </r>
  </si>
  <si>
    <r>
      <t xml:space="preserve">Flat No.
</t>
    </r>
    <r>
      <rPr>
        <b/>
        <sz val="11"/>
        <color rgb="FF000000"/>
        <rFont val="Times New Roman"/>
        <family val="1"/>
      </rPr>
      <t>(Approved Plan)</t>
    </r>
  </si>
  <si>
    <t>01 Building</t>
  </si>
  <si>
    <t>Valid Upto 
Date</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</si>
  <si>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</si>
  <si>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</si>
  <si>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</si>
  <si>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</si>
  <si>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</si>
  <si>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</si>
  <si>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</si>
  <si>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</si>
  <si>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</si>
  <si>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</si>
  <si>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</si>
  <si>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</si>
  <si>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</si>
  <si>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</si>
  <si>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</si>
  <si>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</si>
  <si>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</si>
  <si>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</si>
  <si>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</si>
  <si>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</si>
  <si>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</si>
  <si>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</si>
  <si>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</si>
  <si>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</si>
  <si>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2nd to 5th Floor</t>
  </si>
  <si>
    <t>2nd &amp; 5th Floor</t>
  </si>
  <si>
    <t>Basement 1</t>
  </si>
  <si>
    <t>Plinth in process</t>
  </si>
  <si>
    <t xml:space="preserve">Violations Observed if any : </t>
  </si>
  <si>
    <t>Saleable area Loading :</t>
  </si>
  <si>
    <t>3rd, 5th, 7th, 9th, 11th, 13th, 15th Floor</t>
  </si>
  <si>
    <t>Total</t>
  </si>
  <si>
    <t>Name of Municipal Corporation/Authority</t>
  </si>
  <si>
    <t>We have considered proposed No. of Floor for Stage Calculation.</t>
  </si>
  <si>
    <t>*</t>
  </si>
  <si>
    <t>Recommended rate should be considered as all inclusive rate if other charges are not mentioned. (Excluding GST &amp; other government Taxes)</t>
  </si>
  <si>
    <t xml:space="preserve">Commencement-CC No
Valid Up to: </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</si>
  <si>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</si>
  <si>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</si>
  <si>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</si>
  <si>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</si>
  <si>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</si>
  <si>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</si>
  <si>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</si>
  <si>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</si>
  <si>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Grand Total</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</si>
  <si>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</si>
  <si>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</si>
  <si>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</si>
  <si>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</si>
  <si>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</si>
  <si>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</si>
  <si>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</si>
  <si>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Floor Rise Rate from    Floor</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</si>
  <si>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</si>
  <si>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</si>
  <si>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</si>
  <si>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</si>
  <si>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</si>
  <si>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</si>
  <si>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</si>
  <si>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</si>
  <si>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</si>
  <si>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</si>
  <si>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</si>
  <si>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</si>
  <si>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</si>
  <si>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</si>
  <si>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</si>
  <si>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</si>
  <si>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</si>
  <si>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</si>
  <si>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</si>
  <si>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</si>
  <si>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</si>
  <si>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</si>
  <si>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</si>
  <si>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</si>
  <si>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</si>
  <si>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</si>
  <si>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</si>
  <si>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</si>
  <si>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</si>
  <si>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</si>
  <si>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</si>
  <si>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</si>
  <si>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</si>
  <si>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</si>
  <si>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</si>
  <si>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</si>
  <si>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</si>
  <si>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</si>
  <si>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</si>
  <si>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</si>
  <si>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</si>
  <si>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</si>
  <si>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</si>
  <si>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</si>
  <si>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</si>
  <si>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</si>
  <si>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</si>
  <si>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</si>
  <si>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</si>
  <si>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</si>
  <si>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</si>
  <si>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</si>
  <si>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</si>
  <si>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</si>
  <si>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Fungible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</si>
  <si>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</si>
  <si>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</si>
  <si>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</si>
  <si>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</si>
  <si>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</si>
  <si>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</si>
  <si>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</si>
  <si>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</si>
  <si>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</si>
  <si>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</si>
  <si>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</si>
  <si>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</si>
  <si>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</si>
  <si>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</si>
  <si>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</si>
  <si>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</si>
  <si>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</si>
  <si>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</si>
  <si>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</si>
  <si>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</si>
  <si>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</si>
  <si>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</si>
  <si>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</si>
  <si>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</si>
  <si>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</si>
  <si>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</si>
  <si>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</si>
  <si>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</si>
  <si>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</si>
  <si>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</si>
  <si>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</si>
  <si>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</si>
  <si>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</si>
  <si>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</si>
  <si>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</si>
  <si>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</si>
  <si>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</si>
  <si>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</si>
  <si>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</si>
  <si>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</si>
  <si>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</si>
  <si>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</si>
  <si>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</si>
  <si>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</si>
  <si>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</si>
  <si>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</si>
  <si>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</si>
  <si>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</si>
  <si>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</si>
  <si>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Fire Noc No
Valid Up to: </t>
  </si>
  <si>
    <t xml:space="preserve">Environmental Clearance Certificate (EC) No
Valid Up for: </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</si>
  <si>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</si>
  <si>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</si>
  <si>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</si>
  <si>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</si>
  <si>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</si>
  <si>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</si>
  <si>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</si>
  <si>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</si>
  <si>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</si>
  <si>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</si>
  <si>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</si>
  <si>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</si>
  <si>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</si>
  <si>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</si>
  <si>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</si>
  <si>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Midas Touch</t>
  </si>
  <si>
    <t>O22 Business Park</t>
  </si>
  <si>
    <t>P51700053701</t>
  </si>
  <si>
    <t>4.5 KM from Thane Railway Station</t>
  </si>
  <si>
    <t>Plot No</t>
  </si>
  <si>
    <t>Road No.22</t>
  </si>
  <si>
    <t>Thane (West)</t>
  </si>
  <si>
    <t>Neheru Nagar, Wagle Industrial Estate</t>
  </si>
  <si>
    <t>Kerom Company</t>
  </si>
  <si>
    <t>Road No.21</t>
  </si>
  <si>
    <t>Road S</t>
  </si>
  <si>
    <t>30.50 M. Road</t>
  </si>
  <si>
    <t>Other Plot</t>
  </si>
  <si>
    <t>As per RERA - 31/12/2026</t>
  </si>
  <si>
    <t>Ground Floor for Commercial</t>
  </si>
  <si>
    <t>Shop</t>
  </si>
  <si>
    <t>IT Office</t>
  </si>
  <si>
    <t>-</t>
  </si>
  <si>
    <t xml:space="preserve">Details of Commercials in Building   </t>
  </si>
  <si>
    <t>A-1 (Building)/
IT Building</t>
  </si>
  <si>
    <r>
      <t xml:space="preserve">Proposed Amenities :                                                                                                                                                                                                                         </t>
    </r>
    <r>
      <rPr>
        <b/>
        <sz val="12"/>
        <rFont val="Times New Roman"/>
        <family val="1"/>
      </rPr>
      <t xml:space="preserve">                                               </t>
    </r>
  </si>
  <si>
    <t>High Speed Elevators, All Surface Parking, 100% Backup, Electric Car Charging Station, Separate Eating Space For Staff, Double Height Entrance Lobby, Cafeteria, Fresh Air HVAC System, Podium &amp; Roof Top Restaurant, Fire Fighting System, 24x7 Security With CCTV Surveillance etc.</t>
  </si>
  <si>
    <t>SIA/MH/INFRA2/401375/2022</t>
  </si>
  <si>
    <t>Plot B-36
Proposed Builtup Area = 43042.58 Sq.M
No. of Floor  = 2B + Gr + P1 to P6 + 1st to 15(Pt) Floor</t>
  </si>
  <si>
    <t>Ajay Songare</t>
  </si>
  <si>
    <t>Shop / IT Office No. (Sale Plan)</t>
  </si>
  <si>
    <t>A1 (Building) / IT Building</t>
  </si>
  <si>
    <t>B-36, B-36/1</t>
  </si>
  <si>
    <t>Total Permissible  Builtup area of the project (Sq.Mt)</t>
  </si>
  <si>
    <t>Part II = IT Building = 2B + Gr + P1 to P6 + 1st to 25th Floor</t>
  </si>
  <si>
    <t>A1 Building /IT Building</t>
  </si>
  <si>
    <t>MIDC/DE &amp; PA-III/I- I-51211/2024</t>
  </si>
  <si>
    <t>IT Building = 3B + Gr/Stilt + P1 to P6 + 1st to 18th Floor</t>
  </si>
  <si>
    <t>3rd to 1st Basement Floor for Parking</t>
  </si>
  <si>
    <t>2nd to 5th Podium Floor For Parking</t>
  </si>
  <si>
    <t>6th Podium Floor For Parking</t>
  </si>
  <si>
    <t>IT S.S.
(Restaurant)</t>
  </si>
  <si>
    <t>Conference Room</t>
  </si>
  <si>
    <t>Refuge Area</t>
  </si>
  <si>
    <t>4th to 7th, 9th to 12th, 14th to 17th Floor</t>
  </si>
  <si>
    <t>Pantry Area</t>
  </si>
  <si>
    <t>A.P.Area</t>
  </si>
  <si>
    <t>We considered Gross carpet area = Net carpet  + A.P. Area.</t>
  </si>
  <si>
    <t>MIDC/DE &amp; PA-III/I-111521/2025</t>
  </si>
  <si>
    <t>3rd Floor (Part Refuge Area)</t>
  </si>
  <si>
    <t>2A</t>
  </si>
  <si>
    <t>2B</t>
  </si>
  <si>
    <t>3A</t>
  </si>
  <si>
    <t>3B</t>
  </si>
  <si>
    <t>4A</t>
  </si>
  <si>
    <t>4B</t>
  </si>
  <si>
    <t>8th, 13th, 18th Floor (Part Refuge Area)</t>
  </si>
  <si>
    <t>19th to 22nd &amp; 24th Floor</t>
  </si>
  <si>
    <t>23rd Floor (Part Refuge Area)</t>
  </si>
  <si>
    <t>IT Office
(Incubation Facility)</t>
  </si>
  <si>
    <t>IT SS</t>
  </si>
  <si>
    <t>IT Building = 3B + Gr/Stilt + P1 to P6 + 1st to 26th Floor</t>
  </si>
  <si>
    <t>1st Floor For Commercial &amp; Part Pantry &amp; Refuge Area</t>
  </si>
  <si>
    <t>IT SS
 (Restaurant)</t>
  </si>
  <si>
    <t>26th Floor</t>
  </si>
  <si>
    <t>IT. S.S.
Duplex with 1st Podium Floor</t>
  </si>
  <si>
    <t>IT. S.S. Duplex with Ground Floor</t>
  </si>
  <si>
    <t>1st Podium Floor For Commercial &amp; Parking</t>
  </si>
  <si>
    <t>25th &amp; 26th Floor</t>
  </si>
  <si>
    <t>In the approved 25th &amp; 26th floor plans, IT SS (Restaurant) Units Numbering is not mentioned, therefore we are not drafted area for these units.</t>
  </si>
  <si>
    <t>Building Details Floor Wise</t>
  </si>
  <si>
    <t>IT Offices - 251, IT SS - 90
IT Office (Incubation Facility) - 8
IT S.S. (Restaurant) - 01
Conference Room - 2</t>
  </si>
  <si>
    <t>Mr. Security</t>
  </si>
  <si>
    <t>Gaurav Panchal</t>
  </si>
  <si>
    <t>Recommended rate of the IT SS Per Sq. Ft.</t>
  </si>
  <si>
    <t>Recommended rate of the IT Office Per Sq. Ft.</t>
  </si>
  <si>
    <t>Combined Building
Approval Letter No.
Valid Up for:</t>
  </si>
  <si>
    <t>We have updated latest approved floor plans On 20/07/2024</t>
  </si>
  <si>
    <t>IT Park Building = 3B + Gr/St + P1 to P6 + 1st to 26th Floor</t>
  </si>
  <si>
    <t>MIDC/DE &amp; PA-III/I-111521 /2025</t>
  </si>
  <si>
    <t>We have updated latest approved plans from RERA site &amp; Combined approval letter  On 02/07/2025.</t>
  </si>
  <si>
    <t>https://maps.app.goo.gl/dfeggWzDAUimSwRT6</t>
  </si>
  <si>
    <t>19.193909,72.949883</t>
  </si>
  <si>
    <t>Ground Floor for Commercial &amp; Parking</t>
  </si>
  <si>
    <t>Approved Plans, Sale Plans, Combined Building Approval Letter, CC, EC</t>
  </si>
  <si>
    <t>Construction work is in process at the time of Visit. Internal visit was not allowed.
Photographs are taken from the road.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</si>
</sst>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 #,##0.00_ ;_ * \-#,##0.00_ ;_ * &quot;-&quot;??_ ;_ @_ "/>
    <numFmt numFmtId="164" formatCode="0.0"/>
    <numFmt numFmtId="165" formatCode="_(* #,##0.00_);_(* \(#,##0.00\);_(* &quot;-&quot;??_);_(@_)"/>
    <numFmt numFmtId="166" formatCode="_(* #,##0_);_(* \(#,##0\);_(* &quot;-&quot;??_);_(@_)"/>
    <numFmt numFmtId="167" formatCode="_ * #,##0_ ;_ * \-#,##0_ ;_ * &quot;-&quot;??_ ;_ @_ "/>
  </numFmts>
  <fonts count="31"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b/>
      <sz val="12"/>
      <color rgb="FFFF0000"/>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b/>
      <sz val="11"/>
      <color rgb="FF000000"/>
      <name val="Times New Roman"/>
      <family val="1"/>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5"/>
      <name val="Times New Roman"/>
      <family val="1"/>
    </font>
  </fonts>
  <fills count="3">
    <fill>
      <patternFill patternType="none"/>
    </fill>
    <fill>
      <patternFill patternType="gray125"/>
    </fill>
    <fill>
      <patternFill patternType="solid">
        <fgColor rgb="FFFFFF0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indexed="64"/>
      </bottom>
      <diagonal/>
    </border>
    <border>
      <left style="thin">
        <color indexed="64"/>
      </left>
      <right style="thin">
        <color indexed="64"/>
      </right>
      <top/>
      <bottom/>
      <diagonal/>
    </border>
  </borders>
  <cellStyleXfs count="11">
    <xf numFmtId="0" fontId="0" fillId="0" borderId="0"/>
    <xf numFmtId="0" fontId="3" fillId="0" borderId="0"/>
    <xf numFmtId="0" fontId="5" fillId="0" borderId="0"/>
    <xf numFmtId="0" fontId="2" fillId="0" borderId="0"/>
    <xf numFmtId="0" fontId="5" fillId="0" borderId="0"/>
    <xf numFmtId="0" fontId="1" fillId="0" borderId="0"/>
    <xf numFmtId="165" fontId="5" fillId="0" borderId="0" applyFont="0" applyFill="0" applyBorder="0" applyAlignment="0" applyProtection="0"/>
    <xf numFmtId="0" fontId="20" fillId="0" borderId="0"/>
    <xf numFmtId="9" fontId="21" fillId="0" borderId="0" applyFont="0" applyFill="0" applyBorder="0" applyAlignment="0" applyProtection="0"/>
    <xf numFmtId="43" fontId="21" fillId="0" borderId="0" applyFont="0" applyFill="0" applyBorder="0" applyAlignment="0" applyProtection="0"/>
    <xf numFmtId="0" fontId="26" fillId="0" borderId="0" applyNumberFormat="0" applyFill="0" applyBorder="0" applyAlignment="0" applyProtection="0"/>
  </cellStyleXfs>
  <cellXfs count="256">
    <xf numFmtId="0" fontId="0" fillId="0" borderId="0" xfId="0"/>
    <xf numFmtId="0" fontId="5" fillId="0" borderId="0" xfId="4"/>
    <xf numFmtId="0" fontId="1" fillId="0" borderId="0" xfId="5"/>
    <xf numFmtId="0" fontId="9" fillId="0" borderId="1" xfId="5" applyFont="1" applyBorder="1" applyAlignment="1">
      <alignment horizontal="center" vertical="top" wrapText="1"/>
    </xf>
    <xf numFmtId="0" fontId="19"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9" fillId="0" borderId="1" xfId="5" applyFont="1" applyBorder="1" applyAlignment="1">
      <alignment horizontal="center" vertical="center"/>
    </xf>
    <xf numFmtId="1" fontId="18" fillId="0" borderId="1" xfId="5" applyNumberFormat="1" applyFont="1" applyBorder="1" applyAlignment="1">
      <alignment horizontal="center" vertical="center"/>
    </xf>
    <xf numFmtId="0" fontId="5" fillId="0" borderId="1" xfId="4" applyBorder="1" applyAlignment="1">
      <alignment horizontal="center" vertical="center"/>
    </xf>
    <xf numFmtId="0" fontId="17" fillId="0" borderId="0" xfId="0" applyFont="1" applyProtection="1">
      <protection hidden="1"/>
    </xf>
    <xf numFmtId="0" fontId="17" fillId="0" borderId="10" xfId="0" applyFont="1" applyBorder="1" applyProtection="1">
      <protection hidden="1"/>
    </xf>
    <xf numFmtId="0" fontId="11" fillId="0" borderId="3" xfId="1" applyFont="1" applyBorder="1" applyAlignment="1" applyProtection="1">
      <alignment horizontal="center" vertical="top"/>
      <protection locked="0"/>
    </xf>
    <xf numFmtId="0" fontId="11" fillId="0" borderId="4" xfId="1" applyFont="1" applyBorder="1" applyAlignment="1" applyProtection="1">
      <alignment horizontal="center" vertical="top"/>
      <protection locked="0"/>
    </xf>
    <xf numFmtId="0" fontId="6" fillId="0" borderId="1" xfId="1" applyFont="1" applyBorder="1" applyAlignment="1" applyProtection="1">
      <alignment vertical="top" wrapText="1"/>
      <protection locked="0"/>
    </xf>
    <xf numFmtId="0" fontId="7" fillId="0" borderId="0" xfId="1" applyFont="1"/>
    <xf numFmtId="0" fontId="14" fillId="0" borderId="0" xfId="1" applyFont="1"/>
    <xf numFmtId="0" fontId="11" fillId="0" borderId="0" xfId="1" applyFont="1"/>
    <xf numFmtId="1" fontId="7" fillId="0" borderId="0" xfId="1" applyNumberFormat="1" applyFont="1"/>
    <xf numFmtId="14" fontId="7" fillId="0" borderId="0" xfId="1" applyNumberFormat="1" applyFont="1"/>
    <xf numFmtId="0" fontId="7" fillId="0" borderId="0" xfId="1" applyFont="1" applyProtection="1">
      <protection hidden="1"/>
    </xf>
    <xf numFmtId="0" fontId="23" fillId="0" borderId="0" xfId="1" applyFont="1"/>
    <xf numFmtId="0" fontId="7" fillId="0" borderId="9" xfId="1" applyFont="1" applyBorder="1"/>
    <xf numFmtId="0" fontId="17" fillId="0" borderId="9" xfId="0" applyFont="1" applyBorder="1" applyProtection="1">
      <protection hidden="1"/>
    </xf>
    <xf numFmtId="1" fontId="0" fillId="0" borderId="9" xfId="0" applyNumberFormat="1" applyBorder="1"/>
    <xf numFmtId="1" fontId="0" fillId="0" borderId="9" xfId="0" applyNumberFormat="1" applyBorder="1" applyAlignment="1">
      <alignment horizontal="right"/>
    </xf>
    <xf numFmtId="1" fontId="0" fillId="0" borderId="11" xfId="0" applyNumberFormat="1" applyBorder="1"/>
    <xf numFmtId="0" fontId="15" fillId="0" borderId="0" xfId="1" applyFont="1"/>
    <xf numFmtId="0" fontId="6" fillId="0" borderId="0" xfId="2" applyFont="1"/>
    <xf numFmtId="0" fontId="7" fillId="0" borderId="0" xfId="0" applyFont="1" applyAlignment="1">
      <alignment horizontal="center" vertical="center"/>
    </xf>
    <xf numFmtId="1" fontId="7" fillId="0" borderId="0" xfId="1" applyNumberFormat="1" applyFont="1" applyAlignment="1">
      <alignment horizontal="center" vertical="center"/>
    </xf>
    <xf numFmtId="0" fontId="7" fillId="0" borderId="0" xfId="1" applyFont="1" applyAlignment="1">
      <alignment horizontal="center" vertical="center"/>
    </xf>
    <xf numFmtId="0" fontId="8" fillId="0" borderId="0" xfId="1" applyFont="1" applyAlignment="1" applyProtection="1">
      <alignment vertical="top"/>
      <protection locked="0"/>
    </xf>
    <xf numFmtId="0" fontId="8" fillId="0" borderId="0" xfId="1" applyFont="1" applyAlignment="1" applyProtection="1">
      <alignment vertical="top" wrapText="1"/>
      <protection locked="0"/>
    </xf>
    <xf numFmtId="0" fontId="7" fillId="0" borderId="0" xfId="1" applyFont="1" applyProtection="1">
      <protection locked="0"/>
    </xf>
    <xf numFmtId="0" fontId="10" fillId="0" borderId="0" xfId="1" applyFont="1" applyProtection="1">
      <protection locked="0"/>
    </xf>
    <xf numFmtId="1" fontId="6" fillId="0" borderId="1" xfId="1" applyNumberFormat="1" applyFont="1" applyBorder="1" applyAlignment="1" applyProtection="1">
      <alignment horizontal="center" vertical="center" wrapText="1"/>
      <protection locked="0"/>
    </xf>
    <xf numFmtId="0" fontId="8" fillId="0" borderId="1" xfId="1" applyFont="1" applyBorder="1" applyAlignment="1" applyProtection="1">
      <alignment vertical="top"/>
      <protection locked="0"/>
    </xf>
    <xf numFmtId="1" fontId="6" fillId="0" borderId="1" xfId="0" applyNumberFormat="1" applyFont="1" applyBorder="1" applyAlignment="1" applyProtection="1">
      <alignment horizontal="center" vertical="center" wrapText="1"/>
      <protection locked="0"/>
    </xf>
    <xf numFmtId="0" fontId="24" fillId="2" borderId="29" xfId="0" applyFont="1" applyFill="1" applyBorder="1"/>
    <xf numFmtId="0" fontId="25" fillId="0" borderId="30" xfId="0" applyFont="1" applyBorder="1"/>
    <xf numFmtId="0" fontId="25" fillId="0" borderId="1" xfId="0" applyFont="1" applyBorder="1"/>
    <xf numFmtId="0" fontId="25" fillId="0" borderId="4"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1" fontId="6" fillId="0" borderId="1"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9" fontId="16" fillId="0" borderId="15" xfId="8" applyFont="1" applyFill="1" applyBorder="1" applyAlignment="1" applyProtection="1">
      <alignment horizontal="center" vertical="top" wrapText="1"/>
      <protection locked="0"/>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xf numFmtId="0" fontId="0" fillId="0" borderId="1" xfId="0" applyBorder="1" applyAlignment="1">
      <alignment horizontal="left" vertical="top" wrapText="1"/>
    </xf>
    <xf numFmtId="1" fontId="6" fillId="0" borderId="1" xfId="1" applyNumberFormat="1" applyFont="1" applyBorder="1" applyAlignment="1" applyProtection="1">
      <alignment horizontal="center" vertical="center" wrapText="1"/>
      <protection locked="0"/>
    </xf>
    <xf numFmtId="1" fontId="6" fillId="0" borderId="1" xfId="1" applyNumberFormat="1" applyFont="1" applyFill="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2" fontId="7" fillId="0" borderId="0" xfId="1" applyNumberFormat="1" applyFont="1" applyAlignment="1">
      <alignment horizontal="center" vertical="center"/>
    </xf>
    <xf numFmtId="9" fontId="12" fillId="0" borderId="15" xfId="8" applyFont="1" applyFill="1" applyBorder="1" applyAlignment="1" applyProtection="1">
      <alignment horizontal="center" vertical="top" wrapText="1"/>
      <protection locked="0"/>
    </xf>
    <xf numFmtId="1" fontId="7" fillId="0" borderId="1" xfId="1" applyNumberFormat="1" applyFont="1" applyBorder="1" applyAlignment="1">
      <alignment horizontal="center"/>
    </xf>
    <xf numFmtId="0" fontId="11" fillId="0" borderId="1" xfId="1" applyFont="1" applyBorder="1" applyAlignment="1" applyProtection="1">
      <alignment vertical="top" wrapText="1"/>
      <protection locked="0"/>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9" fontId="11" fillId="0" borderId="6" xfId="8" applyFont="1" applyFill="1" applyBorder="1" applyAlignment="1" applyProtection="1">
      <alignment horizontal="center" vertical="top"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7" fillId="0" borderId="0" xfId="1" applyFont="1" applyAlignment="1">
      <alignment horizontal="center" vertical="center"/>
    </xf>
    <xf numFmtId="0" fontId="7" fillId="0" borderId="0" xfId="1" applyFont="1" applyAlignment="1">
      <alignment horizontal="center" vertical="center"/>
    </xf>
    <xf numFmtId="1" fontId="7" fillId="0" borderId="1" xfId="1" applyNumberFormat="1" applyFont="1" applyBorder="1" applyAlignment="1">
      <alignment horizontal="center" vertical="center"/>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0" fontId="7" fillId="0" borderId="0" xfId="1" applyFont="1" applyAlignment="1">
      <alignment horizontal="center" vertical="center"/>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1" fontId="6" fillId="0" borderId="1" xfId="0" applyNumberFormat="1" applyFont="1" applyBorder="1" applyAlignment="1" applyProtection="1">
      <alignment horizontal="center" vertical="center" wrapText="1"/>
      <protection locked="0"/>
    </xf>
    <xf numFmtId="0" fontId="11" fillId="0" borderId="1" xfId="1"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center" wrapText="1"/>
      <protection locked="0"/>
    </xf>
    <xf numFmtId="1" fontId="11" fillId="0" borderId="1" xfId="1" applyNumberFormat="1" applyFont="1" applyBorder="1" applyAlignment="1" applyProtection="1">
      <alignment horizontal="center" vertical="center" wrapText="1"/>
      <protection locked="0"/>
    </xf>
    <xf numFmtId="1" fontId="11" fillId="0" borderId="1" xfId="1" applyNumberFormat="1" applyFont="1" applyBorder="1" applyAlignment="1">
      <alignment horizontal="center"/>
    </xf>
    <xf numFmtId="1" fontId="11" fillId="0" borderId="1" xfId="1" applyNumberFormat="1" applyFont="1" applyBorder="1" applyAlignment="1">
      <alignment horizontal="center" vertical="center"/>
    </xf>
    <xf numFmtId="0" fontId="11" fillId="0" borderId="0" xfId="0" applyFont="1" applyAlignment="1">
      <alignment horizontal="center" vertical="center"/>
    </xf>
    <xf numFmtId="1" fontId="6" fillId="0" borderId="7" xfId="1" applyNumberFormat="1" applyFont="1" applyBorder="1" applyAlignment="1" applyProtection="1">
      <alignment horizontal="center" vertical="center" wrapText="1"/>
      <protection locked="0"/>
    </xf>
    <xf numFmtId="1" fontId="6" fillId="0" borderId="8" xfId="1" applyNumberFormat="1" applyFont="1" applyBorder="1" applyAlignment="1" applyProtection="1">
      <alignment horizontal="center" vertical="center" wrapText="1"/>
      <protection locked="0"/>
    </xf>
    <xf numFmtId="1" fontId="8" fillId="0" borderId="7" xfId="1" applyNumberFormat="1" applyFont="1" applyBorder="1" applyAlignment="1" applyProtection="1">
      <alignment horizontal="center" vertical="center" wrapText="1"/>
      <protection locked="0"/>
    </xf>
    <xf numFmtId="1" fontId="8" fillId="0" borderId="20" xfId="1" applyNumberFormat="1" applyFont="1" applyBorder="1" applyAlignment="1" applyProtection="1">
      <alignment horizontal="center" vertical="center" wrapText="1"/>
      <protection locked="0"/>
    </xf>
    <xf numFmtId="1" fontId="8" fillId="0" borderId="8" xfId="1" applyNumberFormat="1" applyFont="1" applyBorder="1" applyAlignment="1" applyProtection="1">
      <alignment horizontal="center" vertical="center" wrapText="1"/>
      <protection locked="0"/>
    </xf>
    <xf numFmtId="1" fontId="8" fillId="0" borderId="2" xfId="1" applyNumberFormat="1" applyFont="1" applyBorder="1" applyAlignment="1" applyProtection="1">
      <alignment horizontal="center" vertical="top" wrapText="1"/>
      <protection locked="0"/>
    </xf>
    <xf numFmtId="1" fontId="8" fillId="0" borderId="15" xfId="1" applyNumberFormat="1" applyFont="1" applyBorder="1" applyAlignment="1" applyProtection="1">
      <alignment horizontal="center" vertical="top" wrapText="1"/>
      <protection locked="0"/>
    </xf>
    <xf numFmtId="1" fontId="4" fillId="0" borderId="2" xfId="1" applyNumberFormat="1" applyFont="1" applyBorder="1" applyAlignment="1" applyProtection="1">
      <alignment horizontal="center" vertical="top" wrapText="1"/>
      <protection locked="0"/>
    </xf>
    <xf numFmtId="1" fontId="4" fillId="0" borderId="15" xfId="1" applyNumberFormat="1" applyFont="1" applyBorder="1" applyAlignment="1" applyProtection="1">
      <alignment horizontal="center" vertical="top" wrapText="1"/>
      <protection locked="0"/>
    </xf>
    <xf numFmtId="1" fontId="8" fillId="0" borderId="16" xfId="1" applyNumberFormat="1" applyFont="1" applyBorder="1" applyAlignment="1" applyProtection="1">
      <alignment horizontal="center" vertical="top" wrapText="1"/>
      <protection locked="0"/>
    </xf>
    <xf numFmtId="1" fontId="8" fillId="0" borderId="18" xfId="1" applyNumberFormat="1" applyFont="1" applyBorder="1" applyAlignment="1" applyProtection="1">
      <alignment horizontal="center" vertical="top" wrapText="1"/>
      <protection locked="0"/>
    </xf>
    <xf numFmtId="1" fontId="8"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pplyProtection="1">
      <alignment horizontal="center" vertical="center" wrapText="1"/>
      <protection locked="0"/>
    </xf>
    <xf numFmtId="9" fontId="11" fillId="0" borderId="16"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4" xfId="8" applyFont="1" applyFill="1" applyBorder="1" applyAlignment="1" applyProtection="1">
      <alignment horizontal="center" vertical="center" wrapText="1"/>
      <protection locked="0"/>
    </xf>
    <xf numFmtId="9" fontId="11" fillId="0" borderId="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1" xfId="8" applyFont="1" applyFill="1" applyBorder="1" applyAlignment="1" applyProtection="1">
      <alignment horizontal="center" vertical="center" wrapText="1"/>
      <protection locked="0"/>
    </xf>
    <xf numFmtId="0" fontId="11" fillId="0" borderId="3"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6" fillId="0" borderId="7" xfId="1" applyFont="1" applyBorder="1" applyAlignment="1" applyProtection="1">
      <alignment horizontal="left" vertical="top" wrapText="1"/>
      <protection locked="0"/>
    </xf>
    <xf numFmtId="0" fontId="6" fillId="0" borderId="20"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7" fillId="0" borderId="0" xfId="1" applyFont="1" applyAlignment="1">
      <alignment horizontal="center" vertical="center"/>
    </xf>
    <xf numFmtId="1" fontId="6" fillId="0" borderId="20" xfId="1" applyNumberFormat="1" applyFont="1" applyBorder="1" applyAlignment="1" applyProtection="1">
      <alignment horizontal="center" vertical="center" wrapText="1"/>
      <protection locked="0"/>
    </xf>
    <xf numFmtId="1" fontId="6" fillId="0" borderId="7" xfId="1" applyNumberFormat="1" applyFont="1" applyBorder="1" applyAlignment="1" applyProtection="1">
      <alignment horizontal="center" vertical="center"/>
      <protection locked="0"/>
    </xf>
    <xf numFmtId="1" fontId="6" fillId="0" borderId="20" xfId="1" applyNumberFormat="1" applyFont="1" applyBorder="1" applyAlignment="1" applyProtection="1">
      <alignment horizontal="center" vertical="center"/>
      <protection locked="0"/>
    </xf>
    <xf numFmtId="1" fontId="6" fillId="0" borderId="8" xfId="1" applyNumberFormat="1" applyFont="1" applyBorder="1" applyAlignment="1" applyProtection="1">
      <alignment horizontal="center" vertical="center"/>
      <protection locked="0"/>
    </xf>
    <xf numFmtId="0" fontId="6" fillId="0" borderId="1" xfId="1" applyFont="1" applyBorder="1" applyAlignment="1" applyProtection="1">
      <alignment horizontal="left" vertical="top"/>
      <protection locked="0"/>
    </xf>
    <xf numFmtId="1" fontId="8" fillId="0" borderId="1" xfId="0" applyNumberFormat="1" applyFont="1" applyBorder="1" applyAlignment="1" applyProtection="1">
      <alignment horizontal="center" vertical="top" wrapText="1"/>
      <protection locked="0"/>
    </xf>
    <xf numFmtId="0" fontId="14" fillId="0" borderId="16" xfId="1" applyFont="1" applyBorder="1" applyAlignment="1" applyProtection="1">
      <alignment horizontal="left" vertical="top" wrapText="1"/>
      <protection locked="0"/>
    </xf>
    <xf numFmtId="0" fontId="14" fillId="0" borderId="17" xfId="1" applyFont="1" applyBorder="1" applyAlignment="1" applyProtection="1">
      <alignment horizontal="left" vertical="top" wrapText="1"/>
      <protection locked="0"/>
    </xf>
    <xf numFmtId="0" fontId="14" fillId="0" borderId="18" xfId="1" applyFont="1" applyBorder="1" applyAlignment="1" applyProtection="1">
      <alignment horizontal="left" vertical="top" wrapText="1"/>
      <protection locked="0"/>
    </xf>
    <xf numFmtId="0" fontId="14" fillId="0" borderId="19"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7" fillId="0" borderId="3" xfId="1" applyFont="1" applyBorder="1" applyAlignment="1" applyProtection="1">
      <alignment horizontal="center" vertical="top" wrapText="1"/>
      <protection locked="0"/>
    </xf>
    <xf numFmtId="0" fontId="7" fillId="0" borderId="1" xfId="1" applyFont="1" applyBorder="1" applyAlignment="1" applyProtection="1">
      <alignment horizontal="center" vertical="top" wrapText="1"/>
      <protection locked="0"/>
    </xf>
    <xf numFmtId="167" fontId="11" fillId="0" borderId="1" xfId="9" applyNumberFormat="1" applyFont="1" applyFill="1" applyBorder="1" applyAlignment="1" applyProtection="1">
      <alignment horizontal="left" vertical="top"/>
      <protection locked="0"/>
    </xf>
    <xf numFmtId="0" fontId="12" fillId="0" borderId="3" xfId="1" applyFont="1" applyBorder="1" applyAlignment="1" applyProtection="1">
      <alignment horizontal="left" vertical="top"/>
      <protection locked="0"/>
    </xf>
    <xf numFmtId="0" fontId="12" fillId="0" borderId="1" xfId="1" applyFont="1" applyBorder="1" applyAlignment="1" applyProtection="1">
      <alignment horizontal="left" vertical="top"/>
      <protection locked="0"/>
    </xf>
    <xf numFmtId="0" fontId="12" fillId="0" borderId="21"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12"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22" xfId="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0" fontId="11" fillId="0" borderId="2" xfId="1" applyFont="1" applyBorder="1" applyAlignment="1" applyProtection="1">
      <alignment horizontal="left" vertical="top" wrapText="1"/>
      <protection locked="0"/>
    </xf>
    <xf numFmtId="1" fontId="6" fillId="0" borderId="1" xfId="0" applyNumberFormat="1" applyFont="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top" wrapText="1"/>
      <protection locked="0"/>
    </xf>
    <xf numFmtId="1" fontId="6" fillId="0" borderId="1" xfId="0" applyNumberFormat="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center" vertical="top" wrapText="1"/>
      <protection locked="0"/>
    </xf>
    <xf numFmtId="0" fontId="6" fillId="0" borderId="7" xfId="1" applyFont="1" applyBorder="1" applyAlignment="1" applyProtection="1">
      <alignment vertical="top" wrapText="1"/>
      <protection locked="0"/>
    </xf>
    <xf numFmtId="0" fontId="6" fillId="0" borderId="20" xfId="1" applyFont="1" applyBorder="1" applyAlignment="1" applyProtection="1">
      <alignment vertical="top" wrapText="1"/>
      <protection locked="0"/>
    </xf>
    <xf numFmtId="0" fontId="6" fillId="0" borderId="8" xfId="1" applyFont="1" applyBorder="1" applyAlignment="1" applyProtection="1">
      <alignment vertical="top" wrapText="1"/>
      <protection locked="0"/>
    </xf>
    <xf numFmtId="0" fontId="12" fillId="0" borderId="1" xfId="1" applyFont="1" applyBorder="1" applyAlignment="1" applyProtection="1">
      <alignment horizontal="left" vertical="top" wrapText="1"/>
      <protection locked="0"/>
    </xf>
    <xf numFmtId="0" fontId="12" fillId="0" borderId="4" xfId="1" applyFont="1" applyBorder="1" applyAlignment="1" applyProtection="1">
      <alignment horizontal="left" vertical="top" wrapText="1"/>
      <protection locked="0"/>
    </xf>
    <xf numFmtId="0" fontId="11" fillId="0" borderId="1" xfId="1" applyFont="1" applyBorder="1" applyAlignment="1" applyProtection="1">
      <alignment horizontal="left" vertical="top"/>
      <protection locked="0"/>
    </xf>
    <xf numFmtId="0" fontId="11" fillId="0" borderId="1" xfId="1" applyFont="1" applyBorder="1" applyAlignment="1" applyProtection="1">
      <alignment horizontal="left" vertical="top" wrapText="1"/>
      <protection locked="0"/>
    </xf>
    <xf numFmtId="0" fontId="11" fillId="0" borderId="2" xfId="1" applyFont="1" applyBorder="1" applyAlignment="1" applyProtection="1">
      <alignment horizontal="left" vertical="top"/>
      <protection locked="0"/>
    </xf>
    <xf numFmtId="0" fontId="11" fillId="0" borderId="5" xfId="1" applyFont="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1" fontId="10" fillId="0" borderId="1" xfId="0" applyNumberFormat="1" applyFont="1" applyBorder="1" applyAlignment="1" applyProtection="1">
      <alignment horizontal="center" vertical="center"/>
      <protection locked="0"/>
    </xf>
    <xf numFmtId="0" fontId="10" fillId="0" borderId="1" xfId="0" applyFont="1" applyBorder="1" applyAlignment="1" applyProtection="1">
      <alignment horizontal="center" vertical="center"/>
      <protection locked="0"/>
    </xf>
    <xf numFmtId="1" fontId="10" fillId="0" borderId="1" xfId="0" applyNumberFormat="1" applyFont="1" applyBorder="1" applyAlignment="1" applyProtection="1">
      <alignment horizontal="center" vertical="top" wrapText="1"/>
      <protection locked="0"/>
    </xf>
    <xf numFmtId="0" fontId="10" fillId="0" borderId="1" xfId="0" applyFont="1" applyBorder="1" applyAlignment="1" applyProtection="1">
      <alignment horizontal="center" vertical="top" wrapText="1"/>
      <protection locked="0"/>
    </xf>
    <xf numFmtId="0" fontId="8" fillId="0" borderId="15" xfId="1" applyFont="1" applyBorder="1" applyAlignment="1" applyProtection="1">
      <alignment horizontal="left" vertical="top"/>
      <protection locked="0"/>
    </xf>
    <xf numFmtId="1" fontId="8" fillId="0" borderId="1" xfId="0" applyNumberFormat="1" applyFont="1" applyBorder="1" applyAlignment="1" applyProtection="1">
      <alignment horizontal="center" vertical="center" wrapText="1"/>
      <protection locked="0"/>
    </xf>
    <xf numFmtId="0" fontId="8" fillId="0" borderId="1" xfId="1" applyFont="1" applyBorder="1" applyAlignment="1" applyProtection="1">
      <alignment horizontal="left" vertical="top"/>
      <protection locked="0"/>
    </xf>
    <xf numFmtId="0" fontId="8" fillId="0" borderId="15" xfId="1" applyFont="1" applyBorder="1" applyAlignment="1" applyProtection="1">
      <alignment horizontal="center" vertical="top"/>
      <protection locked="0"/>
    </xf>
    <xf numFmtId="1" fontId="7" fillId="0" borderId="1" xfId="0" applyNumberFormat="1" applyFont="1" applyBorder="1" applyAlignment="1" applyProtection="1">
      <alignment horizontal="center" vertical="center" wrapText="1"/>
      <protection locked="0"/>
    </xf>
    <xf numFmtId="164" fontId="6" fillId="0" borderId="1" xfId="1" applyNumberFormat="1" applyFont="1" applyBorder="1" applyAlignment="1" applyProtection="1">
      <alignment horizontal="left" vertical="top"/>
      <protection locked="0"/>
    </xf>
    <xf numFmtId="2" fontId="11" fillId="0" borderId="7" xfId="1" applyNumberFormat="1" applyFont="1" applyBorder="1" applyAlignment="1" applyProtection="1">
      <alignment horizontal="left" vertical="top"/>
      <protection locked="0"/>
    </xf>
    <xf numFmtId="2" fontId="11" fillId="0" borderId="20" xfId="1" applyNumberFormat="1" applyFont="1" applyBorder="1" applyAlignment="1" applyProtection="1">
      <alignment horizontal="left" vertical="top"/>
      <protection locked="0"/>
    </xf>
    <xf numFmtId="2" fontId="11" fillId="0" borderId="8" xfId="1" applyNumberFormat="1" applyFont="1" applyBorder="1" applyAlignment="1" applyProtection="1">
      <alignment horizontal="left" vertical="top"/>
      <protection locked="0"/>
    </xf>
    <xf numFmtId="0" fontId="11" fillId="0" borderId="7"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8" fillId="0" borderId="21" xfId="1" applyFont="1" applyBorder="1" applyAlignment="1" applyProtection="1">
      <alignment horizontal="left" vertical="top" wrapText="1"/>
      <protection locked="0"/>
    </xf>
    <xf numFmtId="0" fontId="8" fillId="0" borderId="14" xfId="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23" xfId="1" applyFont="1" applyBorder="1" applyAlignment="1" applyProtection="1">
      <alignment horizontal="left" vertical="top" wrapText="1"/>
      <protection locked="0"/>
    </xf>
    <xf numFmtId="0" fontId="11" fillId="0" borderId="17" xfId="1" applyFont="1" applyBorder="1" applyAlignment="1" applyProtection="1">
      <alignment horizontal="left" vertical="top" wrapText="1"/>
      <protection locked="0"/>
    </xf>
    <xf numFmtId="0" fontId="7" fillId="0" borderId="5" xfId="1" applyFont="1" applyBorder="1" applyAlignment="1" applyProtection="1">
      <alignment horizontal="center" vertical="top" wrapText="1"/>
      <protection locked="0"/>
    </xf>
    <xf numFmtId="0" fontId="7" fillId="0" borderId="6" xfId="1" applyFont="1" applyBorder="1" applyAlignment="1" applyProtection="1">
      <alignment horizontal="center" vertical="top" wrapText="1"/>
      <protection locked="0"/>
    </xf>
    <xf numFmtId="0" fontId="12" fillId="0" borderId="7" xfId="1" applyFont="1" applyBorder="1" applyAlignment="1" applyProtection="1">
      <alignment horizontal="left" vertical="top"/>
      <protection locked="0"/>
    </xf>
    <xf numFmtId="0" fontId="12" fillId="0" borderId="20"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1" fontId="6" fillId="0" borderId="1" xfId="1" applyNumberFormat="1" applyFont="1" applyBorder="1" applyAlignment="1" applyProtection="1">
      <alignment horizontal="left" vertical="top" wrapText="1"/>
      <protection locked="0"/>
    </xf>
    <xf numFmtId="0" fontId="6" fillId="0" borderId="2"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14" fontId="11" fillId="0" borderId="7" xfId="1" applyNumberFormat="1" applyFont="1" applyBorder="1" applyAlignment="1" applyProtection="1">
      <alignment horizontal="left" vertical="top" wrapText="1"/>
      <protection locked="0"/>
    </xf>
    <xf numFmtId="14" fontId="6" fillId="0" borderId="7" xfId="1" applyNumberFormat="1" applyFont="1" applyBorder="1" applyAlignment="1" applyProtection="1">
      <alignment horizontal="left" vertical="top" wrapText="1"/>
      <protection locked="0"/>
    </xf>
    <xf numFmtId="14" fontId="6" fillId="0" borderId="8" xfId="1" applyNumberFormat="1" applyFont="1" applyBorder="1" applyAlignment="1" applyProtection="1">
      <alignment horizontal="left" vertical="top" wrapText="1"/>
      <protection locked="0"/>
    </xf>
    <xf numFmtId="0" fontId="6" fillId="0" borderId="16" xfId="1" applyFont="1" applyBorder="1" applyAlignment="1" applyProtection="1">
      <alignment horizontal="left" vertical="top" wrapText="1"/>
      <protection locked="0"/>
    </xf>
    <xf numFmtId="0" fontId="6" fillId="0" borderId="17" xfId="1" applyFont="1" applyBorder="1" applyAlignment="1" applyProtection="1">
      <alignment horizontal="left" vertical="top" wrapText="1"/>
      <protection locked="0"/>
    </xf>
    <xf numFmtId="0" fontId="6" fillId="0" borderId="18" xfId="1" applyFont="1" applyBorder="1" applyAlignment="1" applyProtection="1">
      <alignment horizontal="left" vertical="top" wrapText="1"/>
      <protection locked="0"/>
    </xf>
    <xf numFmtId="0" fontId="6" fillId="0" borderId="19" xfId="1" applyFont="1" applyBorder="1" applyAlignment="1" applyProtection="1">
      <alignment horizontal="left" vertical="top" wrapText="1"/>
      <protection locked="0"/>
    </xf>
    <xf numFmtId="14" fontId="11" fillId="0" borderId="8" xfId="1" applyNumberFormat="1" applyFont="1" applyBorder="1" applyAlignment="1" applyProtection="1">
      <alignment horizontal="left" vertical="top" wrapText="1"/>
      <protection locked="0"/>
    </xf>
    <xf numFmtId="0" fontId="11" fillId="0" borderId="1" xfId="1" applyFont="1" applyBorder="1" applyAlignment="1" applyProtection="1">
      <alignment horizontal="center"/>
      <protection locked="0"/>
    </xf>
    <xf numFmtId="0" fontId="11" fillId="0" borderId="7" xfId="1" applyFont="1" applyBorder="1" applyAlignment="1" applyProtection="1">
      <alignment horizontal="center" vertical="top"/>
      <protection locked="0"/>
    </xf>
    <xf numFmtId="0" fontId="11" fillId="0" borderId="20" xfId="1" applyFont="1" applyBorder="1" applyAlignment="1" applyProtection="1">
      <alignment horizontal="center" vertical="top"/>
      <protection locked="0"/>
    </xf>
    <xf numFmtId="0" fontId="11" fillId="0" borderId="8" xfId="1" applyFont="1" applyBorder="1" applyAlignment="1" applyProtection="1">
      <alignment horizontal="center" vertical="top"/>
      <protection locked="0"/>
    </xf>
    <xf numFmtId="2" fontId="6" fillId="0" borderId="1" xfId="1" applyNumberFormat="1" applyFont="1" applyBorder="1" applyAlignment="1" applyProtection="1">
      <alignment horizontal="left" vertical="top" wrapText="1"/>
      <protection locked="0"/>
    </xf>
    <xf numFmtId="0" fontId="26" fillId="0" borderId="1" xfId="10" applyFill="1" applyBorder="1" applyAlignment="1" applyProtection="1">
      <alignment horizontal="left" vertical="top" wrapText="1"/>
      <protection locked="0"/>
    </xf>
    <xf numFmtId="0" fontId="8" fillId="0" borderId="1" xfId="1" applyFont="1" applyBorder="1" applyAlignment="1" applyProtection="1">
      <alignment vertical="top"/>
      <protection locked="0"/>
    </xf>
    <xf numFmtId="0" fontId="8" fillId="0" borderId="7" xfId="1" applyFont="1" applyBorder="1" applyAlignment="1" applyProtection="1">
      <alignment horizontal="left" vertical="top"/>
      <protection locked="0"/>
    </xf>
    <xf numFmtId="0" fontId="8" fillId="0" borderId="8" xfId="1" applyFont="1" applyBorder="1" applyAlignment="1" applyProtection="1">
      <alignment horizontal="left" vertical="top"/>
      <protection locked="0"/>
    </xf>
    <xf numFmtId="0" fontId="12" fillId="0" borderId="7" xfId="1" applyFont="1" applyBorder="1" applyAlignment="1" applyProtection="1">
      <alignment horizontal="center" vertical="top"/>
      <protection locked="0"/>
    </xf>
    <xf numFmtId="0" fontId="12" fillId="0" borderId="20" xfId="1" applyFont="1" applyBorder="1" applyAlignment="1" applyProtection="1">
      <alignment horizontal="center" vertical="top"/>
      <protection locked="0"/>
    </xf>
    <xf numFmtId="0" fontId="12" fillId="0" borderId="8" xfId="1" applyFont="1" applyBorder="1" applyAlignment="1" applyProtection="1">
      <alignment horizontal="center" vertical="top"/>
      <protection locked="0"/>
    </xf>
    <xf numFmtId="0" fontId="12" fillId="0" borderId="1" xfId="1" applyFont="1" applyBorder="1" applyAlignment="1" applyProtection="1">
      <alignment horizontal="center"/>
      <protection locked="0"/>
    </xf>
    <xf numFmtId="0" fontId="11" fillId="0" borderId="1" xfId="1" applyFont="1" applyBorder="1" applyAlignment="1" applyProtection="1">
      <alignment horizontal="left"/>
      <protection locked="0"/>
    </xf>
    <xf numFmtId="0" fontId="30" fillId="0" borderId="1" xfId="1" applyFont="1" applyBorder="1" applyAlignment="1" applyProtection="1">
      <alignment horizontal="center" vertical="top" wrapText="1"/>
      <protection locked="0"/>
    </xf>
    <xf numFmtId="0" fontId="12" fillId="0" borderId="1" xfId="1" applyFont="1" applyBorder="1" applyAlignment="1" applyProtection="1">
      <alignment horizontal="center" vertical="top"/>
      <protection locked="0"/>
    </xf>
    <xf numFmtId="14" fontId="11"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1" fontId="8" fillId="0" borderId="7" xfId="0" applyNumberFormat="1" applyFont="1" applyBorder="1" applyAlignment="1" applyProtection="1">
      <alignment vertical="top" wrapText="1"/>
      <protection locked="0"/>
    </xf>
    <xf numFmtId="1" fontId="8" fillId="0" borderId="20" xfId="0" applyNumberFormat="1" applyFont="1" applyBorder="1" applyAlignment="1" applyProtection="1">
      <alignment vertical="top" wrapText="1"/>
      <protection locked="0"/>
    </xf>
    <xf numFmtId="1" fontId="8" fillId="0" borderId="8" xfId="0" applyNumberFormat="1" applyFont="1" applyBorder="1" applyAlignment="1" applyProtection="1">
      <alignment vertical="top" wrapText="1"/>
      <protection locked="0"/>
    </xf>
    <xf numFmtId="0" fontId="6" fillId="0" borderId="1" xfId="1" applyFont="1" applyBorder="1" applyAlignment="1" applyProtection="1">
      <alignment vertical="top"/>
      <protection locked="0"/>
    </xf>
    <xf numFmtId="1" fontId="12" fillId="0" borderId="7" xfId="0" applyNumberFormat="1" applyFont="1" applyBorder="1" applyAlignment="1" applyProtection="1">
      <alignment vertical="top" wrapText="1"/>
      <protection locked="0"/>
    </xf>
    <xf numFmtId="1" fontId="12" fillId="0" borderId="20"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8" fillId="0" borderId="1" xfId="0" applyNumberFormat="1" applyFont="1" applyBorder="1" applyAlignment="1" applyProtection="1">
      <alignment horizontal="left" vertical="top" wrapText="1"/>
      <protection locked="0"/>
    </xf>
    <xf numFmtId="0" fontId="7" fillId="0" borderId="24" xfId="1" applyFont="1" applyBorder="1" applyAlignment="1">
      <alignment horizontal="center"/>
    </xf>
    <xf numFmtId="0" fontId="7" fillId="0" borderId="0" xfId="1" applyFont="1" applyAlignment="1">
      <alignment horizontal="center"/>
    </xf>
    <xf numFmtId="0" fontId="8" fillId="0" borderId="7" xfId="1" applyFont="1" applyBorder="1" applyAlignment="1" applyProtection="1">
      <alignment horizontal="left" vertical="top" wrapText="1"/>
      <protection locked="0"/>
    </xf>
    <xf numFmtId="0" fontId="8" fillId="0" borderId="8" xfId="1" applyFont="1" applyBorder="1" applyAlignment="1" applyProtection="1">
      <alignment horizontal="left" vertical="top" wrapText="1"/>
      <protection locked="0"/>
    </xf>
    <xf numFmtId="0" fontId="8" fillId="0" borderId="20" xfId="1" applyFont="1" applyBorder="1" applyAlignment="1" applyProtection="1">
      <alignment horizontal="left" vertical="top" wrapText="1"/>
      <protection locked="0"/>
    </xf>
    <xf numFmtId="0" fontId="6" fillId="0" borderId="2" xfId="1" applyFont="1" applyBorder="1" applyAlignment="1" applyProtection="1">
      <alignment horizontal="left" vertical="top"/>
      <protection locked="0"/>
    </xf>
    <xf numFmtId="0" fontId="10" fillId="0" borderId="32" xfId="0" applyFont="1" applyBorder="1" applyAlignment="1" applyProtection="1">
      <alignment horizontal="center" vertical="center"/>
      <protection locked="0"/>
    </xf>
    <xf numFmtId="0" fontId="10" fillId="0" borderId="32" xfId="0" applyFont="1" applyBorder="1" applyAlignment="1" applyProtection="1">
      <alignment horizontal="center" vertical="top" wrapText="1"/>
      <protection locked="0"/>
    </xf>
    <xf numFmtId="0" fontId="10" fillId="0" borderId="2" xfId="0" applyFont="1" applyBorder="1" applyAlignment="1" applyProtection="1">
      <alignment horizontal="center" vertical="center"/>
      <protection locked="0"/>
    </xf>
    <xf numFmtId="1" fontId="8" fillId="0" borderId="32" xfId="0" applyNumberFormat="1" applyFont="1" applyBorder="1" applyAlignment="1" applyProtection="1">
      <alignment horizontal="center" vertical="top" wrapText="1"/>
      <protection locked="0"/>
    </xf>
    <xf numFmtId="1" fontId="8" fillId="0" borderId="33" xfId="0" applyNumberFormat="1" applyFont="1" applyBorder="1" applyAlignment="1" applyProtection="1">
      <alignment horizontal="center" vertical="top" wrapText="1"/>
      <protection locked="0"/>
    </xf>
    <xf numFmtId="1" fontId="8" fillId="0" borderId="2" xfId="0" applyNumberFormat="1" applyFont="1" applyBorder="1" applyAlignment="1" applyProtection="1">
      <alignment horizontal="center" vertical="top" wrapText="1"/>
      <protection locked="0"/>
    </xf>
    <xf numFmtId="1" fontId="8" fillId="0" borderId="31" xfId="0" applyNumberFormat="1" applyFont="1" applyBorder="1" applyAlignment="1" applyProtection="1">
      <alignment horizontal="center" vertical="center" wrapText="1"/>
      <protection locked="0"/>
    </xf>
    <xf numFmtId="1" fontId="8" fillId="0" borderId="32" xfId="0" applyNumberFormat="1" applyFont="1" applyBorder="1" applyAlignment="1" applyProtection="1">
      <alignment horizontal="center" vertical="center" wrapText="1"/>
      <protection locked="0"/>
    </xf>
    <xf numFmtId="1" fontId="7" fillId="0" borderId="7" xfId="0" applyNumberFormat="1" applyFont="1" applyBorder="1" applyAlignment="1" applyProtection="1">
      <alignment horizontal="center" vertical="center" wrapText="1"/>
      <protection locked="0"/>
    </xf>
    <xf numFmtId="1" fontId="7" fillId="0" borderId="8" xfId="0" applyNumberFormat="1" applyFont="1" applyBorder="1" applyAlignment="1" applyProtection="1">
      <alignment horizontal="center" vertical="center" wrapText="1"/>
      <protection locked="0"/>
    </xf>
    <xf numFmtId="1" fontId="6" fillId="0" borderId="2" xfId="0" applyNumberFormat="1" applyFont="1" applyBorder="1" applyAlignment="1" applyProtection="1">
      <alignment horizontal="center" vertical="center" wrapText="1"/>
      <protection locked="0"/>
    </xf>
    <xf numFmtId="1" fontId="6" fillId="0" borderId="35" xfId="0" applyNumberFormat="1" applyFont="1" applyBorder="1" applyAlignment="1" applyProtection="1">
      <alignment horizontal="center" vertical="center" wrapText="1"/>
      <protection locked="0"/>
    </xf>
    <xf numFmtId="1" fontId="6" fillId="0" borderId="15" xfId="0" applyNumberFormat="1" applyFont="1" applyBorder="1" applyAlignment="1" applyProtection="1">
      <alignment horizontal="center" vertical="center" wrapText="1"/>
      <protection locked="0"/>
    </xf>
    <xf numFmtId="1" fontId="6" fillId="0" borderId="16" xfId="1" applyNumberFormat="1" applyFont="1" applyBorder="1" applyAlignment="1" applyProtection="1">
      <alignment horizontal="center" vertical="center" wrapText="1"/>
      <protection locked="0"/>
    </xf>
    <xf numFmtId="1" fontId="6" fillId="0" borderId="23" xfId="1" applyNumberFormat="1" applyFont="1" applyBorder="1" applyAlignment="1" applyProtection="1">
      <alignment horizontal="center" vertical="center" wrapText="1"/>
      <protection locked="0"/>
    </xf>
    <xf numFmtId="1" fontId="6" fillId="0" borderId="17" xfId="1" applyNumberFormat="1" applyFont="1" applyBorder="1" applyAlignment="1" applyProtection="1">
      <alignment horizontal="center" vertical="center" wrapText="1"/>
      <protection locked="0"/>
    </xf>
    <xf numFmtId="1" fontId="6" fillId="0" borderId="18" xfId="1" applyNumberFormat="1" applyFont="1" applyBorder="1" applyAlignment="1" applyProtection="1">
      <alignment horizontal="center" vertical="center" wrapText="1"/>
      <protection locked="0"/>
    </xf>
    <xf numFmtId="1" fontId="6" fillId="0" borderId="34" xfId="1" applyNumberFormat="1" applyFont="1" applyBorder="1" applyAlignment="1" applyProtection="1">
      <alignment horizontal="center" vertical="center" wrapText="1"/>
      <protection locked="0"/>
    </xf>
    <xf numFmtId="1" fontId="6" fillId="0" borderId="19" xfId="1" applyNumberFormat="1" applyFont="1" applyBorder="1" applyAlignment="1" applyProtection="1">
      <alignment horizontal="center" vertical="center" wrapText="1"/>
      <protection locked="0"/>
    </xf>
    <xf numFmtId="1" fontId="7" fillId="0" borderId="16" xfId="1" applyNumberFormat="1" applyFont="1" applyBorder="1" applyAlignment="1">
      <alignment horizontal="center" vertical="center"/>
    </xf>
    <xf numFmtId="1" fontId="7" fillId="0" borderId="23" xfId="1" applyNumberFormat="1" applyFont="1" applyBorder="1" applyAlignment="1">
      <alignment horizontal="center" vertical="center"/>
    </xf>
    <xf numFmtId="1" fontId="7" fillId="0" borderId="17" xfId="1" applyNumberFormat="1" applyFont="1" applyBorder="1" applyAlignment="1">
      <alignment horizontal="center" vertical="center"/>
    </xf>
    <xf numFmtId="1" fontId="7" fillId="0" borderId="18" xfId="1" applyNumberFormat="1" applyFont="1" applyBorder="1" applyAlignment="1">
      <alignment horizontal="center" vertical="center"/>
    </xf>
    <xf numFmtId="1" fontId="7" fillId="0" borderId="34" xfId="1" applyNumberFormat="1" applyFont="1" applyBorder="1" applyAlignment="1">
      <alignment horizontal="center" vertical="center"/>
    </xf>
    <xf numFmtId="1" fontId="7" fillId="0" borderId="19" xfId="1" applyNumberFormat="1" applyFont="1" applyBorder="1" applyAlignment="1">
      <alignment horizontal="center" vertical="center"/>
    </xf>
    <xf numFmtId="1" fontId="11" fillId="0" borderId="1" xfId="0" applyNumberFormat="1" applyFont="1" applyBorder="1" applyAlignment="1" applyProtection="1">
      <alignment horizontal="center" vertical="center" wrapText="1"/>
      <protection locked="0"/>
    </xf>
    <xf numFmtId="0" fontId="9" fillId="0" borderId="1" xfId="5" applyFont="1" applyBorder="1" applyAlignment="1">
      <alignment horizontal="left"/>
    </xf>
  </cellXfs>
  <cellStyles count="11">
    <cellStyle name="Comma" xfId="9" builtinId="3"/>
    <cellStyle name="Comma 2" xfId="6"/>
    <cellStyle name="Excel Built-in Normal" xfId="2"/>
    <cellStyle name="Excel Built-in Normal 2" xfId="4"/>
    <cellStyle name="Hyperlink" xfId="10" builtinId="8"/>
    <cellStyle name="Normal" xfId="0" builtinId="0"/>
    <cellStyle name="Normal 2" xfId="3"/>
    <cellStyle name="Normal 3" xfId="1"/>
    <cellStyle name="Normal 3 3" xfId="7"/>
    <cellStyle name="Normal 4"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1" Type="http://schemas.openxmlformats.org/officeDocument/2006/relationships/image" Target="../media/image15.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2</xdr:col>
      <xdr:colOff>166399</xdr:colOff>
      <xdr:row>366</xdr:row>
      <xdr:rowOff>141547</xdr:rowOff>
    </xdr:from>
    <xdr:to>
      <xdr:col>5</xdr:col>
      <xdr:colOff>17210</xdr:colOff>
      <xdr:row>380</xdr:row>
      <xdr:rowOff>64896</xdr:rowOff>
    </xdr:to>
    <xdr:pic>
      <xdr:nvPicPr>
        <xdr:cNvPr id="5" name="Picture 4"/>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a:ext>
          </a:extLst>
        </a:blip>
        <a:srcRect/>
        <a:stretch/>
      </xdr:blipFill>
      <xdr:spPr>
        <a:xfrm>
          <a:off x="1738024" y="51719422"/>
          <a:ext cx="2398749" cy="2590350"/>
        </a:xfrm>
        <a:prstGeom prst="rect">
          <a:avLst/>
        </a:prstGeom>
        <a:ln>
          <a:solidFill>
            <a:schemeClr val="tx1"/>
          </a:solidFill>
        </a:ln>
      </xdr:spPr>
    </xdr:pic>
    <xdr:clientData/>
  </xdr:twoCellAnchor>
  <xdr:twoCellAnchor editAs="oneCell">
    <xdr:from>
      <xdr:col>1</xdr:col>
      <xdr:colOff>681598</xdr:colOff>
      <xdr:row>381</xdr:row>
      <xdr:rowOff>71438</xdr:rowOff>
    </xdr:from>
    <xdr:to>
      <xdr:col>5</xdr:col>
      <xdr:colOff>391644</xdr:colOff>
      <xdr:row>407</xdr:row>
      <xdr:rowOff>56494</xdr:rowOff>
    </xdr:to>
    <xdr:pic>
      <xdr:nvPicPr>
        <xdr:cNvPr id="6" name="Picture 5"/>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a:ext>
          </a:extLst>
        </a:blip>
        <a:srcRect/>
        <a:stretch/>
      </xdr:blipFill>
      <xdr:spPr>
        <a:xfrm>
          <a:off x="1443598" y="54506813"/>
          <a:ext cx="3067609" cy="4938057"/>
        </a:xfrm>
        <a:prstGeom prst="rect">
          <a:avLst/>
        </a:prstGeom>
        <a:ln>
          <a:solidFill>
            <a:schemeClr val="tx1"/>
          </a:solidFill>
        </a:ln>
      </xdr:spPr>
    </xdr:pic>
    <xdr:clientData/>
  </xdr:twoCellAnchor>
  <xdr:twoCellAnchor editAs="oneCell">
    <xdr:from>
      <xdr:col>0</xdr:col>
      <xdr:colOff>761371</xdr:colOff>
      <xdr:row>410</xdr:row>
      <xdr:rowOff>171691</xdr:rowOff>
    </xdr:from>
    <xdr:to>
      <xdr:col>6</xdr:col>
      <xdr:colOff>719311</xdr:colOff>
      <xdr:row>427</xdr:row>
      <xdr:rowOff>21010</xdr:rowOff>
    </xdr:to>
    <xdr:pic>
      <xdr:nvPicPr>
        <xdr:cNvPr id="13" name="Picture 12"/>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a:ext>
          </a:extLst>
        </a:blip>
        <a:srcRect/>
        <a:stretch/>
      </xdr:blipFill>
      <xdr:spPr>
        <a:xfrm>
          <a:off x="761371" y="65031338"/>
          <a:ext cx="4810087" cy="3278320"/>
        </a:xfrm>
        <a:prstGeom prst="rect">
          <a:avLst/>
        </a:prstGeom>
        <a:ln w="3175">
          <a:solidFill>
            <a:schemeClr val="tx1"/>
          </a:solidFill>
        </a:ln>
      </xdr:spPr>
    </xdr:pic>
    <xdr:clientData/>
  </xdr:twoCellAnchor>
  <xdr:twoCellAnchor editAs="oneCell">
    <xdr:from>
      <xdr:col>9</xdr:col>
      <xdr:colOff>414054</xdr:colOff>
      <xdr:row>440</xdr:row>
      <xdr:rowOff>123265</xdr:rowOff>
    </xdr:from>
    <xdr:to>
      <xdr:col>16</xdr:col>
      <xdr:colOff>454347</xdr:colOff>
      <xdr:row>478</xdr:row>
      <xdr:rowOff>73</xdr:rowOff>
    </xdr:to>
    <xdr:pic>
      <xdr:nvPicPr>
        <xdr:cNvPr id="19" name="Picture 18"/>
        <xdr:cNvPicPr>
          <a:picLocks noChangeAspect="1"/>
        </xdr:cNvPicPr>
      </xdr:nvPicPr>
      <xdr:blipFill>
        <a:blip xmlns:r="http://schemas.openxmlformats.org/officeDocument/2006/relationships" r:embed="rId4"/>
        <a:stretch>
          <a:fillRect/>
        </a:stretch>
      </xdr:blipFill>
      <xdr:spPr>
        <a:xfrm>
          <a:off x="7888378" y="69532500"/>
          <a:ext cx="5654440" cy="7541631"/>
        </a:xfrm>
        <a:prstGeom prst="rect">
          <a:avLst/>
        </a:prstGeom>
        <a:ln>
          <a:solidFill>
            <a:schemeClr val="tx1"/>
          </a:solidFill>
        </a:ln>
      </xdr:spPr>
    </xdr:pic>
    <xdr:clientData/>
  </xdr:twoCellAnchor>
  <xdr:twoCellAnchor editAs="oneCell">
    <xdr:from>
      <xdr:col>8</xdr:col>
      <xdr:colOff>342900</xdr:colOff>
      <xdr:row>47</xdr:row>
      <xdr:rowOff>0</xdr:rowOff>
    </xdr:from>
    <xdr:to>
      <xdr:col>10</xdr:col>
      <xdr:colOff>483600</xdr:colOff>
      <xdr:row>52</xdr:row>
      <xdr:rowOff>332776</xdr:rowOff>
    </xdr:to>
    <xdr:pic>
      <xdr:nvPicPr>
        <xdr:cNvPr id="15" name="Picture 14"/>
        <xdr:cNvPicPr>
          <a:picLocks noChangeAspect="1"/>
        </xdr:cNvPicPr>
      </xdr:nvPicPr>
      <xdr:blipFill>
        <a:blip xmlns:r="http://schemas.openxmlformats.org/officeDocument/2006/relationships" r:embed="rId5"/>
        <a:stretch>
          <a:fillRect/>
        </a:stretch>
      </xdr:blipFill>
      <xdr:spPr>
        <a:xfrm>
          <a:off x="6965950" y="10306050"/>
          <a:ext cx="2160000" cy="1545440"/>
        </a:xfrm>
        <a:prstGeom prst="rect">
          <a:avLst/>
        </a:prstGeom>
        <a:ln>
          <a:solidFill>
            <a:schemeClr val="tx1"/>
          </a:solidFill>
        </a:ln>
      </xdr:spPr>
    </xdr:pic>
    <xdr:clientData/>
  </xdr:twoCellAnchor>
  <xdr:twoCellAnchor>
    <xdr:from>
      <xdr:col>0</xdr:col>
      <xdr:colOff>381001</xdr:colOff>
      <xdr:row>427</xdr:row>
      <xdr:rowOff>179292</xdr:rowOff>
    </xdr:from>
    <xdr:to>
      <xdr:col>7</xdr:col>
      <xdr:colOff>313765</xdr:colOff>
      <xdr:row>450</xdr:row>
      <xdr:rowOff>33616</xdr:rowOff>
    </xdr:to>
    <xdr:grpSp>
      <xdr:nvGrpSpPr>
        <xdr:cNvPr id="16" name="Group 15">
          <a:extLst>
            <a:ext uri="{FF2B5EF4-FFF2-40B4-BE49-F238E27FC236}">
              <a16:creationId xmlns:a16="http://schemas.microsoft.com/office/drawing/2014/main" id="{2AC79F42-744C-4934-AE9B-69C6C29C18BB}"/>
            </a:ext>
          </a:extLst>
        </xdr:cNvPr>
        <xdr:cNvGrpSpPr/>
      </xdr:nvGrpSpPr>
      <xdr:grpSpPr>
        <a:xfrm>
          <a:off x="381001" y="81643442"/>
          <a:ext cx="5787464" cy="4381874"/>
          <a:chOff x="1052570" y="956381"/>
          <a:chExt cx="5040000" cy="3215172"/>
        </a:xfrm>
      </xdr:grpSpPr>
      <xdr:pic>
        <xdr:nvPicPr>
          <xdr:cNvPr id="17" name="Picture 16">
            <a:extLst>
              <a:ext uri="{FF2B5EF4-FFF2-40B4-BE49-F238E27FC236}">
                <a16:creationId xmlns:a16="http://schemas.microsoft.com/office/drawing/2014/main" id="{DA780B82-A6D9-4859-A3E3-318E65D98AB8}"/>
              </a:ext>
            </a:extLst>
          </xdr:cNvPr>
          <xdr:cNvPicPr>
            <a:picLocks noChangeAspect="1"/>
          </xdr:cNvPicPr>
        </xdr:nvPicPr>
        <xdr:blipFill rotWithShape="1">
          <a:blip xmlns:r="http://schemas.openxmlformats.org/officeDocument/2006/relationships" r:embed="rId6" cstate="screen">
            <a:extLst>
              <a:ext uri="{28A0092B-C50C-407E-A947-70E740481C1C}">
                <a14:useLocalDpi xmlns:a14="http://schemas.microsoft.com/office/drawing/2010/main"/>
              </a:ext>
            </a:extLst>
          </a:blip>
          <a:srcRect/>
          <a:stretch/>
        </xdr:blipFill>
        <xdr:spPr>
          <a:xfrm>
            <a:off x="1052570" y="956381"/>
            <a:ext cx="5040000" cy="3215172"/>
          </a:xfrm>
          <a:prstGeom prst="rect">
            <a:avLst/>
          </a:prstGeom>
          <a:ln>
            <a:solidFill>
              <a:schemeClr val="tx1"/>
            </a:solidFill>
          </a:ln>
        </xdr:spPr>
      </xdr:pic>
      <xdr:sp macro="" textlink="">
        <xdr:nvSpPr>
          <xdr:cNvPr id="18" name="Rectangle 17">
            <a:extLst>
              <a:ext uri="{FF2B5EF4-FFF2-40B4-BE49-F238E27FC236}">
                <a16:creationId xmlns:a16="http://schemas.microsoft.com/office/drawing/2014/main" id="{82F1DF3E-D17D-4B8A-99B6-9CB960F9428E}"/>
              </a:ext>
            </a:extLst>
          </xdr:cNvPr>
          <xdr:cNvSpPr/>
        </xdr:nvSpPr>
        <xdr:spPr>
          <a:xfrm rot="757963">
            <a:off x="3258912" y="2554348"/>
            <a:ext cx="1260824" cy="685365"/>
          </a:xfrm>
          <a:prstGeom prst="rect">
            <a:avLst/>
          </a:prstGeom>
          <a:noFill/>
          <a:ln w="28575">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en-IN"/>
          </a:p>
        </xdr:txBody>
      </xdr:sp>
      <xdr:sp macro="" textlink="">
        <xdr:nvSpPr>
          <xdr:cNvPr id="21" name="TextBox 8">
            <a:extLst>
              <a:ext uri="{FF2B5EF4-FFF2-40B4-BE49-F238E27FC236}">
                <a16:creationId xmlns:a16="http://schemas.microsoft.com/office/drawing/2014/main" id="{1C6EC64A-1735-4611-83E9-254FD0F0FA29}"/>
              </a:ext>
            </a:extLst>
          </xdr:cNvPr>
          <xdr:cNvSpPr txBox="1"/>
        </xdr:nvSpPr>
        <xdr:spPr>
          <a:xfrm rot="662671">
            <a:off x="3218616" y="2258851"/>
            <a:ext cx="1927451" cy="369332"/>
          </a:xfrm>
          <a:prstGeom prst="rect">
            <a:avLst/>
          </a:prstGeom>
          <a:noFill/>
        </xdr:spPr>
        <xdr:txBody>
          <a:bodyPr wrap="square" rtlCol="0">
            <a:sp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en-US" b="1">
                <a:solidFill>
                  <a:srgbClr val="FFFF00"/>
                </a:solidFill>
              </a:rPr>
              <a:t>O22 Business Park</a:t>
            </a:r>
            <a:endParaRPr lang="en-IN" b="1">
              <a:solidFill>
                <a:srgbClr val="FFFF00"/>
              </a:solidFill>
            </a:endParaRPr>
          </a:p>
        </xdr:txBody>
      </xdr:sp>
    </xdr:grpSp>
    <xdr:clientData/>
  </xdr:twoCellAnchor>
  <xdr:twoCellAnchor editAs="oneCell">
    <xdr:from>
      <xdr:col>8</xdr:col>
      <xdr:colOff>390525</xdr:colOff>
      <xdr:row>45</xdr:row>
      <xdr:rowOff>28575</xdr:rowOff>
    </xdr:from>
    <xdr:to>
      <xdr:col>13</xdr:col>
      <xdr:colOff>86289</xdr:colOff>
      <xdr:row>62</xdr:row>
      <xdr:rowOff>143374</xdr:rowOff>
    </xdr:to>
    <xdr:pic>
      <xdr:nvPicPr>
        <xdr:cNvPr id="2" name="Picture 1"/>
        <xdr:cNvPicPr>
          <a:picLocks noChangeAspect="1"/>
        </xdr:cNvPicPr>
      </xdr:nvPicPr>
      <xdr:blipFill>
        <a:blip xmlns:r="http://schemas.openxmlformats.org/officeDocument/2006/relationships" r:embed="rId7"/>
        <a:stretch>
          <a:fillRect/>
        </a:stretch>
      </xdr:blipFill>
      <xdr:spPr>
        <a:xfrm>
          <a:off x="6705600" y="10048875"/>
          <a:ext cx="4039164" cy="3572374"/>
        </a:xfrm>
        <a:prstGeom prst="rect">
          <a:avLst/>
        </a:prstGeom>
      </xdr:spPr>
    </xdr:pic>
    <xdr:clientData/>
  </xdr:twoCellAnchor>
  <xdr:oneCellAnchor>
    <xdr:from>
      <xdr:col>8</xdr:col>
      <xdr:colOff>977900</xdr:colOff>
      <xdr:row>334</xdr:row>
      <xdr:rowOff>6350</xdr:rowOff>
    </xdr:from>
    <xdr:ext cx="555793" cy="264560"/>
    <xdr:sp macro="" textlink="">
      <xdr:nvSpPr>
        <xdr:cNvPr id="3" name="TextBox 2"/>
        <xdr:cNvSpPr txBox="1"/>
      </xdr:nvSpPr>
      <xdr:spPr>
        <a:xfrm>
          <a:off x="7600950" y="62966600"/>
          <a:ext cx="5557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6th Flr</a:t>
          </a:r>
        </a:p>
      </xdr:txBody>
    </xdr:sp>
    <xdr:clientData/>
  </xdr:oneCellAnchor>
  <xdr:oneCellAnchor>
    <xdr:from>
      <xdr:col>9</xdr:col>
      <xdr:colOff>280991</xdr:colOff>
      <xdr:row>329</xdr:row>
      <xdr:rowOff>50800</xdr:rowOff>
    </xdr:from>
    <xdr:ext cx="555793" cy="264560"/>
    <xdr:sp macro="" textlink="">
      <xdr:nvSpPr>
        <xdr:cNvPr id="32" name="TextBox 31"/>
        <xdr:cNvSpPr txBox="1"/>
      </xdr:nvSpPr>
      <xdr:spPr>
        <a:xfrm rot="19655368">
          <a:off x="8123241" y="62026800"/>
          <a:ext cx="5557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100" b="0" cap="none" spc="0">
              <a:ln w="0"/>
              <a:solidFill>
                <a:srgbClr val="FFFF00"/>
              </a:solidFill>
              <a:effectLst>
                <a:outerShdw blurRad="38100" dist="25400" dir="5400000" algn="ctr" rotWithShape="0">
                  <a:srgbClr val="6E747A">
                    <a:alpha val="43000"/>
                  </a:srgbClr>
                </a:outerShdw>
              </a:effectLst>
            </a:rPr>
            <a:t>6th Flr</a:t>
          </a:r>
        </a:p>
      </xdr:txBody>
    </xdr:sp>
    <xdr:clientData/>
  </xdr:oneCellAnchor>
  <xdr:twoCellAnchor>
    <xdr:from>
      <xdr:col>0</xdr:col>
      <xdr:colOff>101600</xdr:colOff>
      <xdr:row>324</xdr:row>
      <xdr:rowOff>107950</xdr:rowOff>
    </xdr:from>
    <xdr:to>
      <xdr:col>7</xdr:col>
      <xdr:colOff>661619</xdr:colOff>
      <xdr:row>356</xdr:row>
      <xdr:rowOff>34859</xdr:rowOff>
    </xdr:to>
    <xdr:grpSp>
      <xdr:nvGrpSpPr>
        <xdr:cNvPr id="4" name="Group 3"/>
        <xdr:cNvGrpSpPr/>
      </xdr:nvGrpSpPr>
      <xdr:grpSpPr>
        <a:xfrm>
          <a:off x="101600" y="61296550"/>
          <a:ext cx="6414719" cy="6226109"/>
          <a:chOff x="101600" y="61296550"/>
          <a:chExt cx="6414719" cy="6226109"/>
        </a:xfrm>
      </xdr:grpSpPr>
      <xdr:pic>
        <xdr:nvPicPr>
          <xdr:cNvPr id="27" name="Picture 26"/>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293691" y="61296550"/>
            <a:ext cx="2966907" cy="3960000"/>
          </a:xfrm>
          <a:prstGeom prst="rect">
            <a:avLst/>
          </a:prstGeom>
          <a:ln>
            <a:solidFill>
              <a:schemeClr val="tx1"/>
            </a:solidFill>
          </a:ln>
        </xdr:spPr>
      </xdr:pic>
      <xdr:pic>
        <xdr:nvPicPr>
          <xdr:cNvPr id="22" name="Picture 21"/>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4898006" y="65362659"/>
            <a:ext cx="1618313" cy="2160000"/>
          </a:xfrm>
          <a:prstGeom prst="rect">
            <a:avLst/>
          </a:prstGeom>
          <a:ln>
            <a:solidFill>
              <a:schemeClr val="tx1"/>
            </a:solidFill>
          </a:ln>
        </xdr:spPr>
      </xdr:pic>
      <xdr:pic>
        <xdr:nvPicPr>
          <xdr:cNvPr id="28" name="Picture 27"/>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3389501" y="61296550"/>
            <a:ext cx="2966907" cy="3960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1870293" y="65362659"/>
            <a:ext cx="2877333" cy="2160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101600" y="65362659"/>
            <a:ext cx="1618313" cy="2160000"/>
          </a:xfrm>
          <a:prstGeom prst="rect">
            <a:avLst/>
          </a:prstGeom>
          <a:ln>
            <a:solidFill>
              <a:schemeClr val="tx1"/>
            </a:solidFill>
          </a:ln>
        </xdr:spPr>
      </xdr:pic>
    </xdr:grpSp>
    <xdr:clientData/>
  </xdr:twoCellAnchor>
  <xdr:twoCellAnchor editAs="oneCell">
    <xdr:from>
      <xdr:col>9</xdr:col>
      <xdr:colOff>114300</xdr:colOff>
      <xdr:row>322</xdr:row>
      <xdr:rowOff>139700</xdr:rowOff>
    </xdr:from>
    <xdr:to>
      <xdr:col>12</xdr:col>
      <xdr:colOff>579307</xdr:colOff>
      <xdr:row>342</xdr:row>
      <xdr:rowOff>162700</xdr:rowOff>
    </xdr:to>
    <xdr:pic>
      <xdr:nvPicPr>
        <xdr:cNvPr id="23" name="Picture 2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7956550" y="60934600"/>
          <a:ext cx="2966907" cy="3960000"/>
        </a:xfrm>
        <a:prstGeom prst="rect">
          <a:avLst/>
        </a:prstGeom>
        <a:ln>
          <a:solidFill>
            <a:schemeClr val="tx1"/>
          </a:solidFill>
        </a:ln>
      </xdr:spPr>
    </xdr:pic>
    <xdr:clientData/>
  </xdr:twoCellAnchor>
  <xdr:twoCellAnchor>
    <xdr:from>
      <xdr:col>10</xdr:col>
      <xdr:colOff>120650</xdr:colOff>
      <xdr:row>331</xdr:row>
      <xdr:rowOff>190500</xdr:rowOff>
    </xdr:from>
    <xdr:to>
      <xdr:col>10</xdr:col>
      <xdr:colOff>676443</xdr:colOff>
      <xdr:row>333</xdr:row>
      <xdr:rowOff>61360</xdr:rowOff>
    </xdr:to>
    <xdr:sp macro="" textlink="">
      <xdr:nvSpPr>
        <xdr:cNvPr id="24" name="TextBox 23"/>
        <xdr:cNvSpPr txBox="1"/>
      </xdr:nvSpPr>
      <xdr:spPr>
        <a:xfrm rot="19655368">
          <a:off x="8763000" y="62757050"/>
          <a:ext cx="5557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6th Flr</a:t>
          </a:r>
        </a:p>
      </xdr:txBody>
    </xdr:sp>
    <xdr:clientData/>
  </xdr:twoCellAnchor>
  <xdr:twoCellAnchor>
    <xdr:from>
      <xdr:col>11</xdr:col>
      <xdr:colOff>38100</xdr:colOff>
      <xdr:row>331</xdr:row>
      <xdr:rowOff>38102</xdr:rowOff>
    </xdr:from>
    <xdr:to>
      <xdr:col>11</xdr:col>
      <xdr:colOff>593893</xdr:colOff>
      <xdr:row>332</xdr:row>
      <xdr:rowOff>105812</xdr:rowOff>
    </xdr:to>
    <xdr:sp macro="" textlink="">
      <xdr:nvSpPr>
        <xdr:cNvPr id="25" name="TextBox 24"/>
        <xdr:cNvSpPr txBox="1"/>
      </xdr:nvSpPr>
      <xdr:spPr>
        <a:xfrm rot="1364891">
          <a:off x="9417050" y="62604652"/>
          <a:ext cx="555793"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100" b="0" cap="none" spc="0">
              <a:ln w="0"/>
              <a:solidFill>
                <a:srgbClr val="FFFF00"/>
              </a:solidFill>
              <a:effectLst>
                <a:outerShdw blurRad="38100" dist="25400" dir="5400000" algn="ctr" rotWithShape="0">
                  <a:srgbClr val="6E747A">
                    <a:alpha val="43000"/>
                  </a:srgbClr>
                </a:outerShdw>
              </a:effectLst>
            </a:rPr>
            <a:t>8th Flr</a:t>
          </a:r>
        </a:p>
      </xdr:txBody>
    </xdr:sp>
    <xdr:clientData/>
  </xdr:twoCellAnchor>
  <xdr:twoCellAnchor>
    <xdr:from>
      <xdr:col>11</xdr:col>
      <xdr:colOff>281510</xdr:colOff>
      <xdr:row>325</xdr:row>
      <xdr:rowOff>159120</xdr:rowOff>
    </xdr:from>
    <xdr:to>
      <xdr:col>12</xdr:col>
      <xdr:colOff>61909</xdr:colOff>
      <xdr:row>327</xdr:row>
      <xdr:rowOff>29980</xdr:rowOff>
    </xdr:to>
    <xdr:sp macro="" textlink="">
      <xdr:nvSpPr>
        <xdr:cNvPr id="26" name="TextBox 25"/>
        <xdr:cNvSpPr txBox="1"/>
      </xdr:nvSpPr>
      <xdr:spPr>
        <a:xfrm>
          <a:off x="9660460" y="61544570"/>
          <a:ext cx="745599"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IN" sz="1100" b="0" cap="none" spc="0">
              <a:ln w="0"/>
              <a:solidFill>
                <a:sysClr val="windowText" lastClr="000000"/>
              </a:solidFill>
              <a:effectLst>
                <a:outerShdw blurRad="38100" dist="25400" dir="5400000" algn="ctr" rotWithShape="0">
                  <a:srgbClr val="6E747A">
                    <a:alpha val="43000"/>
                  </a:srgbClr>
                </a:outerShdw>
              </a:effectLst>
            </a:rPr>
            <a:t>18th Flr</a:t>
          </a:r>
        </a:p>
      </xdr:txBody>
    </xdr:sp>
    <xdr:clientData/>
  </xdr:twoCellAnchor>
  <xdr:twoCellAnchor>
    <xdr:from>
      <xdr:col>11</xdr:col>
      <xdr:colOff>30159</xdr:colOff>
      <xdr:row>326</xdr:row>
      <xdr:rowOff>6350</xdr:rowOff>
    </xdr:from>
    <xdr:to>
      <xdr:col>11</xdr:col>
      <xdr:colOff>398459</xdr:colOff>
      <xdr:row>326</xdr:row>
      <xdr:rowOff>127000</xdr:rowOff>
    </xdr:to>
    <xdr:cxnSp macro="">
      <xdr:nvCxnSpPr>
        <xdr:cNvPr id="35" name="Straight Arrow Connector 34"/>
        <xdr:cNvCxnSpPr/>
      </xdr:nvCxnSpPr>
      <xdr:spPr>
        <a:xfrm flipH="1" flipV="1">
          <a:off x="9409109" y="61588650"/>
          <a:ext cx="368300" cy="120650"/>
        </a:xfrm>
        <a:prstGeom prst="straightConnector1">
          <a:avLst/>
        </a:prstGeom>
        <a:ln>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dfeggWzDAUimSwRT6"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Z410"/>
  <sheetViews>
    <sheetView tabSelected="1" view="pageBreakPreview" topLeftCell="A73" zoomScaleNormal="100" zoomScaleSheetLayoutView="100" zoomScalePageLayoutView="85" workbookViewId="0">
      <selection activeCell="C82" sqref="C82"/>
    </sheetView>
  </sheetViews>
  <sheetFormatPr defaultColWidth="9.1796875" defaultRowHeight="15.5" x14ac:dyDescent="0.35"/>
  <cols>
    <col min="1" max="1" width="11.453125" style="37" customWidth="1"/>
    <col min="2" max="2" width="12" style="37" customWidth="1"/>
    <col min="3" max="3" width="12.7265625" style="37" customWidth="1"/>
    <col min="4" max="4" width="13.7265625" style="37" customWidth="1"/>
    <col min="5" max="5" width="11.7265625" style="37" customWidth="1"/>
    <col min="6" max="6" width="11.1796875" style="37" customWidth="1"/>
    <col min="7" max="8" width="11" style="37" customWidth="1"/>
    <col min="9" max="9" width="17.453125" style="18" customWidth="1"/>
    <col min="10" max="10" width="11.453125" style="18" customWidth="1"/>
    <col min="11" max="11" width="10.54296875" style="18" bestFit="1" customWidth="1"/>
    <col min="12" max="12" width="13.81640625" style="18" bestFit="1" customWidth="1"/>
    <col min="13" max="13" width="11.81640625" style="18" customWidth="1"/>
    <col min="14" max="14" width="12.54296875" style="18" customWidth="1"/>
    <col min="15" max="15" width="12.1796875" style="18" customWidth="1"/>
    <col min="16" max="16" width="11.7265625" style="18" customWidth="1"/>
    <col min="17" max="18" width="9.1796875" style="18"/>
    <col min="19" max="19" width="10.81640625" style="18" bestFit="1" customWidth="1"/>
    <col min="20" max="20" width="10.7265625" style="18" customWidth="1"/>
    <col min="21" max="247" width="9.1796875" style="18"/>
    <col min="248" max="248" width="8.7265625" style="18" customWidth="1"/>
    <col min="249" max="249" width="9.81640625" style="18" customWidth="1"/>
    <col min="250" max="250" width="14.453125" style="18" customWidth="1"/>
    <col min="251" max="251" width="7.26953125" style="18" customWidth="1"/>
    <col min="252" max="252" width="5.54296875" style="18" customWidth="1"/>
    <col min="253" max="253" width="9" style="18" customWidth="1"/>
    <col min="254" max="255" width="9.81640625" style="18" customWidth="1"/>
    <col min="256" max="256" width="11.1796875" style="18" customWidth="1"/>
    <col min="257" max="257" width="2.81640625" style="18" customWidth="1"/>
    <col min="258" max="258" width="3.54296875" style="18" customWidth="1"/>
    <col min="259" max="503" width="9.1796875" style="18"/>
    <col min="504" max="504" width="8.7265625" style="18" customWidth="1"/>
    <col min="505" max="505" width="9.81640625" style="18" customWidth="1"/>
    <col min="506" max="506" width="14.453125" style="18" customWidth="1"/>
    <col min="507" max="507" width="7.26953125" style="18" customWidth="1"/>
    <col min="508" max="508" width="5.54296875" style="18" customWidth="1"/>
    <col min="509" max="509" width="9" style="18" customWidth="1"/>
    <col min="510" max="511" width="9.81640625" style="18" customWidth="1"/>
    <col min="512" max="512" width="11.1796875" style="18" customWidth="1"/>
    <col min="513" max="513" width="2.81640625" style="18" customWidth="1"/>
    <col min="514" max="514" width="3.54296875" style="18" customWidth="1"/>
    <col min="515" max="759" width="9.1796875" style="18"/>
    <col min="760" max="760" width="8.7265625" style="18" customWidth="1"/>
    <col min="761" max="761" width="9.81640625" style="18" customWidth="1"/>
    <col min="762" max="762" width="14.453125" style="18" customWidth="1"/>
    <col min="763" max="763" width="7.26953125" style="18" customWidth="1"/>
    <col min="764" max="764" width="5.54296875" style="18" customWidth="1"/>
    <col min="765" max="765" width="9" style="18" customWidth="1"/>
    <col min="766" max="767" width="9.81640625" style="18" customWidth="1"/>
    <col min="768" max="768" width="11.1796875" style="18" customWidth="1"/>
    <col min="769" max="769" width="2.81640625" style="18" customWidth="1"/>
    <col min="770" max="770" width="3.54296875" style="18" customWidth="1"/>
    <col min="771" max="1015" width="9.1796875" style="18"/>
    <col min="1016" max="1016" width="8.7265625" style="18" customWidth="1"/>
    <col min="1017" max="1017" width="9.81640625" style="18" customWidth="1"/>
    <col min="1018" max="1018" width="14.453125" style="18" customWidth="1"/>
    <col min="1019" max="1019" width="7.26953125" style="18" customWidth="1"/>
    <col min="1020" max="1020" width="5.54296875" style="18" customWidth="1"/>
    <col min="1021" max="1021" width="9" style="18" customWidth="1"/>
    <col min="1022" max="1023" width="9.81640625" style="18" customWidth="1"/>
    <col min="1024" max="1024" width="11.1796875" style="18" customWidth="1"/>
    <col min="1025" max="1025" width="2.81640625" style="18" customWidth="1"/>
    <col min="1026" max="1026" width="3.54296875" style="18" customWidth="1"/>
    <col min="1027" max="1271" width="9.1796875" style="18"/>
    <col min="1272" max="1272" width="8.7265625" style="18" customWidth="1"/>
    <col min="1273" max="1273" width="9.81640625" style="18" customWidth="1"/>
    <col min="1274" max="1274" width="14.453125" style="18" customWidth="1"/>
    <col min="1275" max="1275" width="7.26953125" style="18" customWidth="1"/>
    <col min="1276" max="1276" width="5.54296875" style="18" customWidth="1"/>
    <col min="1277" max="1277" width="9" style="18" customWidth="1"/>
    <col min="1278" max="1279" width="9.81640625" style="18" customWidth="1"/>
    <col min="1280" max="1280" width="11.1796875" style="18" customWidth="1"/>
    <col min="1281" max="1281" width="2.81640625" style="18" customWidth="1"/>
    <col min="1282" max="1282" width="3.54296875" style="18" customWidth="1"/>
    <col min="1283" max="1527" width="9.1796875" style="18"/>
    <col min="1528" max="1528" width="8.7265625" style="18" customWidth="1"/>
    <col min="1529" max="1529" width="9.81640625" style="18" customWidth="1"/>
    <col min="1530" max="1530" width="14.453125" style="18" customWidth="1"/>
    <col min="1531" max="1531" width="7.26953125" style="18" customWidth="1"/>
    <col min="1532" max="1532" width="5.54296875" style="18" customWidth="1"/>
    <col min="1533" max="1533" width="9" style="18" customWidth="1"/>
    <col min="1534" max="1535" width="9.81640625" style="18" customWidth="1"/>
    <col min="1536" max="1536" width="11.1796875" style="18" customWidth="1"/>
    <col min="1537" max="1537" width="2.81640625" style="18" customWidth="1"/>
    <col min="1538" max="1538" width="3.54296875" style="18" customWidth="1"/>
    <col min="1539" max="1783" width="9.1796875" style="18"/>
    <col min="1784" max="1784" width="8.7265625" style="18" customWidth="1"/>
    <col min="1785" max="1785" width="9.81640625" style="18" customWidth="1"/>
    <col min="1786" max="1786" width="14.453125" style="18" customWidth="1"/>
    <col min="1787" max="1787" width="7.26953125" style="18" customWidth="1"/>
    <col min="1788" max="1788" width="5.54296875" style="18" customWidth="1"/>
    <col min="1789" max="1789" width="9" style="18" customWidth="1"/>
    <col min="1790" max="1791" width="9.81640625" style="18" customWidth="1"/>
    <col min="1792" max="1792" width="11.1796875" style="18" customWidth="1"/>
    <col min="1793" max="1793" width="2.81640625" style="18" customWidth="1"/>
    <col min="1794" max="1794" width="3.54296875" style="18" customWidth="1"/>
    <col min="1795" max="2039" width="9.1796875" style="18"/>
    <col min="2040" max="2040" width="8.7265625" style="18" customWidth="1"/>
    <col min="2041" max="2041" width="9.81640625" style="18" customWidth="1"/>
    <col min="2042" max="2042" width="14.453125" style="18" customWidth="1"/>
    <col min="2043" max="2043" width="7.26953125" style="18" customWidth="1"/>
    <col min="2044" max="2044" width="5.54296875" style="18" customWidth="1"/>
    <col min="2045" max="2045" width="9" style="18" customWidth="1"/>
    <col min="2046" max="2047" width="9.81640625" style="18" customWidth="1"/>
    <col min="2048" max="2048" width="11.1796875" style="18" customWidth="1"/>
    <col min="2049" max="2049" width="2.81640625" style="18" customWidth="1"/>
    <col min="2050" max="2050" width="3.54296875" style="18" customWidth="1"/>
    <col min="2051" max="2295" width="9.1796875" style="18"/>
    <col min="2296" max="2296" width="8.7265625" style="18" customWidth="1"/>
    <col min="2297" max="2297" width="9.81640625" style="18" customWidth="1"/>
    <col min="2298" max="2298" width="14.453125" style="18" customWidth="1"/>
    <col min="2299" max="2299" width="7.26953125" style="18" customWidth="1"/>
    <col min="2300" max="2300" width="5.54296875" style="18" customWidth="1"/>
    <col min="2301" max="2301" width="9" style="18" customWidth="1"/>
    <col min="2302" max="2303" width="9.81640625" style="18" customWidth="1"/>
    <col min="2304" max="2304" width="11.1796875" style="18" customWidth="1"/>
    <col min="2305" max="2305" width="2.81640625" style="18" customWidth="1"/>
    <col min="2306" max="2306" width="3.54296875" style="18" customWidth="1"/>
    <col min="2307" max="2551" width="9.1796875" style="18"/>
    <col min="2552" max="2552" width="8.7265625" style="18" customWidth="1"/>
    <col min="2553" max="2553" width="9.81640625" style="18" customWidth="1"/>
    <col min="2554" max="2554" width="14.453125" style="18" customWidth="1"/>
    <col min="2555" max="2555" width="7.26953125" style="18" customWidth="1"/>
    <col min="2556" max="2556" width="5.54296875" style="18" customWidth="1"/>
    <col min="2557" max="2557" width="9" style="18" customWidth="1"/>
    <col min="2558" max="2559" width="9.81640625" style="18" customWidth="1"/>
    <col min="2560" max="2560" width="11.1796875" style="18" customWidth="1"/>
    <col min="2561" max="2561" width="2.81640625" style="18" customWidth="1"/>
    <col min="2562" max="2562" width="3.54296875" style="18" customWidth="1"/>
    <col min="2563" max="2807" width="9.1796875" style="18"/>
    <col min="2808" max="2808" width="8.7265625" style="18" customWidth="1"/>
    <col min="2809" max="2809" width="9.81640625" style="18" customWidth="1"/>
    <col min="2810" max="2810" width="14.453125" style="18" customWidth="1"/>
    <col min="2811" max="2811" width="7.26953125" style="18" customWidth="1"/>
    <col min="2812" max="2812" width="5.54296875" style="18" customWidth="1"/>
    <col min="2813" max="2813" width="9" style="18" customWidth="1"/>
    <col min="2814" max="2815" width="9.81640625" style="18" customWidth="1"/>
    <col min="2816" max="2816" width="11.1796875" style="18" customWidth="1"/>
    <col min="2817" max="2817" width="2.81640625" style="18" customWidth="1"/>
    <col min="2818" max="2818" width="3.54296875" style="18" customWidth="1"/>
    <col min="2819" max="3063" width="9.1796875" style="18"/>
    <col min="3064" max="3064" width="8.7265625" style="18" customWidth="1"/>
    <col min="3065" max="3065" width="9.81640625" style="18" customWidth="1"/>
    <col min="3066" max="3066" width="14.453125" style="18" customWidth="1"/>
    <col min="3067" max="3067" width="7.26953125" style="18" customWidth="1"/>
    <col min="3068" max="3068" width="5.54296875" style="18" customWidth="1"/>
    <col min="3069" max="3069" width="9" style="18" customWidth="1"/>
    <col min="3070" max="3071" width="9.81640625" style="18" customWidth="1"/>
    <col min="3072" max="3072" width="11.1796875" style="18" customWidth="1"/>
    <col min="3073" max="3073" width="2.81640625" style="18" customWidth="1"/>
    <col min="3074" max="3074" width="3.54296875" style="18" customWidth="1"/>
    <col min="3075" max="3319" width="9.1796875" style="18"/>
    <col min="3320" max="3320" width="8.7265625" style="18" customWidth="1"/>
    <col min="3321" max="3321" width="9.81640625" style="18" customWidth="1"/>
    <col min="3322" max="3322" width="14.453125" style="18" customWidth="1"/>
    <col min="3323" max="3323" width="7.26953125" style="18" customWidth="1"/>
    <col min="3324" max="3324" width="5.54296875" style="18" customWidth="1"/>
    <col min="3325" max="3325" width="9" style="18" customWidth="1"/>
    <col min="3326" max="3327" width="9.81640625" style="18" customWidth="1"/>
    <col min="3328" max="3328" width="11.1796875" style="18" customWidth="1"/>
    <col min="3329" max="3329" width="2.81640625" style="18" customWidth="1"/>
    <col min="3330" max="3330" width="3.54296875" style="18" customWidth="1"/>
    <col min="3331" max="3575" width="9.1796875" style="18"/>
    <col min="3576" max="3576" width="8.7265625" style="18" customWidth="1"/>
    <col min="3577" max="3577" width="9.81640625" style="18" customWidth="1"/>
    <col min="3578" max="3578" width="14.453125" style="18" customWidth="1"/>
    <col min="3579" max="3579" width="7.26953125" style="18" customWidth="1"/>
    <col min="3580" max="3580" width="5.54296875" style="18" customWidth="1"/>
    <col min="3581" max="3581" width="9" style="18" customWidth="1"/>
    <col min="3582" max="3583" width="9.81640625" style="18" customWidth="1"/>
    <col min="3584" max="3584" width="11.1796875" style="18" customWidth="1"/>
    <col min="3585" max="3585" width="2.81640625" style="18" customWidth="1"/>
    <col min="3586" max="3586" width="3.54296875" style="18" customWidth="1"/>
    <col min="3587" max="3831" width="9.1796875" style="18"/>
    <col min="3832" max="3832" width="8.7265625" style="18" customWidth="1"/>
    <col min="3833" max="3833" width="9.81640625" style="18" customWidth="1"/>
    <col min="3834" max="3834" width="14.453125" style="18" customWidth="1"/>
    <col min="3835" max="3835" width="7.26953125" style="18" customWidth="1"/>
    <col min="3836" max="3836" width="5.54296875" style="18" customWidth="1"/>
    <col min="3837" max="3837" width="9" style="18" customWidth="1"/>
    <col min="3838" max="3839" width="9.81640625" style="18" customWidth="1"/>
    <col min="3840" max="3840" width="11.1796875" style="18" customWidth="1"/>
    <col min="3841" max="3841" width="2.81640625" style="18" customWidth="1"/>
    <col min="3842" max="3842" width="3.54296875" style="18" customWidth="1"/>
    <col min="3843" max="4087" width="9.1796875" style="18"/>
    <col min="4088" max="4088" width="8.7265625" style="18" customWidth="1"/>
    <col min="4089" max="4089" width="9.81640625" style="18" customWidth="1"/>
    <col min="4090" max="4090" width="14.453125" style="18" customWidth="1"/>
    <col min="4091" max="4091" width="7.26953125" style="18" customWidth="1"/>
    <col min="4092" max="4092" width="5.54296875" style="18" customWidth="1"/>
    <col min="4093" max="4093" width="9" style="18" customWidth="1"/>
    <col min="4094" max="4095" width="9.81640625" style="18" customWidth="1"/>
    <col min="4096" max="4096" width="11.1796875" style="18" customWidth="1"/>
    <col min="4097" max="4097" width="2.81640625" style="18" customWidth="1"/>
    <col min="4098" max="4098" width="3.54296875" style="18" customWidth="1"/>
    <col min="4099" max="4343" width="9.1796875" style="18"/>
    <col min="4344" max="4344" width="8.7265625" style="18" customWidth="1"/>
    <col min="4345" max="4345" width="9.81640625" style="18" customWidth="1"/>
    <col min="4346" max="4346" width="14.453125" style="18" customWidth="1"/>
    <col min="4347" max="4347" width="7.26953125" style="18" customWidth="1"/>
    <col min="4348" max="4348" width="5.54296875" style="18" customWidth="1"/>
    <col min="4349" max="4349" width="9" style="18" customWidth="1"/>
    <col min="4350" max="4351" width="9.81640625" style="18" customWidth="1"/>
    <col min="4352" max="4352" width="11.1796875" style="18" customWidth="1"/>
    <col min="4353" max="4353" width="2.81640625" style="18" customWidth="1"/>
    <col min="4354" max="4354" width="3.54296875" style="18" customWidth="1"/>
    <col min="4355" max="4599" width="9.1796875" style="18"/>
    <col min="4600" max="4600" width="8.7265625" style="18" customWidth="1"/>
    <col min="4601" max="4601" width="9.81640625" style="18" customWidth="1"/>
    <col min="4602" max="4602" width="14.453125" style="18" customWidth="1"/>
    <col min="4603" max="4603" width="7.26953125" style="18" customWidth="1"/>
    <col min="4604" max="4604" width="5.54296875" style="18" customWidth="1"/>
    <col min="4605" max="4605" width="9" style="18" customWidth="1"/>
    <col min="4606" max="4607" width="9.81640625" style="18" customWidth="1"/>
    <col min="4608" max="4608" width="11.1796875" style="18" customWidth="1"/>
    <col min="4609" max="4609" width="2.81640625" style="18" customWidth="1"/>
    <col min="4610" max="4610" width="3.54296875" style="18" customWidth="1"/>
    <col min="4611" max="4855" width="9.1796875" style="18"/>
    <col min="4856" max="4856" width="8.7265625" style="18" customWidth="1"/>
    <col min="4857" max="4857" width="9.81640625" style="18" customWidth="1"/>
    <col min="4858" max="4858" width="14.453125" style="18" customWidth="1"/>
    <col min="4859" max="4859" width="7.26953125" style="18" customWidth="1"/>
    <col min="4860" max="4860" width="5.54296875" style="18" customWidth="1"/>
    <col min="4861" max="4861" width="9" style="18" customWidth="1"/>
    <col min="4862" max="4863" width="9.81640625" style="18" customWidth="1"/>
    <col min="4864" max="4864" width="11.1796875" style="18" customWidth="1"/>
    <col min="4865" max="4865" width="2.81640625" style="18" customWidth="1"/>
    <col min="4866" max="4866" width="3.54296875" style="18" customWidth="1"/>
    <col min="4867" max="5111" width="9.1796875" style="18"/>
    <col min="5112" max="5112" width="8.7265625" style="18" customWidth="1"/>
    <col min="5113" max="5113" width="9.81640625" style="18" customWidth="1"/>
    <col min="5114" max="5114" width="14.453125" style="18" customWidth="1"/>
    <col min="5115" max="5115" width="7.26953125" style="18" customWidth="1"/>
    <col min="5116" max="5116" width="5.54296875" style="18" customWidth="1"/>
    <col min="5117" max="5117" width="9" style="18" customWidth="1"/>
    <col min="5118" max="5119" width="9.81640625" style="18" customWidth="1"/>
    <col min="5120" max="5120" width="11.1796875" style="18" customWidth="1"/>
    <col min="5121" max="5121" width="2.81640625" style="18" customWidth="1"/>
    <col min="5122" max="5122" width="3.54296875" style="18" customWidth="1"/>
    <col min="5123" max="5367" width="9.1796875" style="18"/>
    <col min="5368" max="5368" width="8.7265625" style="18" customWidth="1"/>
    <col min="5369" max="5369" width="9.81640625" style="18" customWidth="1"/>
    <col min="5370" max="5370" width="14.453125" style="18" customWidth="1"/>
    <col min="5371" max="5371" width="7.26953125" style="18" customWidth="1"/>
    <col min="5372" max="5372" width="5.54296875" style="18" customWidth="1"/>
    <col min="5373" max="5373" width="9" style="18" customWidth="1"/>
    <col min="5374" max="5375" width="9.81640625" style="18" customWidth="1"/>
    <col min="5376" max="5376" width="11.1796875" style="18" customWidth="1"/>
    <col min="5377" max="5377" width="2.81640625" style="18" customWidth="1"/>
    <col min="5378" max="5378" width="3.54296875" style="18" customWidth="1"/>
    <col min="5379" max="5623" width="9.1796875" style="18"/>
    <col min="5624" max="5624" width="8.7265625" style="18" customWidth="1"/>
    <col min="5625" max="5625" width="9.81640625" style="18" customWidth="1"/>
    <col min="5626" max="5626" width="14.453125" style="18" customWidth="1"/>
    <col min="5627" max="5627" width="7.26953125" style="18" customWidth="1"/>
    <col min="5628" max="5628" width="5.54296875" style="18" customWidth="1"/>
    <col min="5629" max="5629" width="9" style="18" customWidth="1"/>
    <col min="5630" max="5631" width="9.81640625" style="18" customWidth="1"/>
    <col min="5632" max="5632" width="11.1796875" style="18" customWidth="1"/>
    <col min="5633" max="5633" width="2.81640625" style="18" customWidth="1"/>
    <col min="5634" max="5634" width="3.54296875" style="18" customWidth="1"/>
    <col min="5635" max="5879" width="9.1796875" style="18"/>
    <col min="5880" max="5880" width="8.7265625" style="18" customWidth="1"/>
    <col min="5881" max="5881" width="9.81640625" style="18" customWidth="1"/>
    <col min="5882" max="5882" width="14.453125" style="18" customWidth="1"/>
    <col min="5883" max="5883" width="7.26953125" style="18" customWidth="1"/>
    <col min="5884" max="5884" width="5.54296875" style="18" customWidth="1"/>
    <col min="5885" max="5885" width="9" style="18" customWidth="1"/>
    <col min="5886" max="5887" width="9.81640625" style="18" customWidth="1"/>
    <col min="5888" max="5888" width="11.1796875" style="18" customWidth="1"/>
    <col min="5889" max="5889" width="2.81640625" style="18" customWidth="1"/>
    <col min="5890" max="5890" width="3.54296875" style="18" customWidth="1"/>
    <col min="5891" max="6135" width="9.1796875" style="18"/>
    <col min="6136" max="6136" width="8.7265625" style="18" customWidth="1"/>
    <col min="6137" max="6137" width="9.81640625" style="18" customWidth="1"/>
    <col min="6138" max="6138" width="14.453125" style="18" customWidth="1"/>
    <col min="6139" max="6139" width="7.26953125" style="18" customWidth="1"/>
    <col min="6140" max="6140" width="5.54296875" style="18" customWidth="1"/>
    <col min="6141" max="6141" width="9" style="18" customWidth="1"/>
    <col min="6142" max="6143" width="9.81640625" style="18" customWidth="1"/>
    <col min="6144" max="6144" width="11.1796875" style="18" customWidth="1"/>
    <col min="6145" max="6145" width="2.81640625" style="18" customWidth="1"/>
    <col min="6146" max="6146" width="3.54296875" style="18" customWidth="1"/>
    <col min="6147" max="6391" width="9.1796875" style="18"/>
    <col min="6392" max="6392" width="8.7265625" style="18" customWidth="1"/>
    <col min="6393" max="6393" width="9.81640625" style="18" customWidth="1"/>
    <col min="6394" max="6394" width="14.453125" style="18" customWidth="1"/>
    <col min="6395" max="6395" width="7.26953125" style="18" customWidth="1"/>
    <col min="6396" max="6396" width="5.54296875" style="18" customWidth="1"/>
    <col min="6397" max="6397" width="9" style="18" customWidth="1"/>
    <col min="6398" max="6399" width="9.81640625" style="18" customWidth="1"/>
    <col min="6400" max="6400" width="11.1796875" style="18" customWidth="1"/>
    <col min="6401" max="6401" width="2.81640625" style="18" customWidth="1"/>
    <col min="6402" max="6402" width="3.54296875" style="18" customWidth="1"/>
    <col min="6403" max="6647" width="9.1796875" style="18"/>
    <col min="6648" max="6648" width="8.7265625" style="18" customWidth="1"/>
    <col min="6649" max="6649" width="9.81640625" style="18" customWidth="1"/>
    <col min="6650" max="6650" width="14.453125" style="18" customWidth="1"/>
    <col min="6651" max="6651" width="7.26953125" style="18" customWidth="1"/>
    <col min="6652" max="6652" width="5.54296875" style="18" customWidth="1"/>
    <col min="6653" max="6653" width="9" style="18" customWidth="1"/>
    <col min="6654" max="6655" width="9.81640625" style="18" customWidth="1"/>
    <col min="6656" max="6656" width="11.1796875" style="18" customWidth="1"/>
    <col min="6657" max="6657" width="2.81640625" style="18" customWidth="1"/>
    <col min="6658" max="6658" width="3.54296875" style="18" customWidth="1"/>
    <col min="6659" max="6903" width="9.1796875" style="18"/>
    <col min="6904" max="6904" width="8.7265625" style="18" customWidth="1"/>
    <col min="6905" max="6905" width="9.81640625" style="18" customWidth="1"/>
    <col min="6906" max="6906" width="14.453125" style="18" customWidth="1"/>
    <col min="6907" max="6907" width="7.26953125" style="18" customWidth="1"/>
    <col min="6908" max="6908" width="5.54296875" style="18" customWidth="1"/>
    <col min="6909" max="6909" width="9" style="18" customWidth="1"/>
    <col min="6910" max="6911" width="9.81640625" style="18" customWidth="1"/>
    <col min="6912" max="6912" width="11.1796875" style="18" customWidth="1"/>
    <col min="6913" max="6913" width="2.81640625" style="18" customWidth="1"/>
    <col min="6914" max="6914" width="3.54296875" style="18" customWidth="1"/>
    <col min="6915" max="7159" width="9.1796875" style="18"/>
    <col min="7160" max="7160" width="8.7265625" style="18" customWidth="1"/>
    <col min="7161" max="7161" width="9.81640625" style="18" customWidth="1"/>
    <col min="7162" max="7162" width="14.453125" style="18" customWidth="1"/>
    <col min="7163" max="7163" width="7.26953125" style="18" customWidth="1"/>
    <col min="7164" max="7164" width="5.54296875" style="18" customWidth="1"/>
    <col min="7165" max="7165" width="9" style="18" customWidth="1"/>
    <col min="7166" max="7167" width="9.81640625" style="18" customWidth="1"/>
    <col min="7168" max="7168" width="11.1796875" style="18" customWidth="1"/>
    <col min="7169" max="7169" width="2.81640625" style="18" customWidth="1"/>
    <col min="7170" max="7170" width="3.54296875" style="18" customWidth="1"/>
    <col min="7171" max="7415" width="9.1796875" style="18"/>
    <col min="7416" max="7416" width="8.7265625" style="18" customWidth="1"/>
    <col min="7417" max="7417" width="9.81640625" style="18" customWidth="1"/>
    <col min="7418" max="7418" width="14.453125" style="18" customWidth="1"/>
    <col min="7419" max="7419" width="7.26953125" style="18" customWidth="1"/>
    <col min="7420" max="7420" width="5.54296875" style="18" customWidth="1"/>
    <col min="7421" max="7421" width="9" style="18" customWidth="1"/>
    <col min="7422" max="7423" width="9.81640625" style="18" customWidth="1"/>
    <col min="7424" max="7424" width="11.1796875" style="18" customWidth="1"/>
    <col min="7425" max="7425" width="2.81640625" style="18" customWidth="1"/>
    <col min="7426" max="7426" width="3.54296875" style="18" customWidth="1"/>
    <col min="7427" max="7671" width="9.1796875" style="18"/>
    <col min="7672" max="7672" width="8.7265625" style="18" customWidth="1"/>
    <col min="7673" max="7673" width="9.81640625" style="18" customWidth="1"/>
    <col min="7674" max="7674" width="14.453125" style="18" customWidth="1"/>
    <col min="7675" max="7675" width="7.26953125" style="18" customWidth="1"/>
    <col min="7676" max="7676" width="5.54296875" style="18" customWidth="1"/>
    <col min="7677" max="7677" width="9" style="18" customWidth="1"/>
    <col min="7678" max="7679" width="9.81640625" style="18" customWidth="1"/>
    <col min="7680" max="7680" width="11.1796875" style="18" customWidth="1"/>
    <col min="7681" max="7681" width="2.81640625" style="18" customWidth="1"/>
    <col min="7682" max="7682" width="3.54296875" style="18" customWidth="1"/>
    <col min="7683" max="7927" width="9.1796875" style="18"/>
    <col min="7928" max="7928" width="8.7265625" style="18" customWidth="1"/>
    <col min="7929" max="7929" width="9.81640625" style="18" customWidth="1"/>
    <col min="7930" max="7930" width="14.453125" style="18" customWidth="1"/>
    <col min="7931" max="7931" width="7.26953125" style="18" customWidth="1"/>
    <col min="7932" max="7932" width="5.54296875" style="18" customWidth="1"/>
    <col min="7933" max="7933" width="9" style="18" customWidth="1"/>
    <col min="7934" max="7935" width="9.81640625" style="18" customWidth="1"/>
    <col min="7936" max="7936" width="11.1796875" style="18" customWidth="1"/>
    <col min="7937" max="7937" width="2.81640625" style="18" customWidth="1"/>
    <col min="7938" max="7938" width="3.54296875" style="18" customWidth="1"/>
    <col min="7939" max="8183" width="9.1796875" style="18"/>
    <col min="8184" max="8184" width="8.7265625" style="18" customWidth="1"/>
    <col min="8185" max="8185" width="9.81640625" style="18" customWidth="1"/>
    <col min="8186" max="8186" width="14.453125" style="18" customWidth="1"/>
    <col min="8187" max="8187" width="7.26953125" style="18" customWidth="1"/>
    <col min="8188" max="8188" width="5.54296875" style="18" customWidth="1"/>
    <col min="8189" max="8189" width="9" style="18" customWidth="1"/>
    <col min="8190" max="8191" width="9.81640625" style="18" customWidth="1"/>
    <col min="8192" max="8192" width="11.1796875" style="18" customWidth="1"/>
    <col min="8193" max="8193" width="2.81640625" style="18" customWidth="1"/>
    <col min="8194" max="8194" width="3.54296875" style="18" customWidth="1"/>
    <col min="8195" max="8439" width="9.1796875" style="18"/>
    <col min="8440" max="8440" width="8.7265625" style="18" customWidth="1"/>
    <col min="8441" max="8441" width="9.81640625" style="18" customWidth="1"/>
    <col min="8442" max="8442" width="14.453125" style="18" customWidth="1"/>
    <col min="8443" max="8443" width="7.26953125" style="18" customWidth="1"/>
    <col min="8444" max="8444" width="5.54296875" style="18" customWidth="1"/>
    <col min="8445" max="8445" width="9" style="18" customWidth="1"/>
    <col min="8446" max="8447" width="9.81640625" style="18" customWidth="1"/>
    <col min="8448" max="8448" width="11.1796875" style="18" customWidth="1"/>
    <col min="8449" max="8449" width="2.81640625" style="18" customWidth="1"/>
    <col min="8450" max="8450" width="3.54296875" style="18" customWidth="1"/>
    <col min="8451" max="8695" width="9.1796875" style="18"/>
    <col min="8696" max="8696" width="8.7265625" style="18" customWidth="1"/>
    <col min="8697" max="8697" width="9.81640625" style="18" customWidth="1"/>
    <col min="8698" max="8698" width="14.453125" style="18" customWidth="1"/>
    <col min="8699" max="8699" width="7.26953125" style="18" customWidth="1"/>
    <col min="8700" max="8700" width="5.54296875" style="18" customWidth="1"/>
    <col min="8701" max="8701" width="9" style="18" customWidth="1"/>
    <col min="8702" max="8703" width="9.81640625" style="18" customWidth="1"/>
    <col min="8704" max="8704" width="11.1796875" style="18" customWidth="1"/>
    <col min="8705" max="8705" width="2.81640625" style="18" customWidth="1"/>
    <col min="8706" max="8706" width="3.54296875" style="18" customWidth="1"/>
    <col min="8707" max="8951" width="9.1796875" style="18"/>
    <col min="8952" max="8952" width="8.7265625" style="18" customWidth="1"/>
    <col min="8953" max="8953" width="9.81640625" style="18" customWidth="1"/>
    <col min="8954" max="8954" width="14.453125" style="18" customWidth="1"/>
    <col min="8955" max="8955" width="7.26953125" style="18" customWidth="1"/>
    <col min="8956" max="8956" width="5.54296875" style="18" customWidth="1"/>
    <col min="8957" max="8957" width="9" style="18" customWidth="1"/>
    <col min="8958" max="8959" width="9.81640625" style="18" customWidth="1"/>
    <col min="8960" max="8960" width="11.1796875" style="18" customWidth="1"/>
    <col min="8961" max="8961" width="2.81640625" style="18" customWidth="1"/>
    <col min="8962" max="8962" width="3.54296875" style="18" customWidth="1"/>
    <col min="8963" max="9207" width="9.1796875" style="18"/>
    <col min="9208" max="9208" width="8.7265625" style="18" customWidth="1"/>
    <col min="9209" max="9209" width="9.81640625" style="18" customWidth="1"/>
    <col min="9210" max="9210" width="14.453125" style="18" customWidth="1"/>
    <col min="9211" max="9211" width="7.26953125" style="18" customWidth="1"/>
    <col min="9212" max="9212" width="5.54296875" style="18" customWidth="1"/>
    <col min="9213" max="9213" width="9" style="18" customWidth="1"/>
    <col min="9214" max="9215" width="9.81640625" style="18" customWidth="1"/>
    <col min="9216" max="9216" width="11.1796875" style="18" customWidth="1"/>
    <col min="9217" max="9217" width="2.81640625" style="18" customWidth="1"/>
    <col min="9218" max="9218" width="3.54296875" style="18" customWidth="1"/>
    <col min="9219" max="9463" width="9.1796875" style="18"/>
    <col min="9464" max="9464" width="8.7265625" style="18" customWidth="1"/>
    <col min="9465" max="9465" width="9.81640625" style="18" customWidth="1"/>
    <col min="9466" max="9466" width="14.453125" style="18" customWidth="1"/>
    <col min="9467" max="9467" width="7.26953125" style="18" customWidth="1"/>
    <col min="9468" max="9468" width="5.54296875" style="18" customWidth="1"/>
    <col min="9469" max="9469" width="9" style="18" customWidth="1"/>
    <col min="9470" max="9471" width="9.81640625" style="18" customWidth="1"/>
    <col min="9472" max="9472" width="11.1796875" style="18" customWidth="1"/>
    <col min="9473" max="9473" width="2.81640625" style="18" customWidth="1"/>
    <col min="9474" max="9474" width="3.54296875" style="18" customWidth="1"/>
    <col min="9475" max="9719" width="9.1796875" style="18"/>
    <col min="9720" max="9720" width="8.7265625" style="18" customWidth="1"/>
    <col min="9721" max="9721" width="9.81640625" style="18" customWidth="1"/>
    <col min="9722" max="9722" width="14.453125" style="18" customWidth="1"/>
    <col min="9723" max="9723" width="7.26953125" style="18" customWidth="1"/>
    <col min="9724" max="9724" width="5.54296875" style="18" customWidth="1"/>
    <col min="9725" max="9725" width="9" style="18" customWidth="1"/>
    <col min="9726" max="9727" width="9.81640625" style="18" customWidth="1"/>
    <col min="9728" max="9728" width="11.1796875" style="18" customWidth="1"/>
    <col min="9729" max="9729" width="2.81640625" style="18" customWidth="1"/>
    <col min="9730" max="9730" width="3.54296875" style="18" customWidth="1"/>
    <col min="9731" max="9975" width="9.1796875" style="18"/>
    <col min="9976" max="9976" width="8.7265625" style="18" customWidth="1"/>
    <col min="9977" max="9977" width="9.81640625" style="18" customWidth="1"/>
    <col min="9978" max="9978" width="14.453125" style="18" customWidth="1"/>
    <col min="9979" max="9979" width="7.26953125" style="18" customWidth="1"/>
    <col min="9980" max="9980" width="5.54296875" style="18" customWidth="1"/>
    <col min="9981" max="9981" width="9" style="18" customWidth="1"/>
    <col min="9982" max="9983" width="9.81640625" style="18" customWidth="1"/>
    <col min="9984" max="9984" width="11.1796875" style="18" customWidth="1"/>
    <col min="9985" max="9985" width="2.81640625" style="18" customWidth="1"/>
    <col min="9986" max="9986" width="3.54296875" style="18" customWidth="1"/>
    <col min="9987" max="10231" width="9.1796875" style="18"/>
    <col min="10232" max="10232" width="8.7265625" style="18" customWidth="1"/>
    <col min="10233" max="10233" width="9.81640625" style="18" customWidth="1"/>
    <col min="10234" max="10234" width="14.453125" style="18" customWidth="1"/>
    <col min="10235" max="10235" width="7.26953125" style="18" customWidth="1"/>
    <col min="10236" max="10236" width="5.54296875" style="18" customWidth="1"/>
    <col min="10237" max="10237" width="9" style="18" customWidth="1"/>
    <col min="10238" max="10239" width="9.81640625" style="18" customWidth="1"/>
    <col min="10240" max="10240" width="11.1796875" style="18" customWidth="1"/>
    <col min="10241" max="10241" width="2.81640625" style="18" customWidth="1"/>
    <col min="10242" max="10242" width="3.54296875" style="18" customWidth="1"/>
    <col min="10243" max="10487" width="9.1796875" style="18"/>
    <col min="10488" max="10488" width="8.7265625" style="18" customWidth="1"/>
    <col min="10489" max="10489" width="9.81640625" style="18" customWidth="1"/>
    <col min="10490" max="10490" width="14.453125" style="18" customWidth="1"/>
    <col min="10491" max="10491" width="7.26953125" style="18" customWidth="1"/>
    <col min="10492" max="10492" width="5.54296875" style="18" customWidth="1"/>
    <col min="10493" max="10493" width="9" style="18" customWidth="1"/>
    <col min="10494" max="10495" width="9.81640625" style="18" customWidth="1"/>
    <col min="10496" max="10496" width="11.1796875" style="18" customWidth="1"/>
    <col min="10497" max="10497" width="2.81640625" style="18" customWidth="1"/>
    <col min="10498" max="10498" width="3.54296875" style="18" customWidth="1"/>
    <col min="10499" max="10743" width="9.1796875" style="18"/>
    <col min="10744" max="10744" width="8.7265625" style="18" customWidth="1"/>
    <col min="10745" max="10745" width="9.81640625" style="18" customWidth="1"/>
    <col min="10746" max="10746" width="14.453125" style="18" customWidth="1"/>
    <col min="10747" max="10747" width="7.26953125" style="18" customWidth="1"/>
    <col min="10748" max="10748" width="5.54296875" style="18" customWidth="1"/>
    <col min="10749" max="10749" width="9" style="18" customWidth="1"/>
    <col min="10750" max="10751" width="9.81640625" style="18" customWidth="1"/>
    <col min="10752" max="10752" width="11.1796875" style="18" customWidth="1"/>
    <col min="10753" max="10753" width="2.81640625" style="18" customWidth="1"/>
    <col min="10754" max="10754" width="3.54296875" style="18" customWidth="1"/>
    <col min="10755" max="10999" width="9.1796875" style="18"/>
    <col min="11000" max="11000" width="8.7265625" style="18" customWidth="1"/>
    <col min="11001" max="11001" width="9.81640625" style="18" customWidth="1"/>
    <col min="11002" max="11002" width="14.453125" style="18" customWidth="1"/>
    <col min="11003" max="11003" width="7.26953125" style="18" customWidth="1"/>
    <col min="11004" max="11004" width="5.54296875" style="18" customWidth="1"/>
    <col min="11005" max="11005" width="9" style="18" customWidth="1"/>
    <col min="11006" max="11007" width="9.81640625" style="18" customWidth="1"/>
    <col min="11008" max="11008" width="11.1796875" style="18" customWidth="1"/>
    <col min="11009" max="11009" width="2.81640625" style="18" customWidth="1"/>
    <col min="11010" max="11010" width="3.54296875" style="18" customWidth="1"/>
    <col min="11011" max="11255" width="9.1796875" style="18"/>
    <col min="11256" max="11256" width="8.7265625" style="18" customWidth="1"/>
    <col min="11257" max="11257" width="9.81640625" style="18" customWidth="1"/>
    <col min="11258" max="11258" width="14.453125" style="18" customWidth="1"/>
    <col min="11259" max="11259" width="7.26953125" style="18" customWidth="1"/>
    <col min="11260" max="11260" width="5.54296875" style="18" customWidth="1"/>
    <col min="11261" max="11261" width="9" style="18" customWidth="1"/>
    <col min="11262" max="11263" width="9.81640625" style="18" customWidth="1"/>
    <col min="11264" max="11264" width="11.1796875" style="18" customWidth="1"/>
    <col min="11265" max="11265" width="2.81640625" style="18" customWidth="1"/>
    <col min="11266" max="11266" width="3.54296875" style="18" customWidth="1"/>
    <col min="11267" max="11511" width="9.1796875" style="18"/>
    <col min="11512" max="11512" width="8.7265625" style="18" customWidth="1"/>
    <col min="11513" max="11513" width="9.81640625" style="18" customWidth="1"/>
    <col min="11514" max="11514" width="14.453125" style="18" customWidth="1"/>
    <col min="11515" max="11515" width="7.26953125" style="18" customWidth="1"/>
    <col min="11516" max="11516" width="5.54296875" style="18" customWidth="1"/>
    <col min="11517" max="11517" width="9" style="18" customWidth="1"/>
    <col min="11518" max="11519" width="9.81640625" style="18" customWidth="1"/>
    <col min="11520" max="11520" width="11.1796875" style="18" customWidth="1"/>
    <col min="11521" max="11521" width="2.81640625" style="18" customWidth="1"/>
    <col min="11522" max="11522" width="3.54296875" style="18" customWidth="1"/>
    <col min="11523" max="11767" width="9.1796875" style="18"/>
    <col min="11768" max="11768" width="8.7265625" style="18" customWidth="1"/>
    <col min="11769" max="11769" width="9.81640625" style="18" customWidth="1"/>
    <col min="11770" max="11770" width="14.453125" style="18" customWidth="1"/>
    <col min="11771" max="11771" width="7.26953125" style="18" customWidth="1"/>
    <col min="11772" max="11772" width="5.54296875" style="18" customWidth="1"/>
    <col min="11773" max="11773" width="9" style="18" customWidth="1"/>
    <col min="11774" max="11775" width="9.81640625" style="18" customWidth="1"/>
    <col min="11776" max="11776" width="11.1796875" style="18" customWidth="1"/>
    <col min="11777" max="11777" width="2.81640625" style="18" customWidth="1"/>
    <col min="11778" max="11778" width="3.54296875" style="18" customWidth="1"/>
    <col min="11779" max="12023" width="9.1796875" style="18"/>
    <col min="12024" max="12024" width="8.7265625" style="18" customWidth="1"/>
    <col min="12025" max="12025" width="9.81640625" style="18" customWidth="1"/>
    <col min="12026" max="12026" width="14.453125" style="18" customWidth="1"/>
    <col min="12027" max="12027" width="7.26953125" style="18" customWidth="1"/>
    <col min="12028" max="12028" width="5.54296875" style="18" customWidth="1"/>
    <col min="12029" max="12029" width="9" style="18" customWidth="1"/>
    <col min="12030" max="12031" width="9.81640625" style="18" customWidth="1"/>
    <col min="12032" max="12032" width="11.1796875" style="18" customWidth="1"/>
    <col min="12033" max="12033" width="2.81640625" style="18" customWidth="1"/>
    <col min="12034" max="12034" width="3.54296875" style="18" customWidth="1"/>
    <col min="12035" max="12279" width="9.1796875" style="18"/>
    <col min="12280" max="12280" width="8.7265625" style="18" customWidth="1"/>
    <col min="12281" max="12281" width="9.81640625" style="18" customWidth="1"/>
    <col min="12282" max="12282" width="14.453125" style="18" customWidth="1"/>
    <col min="12283" max="12283" width="7.26953125" style="18" customWidth="1"/>
    <col min="12284" max="12284" width="5.54296875" style="18" customWidth="1"/>
    <col min="12285" max="12285" width="9" style="18" customWidth="1"/>
    <col min="12286" max="12287" width="9.81640625" style="18" customWidth="1"/>
    <col min="12288" max="12288" width="11.1796875" style="18" customWidth="1"/>
    <col min="12289" max="12289" width="2.81640625" style="18" customWidth="1"/>
    <col min="12290" max="12290" width="3.54296875" style="18" customWidth="1"/>
    <col min="12291" max="12535" width="9.1796875" style="18"/>
    <col min="12536" max="12536" width="8.7265625" style="18" customWidth="1"/>
    <col min="12537" max="12537" width="9.81640625" style="18" customWidth="1"/>
    <col min="12538" max="12538" width="14.453125" style="18" customWidth="1"/>
    <col min="12539" max="12539" width="7.26953125" style="18" customWidth="1"/>
    <col min="12540" max="12540" width="5.54296875" style="18" customWidth="1"/>
    <col min="12541" max="12541" width="9" style="18" customWidth="1"/>
    <col min="12542" max="12543" width="9.81640625" style="18" customWidth="1"/>
    <col min="12544" max="12544" width="11.1796875" style="18" customWidth="1"/>
    <col min="12545" max="12545" width="2.81640625" style="18" customWidth="1"/>
    <col min="12546" max="12546" width="3.54296875" style="18" customWidth="1"/>
    <col min="12547" max="12791" width="9.1796875" style="18"/>
    <col min="12792" max="12792" width="8.7265625" style="18" customWidth="1"/>
    <col min="12793" max="12793" width="9.81640625" style="18" customWidth="1"/>
    <col min="12794" max="12794" width="14.453125" style="18" customWidth="1"/>
    <col min="12795" max="12795" width="7.26953125" style="18" customWidth="1"/>
    <col min="12796" max="12796" width="5.54296875" style="18" customWidth="1"/>
    <col min="12797" max="12797" width="9" style="18" customWidth="1"/>
    <col min="12798" max="12799" width="9.81640625" style="18" customWidth="1"/>
    <col min="12800" max="12800" width="11.1796875" style="18" customWidth="1"/>
    <col min="12801" max="12801" width="2.81640625" style="18" customWidth="1"/>
    <col min="12802" max="12802" width="3.54296875" style="18" customWidth="1"/>
    <col min="12803" max="13047" width="9.1796875" style="18"/>
    <col min="13048" max="13048" width="8.7265625" style="18" customWidth="1"/>
    <col min="13049" max="13049" width="9.81640625" style="18" customWidth="1"/>
    <col min="13050" max="13050" width="14.453125" style="18" customWidth="1"/>
    <col min="13051" max="13051" width="7.26953125" style="18" customWidth="1"/>
    <col min="13052" max="13052" width="5.54296875" style="18" customWidth="1"/>
    <col min="13053" max="13053" width="9" style="18" customWidth="1"/>
    <col min="13054" max="13055" width="9.81640625" style="18" customWidth="1"/>
    <col min="13056" max="13056" width="11.1796875" style="18" customWidth="1"/>
    <col min="13057" max="13057" width="2.81640625" style="18" customWidth="1"/>
    <col min="13058" max="13058" width="3.54296875" style="18" customWidth="1"/>
    <col min="13059" max="13303" width="9.1796875" style="18"/>
    <col min="13304" max="13304" width="8.7265625" style="18" customWidth="1"/>
    <col min="13305" max="13305" width="9.81640625" style="18" customWidth="1"/>
    <col min="13306" max="13306" width="14.453125" style="18" customWidth="1"/>
    <col min="13307" max="13307" width="7.26953125" style="18" customWidth="1"/>
    <col min="13308" max="13308" width="5.54296875" style="18" customWidth="1"/>
    <col min="13309" max="13309" width="9" style="18" customWidth="1"/>
    <col min="13310" max="13311" width="9.81640625" style="18" customWidth="1"/>
    <col min="13312" max="13312" width="11.1796875" style="18" customWidth="1"/>
    <col min="13313" max="13313" width="2.81640625" style="18" customWidth="1"/>
    <col min="13314" max="13314" width="3.54296875" style="18" customWidth="1"/>
    <col min="13315" max="13559" width="9.1796875" style="18"/>
    <col min="13560" max="13560" width="8.7265625" style="18" customWidth="1"/>
    <col min="13561" max="13561" width="9.81640625" style="18" customWidth="1"/>
    <col min="13562" max="13562" width="14.453125" style="18" customWidth="1"/>
    <col min="13563" max="13563" width="7.26953125" style="18" customWidth="1"/>
    <col min="13564" max="13564" width="5.54296875" style="18" customWidth="1"/>
    <col min="13565" max="13565" width="9" style="18" customWidth="1"/>
    <col min="13566" max="13567" width="9.81640625" style="18" customWidth="1"/>
    <col min="13568" max="13568" width="11.1796875" style="18" customWidth="1"/>
    <col min="13569" max="13569" width="2.81640625" style="18" customWidth="1"/>
    <col min="13570" max="13570" width="3.54296875" style="18" customWidth="1"/>
    <col min="13571" max="13815" width="9.1796875" style="18"/>
    <col min="13816" max="13816" width="8.7265625" style="18" customWidth="1"/>
    <col min="13817" max="13817" width="9.81640625" style="18" customWidth="1"/>
    <col min="13818" max="13818" width="14.453125" style="18" customWidth="1"/>
    <col min="13819" max="13819" width="7.26953125" style="18" customWidth="1"/>
    <col min="13820" max="13820" width="5.54296875" style="18" customWidth="1"/>
    <col min="13821" max="13821" width="9" style="18" customWidth="1"/>
    <col min="13822" max="13823" width="9.81640625" style="18" customWidth="1"/>
    <col min="13824" max="13824" width="11.1796875" style="18" customWidth="1"/>
    <col min="13825" max="13825" width="2.81640625" style="18" customWidth="1"/>
    <col min="13826" max="13826" width="3.54296875" style="18" customWidth="1"/>
    <col min="13827" max="14071" width="9.1796875" style="18"/>
    <col min="14072" max="14072" width="8.7265625" style="18" customWidth="1"/>
    <col min="14073" max="14073" width="9.81640625" style="18" customWidth="1"/>
    <col min="14074" max="14074" width="14.453125" style="18" customWidth="1"/>
    <col min="14075" max="14075" width="7.26953125" style="18" customWidth="1"/>
    <col min="14076" max="14076" width="5.54296875" style="18" customWidth="1"/>
    <col min="14077" max="14077" width="9" style="18" customWidth="1"/>
    <col min="14078" max="14079" width="9.81640625" style="18" customWidth="1"/>
    <col min="14080" max="14080" width="11.1796875" style="18" customWidth="1"/>
    <col min="14081" max="14081" width="2.81640625" style="18" customWidth="1"/>
    <col min="14082" max="14082" width="3.54296875" style="18" customWidth="1"/>
    <col min="14083" max="14327" width="9.1796875" style="18"/>
    <col min="14328" max="14328" width="8.7265625" style="18" customWidth="1"/>
    <col min="14329" max="14329" width="9.81640625" style="18" customWidth="1"/>
    <col min="14330" max="14330" width="14.453125" style="18" customWidth="1"/>
    <col min="14331" max="14331" width="7.26953125" style="18" customWidth="1"/>
    <col min="14332" max="14332" width="5.54296875" style="18" customWidth="1"/>
    <col min="14333" max="14333" width="9" style="18" customWidth="1"/>
    <col min="14334" max="14335" width="9.81640625" style="18" customWidth="1"/>
    <col min="14336" max="14336" width="11.1796875" style="18" customWidth="1"/>
    <col min="14337" max="14337" width="2.81640625" style="18" customWidth="1"/>
    <col min="14338" max="14338" width="3.54296875" style="18" customWidth="1"/>
    <col min="14339" max="14583" width="9.1796875" style="18"/>
    <col min="14584" max="14584" width="8.7265625" style="18" customWidth="1"/>
    <col min="14585" max="14585" width="9.81640625" style="18" customWidth="1"/>
    <col min="14586" max="14586" width="14.453125" style="18" customWidth="1"/>
    <col min="14587" max="14587" width="7.26953125" style="18" customWidth="1"/>
    <col min="14588" max="14588" width="5.54296875" style="18" customWidth="1"/>
    <col min="14589" max="14589" width="9" style="18" customWidth="1"/>
    <col min="14590" max="14591" width="9.81640625" style="18" customWidth="1"/>
    <col min="14592" max="14592" width="11.1796875" style="18" customWidth="1"/>
    <col min="14593" max="14593" width="2.81640625" style="18" customWidth="1"/>
    <col min="14594" max="14594" width="3.54296875" style="18" customWidth="1"/>
    <col min="14595" max="14839" width="9.1796875" style="18"/>
    <col min="14840" max="14840" width="8.7265625" style="18" customWidth="1"/>
    <col min="14841" max="14841" width="9.81640625" style="18" customWidth="1"/>
    <col min="14842" max="14842" width="14.453125" style="18" customWidth="1"/>
    <col min="14843" max="14843" width="7.26953125" style="18" customWidth="1"/>
    <col min="14844" max="14844" width="5.54296875" style="18" customWidth="1"/>
    <col min="14845" max="14845" width="9" style="18" customWidth="1"/>
    <col min="14846" max="14847" width="9.81640625" style="18" customWidth="1"/>
    <col min="14848" max="14848" width="11.1796875" style="18" customWidth="1"/>
    <col min="14849" max="14849" width="2.81640625" style="18" customWidth="1"/>
    <col min="14850" max="14850" width="3.54296875" style="18" customWidth="1"/>
    <col min="14851" max="15095" width="9.1796875" style="18"/>
    <col min="15096" max="15096" width="8.7265625" style="18" customWidth="1"/>
    <col min="15097" max="15097" width="9.81640625" style="18" customWidth="1"/>
    <col min="15098" max="15098" width="14.453125" style="18" customWidth="1"/>
    <col min="15099" max="15099" width="7.26953125" style="18" customWidth="1"/>
    <col min="15100" max="15100" width="5.54296875" style="18" customWidth="1"/>
    <col min="15101" max="15101" width="9" style="18" customWidth="1"/>
    <col min="15102" max="15103" width="9.81640625" style="18" customWidth="1"/>
    <col min="15104" max="15104" width="11.1796875" style="18" customWidth="1"/>
    <col min="15105" max="15105" width="2.81640625" style="18" customWidth="1"/>
    <col min="15106" max="15106" width="3.54296875" style="18" customWidth="1"/>
    <col min="15107" max="15351" width="9.1796875" style="18"/>
    <col min="15352" max="15352" width="8.7265625" style="18" customWidth="1"/>
    <col min="15353" max="15353" width="9.81640625" style="18" customWidth="1"/>
    <col min="15354" max="15354" width="14.453125" style="18" customWidth="1"/>
    <col min="15355" max="15355" width="7.26953125" style="18" customWidth="1"/>
    <col min="15356" max="15356" width="5.54296875" style="18" customWidth="1"/>
    <col min="15357" max="15357" width="9" style="18" customWidth="1"/>
    <col min="15358" max="15359" width="9.81640625" style="18" customWidth="1"/>
    <col min="15360" max="15360" width="11.1796875" style="18" customWidth="1"/>
    <col min="15361" max="15361" width="2.81640625" style="18" customWidth="1"/>
    <col min="15362" max="15362" width="3.54296875" style="18" customWidth="1"/>
    <col min="15363" max="15607" width="9.1796875" style="18"/>
    <col min="15608" max="15608" width="8.7265625" style="18" customWidth="1"/>
    <col min="15609" max="15609" width="9.81640625" style="18" customWidth="1"/>
    <col min="15610" max="15610" width="14.453125" style="18" customWidth="1"/>
    <col min="15611" max="15611" width="7.26953125" style="18" customWidth="1"/>
    <col min="15612" max="15612" width="5.54296875" style="18" customWidth="1"/>
    <col min="15613" max="15613" width="9" style="18" customWidth="1"/>
    <col min="15614" max="15615" width="9.81640625" style="18" customWidth="1"/>
    <col min="15616" max="15616" width="11.1796875" style="18" customWidth="1"/>
    <col min="15617" max="15617" width="2.81640625" style="18" customWidth="1"/>
    <col min="15618" max="15618" width="3.54296875" style="18" customWidth="1"/>
    <col min="15619" max="15863" width="9.1796875" style="18"/>
    <col min="15864" max="15864" width="8.7265625" style="18" customWidth="1"/>
    <col min="15865" max="15865" width="9.81640625" style="18" customWidth="1"/>
    <col min="15866" max="15866" width="14.453125" style="18" customWidth="1"/>
    <col min="15867" max="15867" width="7.26953125" style="18" customWidth="1"/>
    <col min="15868" max="15868" width="5.54296875" style="18" customWidth="1"/>
    <col min="15869" max="15869" width="9" style="18" customWidth="1"/>
    <col min="15870" max="15871" width="9.81640625" style="18" customWidth="1"/>
    <col min="15872" max="15872" width="11.1796875" style="18" customWidth="1"/>
    <col min="15873" max="15873" width="2.81640625" style="18" customWidth="1"/>
    <col min="15874" max="15874" width="3.54296875" style="18" customWidth="1"/>
    <col min="15875" max="16119" width="9.1796875" style="18"/>
    <col min="16120" max="16120" width="8.7265625" style="18" customWidth="1"/>
    <col min="16121" max="16121" width="9.81640625" style="18" customWidth="1"/>
    <col min="16122" max="16122" width="14.453125" style="18" customWidth="1"/>
    <col min="16123" max="16123" width="7.26953125" style="18" customWidth="1"/>
    <col min="16124" max="16124" width="5.54296875" style="18" customWidth="1"/>
    <col min="16125" max="16125" width="9" style="18" customWidth="1"/>
    <col min="16126" max="16127" width="9.81640625" style="18" customWidth="1"/>
    <col min="16128" max="16128" width="11.1796875" style="18" customWidth="1"/>
    <col min="16129" max="16129" width="2.81640625" style="18" customWidth="1"/>
    <col min="16130" max="16130" width="3.54296875" style="18" customWidth="1"/>
    <col min="16131" max="16384" width="9.1796875" style="18"/>
  </cols>
  <sheetData>
    <row r="1" spans="1:26" ht="46.5" customHeight="1" x14ac:dyDescent="0.35">
      <c r="A1" s="210" t="s">
        <v>164</v>
      </c>
      <c r="B1" s="210"/>
      <c r="C1" s="210"/>
      <c r="D1" s="210"/>
      <c r="E1" s="210"/>
      <c r="F1" s="210"/>
      <c r="G1" s="210"/>
      <c r="H1" s="210"/>
    </row>
    <row r="2" spans="1:26" ht="16.5" customHeight="1" x14ac:dyDescent="0.35">
      <c r="A2" s="211" t="s">
        <v>0</v>
      </c>
      <c r="B2" s="211"/>
      <c r="C2" s="211"/>
      <c r="D2" s="211"/>
      <c r="E2" s="211"/>
      <c r="F2" s="211"/>
      <c r="G2" s="211"/>
      <c r="H2" s="211"/>
    </row>
    <row r="3" spans="1:26" x14ac:dyDescent="0.35">
      <c r="A3" s="153" t="s">
        <v>1</v>
      </c>
      <c r="B3" s="153"/>
      <c r="C3" s="153"/>
      <c r="D3" s="153"/>
      <c r="E3" s="153" t="str">
        <f ca="1">TEXT(TODAY(),"DD/MM/YYYY")</f>
        <v>26/09/2025</v>
      </c>
      <c r="F3" s="153"/>
      <c r="G3" s="153"/>
      <c r="H3" s="153"/>
      <c r="K3" s="52" t="s">
        <v>234</v>
      </c>
      <c r="L3" s="48" t="s">
        <v>232</v>
      </c>
      <c r="M3" s="48" t="s">
        <v>237</v>
      </c>
      <c r="N3" s="48" t="s">
        <v>235</v>
      </c>
      <c r="O3" s="48" t="s">
        <v>236</v>
      </c>
      <c r="P3" s="48" t="s">
        <v>238</v>
      </c>
    </row>
    <row r="4" spans="1:26" ht="15" customHeight="1" x14ac:dyDescent="0.35">
      <c r="A4" s="153" t="s">
        <v>231</v>
      </c>
      <c r="B4" s="153"/>
      <c r="C4" s="153"/>
      <c r="D4" s="153"/>
      <c r="E4" s="153" t="s">
        <v>232</v>
      </c>
      <c r="F4" s="153"/>
      <c r="G4" s="153"/>
      <c r="H4" s="153"/>
      <c r="K4" s="47" t="s">
        <v>233</v>
      </c>
      <c r="L4" s="48" t="s">
        <v>170</v>
      </c>
      <c r="M4" s="48" t="s">
        <v>242</v>
      </c>
      <c r="N4" s="48" t="s">
        <v>244</v>
      </c>
      <c r="O4" s="48" t="s">
        <v>246</v>
      </c>
      <c r="P4" s="48"/>
    </row>
    <row r="5" spans="1:26" ht="15" customHeight="1" x14ac:dyDescent="0.35">
      <c r="A5" s="153" t="s">
        <v>2</v>
      </c>
      <c r="B5" s="153"/>
      <c r="C5" s="153"/>
      <c r="D5" s="153"/>
      <c r="E5" s="153" t="s">
        <v>239</v>
      </c>
      <c r="F5" s="153"/>
      <c r="G5" s="153"/>
      <c r="H5" s="153"/>
      <c r="K5" s="47"/>
      <c r="L5" s="48" t="s">
        <v>239</v>
      </c>
      <c r="M5" s="48" t="s">
        <v>243</v>
      </c>
      <c r="N5" s="48" t="s">
        <v>245</v>
      </c>
      <c r="O5" s="48" t="s">
        <v>247</v>
      </c>
      <c r="P5" s="48"/>
    </row>
    <row r="6" spans="1:26" x14ac:dyDescent="0.35">
      <c r="A6" s="153" t="s">
        <v>3</v>
      </c>
      <c r="B6" s="153"/>
      <c r="C6" s="153"/>
      <c r="D6" s="153"/>
      <c r="E6" s="212">
        <v>45926</v>
      </c>
      <c r="F6" s="153"/>
      <c r="G6" s="153"/>
      <c r="H6" s="153"/>
      <c r="K6" s="47"/>
      <c r="L6" s="48" t="s">
        <v>240</v>
      </c>
      <c r="M6" s="48"/>
      <c r="N6" s="48"/>
      <c r="O6" s="48" t="s">
        <v>248</v>
      </c>
      <c r="P6" s="48"/>
    </row>
    <row r="7" spans="1:26" ht="16.5" customHeight="1" x14ac:dyDescent="0.35">
      <c r="A7" s="153" t="s">
        <v>4</v>
      </c>
      <c r="B7" s="153"/>
      <c r="C7" s="153"/>
      <c r="D7" s="153"/>
      <c r="E7" s="153" t="s">
        <v>296</v>
      </c>
      <c r="F7" s="153"/>
      <c r="G7" s="153"/>
      <c r="H7" s="153"/>
      <c r="K7" s="47"/>
      <c r="L7" s="48" t="s">
        <v>241</v>
      </c>
      <c r="M7" s="48"/>
      <c r="N7" s="48"/>
      <c r="O7" s="48" t="s">
        <v>248</v>
      </c>
      <c r="P7" s="48"/>
    </row>
    <row r="8" spans="1:26" ht="15" customHeight="1" x14ac:dyDescent="0.35">
      <c r="A8" s="153" t="s">
        <v>5</v>
      </c>
      <c r="B8" s="153"/>
      <c r="C8" s="153"/>
      <c r="D8" s="153"/>
      <c r="E8" s="153" t="str">
        <f>E7</f>
        <v>Midas Touch</v>
      </c>
      <c r="F8" s="153"/>
      <c r="G8" s="153"/>
      <c r="H8" s="153"/>
      <c r="K8" s="47"/>
      <c r="L8" s="48"/>
      <c r="M8" s="48"/>
      <c r="N8" s="48"/>
      <c r="O8" s="48" t="s">
        <v>249</v>
      </c>
      <c r="P8" s="48"/>
    </row>
    <row r="9" spans="1:26" x14ac:dyDescent="0.35">
      <c r="A9" s="153" t="s">
        <v>6</v>
      </c>
      <c r="B9" s="153"/>
      <c r="C9" s="153"/>
      <c r="D9" s="153"/>
      <c r="E9" s="131" t="s">
        <v>297</v>
      </c>
      <c r="F9" s="131"/>
      <c r="G9" s="131"/>
      <c r="H9" s="131"/>
      <c r="K9" s="47"/>
      <c r="L9" s="48"/>
      <c r="M9" s="48"/>
      <c r="N9" s="48"/>
      <c r="O9" s="48" t="s">
        <v>250</v>
      </c>
      <c r="P9" s="48"/>
    </row>
    <row r="10" spans="1:26" x14ac:dyDescent="0.35">
      <c r="A10" s="153" t="s">
        <v>167</v>
      </c>
      <c r="B10" s="153"/>
      <c r="C10" s="153"/>
      <c r="D10" s="153"/>
      <c r="E10" s="153">
        <v>9920659593</v>
      </c>
      <c r="F10" s="153"/>
      <c r="G10" s="153"/>
      <c r="H10" s="153"/>
      <c r="K10" s="47"/>
      <c r="L10" s="48"/>
      <c r="M10" s="48"/>
      <c r="N10" s="48"/>
      <c r="O10" s="48"/>
      <c r="P10" s="48"/>
    </row>
    <row r="11" spans="1:26" x14ac:dyDescent="0.35">
      <c r="A11" s="153" t="s">
        <v>168</v>
      </c>
      <c r="B11" s="153"/>
      <c r="C11" s="153"/>
      <c r="D11" s="153"/>
      <c r="E11" s="153" t="s">
        <v>363</v>
      </c>
      <c r="F11" s="153"/>
      <c r="G11" s="153"/>
      <c r="H11" s="153"/>
    </row>
    <row r="12" spans="1:26" x14ac:dyDescent="0.35">
      <c r="A12" s="153" t="s">
        <v>7</v>
      </c>
      <c r="B12" s="153"/>
      <c r="C12" s="153"/>
      <c r="D12" s="153"/>
      <c r="E12" s="153" t="s">
        <v>322</v>
      </c>
      <c r="F12" s="153"/>
      <c r="G12" s="153"/>
      <c r="H12" s="153"/>
    </row>
    <row r="13" spans="1:26" hidden="1" x14ac:dyDescent="0.35">
      <c r="A13" s="153" t="s">
        <v>171</v>
      </c>
      <c r="B13" s="153"/>
      <c r="C13" s="153"/>
      <c r="D13" s="153"/>
      <c r="E13" s="153"/>
      <c r="F13" s="153"/>
      <c r="G13" s="153"/>
      <c r="H13" s="153"/>
      <c r="S13" s="48" t="s">
        <v>176</v>
      </c>
      <c r="T13" s="48" t="s">
        <v>186</v>
      </c>
      <c r="U13" s="48" t="s">
        <v>172</v>
      </c>
      <c r="V13" s="48" t="s">
        <v>191</v>
      </c>
      <c r="W13" s="48" t="s">
        <v>209</v>
      </c>
      <c r="X13"/>
      <c r="Y13" t="s">
        <v>191</v>
      </c>
      <c r="Z13" t="e">
        <f ca="1">OFFSET($S$13,1,MATCH($G20,$S$13:$W$13,0)-1,15,1)</f>
        <v>#VALUE!</v>
      </c>
    </row>
    <row r="14" spans="1:26" ht="32.25" customHeight="1" x14ac:dyDescent="0.35">
      <c r="A14" s="120" t="s">
        <v>277</v>
      </c>
      <c r="B14" s="120"/>
      <c r="C14" s="120"/>
      <c r="D14" s="120"/>
      <c r="E14" s="154" t="s">
        <v>375</v>
      </c>
      <c r="F14" s="154"/>
      <c r="G14" s="154"/>
      <c r="H14" s="154"/>
      <c r="S14" s="48" t="s">
        <v>177</v>
      </c>
      <c r="T14" s="48" t="s">
        <v>184</v>
      </c>
      <c r="U14" s="48" t="s">
        <v>206</v>
      </c>
      <c r="V14" s="48" t="s">
        <v>192</v>
      </c>
      <c r="W14" s="48" t="s">
        <v>210</v>
      </c>
      <c r="X14"/>
      <c r="Y14"/>
      <c r="Z14"/>
    </row>
    <row r="15" spans="1:26" x14ac:dyDescent="0.35">
      <c r="A15" s="120" t="s">
        <v>8</v>
      </c>
      <c r="B15" s="120"/>
      <c r="C15" s="120"/>
      <c r="D15" s="120"/>
      <c r="E15" s="154" t="s">
        <v>298</v>
      </c>
      <c r="F15" s="153"/>
      <c r="G15" s="153"/>
      <c r="H15" s="153"/>
      <c r="I15" s="223" t="e">
        <f ca="1">OFFSET($D$5,1,MATCH($J13,$D$5:$H$5,0)-1,15,1)</f>
        <v>#N/A</v>
      </c>
      <c r="J15" s="224"/>
      <c r="K15" s="224"/>
      <c r="L15" s="224"/>
      <c r="M15" s="224"/>
      <c r="N15" s="224"/>
      <c r="O15" s="224"/>
      <c r="P15" s="224"/>
      <c r="S15" s="48" t="s">
        <v>178</v>
      </c>
      <c r="T15" s="48" t="s">
        <v>185</v>
      </c>
      <c r="U15" s="48" t="s">
        <v>207</v>
      </c>
      <c r="V15" s="48" t="s">
        <v>193</v>
      </c>
      <c r="W15" s="48" t="s">
        <v>223</v>
      </c>
      <c r="X15"/>
      <c r="Y15"/>
      <c r="Z15"/>
    </row>
    <row r="16" spans="1:26" ht="48.75" customHeight="1" x14ac:dyDescent="0.35">
      <c r="A16" s="154" t="s">
        <v>9</v>
      </c>
      <c r="B16" s="154"/>
      <c r="C16" s="154" t="str">
        <f>CONCATENATE((IF(OR(E9="",E9="NA"),"",E9)),", ",(IF(OR(A17="",A17="NA"),"",A17)),".",(IF(OR(C17="",C17="NA"),"",C17)),", near ",(IF(OR(C22="",C22="NA"),"",C22)),", ",(IF(OR(C19="",C19="NA"),"",C19)),", ",(IF(OR(C18="",C18="NA"),"",C18)),", ",(IF(OR(G19="",G19="NA"),"",G19)),", ",(IF(OR(C20="",C20="NA"),"",C20)),", ",(IF(OR(C21="",C21="NA"),"",C21)),", ",(IF(OR(G20="",G20="NA"),"",G20))," - ",(IF(OR(G21="",G21="NA"),"",G21)),".")</f>
        <v>O22 Business Park, Plot No.B-36, B-36/1, near Kerom Company, Road No.22, Neheru Nagar, Wagle Industrial Estate, Thane , Thane (West), Thane, Thane  - 400604.</v>
      </c>
      <c r="D16" s="154"/>
      <c r="E16" s="154"/>
      <c r="F16" s="154"/>
      <c r="G16" s="154"/>
      <c r="H16" s="154"/>
      <c r="S16" s="48" t="s">
        <v>179</v>
      </c>
      <c r="T16" s="48" t="s">
        <v>187</v>
      </c>
      <c r="U16" s="48" t="s">
        <v>208</v>
      </c>
      <c r="V16" s="48" t="s">
        <v>194</v>
      </c>
      <c r="W16" s="48" t="s">
        <v>211</v>
      </c>
      <c r="X16"/>
      <c r="Y16"/>
      <c r="Z16"/>
    </row>
    <row r="17" spans="1:26" x14ac:dyDescent="0.35">
      <c r="A17" s="154" t="s">
        <v>300</v>
      </c>
      <c r="B17" s="154"/>
      <c r="C17" s="154" t="s">
        <v>323</v>
      </c>
      <c r="D17" s="154"/>
      <c r="E17" s="154"/>
      <c r="F17" s="154"/>
      <c r="G17" s="154"/>
      <c r="H17" s="154"/>
      <c r="S17" s="48" t="s">
        <v>180</v>
      </c>
      <c r="T17" s="48" t="s">
        <v>188</v>
      </c>
      <c r="U17" s="48" t="s">
        <v>172</v>
      </c>
      <c r="V17" s="48" t="s">
        <v>195</v>
      </c>
      <c r="W17" s="48" t="s">
        <v>212</v>
      </c>
      <c r="X17"/>
      <c r="Y17"/>
      <c r="Z17"/>
    </row>
    <row r="18" spans="1:26" ht="15.75" customHeight="1" x14ac:dyDescent="0.35">
      <c r="A18" s="154" t="s">
        <v>162</v>
      </c>
      <c r="B18" s="154"/>
      <c r="C18" s="154" t="s">
        <v>303</v>
      </c>
      <c r="D18" s="154"/>
      <c r="E18" s="154"/>
      <c r="F18" s="154"/>
      <c r="G18" s="154"/>
      <c r="H18" s="154"/>
      <c r="S18" s="48" t="s">
        <v>181</v>
      </c>
      <c r="T18" s="48" t="s">
        <v>186</v>
      </c>
      <c r="U18" s="48"/>
      <c r="V18" s="48" t="s">
        <v>196</v>
      </c>
      <c r="W18" s="48" t="s">
        <v>213</v>
      </c>
      <c r="X18"/>
      <c r="Y18"/>
      <c r="Z18"/>
    </row>
    <row r="19" spans="1:26" ht="15.75" customHeight="1" x14ac:dyDescent="0.35">
      <c r="A19" s="154" t="s">
        <v>10</v>
      </c>
      <c r="B19" s="154"/>
      <c r="C19" s="153" t="s">
        <v>301</v>
      </c>
      <c r="D19" s="153"/>
      <c r="E19" s="154" t="s">
        <v>69</v>
      </c>
      <c r="F19" s="154"/>
      <c r="G19" s="154" t="s">
        <v>176</v>
      </c>
      <c r="H19" s="154"/>
      <c r="S19" s="48" t="s">
        <v>182</v>
      </c>
      <c r="T19" s="48" t="s">
        <v>189</v>
      </c>
      <c r="U19" s="48"/>
      <c r="V19" s="48" t="s">
        <v>197</v>
      </c>
      <c r="W19" s="48" t="s">
        <v>214</v>
      </c>
      <c r="X19"/>
      <c r="Y19"/>
      <c r="Z19"/>
    </row>
    <row r="20" spans="1:26" x14ac:dyDescent="0.35">
      <c r="A20" s="153" t="s">
        <v>12</v>
      </c>
      <c r="B20" s="153"/>
      <c r="C20" s="154" t="s">
        <v>302</v>
      </c>
      <c r="D20" s="154"/>
      <c r="E20" s="154" t="s">
        <v>11</v>
      </c>
      <c r="F20" s="154"/>
      <c r="G20" s="209" t="s">
        <v>176</v>
      </c>
      <c r="H20" s="209"/>
      <c r="S20" s="48" t="s">
        <v>183</v>
      </c>
      <c r="T20" s="48" t="s">
        <v>190</v>
      </c>
      <c r="U20" s="48"/>
      <c r="V20" s="48" t="s">
        <v>198</v>
      </c>
      <c r="W20" s="48" t="s">
        <v>215</v>
      </c>
      <c r="X20"/>
      <c r="Y20"/>
      <c r="Z20"/>
    </row>
    <row r="21" spans="1:26" x14ac:dyDescent="0.35">
      <c r="A21" s="153" t="s">
        <v>70</v>
      </c>
      <c r="B21" s="153"/>
      <c r="C21" s="154" t="s">
        <v>177</v>
      </c>
      <c r="D21" s="154"/>
      <c r="E21" s="154" t="s">
        <v>13</v>
      </c>
      <c r="F21" s="154"/>
      <c r="G21" s="154">
        <v>400604</v>
      </c>
      <c r="H21" s="154"/>
      <c r="S21" s="48"/>
      <c r="T21" s="48"/>
      <c r="U21" s="48"/>
      <c r="V21" s="48" t="s">
        <v>199</v>
      </c>
      <c r="W21" s="48" t="s">
        <v>216</v>
      </c>
      <c r="X21"/>
      <c r="Y21"/>
      <c r="Z21"/>
    </row>
    <row r="22" spans="1:26" ht="32.25" customHeight="1" x14ac:dyDescent="0.35">
      <c r="A22" s="153" t="s">
        <v>121</v>
      </c>
      <c r="B22" s="153"/>
      <c r="C22" s="154" t="s">
        <v>304</v>
      </c>
      <c r="D22" s="154"/>
      <c r="E22" s="154" t="s">
        <v>14</v>
      </c>
      <c r="F22" s="154"/>
      <c r="G22" s="154" t="s">
        <v>299</v>
      </c>
      <c r="H22" s="154"/>
      <c r="S22" s="48"/>
      <c r="T22" s="48"/>
      <c r="U22" s="48"/>
      <c r="V22" s="48" t="s">
        <v>200</v>
      </c>
      <c r="W22" s="48" t="s">
        <v>217</v>
      </c>
      <c r="X22"/>
      <c r="Y22"/>
      <c r="Z22"/>
    </row>
    <row r="23" spans="1:26" ht="15" customHeight="1" x14ac:dyDescent="0.35">
      <c r="A23" s="126" t="s">
        <v>72</v>
      </c>
      <c r="B23" s="126"/>
      <c r="C23" s="126"/>
      <c r="D23" s="126"/>
      <c r="E23" s="153" t="s">
        <v>15</v>
      </c>
      <c r="F23" s="153"/>
      <c r="G23" s="153"/>
      <c r="H23" s="153"/>
      <c r="S23" s="48"/>
      <c r="T23" s="48"/>
      <c r="U23" s="48"/>
      <c r="V23" s="48" t="s">
        <v>201</v>
      </c>
      <c r="W23" s="48" t="s">
        <v>218</v>
      </c>
      <c r="X23"/>
      <c r="Y23"/>
      <c r="Z23"/>
    </row>
    <row r="24" spans="1:26" ht="18.75" customHeight="1" x14ac:dyDescent="0.35">
      <c r="A24" s="126"/>
      <c r="B24" s="126"/>
      <c r="C24" s="126"/>
      <c r="D24" s="126"/>
      <c r="E24" s="153"/>
      <c r="F24" s="153"/>
      <c r="G24" s="153"/>
      <c r="H24" s="153"/>
      <c r="S24" s="48"/>
      <c r="T24" s="48"/>
      <c r="U24" s="48"/>
      <c r="V24" s="48" t="s">
        <v>202</v>
      </c>
      <c r="W24" s="48" t="s">
        <v>219</v>
      </c>
      <c r="X24"/>
      <c r="Y24"/>
      <c r="Z24"/>
    </row>
    <row r="25" spans="1:26" ht="15" customHeight="1" x14ac:dyDescent="0.35">
      <c r="A25" s="126" t="s">
        <v>16</v>
      </c>
      <c r="B25" s="126"/>
      <c r="C25" s="126"/>
      <c r="D25" s="126"/>
      <c r="E25" s="154" t="s">
        <v>17</v>
      </c>
      <c r="F25" s="154"/>
      <c r="G25" s="154"/>
      <c r="H25" s="154"/>
      <c r="S25" s="48"/>
      <c r="T25" s="48"/>
      <c r="U25" s="48"/>
      <c r="V25" s="48" t="s">
        <v>203</v>
      </c>
      <c r="W25" s="48" t="s">
        <v>220</v>
      </c>
      <c r="X25"/>
      <c r="Y25"/>
      <c r="Z25"/>
    </row>
    <row r="26" spans="1:26" ht="15" customHeight="1" x14ac:dyDescent="0.35">
      <c r="A26" s="120" t="s">
        <v>18</v>
      </c>
      <c r="B26" s="120"/>
      <c r="C26" s="120"/>
      <c r="D26" s="120"/>
      <c r="E26" s="154" t="str">
        <f>IF(AND(G20="Mumbai"),"Upper Class","Middle Class")</f>
        <v>Middle Class</v>
      </c>
      <c r="F26" s="154"/>
      <c r="G26" s="154"/>
      <c r="H26" s="154"/>
      <c r="S26" s="48"/>
      <c r="T26" s="48"/>
      <c r="U26" s="48"/>
      <c r="V26" s="48" t="s">
        <v>204</v>
      </c>
      <c r="W26" s="48" t="s">
        <v>221</v>
      </c>
      <c r="X26"/>
      <c r="Y26"/>
      <c r="Z26"/>
    </row>
    <row r="27" spans="1:26" x14ac:dyDescent="0.35">
      <c r="A27" s="120" t="s">
        <v>19</v>
      </c>
      <c r="B27" s="120"/>
      <c r="C27" s="120"/>
      <c r="D27" s="120"/>
      <c r="E27" s="154" t="s">
        <v>20</v>
      </c>
      <c r="F27" s="154"/>
      <c r="G27" s="154"/>
      <c r="H27" s="154"/>
      <c r="S27" s="48"/>
      <c r="T27" s="48"/>
      <c r="U27" s="48"/>
      <c r="V27" s="48" t="s">
        <v>205</v>
      </c>
      <c r="W27" s="48" t="s">
        <v>222</v>
      </c>
      <c r="X27"/>
      <c r="Y27"/>
      <c r="Z27"/>
    </row>
    <row r="28" spans="1:26" ht="15.75" customHeight="1" x14ac:dyDescent="0.35">
      <c r="A28" s="120" t="s">
        <v>21</v>
      </c>
      <c r="B28" s="120"/>
      <c r="C28" s="120"/>
      <c r="D28" s="120"/>
      <c r="E28" s="154" t="str">
        <f>IF(AND(G20="Mumbai"),"Developed","Developing")</f>
        <v>Developing</v>
      </c>
      <c r="F28" s="154"/>
      <c r="G28" s="154"/>
      <c r="H28" s="154"/>
    </row>
    <row r="29" spans="1:26" x14ac:dyDescent="0.35">
      <c r="A29" s="120" t="s">
        <v>22</v>
      </c>
      <c r="B29" s="120"/>
      <c r="C29" s="120"/>
      <c r="D29" s="120"/>
      <c r="E29" s="154" t="s">
        <v>23</v>
      </c>
      <c r="F29" s="154"/>
      <c r="G29" s="154"/>
      <c r="H29" s="154"/>
    </row>
    <row r="30" spans="1:26" ht="15.75" customHeight="1" x14ac:dyDescent="0.35">
      <c r="A30" s="120" t="s">
        <v>77</v>
      </c>
      <c r="B30" s="120"/>
      <c r="C30" s="120"/>
      <c r="D30" s="120"/>
      <c r="E30" s="154" t="s">
        <v>78</v>
      </c>
      <c r="F30" s="154"/>
      <c r="G30" s="154"/>
      <c r="H30" s="154"/>
    </row>
    <row r="31" spans="1:26" ht="15" customHeight="1" x14ac:dyDescent="0.35">
      <c r="A31" s="120" t="s">
        <v>30</v>
      </c>
      <c r="B31" s="120"/>
      <c r="C31" s="120"/>
      <c r="D31" s="120"/>
      <c r="E31" s="154" t="str">
        <f>IF(AND(ISNUMBER(SEARCH("Flat",D65)),ISNUMBER(SEARCH("Shop",D65)),ISNUMBER(SEARCH("Office",D65))),"Residential + Commercial",IF(AND(ISNUMBER(SEARCH("Flat",D65)),ISNUMBER(SEARCH("Shop",D65))),"Residential + Commercial",IF(AND(ISNUMBER(SEARCH("Flat",D65)),ISNUMBER(SEARCH("Office",D65))),"Residential + Commercial",IF(AND(ISNUMBER(SEARCH("Shop",D65)),ISNUMBER(SEARCH("Office",D65))),"Commercial",IF(ISNUMBER(SEARCH("Shop",D65)),"Commercial",IF(ISNUMBER(SEARCH("Office",D65)),"Commercial",IF(ISNUMBER(SEARCH("Flat",D65)),"Residential")))))))</f>
        <v>Commercial</v>
      </c>
      <c r="F31" s="154"/>
      <c r="G31" s="154"/>
      <c r="H31" s="154"/>
    </row>
    <row r="32" spans="1:26" ht="15.75" customHeight="1" x14ac:dyDescent="0.35">
      <c r="A32" s="120" t="s">
        <v>88</v>
      </c>
      <c r="B32" s="120"/>
      <c r="C32" s="120"/>
      <c r="D32" s="120"/>
      <c r="E32" s="154" t="s">
        <v>31</v>
      </c>
      <c r="F32" s="154"/>
      <c r="G32" s="154"/>
      <c r="H32" s="154"/>
    </row>
    <row r="33" spans="1:19" s="19" customFormat="1" x14ac:dyDescent="0.35">
      <c r="A33" s="208" t="s">
        <v>89</v>
      </c>
      <c r="B33" s="208"/>
      <c r="C33" s="205" t="s">
        <v>173</v>
      </c>
      <c r="D33" s="206"/>
      <c r="E33" s="207"/>
      <c r="F33" s="205" t="s">
        <v>29</v>
      </c>
      <c r="G33" s="206"/>
      <c r="H33" s="207"/>
      <c r="S33" s="19" t="e">
        <f ca="1">OFFSET($S$13,1,MATCH($G20,$S$13:$W$13,0)-1,15,1)</f>
        <v>#VALUE!</v>
      </c>
    </row>
    <row r="34" spans="1:19" s="19" customFormat="1" x14ac:dyDescent="0.35">
      <c r="A34" s="196" t="s">
        <v>24</v>
      </c>
      <c r="B34" s="196" t="s">
        <v>28</v>
      </c>
      <c r="C34" s="197" t="s">
        <v>307</v>
      </c>
      <c r="D34" s="198"/>
      <c r="E34" s="199"/>
      <c r="F34" s="197" t="s">
        <v>305</v>
      </c>
      <c r="G34" s="198"/>
      <c r="H34" s="199"/>
    </row>
    <row r="35" spans="1:19" x14ac:dyDescent="0.35">
      <c r="A35" s="196" t="s">
        <v>25</v>
      </c>
      <c r="B35" s="196" t="s">
        <v>28</v>
      </c>
      <c r="C35" s="197" t="s">
        <v>308</v>
      </c>
      <c r="D35" s="198"/>
      <c r="E35" s="199"/>
      <c r="F35" s="197" t="s">
        <v>301</v>
      </c>
      <c r="G35" s="198"/>
      <c r="H35" s="199"/>
    </row>
    <row r="36" spans="1:19" s="19" customFormat="1" x14ac:dyDescent="0.35">
      <c r="A36" s="196" t="s">
        <v>27</v>
      </c>
      <c r="B36" s="196" t="s">
        <v>28</v>
      </c>
      <c r="C36" s="197" t="s">
        <v>308</v>
      </c>
      <c r="D36" s="198"/>
      <c r="E36" s="199"/>
      <c r="F36" s="197" t="s">
        <v>304</v>
      </c>
      <c r="G36" s="198"/>
      <c r="H36" s="199"/>
    </row>
    <row r="37" spans="1:19" x14ac:dyDescent="0.35">
      <c r="A37" s="196" t="s">
        <v>26</v>
      </c>
      <c r="B37" s="196" t="s">
        <v>28</v>
      </c>
      <c r="C37" s="197" t="s">
        <v>308</v>
      </c>
      <c r="D37" s="198"/>
      <c r="E37" s="199"/>
      <c r="F37" s="197" t="s">
        <v>306</v>
      </c>
      <c r="G37" s="198"/>
      <c r="H37" s="199"/>
    </row>
    <row r="38" spans="1:19" x14ac:dyDescent="0.35">
      <c r="A38" s="120" t="s">
        <v>278</v>
      </c>
      <c r="B38" s="120"/>
      <c r="C38" s="120"/>
      <c r="D38" s="120"/>
      <c r="E38" s="120"/>
      <c r="F38" s="120"/>
      <c r="G38" s="120"/>
      <c r="H38" s="120"/>
    </row>
    <row r="39" spans="1:19" ht="15.75" customHeight="1" x14ac:dyDescent="0.35">
      <c r="A39" s="120" t="s">
        <v>165</v>
      </c>
      <c r="B39" s="120"/>
      <c r="C39" s="164" t="s">
        <v>373</v>
      </c>
      <c r="D39" s="164"/>
      <c r="E39" s="164"/>
      <c r="F39" s="164"/>
      <c r="G39" s="164"/>
      <c r="H39" s="164"/>
    </row>
    <row r="40" spans="1:19" x14ac:dyDescent="0.35">
      <c r="A40" s="120" t="s">
        <v>161</v>
      </c>
      <c r="B40" s="120"/>
      <c r="C40" s="201" t="s">
        <v>372</v>
      </c>
      <c r="D40" s="154"/>
      <c r="E40" s="154"/>
      <c r="F40" s="154"/>
      <c r="G40" s="154"/>
      <c r="H40" s="154"/>
    </row>
    <row r="41" spans="1:19" x14ac:dyDescent="0.35">
      <c r="A41" s="164" t="s">
        <v>32</v>
      </c>
      <c r="B41" s="164"/>
      <c r="C41" s="164"/>
      <c r="D41" s="164"/>
      <c r="E41" s="164"/>
      <c r="F41" s="164"/>
      <c r="G41" s="164"/>
      <c r="H41" s="164"/>
    </row>
    <row r="42" spans="1:19" x14ac:dyDescent="0.35">
      <c r="A42" s="120" t="s">
        <v>33</v>
      </c>
      <c r="B42" s="120"/>
      <c r="C42" s="120"/>
      <c r="D42" s="120"/>
      <c r="E42" s="200">
        <v>4823</v>
      </c>
      <c r="F42" s="200"/>
      <c r="G42" s="200"/>
      <c r="H42" s="200"/>
    </row>
    <row r="43" spans="1:19" x14ac:dyDescent="0.35">
      <c r="A43" s="120" t="s">
        <v>34</v>
      </c>
      <c r="B43" s="120"/>
      <c r="C43" s="120"/>
      <c r="D43" s="120"/>
      <c r="E43" s="167">
        <v>1</v>
      </c>
      <c r="F43" s="167"/>
      <c r="G43" s="167"/>
      <c r="H43" s="167"/>
    </row>
    <row r="44" spans="1:19" x14ac:dyDescent="0.35">
      <c r="A44" s="120" t="s">
        <v>35</v>
      </c>
      <c r="B44" s="120"/>
      <c r="C44" s="120"/>
      <c r="D44" s="120"/>
      <c r="E44" s="167">
        <f>E46/E42-E43</f>
        <v>6.1994049346879541</v>
      </c>
      <c r="F44" s="167"/>
      <c r="G44" s="167"/>
      <c r="H44" s="167"/>
    </row>
    <row r="45" spans="1:19" x14ac:dyDescent="0.35">
      <c r="A45" s="120" t="s">
        <v>36</v>
      </c>
      <c r="B45" s="120"/>
      <c r="C45" s="120"/>
      <c r="D45" s="120"/>
      <c r="E45" s="167">
        <f>E43+E44</f>
        <v>7.1994049346879541</v>
      </c>
      <c r="F45" s="167"/>
      <c r="G45" s="167"/>
      <c r="H45" s="167"/>
    </row>
    <row r="46" spans="1:19" x14ac:dyDescent="0.35">
      <c r="A46" s="126" t="s">
        <v>324</v>
      </c>
      <c r="B46" s="126"/>
      <c r="C46" s="126"/>
      <c r="D46" s="126"/>
      <c r="E46" s="168">
        <v>34722.730000000003</v>
      </c>
      <c r="F46" s="169"/>
      <c r="G46" s="169"/>
      <c r="H46" s="170"/>
    </row>
    <row r="47" spans="1:19" x14ac:dyDescent="0.35">
      <c r="A47" s="153" t="s">
        <v>37</v>
      </c>
      <c r="B47" s="153"/>
      <c r="C47" s="153"/>
      <c r="D47" s="153"/>
      <c r="E47" s="153" t="s">
        <v>119</v>
      </c>
      <c r="F47" s="153"/>
      <c r="G47" s="153"/>
      <c r="H47" s="153"/>
    </row>
    <row r="48" spans="1:19" x14ac:dyDescent="0.35">
      <c r="A48" s="164" t="s">
        <v>38</v>
      </c>
      <c r="B48" s="164"/>
      <c r="C48" s="164"/>
      <c r="D48" s="164"/>
      <c r="E48" s="164"/>
      <c r="F48" s="164"/>
      <c r="G48" s="164"/>
      <c r="H48" s="164"/>
    </row>
    <row r="49" spans="1:24" ht="33.75" customHeight="1" x14ac:dyDescent="0.35">
      <c r="A49" s="112" t="s">
        <v>153</v>
      </c>
      <c r="B49" s="114"/>
      <c r="C49" s="181" t="s">
        <v>267</v>
      </c>
      <c r="D49" s="182"/>
      <c r="E49" s="182"/>
      <c r="F49" s="182"/>
      <c r="G49" s="182"/>
      <c r="H49" s="183"/>
      <c r="R49" t="s">
        <v>251</v>
      </c>
      <c r="S49" t="s">
        <v>172</v>
      </c>
      <c r="T49" t="s">
        <v>176</v>
      </c>
      <c r="U49" t="s">
        <v>191</v>
      </c>
      <c r="V49" t="s">
        <v>186</v>
      </c>
    </row>
    <row r="50" spans="1:24" x14ac:dyDescent="0.35">
      <c r="A50" s="112" t="s">
        <v>39</v>
      </c>
      <c r="B50" s="114"/>
      <c r="C50" s="112" t="s">
        <v>370</v>
      </c>
      <c r="D50" s="113"/>
      <c r="E50" s="114"/>
      <c r="F50" s="17" t="s">
        <v>40</v>
      </c>
      <c r="G50" s="189">
        <v>45779</v>
      </c>
      <c r="H50" s="190"/>
      <c r="R50"/>
      <c r="S50" t="s">
        <v>252</v>
      </c>
      <c r="T50" t="s">
        <v>257</v>
      </c>
      <c r="U50" t="s">
        <v>268</v>
      </c>
      <c r="V50" t="s">
        <v>273</v>
      </c>
    </row>
    <row r="51" spans="1:24" x14ac:dyDescent="0.35">
      <c r="A51" s="112" t="s">
        <v>41</v>
      </c>
      <c r="B51" s="114"/>
      <c r="C51" s="112" t="str">
        <f>C50</f>
        <v>MIDC/DE &amp; PA-III/I-111521 /2025</v>
      </c>
      <c r="D51" s="113"/>
      <c r="E51" s="114"/>
      <c r="F51" s="17" t="s">
        <v>40</v>
      </c>
      <c r="G51" s="189">
        <f>G50</f>
        <v>45779</v>
      </c>
      <c r="H51" s="190"/>
      <c r="R51"/>
      <c r="S51" t="s">
        <v>253</v>
      </c>
      <c r="T51" t="s">
        <v>258</v>
      </c>
      <c r="U51" t="s">
        <v>266</v>
      </c>
      <c r="V51" t="s">
        <v>274</v>
      </c>
    </row>
    <row r="52" spans="1:24" s="20" customFormat="1" ht="15.75" customHeight="1" x14ac:dyDescent="0.35">
      <c r="A52" s="191" t="s">
        <v>367</v>
      </c>
      <c r="B52" s="192"/>
      <c r="C52" s="171" t="s">
        <v>339</v>
      </c>
      <c r="D52" s="172"/>
      <c r="E52" s="173"/>
      <c r="F52" s="67" t="s">
        <v>40</v>
      </c>
      <c r="G52" s="188">
        <f>G50</f>
        <v>45779</v>
      </c>
      <c r="H52" s="195"/>
      <c r="R52"/>
      <c r="S52" t="s">
        <v>254</v>
      </c>
      <c r="T52" t="s">
        <v>259</v>
      </c>
      <c r="U52" t="s">
        <v>256</v>
      </c>
      <c r="V52" t="s">
        <v>275</v>
      </c>
    </row>
    <row r="53" spans="1:24" s="20" customFormat="1" ht="32.25" customHeight="1" x14ac:dyDescent="0.35">
      <c r="A53" s="193"/>
      <c r="B53" s="194"/>
      <c r="C53" s="171" t="s">
        <v>369</v>
      </c>
      <c r="D53" s="172"/>
      <c r="E53" s="172"/>
      <c r="F53" s="172"/>
      <c r="G53" s="172"/>
      <c r="H53" s="173"/>
      <c r="R53"/>
      <c r="S53" t="s">
        <v>255</v>
      </c>
      <c r="T53" t="s">
        <v>262</v>
      </c>
      <c r="U53" t="s">
        <v>269</v>
      </c>
    </row>
    <row r="54" spans="1:24" s="20" customFormat="1" x14ac:dyDescent="0.35">
      <c r="A54" s="191" t="s">
        <v>157</v>
      </c>
      <c r="B54" s="192"/>
      <c r="C54" s="112" t="s">
        <v>327</v>
      </c>
      <c r="D54" s="113"/>
      <c r="E54" s="114"/>
      <c r="F54" s="17" t="s">
        <v>40</v>
      </c>
      <c r="G54" s="189">
        <v>45387</v>
      </c>
      <c r="H54" s="190"/>
      <c r="R54"/>
      <c r="S54" t="s">
        <v>254</v>
      </c>
      <c r="T54" t="s">
        <v>259</v>
      </c>
      <c r="U54" t="s">
        <v>256</v>
      </c>
      <c r="V54" t="s">
        <v>275</v>
      </c>
    </row>
    <row r="55" spans="1:24" s="20" customFormat="1" x14ac:dyDescent="0.35">
      <c r="A55" s="193"/>
      <c r="B55" s="194"/>
      <c r="C55" s="112" t="s">
        <v>328</v>
      </c>
      <c r="D55" s="113"/>
      <c r="E55" s="113"/>
      <c r="F55" s="113"/>
      <c r="G55" s="113"/>
      <c r="H55" s="114"/>
      <c r="R55"/>
      <c r="S55" t="s">
        <v>256</v>
      </c>
      <c r="T55" t="s">
        <v>260</v>
      </c>
      <c r="U55" t="s">
        <v>270</v>
      </c>
      <c r="V55" s="18"/>
      <c r="W55" s="18"/>
      <c r="X55" s="18"/>
    </row>
    <row r="56" spans="1:24" s="20" customFormat="1" ht="34.5" hidden="1" customHeight="1" x14ac:dyDescent="0.35">
      <c r="A56" s="122" t="s">
        <v>279</v>
      </c>
      <c r="B56" s="123"/>
      <c r="C56" s="112" t="str">
        <f>C53</f>
        <v>IT Park Building = 3B + Gr/St + P1 to P6 + 1st to 26th Floor</v>
      </c>
      <c r="D56" s="113"/>
      <c r="E56" s="114"/>
      <c r="F56" s="17" t="s">
        <v>40</v>
      </c>
      <c r="G56" s="112"/>
      <c r="H56" s="114"/>
      <c r="R56"/>
      <c r="S56" s="18"/>
      <c r="T56" t="s">
        <v>261</v>
      </c>
      <c r="U56" t="s">
        <v>271</v>
      </c>
      <c r="V56" s="18"/>
      <c r="W56" s="18"/>
      <c r="X56" s="18"/>
    </row>
    <row r="57" spans="1:24" s="20" customFormat="1" hidden="1" x14ac:dyDescent="0.35">
      <c r="A57" s="124"/>
      <c r="B57" s="125"/>
      <c r="C57" s="148"/>
      <c r="D57" s="149"/>
      <c r="E57" s="149"/>
      <c r="F57" s="149"/>
      <c r="G57" s="149"/>
      <c r="H57" s="150"/>
      <c r="R57"/>
      <c r="S57" s="18"/>
      <c r="T57" t="s">
        <v>263</v>
      </c>
      <c r="U57" t="s">
        <v>272</v>
      </c>
      <c r="V57" s="18"/>
      <c r="W57" s="18"/>
      <c r="X57" s="18"/>
    </row>
    <row r="58" spans="1:24" s="20" customFormat="1" ht="15.75" customHeight="1" x14ac:dyDescent="0.35">
      <c r="A58" s="176" t="s">
        <v>280</v>
      </c>
      <c r="B58" s="178"/>
      <c r="C58" s="171" t="s">
        <v>318</v>
      </c>
      <c r="D58" s="172"/>
      <c r="E58" s="173"/>
      <c r="F58" s="67" t="s">
        <v>40</v>
      </c>
      <c r="G58" s="188">
        <v>45027</v>
      </c>
      <c r="H58" s="173"/>
      <c r="R58"/>
      <c r="S58" s="18"/>
      <c r="T58" t="s">
        <v>264</v>
      </c>
      <c r="U58" s="18" t="s">
        <v>295</v>
      </c>
      <c r="V58" s="18"/>
      <c r="W58" s="18"/>
      <c r="X58" s="18"/>
    </row>
    <row r="59" spans="1:24" s="20" customFormat="1" ht="48.75" customHeight="1" x14ac:dyDescent="0.35">
      <c r="A59" s="186"/>
      <c r="B59" s="187"/>
      <c r="C59" s="171" t="s">
        <v>319</v>
      </c>
      <c r="D59" s="172"/>
      <c r="E59" s="172"/>
      <c r="F59" s="172"/>
      <c r="G59" s="172"/>
      <c r="H59" s="173"/>
      <c r="R59"/>
      <c r="S59" s="18"/>
      <c r="T59" t="s">
        <v>265</v>
      </c>
      <c r="U59" s="18"/>
      <c r="V59" s="18"/>
      <c r="W59" s="18"/>
      <c r="X59" s="18"/>
    </row>
    <row r="60" spans="1:24" ht="36" hidden="1" customHeight="1" x14ac:dyDescent="0.35">
      <c r="A60" s="122" t="s">
        <v>281</v>
      </c>
      <c r="B60" s="123"/>
      <c r="C60" s="112" t="str">
        <f>C59</f>
        <v>Plot B-36
Proposed Builtup Area = 43042.58 Sq.M
No. of Floor  = 2B + Gr + P1 to P6 + 1st to 15(Pt) Floor</v>
      </c>
      <c r="D60" s="113"/>
      <c r="E60" s="114"/>
      <c r="F60" s="17" t="s">
        <v>40</v>
      </c>
      <c r="G60" s="112">
        <f>G59</f>
        <v>0</v>
      </c>
      <c r="H60" s="114"/>
      <c r="R60"/>
      <c r="T60" t="s">
        <v>267</v>
      </c>
    </row>
    <row r="61" spans="1:24" ht="31" hidden="1" x14ac:dyDescent="0.35">
      <c r="A61" s="124"/>
      <c r="B61" s="125"/>
      <c r="C61" s="126"/>
      <c r="D61" s="126"/>
      <c r="E61" s="126"/>
      <c r="F61" s="17" t="s">
        <v>120</v>
      </c>
      <c r="G61" s="126"/>
      <c r="H61" s="126"/>
      <c r="T61" t="s">
        <v>276</v>
      </c>
    </row>
    <row r="62" spans="1:24" x14ac:dyDescent="0.35">
      <c r="A62" s="225" t="s">
        <v>42</v>
      </c>
      <c r="B62" s="226"/>
      <c r="C62" s="225" t="s">
        <v>101</v>
      </c>
      <c r="D62" s="227"/>
      <c r="E62" s="226"/>
      <c r="F62" s="40" t="s">
        <v>40</v>
      </c>
      <c r="G62" s="203" t="s">
        <v>28</v>
      </c>
      <c r="H62" s="204"/>
      <c r="R62"/>
    </row>
    <row r="63" spans="1:24" x14ac:dyDescent="0.35">
      <c r="A63" s="202" t="s">
        <v>44</v>
      </c>
      <c r="B63" s="202"/>
      <c r="C63" s="202"/>
      <c r="D63" s="202"/>
      <c r="E63" s="202"/>
      <c r="F63" s="202"/>
      <c r="G63" s="202"/>
      <c r="H63" s="202"/>
      <c r="I63" s="21"/>
      <c r="R63"/>
    </row>
    <row r="64" spans="1:24" x14ac:dyDescent="0.35">
      <c r="A64" s="126" t="s">
        <v>87</v>
      </c>
      <c r="B64" s="126"/>
      <c r="C64" s="126"/>
      <c r="D64" s="120">
        <f>E46</f>
        <v>34722.730000000003</v>
      </c>
      <c r="E64" s="120"/>
      <c r="F64" s="120"/>
      <c r="G64" s="120"/>
      <c r="H64" s="120"/>
      <c r="R64"/>
    </row>
    <row r="65" spans="1:19" ht="67.5" customHeight="1" x14ac:dyDescent="0.35">
      <c r="A65" s="154" t="s">
        <v>45</v>
      </c>
      <c r="B65" s="153"/>
      <c r="C65" s="153"/>
      <c r="D65" s="154" t="s">
        <v>362</v>
      </c>
      <c r="E65" s="154"/>
      <c r="F65" s="154"/>
      <c r="G65" s="154"/>
      <c r="H65" s="154"/>
      <c r="I65" s="18">
        <f>251+90+8+1+2</f>
        <v>352</v>
      </c>
      <c r="R65"/>
    </row>
    <row r="66" spans="1:19" x14ac:dyDescent="0.35">
      <c r="A66" s="176" t="s">
        <v>46</v>
      </c>
      <c r="B66" s="177"/>
      <c r="C66" s="178"/>
      <c r="D66" s="140" t="s">
        <v>352</v>
      </c>
      <c r="E66" s="155"/>
      <c r="F66" s="155"/>
      <c r="G66" s="155"/>
      <c r="H66" s="155"/>
      <c r="J66" s="22"/>
      <c r="K66" s="21"/>
      <c r="N66" s="21"/>
      <c r="S66"/>
    </row>
    <row r="67" spans="1:19" ht="15.65" customHeight="1" x14ac:dyDescent="0.35">
      <c r="A67" s="176" t="s">
        <v>85</v>
      </c>
      <c r="B67" s="177"/>
      <c r="C67" s="177"/>
      <c r="D67" s="140" t="s">
        <v>352</v>
      </c>
      <c r="E67" s="155"/>
      <c r="F67" s="155"/>
      <c r="G67" s="155"/>
      <c r="H67" s="155"/>
      <c r="N67" s="21"/>
      <c r="S67"/>
    </row>
    <row r="68" spans="1:19" ht="15.75" customHeight="1" x14ac:dyDescent="0.35">
      <c r="A68" s="120" t="s">
        <v>43</v>
      </c>
      <c r="B68" s="120"/>
      <c r="C68" s="120"/>
      <c r="D68" s="126" t="s">
        <v>309</v>
      </c>
      <c r="E68" s="126"/>
      <c r="F68" s="126"/>
      <c r="G68" s="126"/>
      <c r="H68" s="126"/>
      <c r="J68" s="23"/>
      <c r="K68" s="23"/>
      <c r="S68"/>
    </row>
    <row r="69" spans="1:19" x14ac:dyDescent="0.35">
      <c r="A69" s="120" t="s">
        <v>83</v>
      </c>
      <c r="B69" s="120"/>
      <c r="C69" s="120"/>
      <c r="D69" s="184" t="str">
        <f>(IF(G62="NA","60 Years After Completion",IF(G62&lt;&gt;"NA",""&amp;60-ROUNDDOWN((E3-G62)/360,0)&amp;" Years"," ")))</f>
        <v>60 Years After Completion</v>
      </c>
      <c r="E69" s="184"/>
      <c r="F69" s="184"/>
      <c r="G69" s="184"/>
      <c r="H69" s="184"/>
      <c r="S69"/>
    </row>
    <row r="70" spans="1:19" x14ac:dyDescent="0.35">
      <c r="A70" s="120" t="s">
        <v>84</v>
      </c>
      <c r="B70" s="120"/>
      <c r="C70" s="120"/>
      <c r="D70" s="126" t="s">
        <v>23</v>
      </c>
      <c r="E70" s="126"/>
      <c r="F70" s="126"/>
      <c r="G70" s="126"/>
      <c r="H70" s="126"/>
      <c r="I70" s="24"/>
      <c r="J70" s="24"/>
      <c r="K70" s="24"/>
      <c r="L70" s="24"/>
      <c r="M70" s="24"/>
      <c r="N70" s="24"/>
    </row>
    <row r="71" spans="1:19" ht="80.150000000000006" customHeight="1" x14ac:dyDescent="0.35">
      <c r="A71" s="153" t="s">
        <v>316</v>
      </c>
      <c r="B71" s="153"/>
      <c r="C71" s="153"/>
      <c r="D71" s="154" t="s">
        <v>317</v>
      </c>
      <c r="E71" s="154"/>
      <c r="F71" s="154"/>
      <c r="G71" s="154"/>
      <c r="H71" s="154"/>
      <c r="J71" s="23"/>
      <c r="S71"/>
    </row>
    <row r="72" spans="1:19" x14ac:dyDescent="0.35">
      <c r="A72" s="126" t="s">
        <v>149</v>
      </c>
      <c r="B72" s="126"/>
      <c r="C72" s="126"/>
      <c r="D72" s="126" t="s">
        <v>28</v>
      </c>
      <c r="E72" s="126"/>
      <c r="F72" s="126"/>
      <c r="G72" s="126"/>
      <c r="H72" s="126"/>
      <c r="S72"/>
    </row>
    <row r="73" spans="1:19" ht="15.75" customHeight="1" x14ac:dyDescent="0.35">
      <c r="A73" s="228" t="s">
        <v>82</v>
      </c>
      <c r="B73" s="228"/>
      <c r="C73" s="228"/>
      <c r="D73" s="140" t="str">
        <f ca="1">(IF(G79&gt;95%,"Nothing",IF(G79&gt;0%,"Cement, Aggregate, Steel, etc",IF(G79=0%,"Work not yet Started"))))</f>
        <v>Cement, Aggregate, Steel, etc</v>
      </c>
      <c r="E73" s="140"/>
      <c r="F73" s="140"/>
      <c r="G73" s="140"/>
      <c r="H73" s="140"/>
      <c r="S73"/>
    </row>
    <row r="74" spans="1:19" ht="16" thickBot="1" x14ac:dyDescent="0.4">
      <c r="A74" s="185" t="s">
        <v>114</v>
      </c>
      <c r="B74" s="185"/>
      <c r="C74" s="185"/>
      <c r="D74" s="140" t="str">
        <f ca="1">(IF(D73="Nothing","Yes",IF(D73="Cement, Aggregate, Steel, etc","Under Construction",IF(D73="Work not yet Started","Work not yet Started"))))</f>
        <v>Under Construction</v>
      </c>
      <c r="E74" s="140"/>
      <c r="F74" s="140" t="str">
        <f ca="1">(IF(D73="Nothing","Yes",IF(D73="Cement, Aggregate, Steel, etc","Under Construction",IF(D73="Work not yet Started","Work not yet Started"))))</f>
        <v>Under Construction</v>
      </c>
      <c r="G74" s="140"/>
      <c r="H74" s="140"/>
      <c r="S74"/>
    </row>
    <row r="75" spans="1:19" x14ac:dyDescent="0.35">
      <c r="A75" s="132" t="s">
        <v>139</v>
      </c>
      <c r="B75" s="133"/>
      <c r="C75" s="134" t="str">
        <f>D67</f>
        <v>IT Building = 3B + Gr/Stilt + P1 to P6 + 1st to 26th Floor</v>
      </c>
      <c r="D75" s="135"/>
      <c r="E75" s="135"/>
      <c r="F75" s="135"/>
      <c r="G75" s="135"/>
      <c r="H75" s="136"/>
      <c r="I75" s="42" t="str">
        <f ca="1">IF(D88=100%,"All work Completed. Possession granted to the Building.",IF(D87=100%,"All work Completed, Waiting for OC",I76&amp;""&amp;I77&amp;""&amp;J76&amp;""&amp;J75&amp;" "&amp;J77))</f>
        <v>Excavation, Plinth Completed, RCC upto 20 Slab, Brickwork upto 6 Floor Completed</v>
      </c>
      <c r="J75" s="43" t="str">
        <f ca="1">(IF(C81=(D76+F76+H76),"",IF(C81&gt;0,", RCC upto "&amp;C81&amp;" Slab","")))&amp;(IF(C82=H76,"",IF(C82&gt;0,", Brickwork upto "&amp;C82&amp;" Floor","")))&amp;(IF(C83=H76,"",IF(C83&gt;0,", Internal Plaster upto "&amp;C83&amp;" Floor","")))&amp;(IF(C84=H76,"",IF(C84&gt;0,", External Plaster upto "&amp;C84&amp;" Floor","")))&amp;(IF(C85=H76,"",IF(C85&gt;0,", Flooring upto "&amp;C85&amp;" Floor","")))&amp;(IF(C86=H76,"",IF(C86&gt;0,", Painting upto "&amp;C86&amp;" Floor","")))&amp;(IF(C87=H76,"",IF(C87&gt;0,", Finishing upto "&amp;C87&amp;" Floor","")))&amp;(IF(C88=H76,"",IF(C88&gt;0,", Possession upto "&amp;C88&amp;" Floor","")))</f>
        <v>, RCC upto 20 Slab, Brickwork upto 6 Floor</v>
      </c>
      <c r="S75"/>
    </row>
    <row r="76" spans="1:19" ht="15.75" customHeight="1" x14ac:dyDescent="0.35">
      <c r="A76" s="15" t="s">
        <v>141</v>
      </c>
      <c r="B76" s="46">
        <f>IF(AND(ISNUMBER(SEARCH("1B",C75))),1,IF(AND(ISNUMBER(SEARCH("2B",C75))),2,IF(AND(ISNUMBER(SEARCH("3B",C75))),3,IF(AND(ISNUMBER(SEARCH("4B",C75))),4,IF(ISNUMBER(SEARCH("5B",C75)),5,0)))))</f>
        <v>3</v>
      </c>
      <c r="C76" s="46" t="s">
        <v>68</v>
      </c>
      <c r="D76" s="46">
        <v>1</v>
      </c>
      <c r="E76" s="46" t="s">
        <v>67</v>
      </c>
      <c r="F76" s="46">
        <v>6</v>
      </c>
      <c r="G76" s="46" t="s">
        <v>76</v>
      </c>
      <c r="H76" s="16">
        <f ca="1">--TRIM(RIGHT(SUBSTITUTE(LEFT(C75,_xlfn.AGGREGATE(16,6,FIND({0,1,2,3,4,5,6,7,8,9},C75,ROW(INDIRECT("1:"&amp;LEN(C75)))),1))," ",REPT(" ",LEN(C75))),LEN(C75)))</f>
        <v>26</v>
      </c>
      <c r="I76" s="44" t="str">
        <f ca="1">IF(D79=100%,"Excavation","")&amp;IF(D80=100%,", Plinth","")&amp;IF(D81=100%,", RCC Slab","")&amp;IF(D82=100%,", Brickwork","")&amp;IF(D83=100%,", Internal Plaster","")&amp;IF(D84=100%,", External Plaster","")&amp;IF(D85=100%,", Flooring","")&amp;IF(D86=100%,", Painting","")&amp;IF(D87=100%,", Building common Amenities","")</f>
        <v>Excavation, Plinth</v>
      </c>
      <c r="J76" s="45" t="str">
        <f ca="1">(IF(C79=0,"Work not yet Started.",IF(D79=25%,"Piling work in process",IF(D79=50%,"Excavation work in process",IF(D79=100%,"","0")))))&amp;(IF(C80=0%,"",IF(C80=J81,", Footing work is process",IF(C80=J82,", Footing work Completed",IF(C80=J83,", 1st Basement Completed",IF(C80=J84,", 1st &amp; 2nd Basement Completed",IF(C80=J85,", 1st to 3rd Basement Completed",IF(C80=J86,", 1st to 4th Basement Completed",IF(C80=J87,", Plinth work is process",IF(C80=J88,"","0"))))))))))</f>
        <v/>
      </c>
      <c r="S76"/>
    </row>
    <row r="77" spans="1:19" ht="31.5" customHeight="1" x14ac:dyDescent="0.35">
      <c r="A77" s="130" t="s">
        <v>86</v>
      </c>
      <c r="B77" s="131"/>
      <c r="C77" s="151" t="str">
        <f ca="1">I75</f>
        <v>Excavation, Plinth Completed, RCC upto 20 Slab, Brickwork upto 6 Floor Completed</v>
      </c>
      <c r="D77" s="151"/>
      <c r="E77" s="151"/>
      <c r="F77" s="151"/>
      <c r="G77" s="151"/>
      <c r="H77" s="152"/>
      <c r="I77" s="44" t="str">
        <f ca="1">IF(I76&lt;&gt;""," Completed","")</f>
        <v xml:space="preserve"> Completed</v>
      </c>
      <c r="J77" s="45" t="str">
        <f ca="1">IF(J75&lt;&gt;"","Completed","")</f>
        <v>Completed</v>
      </c>
    </row>
    <row r="78" spans="1:19" x14ac:dyDescent="0.35">
      <c r="A78" s="110" t="s">
        <v>47</v>
      </c>
      <c r="B78" s="111"/>
      <c r="C78" s="85" t="s">
        <v>138</v>
      </c>
      <c r="D78" s="85" t="s">
        <v>79</v>
      </c>
      <c r="E78" s="111" t="s">
        <v>81</v>
      </c>
      <c r="F78" s="111"/>
      <c r="G78" s="111" t="s">
        <v>80</v>
      </c>
      <c r="H78" s="145"/>
      <c r="I78" s="13" t="s">
        <v>140</v>
      </c>
      <c r="J78" s="25">
        <f ca="1">H76*25%</f>
        <v>6.5</v>
      </c>
      <c r="S78"/>
    </row>
    <row r="79" spans="1:19" ht="15.75" customHeight="1" x14ac:dyDescent="0.35">
      <c r="A79" s="110" t="s">
        <v>127</v>
      </c>
      <c r="B79" s="111"/>
      <c r="C79" s="85">
        <f ca="1">J80</f>
        <v>26</v>
      </c>
      <c r="D79" s="69">
        <f ca="1">((100/H76)*C79)/100</f>
        <v>1</v>
      </c>
      <c r="E79" s="104">
        <f ca="1">(((C80/H76*10)+(40/(D76+F76+H76)*C81)+(7.5/(H76)*C82)+(7.5/(H76)*C83)+(10/H76*C84)+(10/H76*C85)+(5/H76*C86)+(5/H76*C87)+(5/H76*C88))/100)</f>
        <v>0.35973193473193477</v>
      </c>
      <c r="F79" s="137"/>
      <c r="G79" s="104">
        <f ca="1">((((C79/H76)*20)+((C80/H76)*25)+(30/(H76+F76+D76)*C81)+(5/H76*C82)+(5/H76*C83)+(5/H76*C84)+(5/H76*C85)+(0/H76*C86)+(0/H76*C87)+(5/H76*C88))/100)</f>
        <v>0.64335664335664344</v>
      </c>
      <c r="H79" s="105"/>
      <c r="I79" s="13" t="s">
        <v>96</v>
      </c>
      <c r="J79" s="26">
        <f ca="1">H76*50%</f>
        <v>13</v>
      </c>
      <c r="S79"/>
    </row>
    <row r="80" spans="1:19" ht="15.75" customHeight="1" x14ac:dyDescent="0.35">
      <c r="A80" s="110" t="s">
        <v>48</v>
      </c>
      <c r="B80" s="111"/>
      <c r="C80" s="70">
        <f ca="1">J88</f>
        <v>26.000000000000004</v>
      </c>
      <c r="D80" s="69">
        <f ca="1">((100/H76)*C80)/100</f>
        <v>1.0000000000000002</v>
      </c>
      <c r="E80" s="106"/>
      <c r="F80" s="138"/>
      <c r="G80" s="106"/>
      <c r="H80" s="107"/>
      <c r="I80" s="13" t="s">
        <v>97</v>
      </c>
      <c r="J80" s="26">
        <f ca="1">H76</f>
        <v>26</v>
      </c>
    </row>
    <row r="81" spans="1:22" ht="15.75" customHeight="1" x14ac:dyDescent="0.35">
      <c r="A81" s="110" t="s">
        <v>128</v>
      </c>
      <c r="B81" s="111"/>
      <c r="C81" s="85">
        <f>F76+14</f>
        <v>20</v>
      </c>
      <c r="D81" s="69">
        <f ca="1">((100/(D76+F76+H76))*C81)/100</f>
        <v>0.60606060606060608</v>
      </c>
      <c r="E81" s="106"/>
      <c r="F81" s="138"/>
      <c r="G81" s="106"/>
      <c r="H81" s="107"/>
      <c r="I81" s="13" t="s">
        <v>98</v>
      </c>
      <c r="J81" s="27">
        <f ca="1">(IF(B76&gt;1,(H76/(B76+2)),H76/4))</f>
        <v>5.2</v>
      </c>
    </row>
    <row r="82" spans="1:22" ht="15" customHeight="1" x14ac:dyDescent="0.35">
      <c r="A82" s="110" t="s">
        <v>135</v>
      </c>
      <c r="B82" s="111" t="s">
        <v>129</v>
      </c>
      <c r="C82" s="85">
        <v>6</v>
      </c>
      <c r="D82" s="69">
        <f ca="1">((100/H76)*C82)/100</f>
        <v>0.23076923076923075</v>
      </c>
      <c r="E82" s="106"/>
      <c r="F82" s="138"/>
      <c r="G82" s="106"/>
      <c r="H82" s="107"/>
      <c r="I82" s="13" t="s">
        <v>99</v>
      </c>
      <c r="J82" s="27">
        <f ca="1">(IF(B76&gt;1,(H76/(B76+2)+J81),H76/4+J81))</f>
        <v>10.4</v>
      </c>
    </row>
    <row r="83" spans="1:22" ht="15.75" customHeight="1" x14ac:dyDescent="0.35">
      <c r="A83" s="110" t="s">
        <v>136</v>
      </c>
      <c r="B83" s="111" t="s">
        <v>129</v>
      </c>
      <c r="C83" s="85">
        <v>0</v>
      </c>
      <c r="D83" s="69">
        <f ca="1">((100/H76)*C83)/100</f>
        <v>0</v>
      </c>
      <c r="E83" s="106"/>
      <c r="F83" s="138"/>
      <c r="G83" s="106"/>
      <c r="H83" s="107"/>
      <c r="I83" s="13" t="s">
        <v>147</v>
      </c>
      <c r="J83" s="27">
        <f ca="1">(IF(B76&gt;1,(H76/(B76+2)+J82),0))</f>
        <v>15.600000000000001</v>
      </c>
    </row>
    <row r="84" spans="1:22" ht="15.75" customHeight="1" x14ac:dyDescent="0.35">
      <c r="A84" s="110" t="s">
        <v>134</v>
      </c>
      <c r="B84" s="111" t="s">
        <v>131</v>
      </c>
      <c r="C84" s="85">
        <v>0</v>
      </c>
      <c r="D84" s="69">
        <f ca="1">((100/(H76))*C84)/100</f>
        <v>0</v>
      </c>
      <c r="E84" s="106"/>
      <c r="F84" s="138"/>
      <c r="G84" s="106"/>
      <c r="H84" s="107"/>
      <c r="I84" s="13" t="s">
        <v>142</v>
      </c>
      <c r="J84" s="27">
        <f ca="1">(IF(B76&gt;2,(H76/(B76+2)+J83),0))</f>
        <v>20.8</v>
      </c>
    </row>
    <row r="85" spans="1:22" ht="15.75" customHeight="1" x14ac:dyDescent="0.35">
      <c r="A85" s="110" t="s">
        <v>130</v>
      </c>
      <c r="B85" s="111" t="s">
        <v>130</v>
      </c>
      <c r="C85" s="85">
        <v>0</v>
      </c>
      <c r="D85" s="69">
        <f ca="1">((100/H76)*C85)/100</f>
        <v>0</v>
      </c>
      <c r="E85" s="106"/>
      <c r="F85" s="138"/>
      <c r="G85" s="106"/>
      <c r="H85" s="107"/>
      <c r="I85" s="13" t="s">
        <v>143</v>
      </c>
      <c r="J85" s="28">
        <f>(IF(B76&gt;3,(H76/(B76+2)+J84),0))</f>
        <v>0</v>
      </c>
    </row>
    <row r="86" spans="1:22" x14ac:dyDescent="0.35">
      <c r="A86" s="110" t="s">
        <v>137</v>
      </c>
      <c r="B86" s="111"/>
      <c r="C86" s="85">
        <v>0</v>
      </c>
      <c r="D86" s="69">
        <f ca="1">((100/H76)*C86)/100</f>
        <v>0</v>
      </c>
      <c r="E86" s="106"/>
      <c r="F86" s="138"/>
      <c r="G86" s="106"/>
      <c r="H86" s="107"/>
      <c r="I86" s="13" t="s">
        <v>144</v>
      </c>
      <c r="J86" s="27">
        <f>(IF(B76&gt;4,(H76/(B76+2)+J85),0))</f>
        <v>0</v>
      </c>
    </row>
    <row r="87" spans="1:22" x14ac:dyDescent="0.35">
      <c r="A87" s="110" t="s">
        <v>132</v>
      </c>
      <c r="B87" s="111" t="s">
        <v>132</v>
      </c>
      <c r="C87" s="85">
        <v>0</v>
      </c>
      <c r="D87" s="69">
        <f ca="1">((100/(H76))*C87)/100</f>
        <v>0</v>
      </c>
      <c r="E87" s="106"/>
      <c r="F87" s="138"/>
      <c r="G87" s="106"/>
      <c r="H87" s="107"/>
      <c r="I87" s="13" t="s">
        <v>148</v>
      </c>
      <c r="J87" s="27">
        <f>(IF(B76=1,(H76/(B76+3)+J82),IF(B76=0,(H76/4+J82),IF(B76&gt;1,0))))</f>
        <v>0</v>
      </c>
      <c r="R87" t="s">
        <v>251</v>
      </c>
      <c r="S87" t="s">
        <v>172</v>
      </c>
      <c r="T87" t="s">
        <v>176</v>
      </c>
      <c r="U87" t="s">
        <v>191</v>
      </c>
      <c r="V87" t="s">
        <v>186</v>
      </c>
    </row>
    <row r="88" spans="1:22" ht="16" thickBot="1" x14ac:dyDescent="0.4">
      <c r="A88" s="156" t="s">
        <v>133</v>
      </c>
      <c r="B88" s="157"/>
      <c r="C88" s="71">
        <v>0</v>
      </c>
      <c r="D88" s="72">
        <f ca="1">((100/(H76))*C88)/100</f>
        <v>0</v>
      </c>
      <c r="E88" s="108"/>
      <c r="F88" s="139"/>
      <c r="G88" s="108"/>
      <c r="H88" s="109"/>
      <c r="I88" s="14" t="s">
        <v>100</v>
      </c>
      <c r="J88" s="29">
        <f ca="1">(IF(B76&gt;1.5,(H76/(B76+2)+J82+MAX(0,J83-J82)+MAX(0,J84-J83)+MAX(0,J85-J84)+MAX(0,J86-J85)+MAX(0,J87-J86)),IF(B76=1,(H76/(B76+3)+J87),IF(B76=0,H76/4+J87))))</f>
        <v>26.000000000000004</v>
      </c>
      <c r="R88"/>
      <c r="S88">
        <v>800000</v>
      </c>
      <c r="T88">
        <v>300000</v>
      </c>
      <c r="U88">
        <v>100000</v>
      </c>
      <c r="V88">
        <v>100000</v>
      </c>
    </row>
    <row r="89" spans="1:22" hidden="1" x14ac:dyDescent="0.35">
      <c r="A89" s="174" t="s">
        <v>139</v>
      </c>
      <c r="B89" s="175"/>
      <c r="C89" s="134" t="s">
        <v>325</v>
      </c>
      <c r="D89" s="135"/>
      <c r="E89" s="135"/>
      <c r="F89" s="135"/>
      <c r="G89" s="135"/>
      <c r="H89" s="136"/>
      <c r="I89" s="42" t="str">
        <f ca="1">IF(D102=100%,"All work Completed. Possession granted to the Building.",IF(D101=100%,"All work Completed, Waiting for OC",I90&amp;""&amp;I91&amp;""&amp;J90&amp;""&amp;J89&amp;" "&amp;J91))</f>
        <v xml:space="preserve">Excavation Completed, Footing work Completed </v>
      </c>
      <c r="J89" s="43" t="str">
        <f ca="1">(IF(C95=(D90+F90+H90),"",IF(C95&gt;0,", RCC upto "&amp;C95&amp;" Slab","")))&amp;(IF(C96=H90,"",IF(C96&gt;0,", Brickwork upto "&amp;C96&amp;" Floor","")))&amp;(IF(C97=H90,"",IF(C97&gt;0,", Internal Plaster upto "&amp;C97&amp;" Floor","")))&amp;(IF(C98=H90,"",IF(C98&gt;0,", External Plaster upto "&amp;C98&amp;" Floor","")))&amp;(IF(C99=H90,"",IF(C99&gt;0,", Flooring upto "&amp;C99&amp;" Floor","")))&amp;(IF(C100=H90,"",IF(C100&gt;0,", Painting upto "&amp;C100&amp;" Floor","")))&amp;(IF(C101=H90,"",IF(C101&gt;0,", Finishing upto "&amp;C101&amp;" Floor","")))&amp;(IF(C102=H90,"",IF(C102&gt;0,", Possession upto "&amp;C102&amp;" Floor","")))</f>
        <v/>
      </c>
      <c r="R89"/>
      <c r="S89">
        <v>900000</v>
      </c>
      <c r="T89">
        <v>350000</v>
      </c>
      <c r="U89">
        <v>150000</v>
      </c>
      <c r="V89">
        <v>150000</v>
      </c>
    </row>
    <row r="90" spans="1:22" hidden="1" x14ac:dyDescent="0.35">
      <c r="A90" s="15" t="s">
        <v>141</v>
      </c>
      <c r="B90" s="46">
        <f>IF(AND(ISNUMBER(SEARCH("1B",C89))),1,IF(AND(ISNUMBER(SEARCH("2B",C89))),2,IF(AND(ISNUMBER(SEARCH("3B",C89))),3,IF(AND(ISNUMBER(SEARCH("4B",C89))),4,IF(ISNUMBER(SEARCH("5B",C89)),5,0)))))</f>
        <v>2</v>
      </c>
      <c r="C90" s="46" t="s">
        <v>68</v>
      </c>
      <c r="D90" s="46">
        <v>1</v>
      </c>
      <c r="E90" s="46" t="s">
        <v>67</v>
      </c>
      <c r="F90" s="46">
        <v>6</v>
      </c>
      <c r="G90" s="46" t="s">
        <v>76</v>
      </c>
      <c r="H90" s="16">
        <f ca="1">--TRIM(RIGHT(SUBSTITUTE(LEFT(C89,_xlfn.AGGREGATE(16,6,FIND({0,1,2,3,4,5,6,7,8,9},C89,ROW(INDIRECT("1:"&amp;LEN(C89)))),1))," ",REPT(" ",LEN(C89))),LEN(C89)))</f>
        <v>25</v>
      </c>
      <c r="I90" s="44" t="str">
        <f ca="1">IF(D93=100%,"Excavation","")&amp;IF(D94=100%,", Plinth","")&amp;IF(D95=100%,", RCC Slab","")&amp;IF(D96=100%,", Brickwork","")&amp;IF(D97=100%,", Internal Plaster","")&amp;IF(D98=100%,", External Plaster","")&amp;IF(D99=100%,", Flooring","")&amp;IF(D100=100%,", Painting","")&amp;IF(D101=100%,", Building common Amenities","")</f>
        <v>Excavation</v>
      </c>
      <c r="J90" s="45" t="str">
        <f ca="1">(IF(C93=0,"Work not yet Started.",IF(D93=25%,"Piling work in process",IF(D93=50%,"Excavation work in process",IF(D93=100%,"","0")))))&amp;(IF(C94=0%,"",IF(C94=J95,", Footing work is process",IF(C94=J96,", Footing work Completed",IF(C94=J97,", 1st Basement Completed",IF(C94=J98,", 1st &amp; 2nd Basement Completed",IF(C94=J99,", 1st to 3rd Basement Completed",IF(C94=J100,", 1st to 4th Basement Completed",IF(C94=J101,", Plinth work is process",IF(C94=J102,"","0"))))))))))</f>
        <v>, Footing work Completed</v>
      </c>
      <c r="R90"/>
      <c r="S90">
        <v>1000000</v>
      </c>
      <c r="T90">
        <v>400000</v>
      </c>
      <c r="U90">
        <v>200000</v>
      </c>
      <c r="V90">
        <v>200000</v>
      </c>
    </row>
    <row r="91" spans="1:22" s="30" customFormat="1" hidden="1" x14ac:dyDescent="0.35">
      <c r="A91" s="130" t="s">
        <v>86</v>
      </c>
      <c r="B91" s="131"/>
      <c r="C91" s="151" t="str">
        <f ca="1">I89</f>
        <v xml:space="preserve">Excavation Completed, Footing work Completed </v>
      </c>
      <c r="D91" s="151"/>
      <c r="E91" s="151"/>
      <c r="F91" s="151"/>
      <c r="G91" s="151"/>
      <c r="H91" s="152"/>
      <c r="I91" s="44" t="str">
        <f ca="1">IF(I90&lt;&gt;""," Completed","")</f>
        <v xml:space="preserve"> Completed</v>
      </c>
      <c r="J91" s="45" t="str">
        <f ca="1">IF(J89&lt;&gt;"","Completed","")</f>
        <v/>
      </c>
      <c r="R91"/>
      <c r="S91">
        <v>1100000</v>
      </c>
      <c r="T91">
        <v>500000</v>
      </c>
      <c r="U91">
        <v>250000</v>
      </c>
      <c r="V91" s="20">
        <v>250000</v>
      </c>
    </row>
    <row r="92" spans="1:22" s="30" customFormat="1" hidden="1" x14ac:dyDescent="0.35">
      <c r="A92" s="127" t="s">
        <v>47</v>
      </c>
      <c r="B92" s="128"/>
      <c r="C92" s="68" t="s">
        <v>138</v>
      </c>
      <c r="D92" s="68" t="s">
        <v>79</v>
      </c>
      <c r="E92" s="111" t="s">
        <v>81</v>
      </c>
      <c r="F92" s="111"/>
      <c r="G92" s="111" t="s">
        <v>80</v>
      </c>
      <c r="H92" s="145"/>
      <c r="I92" s="13" t="s">
        <v>140</v>
      </c>
      <c r="J92" s="25">
        <f ca="1">H90*25%</f>
        <v>6.25</v>
      </c>
      <c r="R92"/>
      <c r="S92">
        <v>1200000</v>
      </c>
      <c r="T92">
        <v>600000</v>
      </c>
      <c r="U92">
        <v>300000</v>
      </c>
      <c r="V92">
        <v>300000</v>
      </c>
    </row>
    <row r="93" spans="1:22" s="30" customFormat="1" hidden="1" x14ac:dyDescent="0.35">
      <c r="A93" s="127" t="s">
        <v>127</v>
      </c>
      <c r="B93" s="128"/>
      <c r="C93" s="68">
        <f ca="1">J94</f>
        <v>25</v>
      </c>
      <c r="D93" s="69">
        <f ca="1">((100/H90)*C93)/100</f>
        <v>1</v>
      </c>
      <c r="E93" s="104">
        <f ca="1">(((C94/H90*10)+(40/(D90+F90+H90)*C95)+(7.5/(H90)*C96)+(7.5/(H90)*C97)+(10/H90*C98)+(10/H90*C99)+(5/H90*C100)+(5/H90*C101)+(5/H90*C102))/100)</f>
        <v>0.05</v>
      </c>
      <c r="F93" s="137"/>
      <c r="G93" s="104">
        <f ca="1">((((C93/H90)*20)+((C94/H90)*25)+(30/(H90+F90+D90)*C95)+(5/H90*C96)+(5/H90*C97)+(5/H90*C98)+(5/H90*C99)+(0/H90*C100)+(0/H90*C101)+(5/H90*C102))/100)</f>
        <v>0.32500000000000001</v>
      </c>
      <c r="H93" s="105"/>
      <c r="I93" s="13" t="s">
        <v>96</v>
      </c>
      <c r="J93" s="26">
        <f ca="1">H90*50%</f>
        <v>12.5</v>
      </c>
      <c r="R93"/>
      <c r="S93">
        <v>1300000</v>
      </c>
      <c r="T93">
        <v>700000</v>
      </c>
      <c r="U93">
        <v>350000</v>
      </c>
      <c r="V93" s="20">
        <v>400000</v>
      </c>
    </row>
    <row r="94" spans="1:22" s="30" customFormat="1" hidden="1" x14ac:dyDescent="0.35">
      <c r="A94" s="127" t="s">
        <v>48</v>
      </c>
      <c r="B94" s="128"/>
      <c r="C94" s="70">
        <f ca="1">J96</f>
        <v>12.5</v>
      </c>
      <c r="D94" s="69">
        <f ca="1">((100/H90)*C94)/100</f>
        <v>0.5</v>
      </c>
      <c r="E94" s="106"/>
      <c r="F94" s="138"/>
      <c r="G94" s="106"/>
      <c r="H94" s="107"/>
      <c r="I94" s="13" t="s">
        <v>97</v>
      </c>
      <c r="J94" s="26">
        <f ca="1">H90</f>
        <v>25</v>
      </c>
      <c r="R94"/>
      <c r="S94">
        <v>1400000</v>
      </c>
      <c r="T94">
        <v>800000</v>
      </c>
      <c r="U94">
        <v>400000</v>
      </c>
      <c r="V94"/>
    </row>
    <row r="95" spans="1:22" s="30" customFormat="1" hidden="1" x14ac:dyDescent="0.35">
      <c r="A95" s="127" t="s">
        <v>128</v>
      </c>
      <c r="B95" s="128"/>
      <c r="C95" s="68">
        <v>0</v>
      </c>
      <c r="D95" s="69">
        <f ca="1">((100/(D90+F90+H90))*C95)/100</f>
        <v>0</v>
      </c>
      <c r="E95" s="106"/>
      <c r="F95" s="138"/>
      <c r="G95" s="106"/>
      <c r="H95" s="107"/>
      <c r="I95" s="13" t="s">
        <v>98</v>
      </c>
      <c r="J95" s="27">
        <f ca="1">(IF(B90&gt;1,(H90/(B90+2)),H90/4))</f>
        <v>6.25</v>
      </c>
      <c r="R95"/>
      <c r="S95">
        <v>1500000</v>
      </c>
      <c r="T95">
        <v>900000</v>
      </c>
      <c r="U95">
        <v>500000</v>
      </c>
      <c r="V95" s="20"/>
    </row>
    <row r="96" spans="1:22" s="30" customFormat="1" hidden="1" x14ac:dyDescent="0.35">
      <c r="A96" s="127" t="s">
        <v>135</v>
      </c>
      <c r="B96" s="128" t="s">
        <v>129</v>
      </c>
      <c r="C96" s="68">
        <v>0</v>
      </c>
      <c r="D96" s="69">
        <f ca="1">((100/H90)*C96)/100</f>
        <v>0</v>
      </c>
      <c r="E96" s="106"/>
      <c r="F96" s="138"/>
      <c r="G96" s="106"/>
      <c r="H96" s="107"/>
      <c r="I96" s="13" t="s">
        <v>99</v>
      </c>
      <c r="J96" s="27">
        <f ca="1">(IF(B90&gt;1,(H90/(B90+2)+J95),H90/4+J95))</f>
        <v>12.5</v>
      </c>
      <c r="R96"/>
      <c r="S96">
        <v>1600000</v>
      </c>
      <c r="T96">
        <v>1000000</v>
      </c>
      <c r="U96">
        <v>600000</v>
      </c>
      <c r="V96"/>
    </row>
    <row r="97" spans="1:22" s="30" customFormat="1" hidden="1" x14ac:dyDescent="0.35">
      <c r="A97" s="127" t="s">
        <v>136</v>
      </c>
      <c r="B97" s="128" t="s">
        <v>129</v>
      </c>
      <c r="C97" s="68">
        <v>0</v>
      </c>
      <c r="D97" s="69">
        <f ca="1">((100/H90)*C97)/100</f>
        <v>0</v>
      </c>
      <c r="E97" s="106"/>
      <c r="F97" s="138"/>
      <c r="G97" s="106"/>
      <c r="H97" s="107"/>
      <c r="I97" s="13" t="s">
        <v>147</v>
      </c>
      <c r="J97" s="27">
        <f ca="1">(IF(B90&gt;1,(H90/(B90+2)+J96),0))</f>
        <v>18.75</v>
      </c>
      <c r="R97"/>
      <c r="S97">
        <v>1700000</v>
      </c>
      <c r="T97"/>
      <c r="U97"/>
      <c r="V97" s="20"/>
    </row>
    <row r="98" spans="1:22" hidden="1" x14ac:dyDescent="0.35">
      <c r="A98" s="127" t="s">
        <v>134</v>
      </c>
      <c r="B98" s="128" t="s">
        <v>131</v>
      </c>
      <c r="C98" s="68">
        <v>0</v>
      </c>
      <c r="D98" s="69">
        <f ca="1">((100/(H90))*C98)/100</f>
        <v>0</v>
      </c>
      <c r="E98" s="106"/>
      <c r="F98" s="138"/>
      <c r="G98" s="106"/>
      <c r="H98" s="107"/>
      <c r="I98" s="13" t="s">
        <v>142</v>
      </c>
      <c r="J98" s="27">
        <f>(IF(B90&gt;2,(H90/(B90+2)+J97),0))</f>
        <v>0</v>
      </c>
      <c r="R98"/>
      <c r="S98">
        <v>1800000</v>
      </c>
      <c r="T98"/>
      <c r="U98"/>
    </row>
    <row r="99" spans="1:22" s="31" customFormat="1" hidden="1" x14ac:dyDescent="0.35">
      <c r="A99" s="127" t="s">
        <v>130</v>
      </c>
      <c r="B99" s="128" t="s">
        <v>130</v>
      </c>
      <c r="C99" s="68">
        <v>0</v>
      </c>
      <c r="D99" s="69">
        <f ca="1">((100/H90)*C99)/100</f>
        <v>0</v>
      </c>
      <c r="E99" s="106"/>
      <c r="F99" s="138"/>
      <c r="G99" s="106"/>
      <c r="H99" s="107"/>
      <c r="I99" s="13" t="s">
        <v>143</v>
      </c>
      <c r="J99" s="28">
        <f>(IF(B90&gt;3,(H90/(B90+2)+J98),0))</f>
        <v>0</v>
      </c>
      <c r="R99" s="18"/>
      <c r="S99" s="18"/>
      <c r="T99"/>
      <c r="U99"/>
      <c r="V99" s="18"/>
    </row>
    <row r="100" spans="1:22" s="32" customFormat="1" ht="15.75" hidden="1" customHeight="1" x14ac:dyDescent="0.35">
      <c r="A100" s="127" t="s">
        <v>137</v>
      </c>
      <c r="B100" s="128"/>
      <c r="C100" s="68">
        <v>0</v>
      </c>
      <c r="D100" s="69">
        <f ca="1">((100/H90)*C100)/100</f>
        <v>0</v>
      </c>
      <c r="E100" s="106"/>
      <c r="F100" s="138"/>
      <c r="G100" s="106"/>
      <c r="H100" s="107"/>
      <c r="I100" s="13" t="s">
        <v>144</v>
      </c>
      <c r="J100" s="27">
        <f>(IF(B90&gt;4,(H90/(B90+2)+J99),0))</f>
        <v>0</v>
      </c>
      <c r="R100"/>
      <c r="S100" s="18"/>
      <c r="T100"/>
      <c r="U100"/>
      <c r="V100" s="18"/>
    </row>
    <row r="101" spans="1:22" s="32" customFormat="1" ht="15.75" hidden="1" customHeight="1" x14ac:dyDescent="0.35">
      <c r="A101" s="127" t="s">
        <v>132</v>
      </c>
      <c r="B101" s="128" t="s">
        <v>132</v>
      </c>
      <c r="C101" s="68">
        <v>0</v>
      </c>
      <c r="D101" s="69">
        <f ca="1">((100/(H90))*C101)/100</f>
        <v>0</v>
      </c>
      <c r="E101" s="106"/>
      <c r="F101" s="138"/>
      <c r="G101" s="106"/>
      <c r="H101" s="107"/>
      <c r="I101" s="13" t="s">
        <v>148</v>
      </c>
      <c r="J101" s="27">
        <f>(IF(B90=1,(H90/(B90+3)+J96),IF(B90=0,(H90/4+J96),IF(B90&gt;1,0))))</f>
        <v>0</v>
      </c>
      <c r="R101"/>
      <c r="S101" s="18"/>
      <c r="T101"/>
      <c r="U101" s="18"/>
      <c r="V101" s="18"/>
    </row>
    <row r="102" spans="1:22" s="32" customFormat="1" ht="16" hidden="1" thickBot="1" x14ac:dyDescent="0.4">
      <c r="A102" s="179" t="s">
        <v>133</v>
      </c>
      <c r="B102" s="180"/>
      <c r="C102" s="71">
        <v>0</v>
      </c>
      <c r="D102" s="72">
        <f ca="1">((100/(H90))*C102)/100</f>
        <v>0</v>
      </c>
      <c r="E102" s="108"/>
      <c r="F102" s="139"/>
      <c r="G102" s="108"/>
      <c r="H102" s="109"/>
      <c r="I102" s="14" t="s">
        <v>100</v>
      </c>
      <c r="J102" s="29">
        <f ca="1">(IF(B90&gt;1.5,(H90/(B90+2)+J96+MAX(0,J97-J96)+MAX(0,J98-J97)+MAX(0,J99-J98)+MAX(0,J100-J99)+MAX(0,J101-J100)),IF(B90=1,(H90/(B90+3)+J101),IF(B90=0,H90/4+J101))))</f>
        <v>25</v>
      </c>
      <c r="R102"/>
      <c r="S102" s="18"/>
      <c r="T102"/>
      <c r="U102" s="18"/>
      <c r="V102" s="18"/>
    </row>
    <row r="103" spans="1:22" s="32" customFormat="1" x14ac:dyDescent="0.35">
      <c r="A103" s="162" t="s">
        <v>158</v>
      </c>
      <c r="B103" s="162"/>
      <c r="C103" s="162"/>
      <c r="D103" s="162"/>
      <c r="E103" s="162"/>
      <c r="F103" s="165" t="s">
        <v>160</v>
      </c>
      <c r="G103" s="165"/>
      <c r="H103" s="165"/>
      <c r="I103" s="18"/>
      <c r="J103" s="18"/>
      <c r="R103"/>
      <c r="S103" s="18"/>
      <c r="T103"/>
      <c r="U103" s="18"/>
      <c r="V103" s="18"/>
    </row>
    <row r="104" spans="1:22" s="32" customFormat="1" hidden="1" x14ac:dyDescent="0.35">
      <c r="A104" s="120" t="s">
        <v>159</v>
      </c>
      <c r="B104" s="120"/>
      <c r="C104" s="120"/>
      <c r="D104" s="120"/>
      <c r="E104" s="120"/>
      <c r="F104" s="129">
        <v>13000</v>
      </c>
      <c r="G104" s="129"/>
      <c r="H104" s="129"/>
      <c r="I104" s="18"/>
      <c r="J104" s="18"/>
      <c r="R104"/>
      <c r="S104" s="18"/>
      <c r="T104"/>
      <c r="U104" s="18"/>
      <c r="V104" s="18"/>
    </row>
    <row r="105" spans="1:22" s="32" customFormat="1" x14ac:dyDescent="0.35">
      <c r="A105" s="120" t="s">
        <v>365</v>
      </c>
      <c r="B105" s="120"/>
      <c r="C105" s="120"/>
      <c r="D105" s="120"/>
      <c r="E105" s="120"/>
      <c r="F105" s="129">
        <v>25000</v>
      </c>
      <c r="G105" s="129"/>
      <c r="H105" s="129"/>
      <c r="I105" s="30"/>
      <c r="J105" s="30"/>
      <c r="T105"/>
    </row>
    <row r="106" spans="1:22" s="32" customFormat="1" ht="15.75" customHeight="1" x14ac:dyDescent="0.35">
      <c r="A106" s="120" t="s">
        <v>366</v>
      </c>
      <c r="B106" s="120"/>
      <c r="C106" s="120"/>
      <c r="D106" s="120"/>
      <c r="E106" s="120"/>
      <c r="F106" s="129">
        <v>13000</v>
      </c>
      <c r="G106" s="129"/>
      <c r="H106" s="129"/>
      <c r="I106" s="30"/>
      <c r="J106" s="30"/>
      <c r="T106"/>
    </row>
    <row r="107" spans="1:22" s="32" customFormat="1" hidden="1" x14ac:dyDescent="0.35">
      <c r="A107" s="120" t="s">
        <v>174</v>
      </c>
      <c r="B107" s="120"/>
      <c r="C107" s="120"/>
      <c r="D107" s="120"/>
      <c r="E107" s="120"/>
      <c r="F107" s="129"/>
      <c r="G107" s="129"/>
      <c r="H107" s="129"/>
      <c r="I107" s="30"/>
      <c r="J107" s="30"/>
      <c r="T107"/>
    </row>
    <row r="108" spans="1:22" s="32" customFormat="1" hidden="1" x14ac:dyDescent="0.3">
      <c r="A108" s="120" t="s">
        <v>90</v>
      </c>
      <c r="B108" s="120"/>
      <c r="C108" s="120"/>
      <c r="D108" s="120"/>
      <c r="E108" s="120"/>
      <c r="F108" s="129"/>
      <c r="G108" s="129"/>
      <c r="H108" s="129"/>
      <c r="I108" s="30"/>
      <c r="J108" s="30"/>
    </row>
    <row r="109" spans="1:22" s="32" customFormat="1" hidden="1" x14ac:dyDescent="0.3">
      <c r="A109" s="120" t="s">
        <v>91</v>
      </c>
      <c r="B109" s="120"/>
      <c r="C109" s="120"/>
      <c r="D109" s="120"/>
      <c r="E109" s="120"/>
      <c r="F109" s="129"/>
      <c r="G109" s="129"/>
      <c r="H109" s="129"/>
      <c r="I109" s="30"/>
      <c r="J109" s="30"/>
    </row>
    <row r="110" spans="1:22" s="32" customFormat="1" hidden="1" x14ac:dyDescent="0.3">
      <c r="A110" s="120" t="s">
        <v>92</v>
      </c>
      <c r="B110" s="120"/>
      <c r="C110" s="120"/>
      <c r="D110" s="120"/>
      <c r="E110" s="120"/>
      <c r="F110" s="129"/>
      <c r="G110" s="129"/>
      <c r="H110" s="129"/>
      <c r="I110" s="30"/>
      <c r="J110" s="30"/>
    </row>
    <row r="111" spans="1:22" s="31" customFormat="1" hidden="1" x14ac:dyDescent="0.35">
      <c r="A111" s="120" t="s">
        <v>93</v>
      </c>
      <c r="B111" s="120"/>
      <c r="C111" s="120"/>
      <c r="D111" s="120"/>
      <c r="E111" s="120"/>
      <c r="F111" s="129"/>
      <c r="G111" s="129"/>
      <c r="H111" s="129"/>
      <c r="I111" s="30"/>
      <c r="J111" s="30"/>
      <c r="T111" s="32"/>
    </row>
    <row r="112" spans="1:22" hidden="1" x14ac:dyDescent="0.35">
      <c r="A112" s="120" t="s">
        <v>94</v>
      </c>
      <c r="B112" s="120"/>
      <c r="C112" s="120"/>
      <c r="D112" s="120"/>
      <c r="E112" s="120"/>
      <c r="F112" s="129"/>
      <c r="G112" s="129"/>
      <c r="H112" s="129"/>
      <c r="T112" s="32"/>
    </row>
    <row r="113" spans="1:20" hidden="1" x14ac:dyDescent="0.35">
      <c r="A113" s="120" t="s">
        <v>95</v>
      </c>
      <c r="B113" s="120"/>
      <c r="C113" s="120"/>
      <c r="D113" s="120"/>
      <c r="E113" s="120"/>
      <c r="F113" s="129"/>
      <c r="G113" s="129"/>
      <c r="H113" s="129"/>
      <c r="I113" s="31"/>
      <c r="J113" s="31"/>
      <c r="T113" s="32"/>
    </row>
    <row r="114" spans="1:20" s="34" customFormat="1" x14ac:dyDescent="0.35">
      <c r="A114" s="120" t="s">
        <v>49</v>
      </c>
      <c r="B114" s="120"/>
      <c r="C114" s="120"/>
      <c r="D114" s="120"/>
      <c r="E114" s="120"/>
      <c r="F114" s="129">
        <v>500000</v>
      </c>
      <c r="G114" s="129"/>
      <c r="H114" s="129"/>
      <c r="I114" s="32"/>
      <c r="J114" s="32"/>
      <c r="T114" s="31"/>
    </row>
    <row r="115" spans="1:20" s="60" customFormat="1" x14ac:dyDescent="0.35">
      <c r="A115" s="164" t="s">
        <v>50</v>
      </c>
      <c r="B115" s="164"/>
      <c r="C115" s="164"/>
      <c r="D115" s="164"/>
      <c r="E115" s="164"/>
      <c r="F115" s="129">
        <f>F106*0.8</f>
        <v>10400</v>
      </c>
      <c r="G115" s="129"/>
      <c r="H115" s="129"/>
      <c r="I115" s="32"/>
      <c r="J115" s="32"/>
      <c r="T115" s="18"/>
    </row>
    <row r="116" spans="1:20" s="60" customFormat="1" x14ac:dyDescent="0.35">
      <c r="A116" s="163" t="s">
        <v>71</v>
      </c>
      <c r="B116" s="163"/>
      <c r="C116" s="163"/>
      <c r="D116" s="163"/>
      <c r="E116" s="163"/>
      <c r="F116" s="163"/>
      <c r="G116" s="163"/>
      <c r="H116" s="163"/>
      <c r="I116" s="32"/>
      <c r="J116" s="32"/>
      <c r="T116" s="18"/>
    </row>
    <row r="117" spans="1:20" s="60" customFormat="1" x14ac:dyDescent="0.35">
      <c r="A117" s="121" t="s">
        <v>51</v>
      </c>
      <c r="B117" s="121"/>
      <c r="C117" s="159" t="s">
        <v>74</v>
      </c>
      <c r="D117" s="159"/>
      <c r="E117" s="161" t="s">
        <v>52</v>
      </c>
      <c r="F117" s="161"/>
      <c r="G117" s="121" t="s">
        <v>53</v>
      </c>
      <c r="H117" s="121"/>
      <c r="I117" s="32"/>
      <c r="J117" s="32"/>
      <c r="L117" s="115"/>
      <c r="M117" s="115"/>
      <c r="N117" s="33"/>
      <c r="T117" s="18"/>
    </row>
    <row r="118" spans="1:20" s="60" customFormat="1" ht="31.5" customHeight="1" x14ac:dyDescent="0.35">
      <c r="A118" s="239" t="s">
        <v>315</v>
      </c>
      <c r="B118" s="61" t="s">
        <v>333</v>
      </c>
      <c r="C118" s="237">
        <f>COUNT(F175:F176)</f>
        <v>2</v>
      </c>
      <c r="D118" s="238"/>
      <c r="E118" s="237">
        <f>SUM(F175:F176)</f>
        <v>1482.9164532</v>
      </c>
      <c r="F118" s="238"/>
      <c r="G118" s="237">
        <f>SUM(H175:H176)</f>
        <v>2224.3746798000002</v>
      </c>
      <c r="H118" s="238"/>
      <c r="I118" s="32"/>
      <c r="J118" s="32"/>
      <c r="L118" s="115"/>
      <c r="M118" s="115"/>
      <c r="N118" s="33"/>
    </row>
    <row r="119" spans="1:20" s="60" customFormat="1" x14ac:dyDescent="0.35">
      <c r="A119" s="240"/>
      <c r="B119" s="61" t="s">
        <v>351</v>
      </c>
      <c r="C119" s="166">
        <f>COUNT(F137:F138)+COUNT(F231:F245)*5+COUNT(F247:F254,F257:F261)</f>
        <v>90</v>
      </c>
      <c r="D119" s="166"/>
      <c r="E119" s="166">
        <f>SUM(F137:F138)+SUM(F231:F245)*5+SUM(F247:F254,F257:F261)</f>
        <v>83707.939177199994</v>
      </c>
      <c r="F119" s="166"/>
      <c r="G119" s="166">
        <f>SUM(H137:H138)+SUM(H231:H245)*5+SUM(H247:H254,H257:H261)</f>
        <v>125561.90876579998</v>
      </c>
      <c r="H119" s="166"/>
      <c r="I119" s="32"/>
      <c r="J119" s="32"/>
      <c r="L119" s="115"/>
      <c r="M119" s="115"/>
      <c r="N119" s="33"/>
    </row>
    <row r="120" spans="1:20" s="80" customFormat="1" x14ac:dyDescent="0.35">
      <c r="A120" s="240"/>
      <c r="B120" s="82" t="s">
        <v>312</v>
      </c>
      <c r="C120" s="166">
        <f>COUNT(F151:F162)+COUNT(F164:F166,F170,F178)+COUNT(F180:F190,F193:F197)+COUNT(F199:F213)*12+COUNT(F215:F222,F225:F229)*3</f>
        <v>251</v>
      </c>
      <c r="D120" s="166"/>
      <c r="E120" s="166">
        <f>SUM(F151:F162)+SUM(F164:F166,F170,F178)+SUM(F180:F190,F193:F197)+SUM(F199:F213)*12+SUM(F215:F222,F225:F229)*3</f>
        <v>208624.02570359997</v>
      </c>
      <c r="F120" s="166"/>
      <c r="G120" s="166">
        <f>SUM(H151:H162)+SUM(H164:H166,H170,H178)+SUM(H180:H190,H193:H197)+SUM(H199:H213)*12+SUM(H215:H222,H225:H229)*3</f>
        <v>312936.03855539998</v>
      </c>
      <c r="H120" s="166"/>
      <c r="I120" s="32"/>
      <c r="J120" s="32"/>
      <c r="L120" s="115"/>
      <c r="M120" s="115"/>
      <c r="N120" s="33"/>
    </row>
    <row r="121" spans="1:20" s="80" customFormat="1" ht="51" customHeight="1" x14ac:dyDescent="0.35">
      <c r="A121" s="240"/>
      <c r="B121" s="81" t="s">
        <v>350</v>
      </c>
      <c r="C121" s="254">
        <f>COUNT(F167:F169,F171:F174,F177)</f>
        <v>8</v>
      </c>
      <c r="D121" s="254"/>
      <c r="E121" s="254">
        <f>SUM(F167:F169,F171:F174,F177)</f>
        <v>5833.3366728000001</v>
      </c>
      <c r="F121" s="254"/>
      <c r="G121" s="254">
        <f>SUM(H167:H169,H171:H174,H177)</f>
        <v>8750.0050092000001</v>
      </c>
      <c r="H121" s="254"/>
      <c r="I121" s="90"/>
      <c r="J121" s="32"/>
      <c r="L121" s="115"/>
      <c r="M121" s="115"/>
      <c r="N121" s="33"/>
    </row>
    <row r="122" spans="1:20" s="75" customFormat="1" ht="48" customHeight="1" x14ac:dyDescent="0.35">
      <c r="A122" s="241"/>
      <c r="B122" s="84" t="s">
        <v>332</v>
      </c>
      <c r="C122" s="166">
        <f>COUNT(F149)+COUNT(F263:F264)+COUNT(F266:F267)</f>
        <v>1</v>
      </c>
      <c r="D122" s="166"/>
      <c r="E122" s="166">
        <f>SUM(F149)</f>
        <v>3349.9763855999995</v>
      </c>
      <c r="F122" s="166"/>
      <c r="G122" s="166">
        <f>SUM(H149)</f>
        <v>5024.9645783999995</v>
      </c>
      <c r="H122" s="166"/>
      <c r="I122" s="32"/>
      <c r="J122" s="32"/>
      <c r="L122" s="115"/>
      <c r="M122" s="115"/>
      <c r="N122" s="33"/>
    </row>
    <row r="123" spans="1:20" s="34" customFormat="1" x14ac:dyDescent="0.35">
      <c r="A123" s="163" t="s">
        <v>152</v>
      </c>
      <c r="B123" s="163"/>
      <c r="C123" s="158">
        <f>SUM(C118:D122)</f>
        <v>352</v>
      </c>
      <c r="D123" s="159"/>
      <c r="E123" s="160">
        <f>SUM(E118:F122)</f>
        <v>302998.19439239998</v>
      </c>
      <c r="F123" s="161"/>
      <c r="G123" s="121">
        <f>SUM(G118:H122)</f>
        <v>454497.29158859997</v>
      </c>
      <c r="H123" s="121"/>
      <c r="I123" s="32"/>
      <c r="J123" s="32"/>
      <c r="T123" s="18"/>
    </row>
    <row r="124" spans="1:20" s="34" customFormat="1" ht="15.75" hidden="1" customHeight="1" x14ac:dyDescent="0.35">
      <c r="A124" s="163" t="s">
        <v>66</v>
      </c>
      <c r="B124" s="163"/>
      <c r="C124" s="163"/>
      <c r="D124" s="163"/>
      <c r="E124" s="163"/>
      <c r="F124" s="163"/>
      <c r="G124" s="163"/>
      <c r="H124" s="163"/>
      <c r="I124" s="32"/>
      <c r="J124" s="32"/>
      <c r="L124" s="115"/>
      <c r="M124" s="115"/>
      <c r="N124" s="33"/>
      <c r="T124" s="18"/>
    </row>
    <row r="125" spans="1:20" s="34" customFormat="1" ht="15.75" hidden="1" customHeight="1" x14ac:dyDescent="0.35">
      <c r="A125" s="121" t="s">
        <v>51</v>
      </c>
      <c r="B125" s="121"/>
      <c r="C125" s="159" t="s">
        <v>74</v>
      </c>
      <c r="D125" s="159"/>
      <c r="E125" s="161" t="s">
        <v>52</v>
      </c>
      <c r="F125" s="161"/>
      <c r="G125" s="121" t="s">
        <v>53</v>
      </c>
      <c r="H125" s="121"/>
      <c r="I125" s="32"/>
      <c r="J125" s="32"/>
      <c r="L125" s="115"/>
      <c r="M125" s="115"/>
      <c r="N125" s="33"/>
    </row>
    <row r="126" spans="1:20" s="34" customFormat="1" ht="15.75" hidden="1" customHeight="1" x14ac:dyDescent="0.35">
      <c r="A126" s="141"/>
      <c r="B126" s="141"/>
      <c r="C126" s="142"/>
      <c r="D126" s="142"/>
      <c r="E126" s="143"/>
      <c r="F126" s="143"/>
      <c r="G126" s="144"/>
      <c r="H126" s="144"/>
      <c r="I126" s="32"/>
      <c r="J126" s="32"/>
      <c r="L126" s="115"/>
      <c r="M126" s="115"/>
      <c r="N126" s="33"/>
    </row>
    <row r="127" spans="1:20" s="34" customFormat="1" ht="15.75" hidden="1" customHeight="1" x14ac:dyDescent="0.35">
      <c r="A127" s="141"/>
      <c r="B127" s="141"/>
      <c r="C127" s="142"/>
      <c r="D127" s="142"/>
      <c r="E127" s="143"/>
      <c r="F127" s="143"/>
      <c r="G127" s="144"/>
      <c r="H127" s="144"/>
      <c r="I127" s="32"/>
      <c r="J127" s="32"/>
      <c r="K127" s="33">
        <f>I144-J144</f>
        <v>0</v>
      </c>
      <c r="L127" s="115"/>
      <c r="M127" s="115"/>
      <c r="N127" s="33"/>
    </row>
    <row r="128" spans="1:20" s="34" customFormat="1" ht="16" hidden="1" thickBot="1" x14ac:dyDescent="0.4">
      <c r="A128" s="146" t="s">
        <v>152</v>
      </c>
      <c r="B128" s="146"/>
      <c r="C128" s="231"/>
      <c r="D128" s="231"/>
      <c r="E128" s="147"/>
      <c r="F128" s="147"/>
      <c r="G128" s="234"/>
      <c r="H128" s="234"/>
      <c r="I128" s="31"/>
      <c r="J128" s="31"/>
      <c r="K128" s="33"/>
      <c r="N128" s="33"/>
    </row>
    <row r="129" spans="1:20" ht="16" hidden="1" thickBot="1" x14ac:dyDescent="0.4">
      <c r="A129" s="235" t="s">
        <v>166</v>
      </c>
      <c r="B129" s="236"/>
      <c r="C129" s="229">
        <f>C123+C128</f>
        <v>352</v>
      </c>
      <c r="D129" s="229"/>
      <c r="E129" s="230">
        <f>E123+E128</f>
        <v>302998.19439239998</v>
      </c>
      <c r="F129" s="230"/>
      <c r="G129" s="232">
        <f>G123+G128</f>
        <v>454497.29158859997</v>
      </c>
      <c r="H129" s="233"/>
      <c r="T129" s="34"/>
    </row>
    <row r="130" spans="1:20" s="34" customFormat="1" x14ac:dyDescent="0.35">
      <c r="A130" s="165" t="s">
        <v>361</v>
      </c>
      <c r="B130" s="165"/>
      <c r="C130" s="165"/>
      <c r="D130" s="165"/>
      <c r="E130" s="165"/>
      <c r="F130" s="165"/>
      <c r="G130" s="165"/>
      <c r="H130" s="165"/>
      <c r="I130" s="21"/>
      <c r="J130" s="18"/>
    </row>
    <row r="131" spans="1:20" s="34" customFormat="1" x14ac:dyDescent="0.35">
      <c r="A131" s="211" t="s">
        <v>314</v>
      </c>
      <c r="B131" s="211"/>
      <c r="C131" s="211"/>
      <c r="D131" s="211"/>
      <c r="E131" s="211"/>
      <c r="F131" s="211"/>
      <c r="G131" s="211"/>
      <c r="H131" s="211"/>
      <c r="I131" s="66">
        <v>10.763999999999999</v>
      </c>
      <c r="J131" s="77">
        <v>10.763999999999999</v>
      </c>
    </row>
    <row r="132" spans="1:20" s="34" customFormat="1" ht="45" x14ac:dyDescent="0.35">
      <c r="A132" s="96" t="s">
        <v>117</v>
      </c>
      <c r="B132" s="96" t="s">
        <v>321</v>
      </c>
      <c r="C132" s="96" t="s">
        <v>54</v>
      </c>
      <c r="D132" s="96" t="s">
        <v>230</v>
      </c>
      <c r="E132" s="96" t="s">
        <v>337</v>
      </c>
      <c r="F132" s="96" t="s">
        <v>55</v>
      </c>
      <c r="G132" s="98" t="s">
        <v>56</v>
      </c>
      <c r="H132" s="50" t="s">
        <v>150</v>
      </c>
      <c r="I132" s="60"/>
      <c r="J132" s="33"/>
      <c r="L132" s="115"/>
      <c r="M132" s="115"/>
      <c r="N132" s="33"/>
      <c r="T132" s="18"/>
    </row>
    <row r="133" spans="1:20" s="34" customFormat="1" ht="15.75" customHeight="1" x14ac:dyDescent="0.35">
      <c r="A133" s="97"/>
      <c r="B133" s="97"/>
      <c r="C133" s="97"/>
      <c r="D133" s="97"/>
      <c r="E133" s="97"/>
      <c r="F133" s="97"/>
      <c r="G133" s="99"/>
      <c r="H133" s="65">
        <v>0.5</v>
      </c>
      <c r="I133" s="60"/>
      <c r="J133" s="33"/>
      <c r="L133" s="115"/>
      <c r="M133" s="115"/>
      <c r="N133" s="33"/>
    </row>
    <row r="134" spans="1:20" s="34" customFormat="1" ht="15.75" customHeight="1" x14ac:dyDescent="0.35">
      <c r="A134" s="93" t="s">
        <v>326</v>
      </c>
      <c r="B134" s="94"/>
      <c r="C134" s="94"/>
      <c r="D134" s="94"/>
      <c r="E134" s="94"/>
      <c r="F134" s="94"/>
      <c r="G134" s="94"/>
      <c r="H134" s="95"/>
      <c r="I134" s="33">
        <f>10.12*18.53</f>
        <v>187.52359999999999</v>
      </c>
      <c r="J134" s="60"/>
      <c r="L134" s="115"/>
      <c r="M134" s="115"/>
      <c r="N134" s="33"/>
    </row>
    <row r="135" spans="1:20" s="34" customFormat="1" ht="15.75" customHeight="1" x14ac:dyDescent="0.35">
      <c r="A135" s="93" t="s">
        <v>329</v>
      </c>
      <c r="B135" s="94"/>
      <c r="C135" s="94"/>
      <c r="D135" s="94"/>
      <c r="E135" s="94"/>
      <c r="F135" s="94"/>
      <c r="G135" s="94"/>
      <c r="H135" s="95"/>
      <c r="I135" s="33"/>
      <c r="J135" s="60"/>
      <c r="L135" s="115"/>
      <c r="M135" s="115"/>
      <c r="N135" s="33"/>
    </row>
    <row r="136" spans="1:20" s="76" customFormat="1" x14ac:dyDescent="0.35">
      <c r="A136" s="93" t="s">
        <v>374</v>
      </c>
      <c r="B136" s="94"/>
      <c r="C136" s="94"/>
      <c r="D136" s="94"/>
      <c r="E136" s="94"/>
      <c r="F136" s="94"/>
      <c r="G136" s="94"/>
      <c r="H136" s="95"/>
      <c r="I136" s="33"/>
      <c r="L136" s="115"/>
      <c r="M136" s="115"/>
    </row>
    <row r="137" spans="1:20" s="75" customFormat="1" ht="62" x14ac:dyDescent="0.35">
      <c r="A137" s="91">
        <v>1</v>
      </c>
      <c r="B137" s="92"/>
      <c r="C137" s="73" t="s">
        <v>356</v>
      </c>
      <c r="D137" s="77">
        <f>(16.05*15.35+16.05*15.35)*10.764</f>
        <v>5303.79954</v>
      </c>
      <c r="E137" s="73">
        <v>0</v>
      </c>
      <c r="F137" s="73">
        <f>D137+(IF(E137&lt;201,E137,IF(E137&lt;301,E137/2,E137/3)))</f>
        <v>5303.79954</v>
      </c>
      <c r="G137" s="58">
        <v>0</v>
      </c>
      <c r="H137" s="73">
        <f>(F137+(IF(G137&lt;101,G137,IF(G137&lt;201,G137/2,IF(G137&lt;=301,G137/3,G137/4)))))*(($H$133)+1)</f>
        <v>7955.69931</v>
      </c>
      <c r="J137" s="33"/>
      <c r="N137" s="33"/>
    </row>
    <row r="138" spans="1:20" s="75" customFormat="1" ht="62" x14ac:dyDescent="0.35">
      <c r="A138" s="91">
        <f>A137+1</f>
        <v>2</v>
      </c>
      <c r="B138" s="92"/>
      <c r="C138" s="83" t="s">
        <v>356</v>
      </c>
      <c r="D138" s="77">
        <f>((12.52*12.16+3.53*6.51+3.12*5.5+4.13*4.45)+(12.52*12.16+3.83*6.51+4.45*7.26))*10.764</f>
        <v>4523.5225619999992</v>
      </c>
      <c r="E138" s="73">
        <v>0</v>
      </c>
      <c r="F138" s="73">
        <f t="shared" ref="F138" si="0">D138+(IF(E138&lt;201,E138,IF(E138&lt;301,E138/2,E138/3)))</f>
        <v>4523.5225619999992</v>
      </c>
      <c r="G138" s="73">
        <v>0</v>
      </c>
      <c r="H138" s="73">
        <f>(F138+(IF(G138&lt;101,G138,IF(G138&lt;201,G138/2,IF(G138&lt;=301,G138/3,G138/4)))))*(($H$133)+1)</f>
        <v>6785.2838429999993</v>
      </c>
      <c r="I138" s="33"/>
      <c r="N138" s="33"/>
    </row>
    <row r="139" spans="1:20" s="34" customFormat="1" hidden="1" x14ac:dyDescent="0.35">
      <c r="A139" s="93" t="s">
        <v>310</v>
      </c>
      <c r="B139" s="94"/>
      <c r="C139" s="94"/>
      <c r="D139" s="94"/>
      <c r="E139" s="94"/>
      <c r="F139" s="94"/>
      <c r="G139" s="94"/>
      <c r="H139" s="95"/>
      <c r="I139" s="33"/>
      <c r="J139" s="60"/>
      <c r="L139" s="115"/>
      <c r="M139" s="115"/>
    </row>
    <row r="140" spans="1:20" s="34" customFormat="1" hidden="1" x14ac:dyDescent="0.35">
      <c r="A140" s="91">
        <v>1</v>
      </c>
      <c r="B140" s="92"/>
      <c r="C140" s="59" t="s">
        <v>311</v>
      </c>
      <c r="D140" s="66">
        <f>(173.72)*10.764</f>
        <v>1869.9220799999998</v>
      </c>
      <c r="E140" s="59">
        <v>0</v>
      </c>
      <c r="F140" s="59">
        <f>D140+(IF(E140&lt;201,E140,IF(E140&lt;301,E140/2,E140/3)))</f>
        <v>1869.9220799999998</v>
      </c>
      <c r="G140" s="58">
        <v>0</v>
      </c>
      <c r="H140" s="59">
        <f>(F140+(IF(G140&lt;101,G140,IF(G140&lt;201,G140/2,IF(G140&lt;=301,G140/3,G140/4)))))*(($H$133)+1)</f>
        <v>2804.8831199999995</v>
      </c>
      <c r="J140" s="33"/>
      <c r="N140" s="33"/>
    </row>
    <row r="141" spans="1:20" s="34" customFormat="1" hidden="1" x14ac:dyDescent="0.35">
      <c r="A141" s="91">
        <f>A140+1</f>
        <v>2</v>
      </c>
      <c r="B141" s="92"/>
      <c r="C141" s="59" t="s">
        <v>311</v>
      </c>
      <c r="D141" s="66">
        <f>(139.44)*10.764</f>
        <v>1500.9321599999998</v>
      </c>
      <c r="E141" s="59">
        <v>0</v>
      </c>
      <c r="F141" s="59">
        <f t="shared" ref="F141:F142" si="1">D141+(IF(E141&lt;201,E141,IF(E141&lt;301,E141/2,E141/3)))</f>
        <v>1500.9321599999998</v>
      </c>
      <c r="G141" s="59">
        <v>0</v>
      </c>
      <c r="H141" s="59">
        <f>(F141+(IF(G141&lt;101,G141,IF(G141&lt;201,G141/2,IF(G141&lt;=301,G141/3,G141/4)))))*(($H$133)+1)</f>
        <v>2251.3982399999995</v>
      </c>
      <c r="I141" s="33"/>
      <c r="N141" s="33"/>
    </row>
    <row r="142" spans="1:20" s="63" customFormat="1" hidden="1" x14ac:dyDescent="0.35">
      <c r="A142" s="91">
        <f>A141+1</f>
        <v>3</v>
      </c>
      <c r="B142" s="92"/>
      <c r="C142" s="59" t="s">
        <v>311</v>
      </c>
      <c r="D142" s="66">
        <f>(152.16)*10.764</f>
        <v>1637.8502399999998</v>
      </c>
      <c r="E142" s="59">
        <v>0</v>
      </c>
      <c r="F142" s="59">
        <f t="shared" si="1"/>
        <v>1637.8502399999998</v>
      </c>
      <c r="G142" s="59">
        <v>0</v>
      </c>
      <c r="H142" s="59">
        <f>(F142+(IF(G142&lt;101,G142,IF(G142&lt;201,G142/2,IF(G142&lt;=301,G142/3,G142/4)))))*(($H$133)+1)</f>
        <v>2456.7753599999996</v>
      </c>
      <c r="I142" s="33"/>
      <c r="J142" s="34"/>
      <c r="N142" s="33"/>
    </row>
    <row r="143" spans="1:20" s="34" customFormat="1" x14ac:dyDescent="0.35">
      <c r="A143" s="93" t="s">
        <v>358</v>
      </c>
      <c r="B143" s="94"/>
      <c r="C143" s="94"/>
      <c r="D143" s="94"/>
      <c r="E143" s="94"/>
      <c r="F143" s="94"/>
      <c r="G143" s="94"/>
      <c r="H143" s="95"/>
      <c r="I143" s="33"/>
      <c r="N143" s="33"/>
    </row>
    <row r="144" spans="1:20" s="34" customFormat="1" x14ac:dyDescent="0.35">
      <c r="A144" s="91">
        <v>1</v>
      </c>
      <c r="B144" s="92"/>
      <c r="C144" s="91" t="s">
        <v>357</v>
      </c>
      <c r="D144" s="118"/>
      <c r="E144" s="118"/>
      <c r="F144" s="118"/>
      <c r="G144" s="118"/>
      <c r="H144" s="119"/>
      <c r="I144" s="33"/>
      <c r="N144" s="33"/>
    </row>
    <row r="145" spans="1:14" s="75" customFormat="1" x14ac:dyDescent="0.35">
      <c r="A145" s="91">
        <f>A144+1</f>
        <v>2</v>
      </c>
      <c r="B145" s="92"/>
      <c r="C145" s="91" t="s">
        <v>357</v>
      </c>
      <c r="D145" s="118"/>
      <c r="E145" s="118"/>
      <c r="F145" s="118"/>
      <c r="G145" s="118"/>
      <c r="H145" s="119"/>
      <c r="I145" s="33"/>
      <c r="N145" s="33"/>
    </row>
    <row r="146" spans="1:14" s="34" customFormat="1" ht="15.75" customHeight="1" x14ac:dyDescent="0.35">
      <c r="A146" s="93" t="s">
        <v>330</v>
      </c>
      <c r="B146" s="94"/>
      <c r="C146" s="94"/>
      <c r="D146" s="94"/>
      <c r="E146" s="94"/>
      <c r="F146" s="94"/>
      <c r="G146" s="94"/>
      <c r="H146" s="95"/>
      <c r="I146" s="64"/>
      <c r="N146" s="33"/>
    </row>
    <row r="147" spans="1:14" s="34" customFormat="1" x14ac:dyDescent="0.35">
      <c r="A147" s="93" t="s">
        <v>331</v>
      </c>
      <c r="B147" s="94"/>
      <c r="C147" s="94"/>
      <c r="D147" s="94"/>
      <c r="E147" s="94"/>
      <c r="F147" s="94"/>
      <c r="G147" s="94"/>
      <c r="H147" s="95"/>
      <c r="I147" s="64"/>
      <c r="J147" s="18"/>
    </row>
    <row r="148" spans="1:14" s="75" customFormat="1" ht="15.75" customHeight="1" x14ac:dyDescent="0.35">
      <c r="A148" s="93" t="s">
        <v>353</v>
      </c>
      <c r="B148" s="94"/>
      <c r="C148" s="94"/>
      <c r="D148" s="94"/>
      <c r="E148" s="94"/>
      <c r="F148" s="94"/>
      <c r="G148" s="94"/>
      <c r="H148" s="95"/>
      <c r="I148" s="33"/>
    </row>
    <row r="149" spans="1:14" s="34" customFormat="1" ht="35.25" customHeight="1" x14ac:dyDescent="0.35">
      <c r="A149" s="91" t="s">
        <v>313</v>
      </c>
      <c r="B149" s="92"/>
      <c r="C149" s="39" t="s">
        <v>332</v>
      </c>
      <c r="D149" s="77">
        <f>(12.62*14.27+8.68*11.4+3.63*4.02+0.65*1.2+1.88*1.43+1*1.45)*10.764</f>
        <v>3213.5965055999995</v>
      </c>
      <c r="E149" s="77">
        <f>(1*(9.92+1.35+0.75+13.82+0.9+3.79+7.48))*10.764</f>
        <v>409.13963999999993</v>
      </c>
      <c r="F149" s="57">
        <f>D149+(IF(E149&lt;201,E149,IF(E149&lt;301,E149/2,E149/3)))</f>
        <v>3349.9763855999995</v>
      </c>
      <c r="G149" s="77">
        <v>0</v>
      </c>
      <c r="H149" s="57">
        <f t="shared" ref="H149:H161" si="2">(F149+(IF(G149&lt;101,G149,IF(G149&lt;201,G149/2,IF(G149&lt;=301,G149/3,G149/4)))))*(($H$133)+1)</f>
        <v>5024.9645783999995</v>
      </c>
      <c r="J149" s="33"/>
    </row>
    <row r="150" spans="1:14" s="34" customFormat="1" ht="15.75" customHeight="1" x14ac:dyDescent="0.35">
      <c r="A150" s="91" t="s">
        <v>313</v>
      </c>
      <c r="B150" s="92"/>
      <c r="C150" s="91" t="s">
        <v>336</v>
      </c>
      <c r="D150" s="116"/>
      <c r="E150" s="116"/>
      <c r="F150" s="116"/>
      <c r="G150" s="116"/>
      <c r="H150" s="92"/>
      <c r="I150" s="33"/>
    </row>
    <row r="151" spans="1:14" s="34" customFormat="1" ht="15.75" customHeight="1" x14ac:dyDescent="0.35">
      <c r="A151" s="91">
        <v>3</v>
      </c>
      <c r="B151" s="92"/>
      <c r="C151" s="62" t="s">
        <v>312</v>
      </c>
      <c r="D151" s="66">
        <f>(2.86*1.35+5.78*7.82+4.28*1.95+1.35*1.8)*10.764</f>
        <v>644.08116239999993</v>
      </c>
      <c r="E151" s="77">
        <f>(1*5.78)*10.764</f>
        <v>62.215919999999997</v>
      </c>
      <c r="F151" s="57">
        <f t="shared" ref="F151:F152" si="3">D151+(IF(E151&lt;201,E151,IF(E151&lt;301,E151/2,E151/3)))</f>
        <v>706.29708239999991</v>
      </c>
      <c r="G151" s="66">
        <v>0</v>
      </c>
      <c r="H151" s="57">
        <f t="shared" si="2"/>
        <v>1059.4456235999999</v>
      </c>
      <c r="I151" s="33"/>
    </row>
    <row r="152" spans="1:14" s="34" customFormat="1" ht="15.75" customHeight="1" x14ac:dyDescent="0.35">
      <c r="A152" s="91">
        <f t="shared" ref="A152:A162" si="4">A151+1</f>
        <v>4</v>
      </c>
      <c r="B152" s="92"/>
      <c r="C152" s="62" t="s">
        <v>312</v>
      </c>
      <c r="D152" s="66">
        <f>(3.03*1.6+7.86*6+3.4*2.1+1.9*1.2+1.35*1.2)*10.764</f>
        <v>678.64867200000003</v>
      </c>
      <c r="E152" s="77">
        <f>(1*3.4)*10.764</f>
        <v>36.5976</v>
      </c>
      <c r="F152" s="57">
        <f t="shared" si="3"/>
        <v>715.24627200000009</v>
      </c>
      <c r="G152" s="66">
        <v>0</v>
      </c>
      <c r="H152" s="57">
        <f t="shared" si="2"/>
        <v>1072.869408</v>
      </c>
      <c r="I152" s="33"/>
    </row>
    <row r="153" spans="1:14" s="34" customFormat="1" x14ac:dyDescent="0.35">
      <c r="A153" s="91">
        <f t="shared" si="4"/>
        <v>5</v>
      </c>
      <c r="B153" s="92"/>
      <c r="C153" s="62" t="s">
        <v>312</v>
      </c>
      <c r="D153" s="66">
        <f>(1.6*3.03+4.05*0.68+5.9*6.15+1.35*1.8+4.4*1.95)*10.764</f>
        <v>590.91130799999996</v>
      </c>
      <c r="E153" s="77">
        <f>(1*5.9)*10.764</f>
        <v>63.507599999999996</v>
      </c>
      <c r="F153" s="62">
        <f t="shared" ref="F153:F155" si="5">D153+(IF(E153&lt;201,E153,IF(E153&lt;301,E153/2,E153/3)))</f>
        <v>654.41890799999999</v>
      </c>
      <c r="G153" s="66">
        <v>0</v>
      </c>
      <c r="H153" s="62">
        <f t="shared" si="2"/>
        <v>981.62836199999992</v>
      </c>
      <c r="I153" s="33"/>
    </row>
    <row r="154" spans="1:14" s="34" customFormat="1" ht="15.75" customHeight="1" x14ac:dyDescent="0.35">
      <c r="A154" s="91">
        <f t="shared" si="4"/>
        <v>6</v>
      </c>
      <c r="B154" s="92"/>
      <c r="C154" s="62" t="s">
        <v>312</v>
      </c>
      <c r="D154" s="66">
        <f>(3.6*1.35+5.55*5.72+4.88*4.05+1.2*1.8+0.65*1.2)*10.764</f>
        <v>638.41283999999996</v>
      </c>
      <c r="E154" s="77">
        <f>(1*4.2)*10.764</f>
        <v>45.208799999999997</v>
      </c>
      <c r="F154" s="62">
        <f t="shared" si="5"/>
        <v>683.62163999999996</v>
      </c>
      <c r="G154" s="66">
        <v>0</v>
      </c>
      <c r="H154" s="62">
        <f t="shared" si="2"/>
        <v>1025.43246</v>
      </c>
      <c r="I154" s="33"/>
    </row>
    <row r="155" spans="1:14" s="34" customFormat="1" ht="15.75" customHeight="1" x14ac:dyDescent="0.35">
      <c r="A155" s="91">
        <f t="shared" si="4"/>
        <v>7</v>
      </c>
      <c r="B155" s="92"/>
      <c r="C155" s="62" t="s">
        <v>312</v>
      </c>
      <c r="D155" s="66">
        <f>(2.4*2.53+4.65*5.74+3.15*2.85+1.35*1.95)*10.764</f>
        <v>477.63097200000004</v>
      </c>
      <c r="E155" s="77">
        <f>(1*3.15)*10.764</f>
        <v>33.906599999999997</v>
      </c>
      <c r="F155" s="62">
        <f t="shared" si="5"/>
        <v>511.53757200000007</v>
      </c>
      <c r="G155" s="66">
        <v>0</v>
      </c>
      <c r="H155" s="62">
        <f t="shared" si="2"/>
        <v>767.30635800000005</v>
      </c>
      <c r="I155" s="33"/>
    </row>
    <row r="156" spans="1:14" s="63" customFormat="1" ht="15.75" customHeight="1" x14ac:dyDescent="0.35">
      <c r="A156" s="91">
        <f t="shared" si="4"/>
        <v>8</v>
      </c>
      <c r="B156" s="92"/>
      <c r="C156" s="62" t="s">
        <v>312</v>
      </c>
      <c r="D156" s="66">
        <f>(3.99*2.15+6.03*7.79+1.2*2)*10.764</f>
        <v>623.7974807999999</v>
      </c>
      <c r="E156" s="77">
        <f>(1*(8.09+7.1))*10.764</f>
        <v>163.50515999999999</v>
      </c>
      <c r="F156" s="62">
        <f t="shared" ref="F156:F159" si="6">D156+(IF(E156&lt;201,E156,IF(E156&lt;301,E156/2,E156/3)))</f>
        <v>787.30264079999984</v>
      </c>
      <c r="G156" s="66">
        <v>0</v>
      </c>
      <c r="H156" s="62">
        <f t="shared" si="2"/>
        <v>1180.9539611999999</v>
      </c>
      <c r="I156" s="33"/>
      <c r="J156" s="34"/>
    </row>
    <row r="157" spans="1:14" s="34" customFormat="1" ht="15.75" customHeight="1" x14ac:dyDescent="0.35">
      <c r="A157" s="91" t="s">
        <v>313</v>
      </c>
      <c r="B157" s="92"/>
      <c r="C157" s="91" t="s">
        <v>334</v>
      </c>
      <c r="D157" s="116"/>
      <c r="E157" s="116"/>
      <c r="F157" s="116"/>
      <c r="G157" s="116"/>
      <c r="H157" s="92"/>
      <c r="I157" s="33"/>
      <c r="J157" s="63"/>
    </row>
    <row r="158" spans="1:14" s="34" customFormat="1" ht="15.75" customHeight="1" x14ac:dyDescent="0.35">
      <c r="A158" s="91">
        <f>A156+1</f>
        <v>9</v>
      </c>
      <c r="B158" s="92"/>
      <c r="C158" s="62" t="s">
        <v>312</v>
      </c>
      <c r="D158" s="66">
        <f>(4.47*3+14.57*4.25+1.3*1.2+1.2*1.2+11.77*2.1)*10.764</f>
        <v>1109.2248179999999</v>
      </c>
      <c r="E158" s="77">
        <f>(1*12.07)*10.764</f>
        <v>129.92148</v>
      </c>
      <c r="F158" s="62">
        <f t="shared" si="6"/>
        <v>1239.1462979999999</v>
      </c>
      <c r="G158" s="66">
        <v>0</v>
      </c>
      <c r="H158" s="62">
        <f t="shared" si="2"/>
        <v>1858.7194469999999</v>
      </c>
      <c r="I158" s="33"/>
    </row>
    <row r="159" spans="1:14" s="75" customFormat="1" ht="15.75" customHeight="1" x14ac:dyDescent="0.35">
      <c r="A159" s="91">
        <f t="shared" si="4"/>
        <v>10</v>
      </c>
      <c r="B159" s="92"/>
      <c r="C159" s="62" t="s">
        <v>312</v>
      </c>
      <c r="D159" s="66">
        <f>(5.35*10.52+3.39*1.58+1.8*1.43)*10.764</f>
        <v>691.18012079999994</v>
      </c>
      <c r="E159" s="77">
        <f>(1*5.35)*10.764</f>
        <v>57.587399999999995</v>
      </c>
      <c r="F159" s="62">
        <f t="shared" si="6"/>
        <v>748.76752079999994</v>
      </c>
      <c r="G159" s="66">
        <v>0</v>
      </c>
      <c r="H159" s="62">
        <f t="shared" si="2"/>
        <v>1123.1512811999999</v>
      </c>
      <c r="I159" s="33"/>
    </row>
    <row r="160" spans="1:14" s="75" customFormat="1" x14ac:dyDescent="0.35">
      <c r="A160" s="91">
        <f t="shared" si="4"/>
        <v>11</v>
      </c>
      <c r="B160" s="92"/>
      <c r="C160" s="62" t="s">
        <v>312</v>
      </c>
      <c r="D160" s="66">
        <f>(3.43*1.5+6.48*6.49+1.35*2.03+4.98*2.18)*10.764</f>
        <v>654.41998440000009</v>
      </c>
      <c r="E160" s="77">
        <f>(1*6.5)*10.764</f>
        <v>69.965999999999994</v>
      </c>
      <c r="F160" s="62">
        <f t="shared" ref="F160:F161" si="7">D160+(IF(E160&lt;201,E160,IF(E160&lt;301,E160/2,E160/3)))</f>
        <v>724.3859844000001</v>
      </c>
      <c r="G160" s="66">
        <v>0</v>
      </c>
      <c r="H160" s="62">
        <f t="shared" si="2"/>
        <v>1086.5789766000003</v>
      </c>
      <c r="I160" s="64"/>
      <c r="N160" s="33"/>
    </row>
    <row r="161" spans="1:14" s="75" customFormat="1" x14ac:dyDescent="0.35">
      <c r="A161" s="91">
        <f t="shared" si="4"/>
        <v>12</v>
      </c>
      <c r="B161" s="92"/>
      <c r="C161" s="62" t="s">
        <v>312</v>
      </c>
      <c r="D161" s="66">
        <f>(3.52*1.2+7.56*5.74+4.71*2.93+1.35*1.88+1.35*1.35)*10.764</f>
        <v>708.04730879999988</v>
      </c>
      <c r="E161" s="77">
        <f>(1*4.75)*10.764</f>
        <v>51.128999999999998</v>
      </c>
      <c r="F161" s="62">
        <f t="shared" si="7"/>
        <v>759.1763087999999</v>
      </c>
      <c r="G161" s="66">
        <v>0</v>
      </c>
      <c r="H161" s="62">
        <f t="shared" si="2"/>
        <v>1138.7644631999999</v>
      </c>
      <c r="I161" s="64"/>
      <c r="J161" s="18"/>
    </row>
    <row r="162" spans="1:14" s="75" customFormat="1" ht="15.75" customHeight="1" x14ac:dyDescent="0.35">
      <c r="A162" s="91">
        <f t="shared" si="4"/>
        <v>13</v>
      </c>
      <c r="B162" s="92"/>
      <c r="C162" s="73" t="s">
        <v>312</v>
      </c>
      <c r="D162" s="66">
        <f>(3.89*5.75+6.44*4.77+1.2*1.43+1.8*1.43+3.14*1.58)*10.764</f>
        <v>671.0008499999999</v>
      </c>
      <c r="E162" s="77">
        <f>(1*6.44)*10.764</f>
        <v>69.320160000000001</v>
      </c>
      <c r="F162" s="73">
        <f t="shared" ref="F162" si="8">D162+(IF(E162&lt;201,E162,IF(E162&lt;301,E162/2,E162/3)))</f>
        <v>740.32100999999989</v>
      </c>
      <c r="G162" s="66">
        <v>0</v>
      </c>
      <c r="H162" s="73">
        <f t="shared" ref="H162" si="9">(F162+(IF(G162&lt;101,G162,IF(G162&lt;201,G162/2,IF(G162&lt;=301,G162/3,G162/4)))))*(($H$133)+1)</f>
        <v>1110.4815149999999</v>
      </c>
      <c r="I162" s="33"/>
    </row>
    <row r="163" spans="1:14" s="75" customFormat="1" ht="15.75" customHeight="1" x14ac:dyDescent="0.35">
      <c r="A163" s="93" t="s">
        <v>116</v>
      </c>
      <c r="B163" s="94"/>
      <c r="C163" s="94"/>
      <c r="D163" s="94"/>
      <c r="E163" s="94"/>
      <c r="F163" s="94"/>
      <c r="G163" s="94"/>
      <c r="H163" s="95"/>
      <c r="J163" s="33"/>
    </row>
    <row r="164" spans="1:14" s="75" customFormat="1" x14ac:dyDescent="0.35">
      <c r="A164" s="91">
        <v>1</v>
      </c>
      <c r="B164" s="92"/>
      <c r="C164" s="73" t="s">
        <v>312</v>
      </c>
      <c r="D164" s="77">
        <f>(12.62*7.57+3.64*3.15+4.23*2.3+6.48*3.55+5.95*3.55)*10.764</f>
        <v>1731.4421435999998</v>
      </c>
      <c r="E164" s="77">
        <f>(1*(13.82+0.75+0.95+1.35+9.92))*10.764</f>
        <v>288.36755999999997</v>
      </c>
      <c r="F164" s="73">
        <f>D164+(IF(E164&lt;201,E164,IF(E164&lt;301,E164/2,E164/3)))</f>
        <v>1875.6259235999999</v>
      </c>
      <c r="G164" s="66">
        <v>0</v>
      </c>
      <c r="H164" s="73">
        <f t="shared" ref="H164" si="10">(F164+(IF(G164&lt;101,G164,IF(G164&lt;201,G164/2,IF(G164&lt;=301,G164/3,G164/4)))))*(($H$133)+1)</f>
        <v>2813.4388853999999</v>
      </c>
      <c r="I164" s="33"/>
    </row>
    <row r="165" spans="1:14" s="75" customFormat="1" x14ac:dyDescent="0.35">
      <c r="A165" s="91">
        <f t="shared" ref="A165:A178" si="11">A164+1</f>
        <v>2</v>
      </c>
      <c r="B165" s="92"/>
      <c r="C165" s="73" t="s">
        <v>312</v>
      </c>
      <c r="D165" s="77">
        <f>(4.81*1.35+5.78*7.07+1.35*1.8+4.28*2.7)*10.764</f>
        <v>660.3078923999999</v>
      </c>
      <c r="E165" s="77">
        <f>(1*4.28)*10.764</f>
        <v>46.069920000000003</v>
      </c>
      <c r="F165" s="73">
        <f>D165+(IF(E165&lt;201,E165,IF(E165&lt;301,E165/2,E165/3)))</f>
        <v>706.37781239999993</v>
      </c>
      <c r="G165" s="66">
        <v>0</v>
      </c>
      <c r="H165" s="73">
        <f t="shared" ref="H165" si="12">(F165+(IF(G165&lt;101,G165,IF(G165&lt;201,G165/2,IF(G165&lt;=301,G165/3,G165/4)))))*(($H$133)+1)</f>
        <v>1059.5667185999998</v>
      </c>
      <c r="I165" s="33"/>
    </row>
    <row r="166" spans="1:14" s="75" customFormat="1" x14ac:dyDescent="0.35">
      <c r="A166" s="91">
        <f t="shared" si="11"/>
        <v>3</v>
      </c>
      <c r="B166" s="92"/>
      <c r="C166" s="73" t="s">
        <v>312</v>
      </c>
      <c r="D166" s="66">
        <f>(2.86*1.35+5.78*7.82+4.28*1.95+1.35*1.8)*10.764</f>
        <v>644.08116239999993</v>
      </c>
      <c r="E166" s="77">
        <f>(1*5.78)*10.764</f>
        <v>62.215919999999997</v>
      </c>
      <c r="F166" s="73">
        <f t="shared" ref="F166:F176" si="13">D166+(IF(E166&lt;201,E166,IF(E166&lt;301,E166/2,E166/3)))</f>
        <v>706.29708239999991</v>
      </c>
      <c r="G166" s="66">
        <v>0</v>
      </c>
      <c r="H166" s="73">
        <f t="shared" ref="H166:H176" si="14">(F166+(IF(G166&lt;101,G166,IF(G166&lt;201,G166/2,IF(G166&lt;=301,G166/3,G166/4)))))*(($H$133)+1)</f>
        <v>1059.4456235999999</v>
      </c>
      <c r="I166" s="33"/>
    </row>
    <row r="167" spans="1:14" s="75" customFormat="1" ht="46.5" x14ac:dyDescent="0.35">
      <c r="A167" s="91">
        <f t="shared" si="11"/>
        <v>4</v>
      </c>
      <c r="B167" s="92"/>
      <c r="C167" s="83" t="s">
        <v>350</v>
      </c>
      <c r="D167" s="77">
        <f>(3.03*1.5+7.86*6+3.4*2.1+1.9*1.2+1.35*1.35)*10.764</f>
        <v>677.56689000000006</v>
      </c>
      <c r="E167" s="77">
        <f>(1*3.4)*10.764</f>
        <v>36.5976</v>
      </c>
      <c r="F167" s="83">
        <f t="shared" si="13"/>
        <v>714.16449000000011</v>
      </c>
      <c r="G167" s="77">
        <v>0</v>
      </c>
      <c r="H167" s="83">
        <f t="shared" si="14"/>
        <v>1071.2467350000002</v>
      </c>
      <c r="I167" s="33"/>
    </row>
    <row r="168" spans="1:14" s="75" customFormat="1" ht="46.5" x14ac:dyDescent="0.35">
      <c r="A168" s="91">
        <f t="shared" si="11"/>
        <v>5</v>
      </c>
      <c r="B168" s="92"/>
      <c r="C168" s="83" t="s">
        <v>350</v>
      </c>
      <c r="D168" s="77">
        <f>(1.6*3.03+4.05*0.68+5.9*6.15+1.35*1.8+4.4*1.95)*10.764</f>
        <v>590.91130799999996</v>
      </c>
      <c r="E168" s="77">
        <f>(1*6.05)*10.764</f>
        <v>65.122199999999992</v>
      </c>
      <c r="F168" s="83">
        <f t="shared" si="13"/>
        <v>656.03350799999998</v>
      </c>
      <c r="G168" s="77">
        <v>0</v>
      </c>
      <c r="H168" s="83">
        <f t="shared" si="14"/>
        <v>984.05026199999998</v>
      </c>
      <c r="I168" s="33"/>
    </row>
    <row r="169" spans="1:14" s="75" customFormat="1" ht="55.5" customHeight="1" x14ac:dyDescent="0.35">
      <c r="A169" s="91">
        <f t="shared" si="11"/>
        <v>6</v>
      </c>
      <c r="B169" s="92"/>
      <c r="C169" s="83" t="s">
        <v>350</v>
      </c>
      <c r="D169" s="77">
        <f>(3.6*1.35+5.55*5.72+1.2*1.8+4.88*4.05+0.7*1.2)*10.764</f>
        <v>639.05867999999998</v>
      </c>
      <c r="E169" s="77">
        <f>(1*4.3)*10.764</f>
        <v>46.285199999999996</v>
      </c>
      <c r="F169" s="83">
        <f t="shared" si="13"/>
        <v>685.34388000000001</v>
      </c>
      <c r="G169" s="77">
        <v>0</v>
      </c>
      <c r="H169" s="83">
        <f t="shared" si="14"/>
        <v>1028.0158200000001</v>
      </c>
      <c r="I169" s="33"/>
    </row>
    <row r="170" spans="1:14" s="75" customFormat="1" x14ac:dyDescent="0.35">
      <c r="A170" s="91">
        <f t="shared" si="11"/>
        <v>7</v>
      </c>
      <c r="B170" s="92"/>
      <c r="C170" s="83" t="s">
        <v>312</v>
      </c>
      <c r="D170" s="77">
        <f>(2.4*2.53+4.65*5.74+1.35*1.95+3.15*2.85)*10.764</f>
        <v>477.63097200000004</v>
      </c>
      <c r="E170" s="77">
        <f>(1*3.15)*10.764</f>
        <v>33.906599999999997</v>
      </c>
      <c r="F170" s="83">
        <f t="shared" si="13"/>
        <v>511.53757200000007</v>
      </c>
      <c r="G170" s="77">
        <v>0</v>
      </c>
      <c r="H170" s="83">
        <f t="shared" si="14"/>
        <v>767.30635800000005</v>
      </c>
      <c r="I170" s="33"/>
    </row>
    <row r="171" spans="1:14" s="75" customFormat="1" ht="56.25" customHeight="1" x14ac:dyDescent="0.35">
      <c r="A171" s="91">
        <f t="shared" si="11"/>
        <v>8</v>
      </c>
      <c r="B171" s="92"/>
      <c r="C171" s="83" t="s">
        <v>350</v>
      </c>
      <c r="D171" s="77">
        <f>(3.99*2.15+6.03*7.79+1.2*2)*10.764</f>
        <v>623.7974807999999</v>
      </c>
      <c r="E171" s="77">
        <f>(1*(6.15+8.85))*10.764</f>
        <v>161.45999999999998</v>
      </c>
      <c r="F171" s="83">
        <f t="shared" si="13"/>
        <v>785.25748079999994</v>
      </c>
      <c r="G171" s="77">
        <v>0</v>
      </c>
      <c r="H171" s="83">
        <f t="shared" si="14"/>
        <v>1177.8862211999999</v>
      </c>
      <c r="I171" s="33"/>
    </row>
    <row r="172" spans="1:14" s="75" customFormat="1" ht="53.25" customHeight="1" x14ac:dyDescent="0.35">
      <c r="A172" s="91">
        <f t="shared" si="11"/>
        <v>9</v>
      </c>
      <c r="B172" s="92"/>
      <c r="C172" s="83" t="s">
        <v>350</v>
      </c>
      <c r="D172" s="77">
        <f>(8.31*7.78+1.6*1.5+1.8*1.35)*10.764</f>
        <v>747.90209520000019</v>
      </c>
      <c r="E172" s="77">
        <f>(1*(9.1+8.08))*10.764</f>
        <v>184.92551999999998</v>
      </c>
      <c r="F172" s="83">
        <f t="shared" si="13"/>
        <v>932.8276152000002</v>
      </c>
      <c r="G172" s="77">
        <v>0</v>
      </c>
      <c r="H172" s="83">
        <f t="shared" si="14"/>
        <v>1399.2414228000002</v>
      </c>
      <c r="I172" s="33"/>
    </row>
    <row r="173" spans="1:14" s="75" customFormat="1" ht="51" customHeight="1" x14ac:dyDescent="0.35">
      <c r="A173" s="91">
        <f t="shared" si="11"/>
        <v>10</v>
      </c>
      <c r="B173" s="92"/>
      <c r="C173" s="83" t="s">
        <v>350</v>
      </c>
      <c r="D173" s="77">
        <f>(4.47*3+6.12*4.25+3.32*2.1+1.3*1.2+1.2*1.2)*10.764</f>
        <v>531.65548799999999</v>
      </c>
      <c r="E173" s="77">
        <f>(1*3.62)*10.764</f>
        <v>38.965679999999999</v>
      </c>
      <c r="F173" s="83">
        <f t="shared" si="13"/>
        <v>570.62116800000001</v>
      </c>
      <c r="G173" s="77">
        <v>0</v>
      </c>
      <c r="H173" s="83">
        <f t="shared" si="14"/>
        <v>855.93175199999996</v>
      </c>
      <c r="I173" s="33"/>
    </row>
    <row r="174" spans="1:14" s="75" customFormat="1" ht="52.5" customHeight="1" x14ac:dyDescent="0.35">
      <c r="A174" s="91">
        <f t="shared" si="11"/>
        <v>11</v>
      </c>
      <c r="B174" s="92"/>
      <c r="C174" s="87" t="s">
        <v>350</v>
      </c>
      <c r="D174" s="89">
        <f>(5.35*10.52+3.39*1.58+1.8*1.43)*10.764</f>
        <v>691.18012079999994</v>
      </c>
      <c r="E174" s="89">
        <f>(1*5.35)*10.764</f>
        <v>57.587399999999995</v>
      </c>
      <c r="F174" s="87">
        <f t="shared" si="13"/>
        <v>748.76752079999994</v>
      </c>
      <c r="G174" s="77">
        <v>0</v>
      </c>
      <c r="H174" s="83">
        <f t="shared" si="14"/>
        <v>1123.1512811999999</v>
      </c>
      <c r="I174" s="33"/>
    </row>
    <row r="175" spans="1:14" s="75" customFormat="1" ht="31" x14ac:dyDescent="0.35">
      <c r="A175" s="91">
        <f t="shared" si="11"/>
        <v>12</v>
      </c>
      <c r="B175" s="92"/>
      <c r="C175" s="87" t="s">
        <v>333</v>
      </c>
      <c r="D175" s="89">
        <f>(3.43*1.5+6.48*6.49+1.35*2.03+4.98*2.18)*10.764</f>
        <v>654.41998440000009</v>
      </c>
      <c r="E175" s="89">
        <f>(1*6.48)*10.764</f>
        <v>69.750720000000001</v>
      </c>
      <c r="F175" s="87">
        <f t="shared" si="13"/>
        <v>724.17070440000009</v>
      </c>
      <c r="G175" s="77">
        <v>0</v>
      </c>
      <c r="H175" s="83">
        <f t="shared" si="14"/>
        <v>1086.2560566000002</v>
      </c>
      <c r="I175" s="33"/>
    </row>
    <row r="176" spans="1:14" s="78" customFormat="1" ht="31" x14ac:dyDescent="0.35">
      <c r="A176" s="91">
        <f t="shared" si="11"/>
        <v>13</v>
      </c>
      <c r="B176" s="92"/>
      <c r="C176" s="87" t="s">
        <v>333</v>
      </c>
      <c r="D176" s="89">
        <f>(3.52*1.2+7.56*5.74+4.71*2.93+1.35*1.88+1.35*1.35)*10.764</f>
        <v>708.04730879999988</v>
      </c>
      <c r="E176" s="89">
        <f>(1*4.71)*10.764</f>
        <v>50.698439999999998</v>
      </c>
      <c r="F176" s="87">
        <f t="shared" si="13"/>
        <v>758.74574879999989</v>
      </c>
      <c r="G176" s="77">
        <v>0</v>
      </c>
      <c r="H176" s="83">
        <f t="shared" si="14"/>
        <v>1138.1186231999998</v>
      </c>
      <c r="I176" s="64"/>
      <c r="N176" s="33"/>
    </row>
    <row r="177" spans="1:10" s="78" customFormat="1" ht="46.5" x14ac:dyDescent="0.35">
      <c r="A177" s="91">
        <f t="shared" si="11"/>
        <v>14</v>
      </c>
      <c r="B177" s="92"/>
      <c r="C177" s="87" t="s">
        <v>350</v>
      </c>
      <c r="D177" s="89">
        <f>(3.89*5.75+6.44*4.77+1.2*1.43+1.8*1.43+3.14*1.58)*10.764</f>
        <v>671.0008499999999</v>
      </c>
      <c r="E177" s="89">
        <f>(1*6.44)*10.764</f>
        <v>69.320160000000001</v>
      </c>
      <c r="F177" s="87">
        <f t="shared" ref="F177:F178" si="15">D177+(IF(E177&lt;201,E177,IF(E177&lt;301,E177/2,E177/3)))</f>
        <v>740.32100999999989</v>
      </c>
      <c r="G177" s="77">
        <v>0</v>
      </c>
      <c r="H177" s="83">
        <f t="shared" ref="H177:H178" si="16">(F177+(IF(G177&lt;101,G177,IF(G177&lt;201,G177/2,IF(G177&lt;=301,G177/3,G177/4)))))*(($H$133)+1)</f>
        <v>1110.4815149999999</v>
      </c>
      <c r="I177" s="64"/>
      <c r="J177" s="18"/>
    </row>
    <row r="178" spans="1:10" s="78" customFormat="1" ht="15.75" customHeight="1" x14ac:dyDescent="0.35">
      <c r="A178" s="91">
        <f t="shared" si="11"/>
        <v>15</v>
      </c>
      <c r="B178" s="92"/>
      <c r="C178" s="73" t="s">
        <v>312</v>
      </c>
      <c r="D178" s="77">
        <f>(8.68*12.1+2.28*5.6+1.25*1.8+1.25*1.8)*10.764</f>
        <v>1316.3941439999999</v>
      </c>
      <c r="E178" s="77">
        <f>(1*(13+10.8))*10.764</f>
        <v>256.1832</v>
      </c>
      <c r="F178" s="73">
        <f t="shared" si="15"/>
        <v>1444.4857439999998</v>
      </c>
      <c r="G178" s="66">
        <v>0</v>
      </c>
      <c r="H178" s="73">
        <f t="shared" si="16"/>
        <v>2166.7286159999999</v>
      </c>
      <c r="I178" s="33"/>
    </row>
    <row r="179" spans="1:10" s="78" customFormat="1" ht="15.75" customHeight="1" x14ac:dyDescent="0.35">
      <c r="A179" s="93" t="s">
        <v>340</v>
      </c>
      <c r="B179" s="94"/>
      <c r="C179" s="94"/>
      <c r="D179" s="94"/>
      <c r="E179" s="94"/>
      <c r="F179" s="94"/>
      <c r="G179" s="94"/>
      <c r="H179" s="95"/>
      <c r="J179" s="33"/>
    </row>
    <row r="180" spans="1:10" s="78" customFormat="1" ht="15.75" customHeight="1" x14ac:dyDescent="0.35">
      <c r="A180" s="91">
        <v>1</v>
      </c>
      <c r="B180" s="92"/>
      <c r="C180" s="79" t="s">
        <v>312</v>
      </c>
      <c r="D180" s="77">
        <f>(2.28*2.15+4.1*12.17+1.8*1.25+1.35*1.35)*10.764</f>
        <v>633.69282599999997</v>
      </c>
      <c r="E180" s="77">
        <f>(1*(14.5+4.5))*10.764</f>
        <v>204.51599999999999</v>
      </c>
      <c r="F180" s="79">
        <f>D180+(IF(E180&lt;201,E180,IF(E180&lt;301,E180/2,E180/3)))</f>
        <v>735.95082600000001</v>
      </c>
      <c r="G180" s="66">
        <v>0</v>
      </c>
      <c r="H180" s="79">
        <f t="shared" ref="H180:H194" si="17">(F180+(IF(G180&lt;101,G180,IF(G180&lt;201,G180/2,IF(G180&lt;=301,G180/3,G180/4)))))*(($H$133)+1)</f>
        <v>1103.9262389999999</v>
      </c>
      <c r="I180" s="33"/>
    </row>
    <row r="181" spans="1:10" s="78" customFormat="1" ht="15.75" customHeight="1" x14ac:dyDescent="0.35">
      <c r="A181" s="91" t="s">
        <v>341</v>
      </c>
      <c r="B181" s="92"/>
      <c r="C181" s="79" t="s">
        <v>312</v>
      </c>
      <c r="D181" s="77">
        <f>(1.35*3.03+4*7.67+3.05*2.1+1.8*1.25)*10.764</f>
        <v>467.43208199999998</v>
      </c>
      <c r="E181" s="77">
        <f>(1*4.6)*10.764</f>
        <v>49.514399999999995</v>
      </c>
      <c r="F181" s="79">
        <f>D181+(IF(E181&lt;201,E181,IF(E181&lt;301,E181/2,E181/3)))</f>
        <v>516.94648199999995</v>
      </c>
      <c r="G181" s="66">
        <v>0</v>
      </c>
      <c r="H181" s="79">
        <f t="shared" si="17"/>
        <v>775.41972299999998</v>
      </c>
      <c r="I181" s="33"/>
    </row>
    <row r="182" spans="1:10" s="78" customFormat="1" ht="15.75" customHeight="1" x14ac:dyDescent="0.35">
      <c r="A182" s="91" t="s">
        <v>342</v>
      </c>
      <c r="B182" s="92"/>
      <c r="C182" s="79" t="s">
        <v>312</v>
      </c>
      <c r="D182" s="66">
        <f>(3.24*1.35+4.21*5.57+2.56*4.2+1.5*1.8+1.6*1.6)*10.764</f>
        <v>471.8474748000001</v>
      </c>
      <c r="E182" s="77">
        <f>(1*4.21)*10.764</f>
        <v>45.31644</v>
      </c>
      <c r="F182" s="79">
        <f t="shared" ref="F182:F190" si="18">D182+(IF(E182&lt;201,E182,IF(E182&lt;301,E182/2,E182/3)))</f>
        <v>517.16391480000016</v>
      </c>
      <c r="G182" s="66">
        <v>0</v>
      </c>
      <c r="H182" s="79">
        <f t="shared" si="17"/>
        <v>775.74587220000024</v>
      </c>
      <c r="I182" s="33"/>
    </row>
    <row r="183" spans="1:10" s="78" customFormat="1" x14ac:dyDescent="0.35">
      <c r="A183" s="91" t="s">
        <v>343</v>
      </c>
      <c r="B183" s="92"/>
      <c r="C183" s="79" t="s">
        <v>312</v>
      </c>
      <c r="D183" s="66">
        <f>(4*8.22+2.5*2.9+1.35*2)*10.764</f>
        <v>461.02212000000003</v>
      </c>
      <c r="E183" s="77">
        <f>(1*4)*10.764</f>
        <v>43.055999999999997</v>
      </c>
      <c r="F183" s="79">
        <f t="shared" si="18"/>
        <v>504.07812000000001</v>
      </c>
      <c r="G183" s="66">
        <v>0</v>
      </c>
      <c r="H183" s="79">
        <f t="shared" si="17"/>
        <v>756.11717999999996</v>
      </c>
      <c r="I183" s="33"/>
    </row>
    <row r="184" spans="1:10" s="78" customFormat="1" ht="15.75" customHeight="1" x14ac:dyDescent="0.35">
      <c r="A184" s="91" t="s">
        <v>344</v>
      </c>
      <c r="B184" s="92"/>
      <c r="C184" s="79" t="s">
        <v>312</v>
      </c>
      <c r="D184" s="66">
        <f>(2.73*1.35+4.58*9.52+1.63*0.75+1.4*1.8)*10.764</f>
        <v>549.28261439999994</v>
      </c>
      <c r="E184" s="77">
        <f>(1*1.63+1*1.4)*10.764</f>
        <v>32.614919999999998</v>
      </c>
      <c r="F184" s="79">
        <f t="shared" si="18"/>
        <v>581.89753439999993</v>
      </c>
      <c r="G184" s="66">
        <v>0</v>
      </c>
      <c r="H184" s="79">
        <f t="shared" si="17"/>
        <v>872.84630159999983</v>
      </c>
      <c r="I184" s="33"/>
    </row>
    <row r="185" spans="1:10" s="78" customFormat="1" ht="15.75" customHeight="1" x14ac:dyDescent="0.35">
      <c r="A185" s="91" t="s">
        <v>345</v>
      </c>
      <c r="B185" s="92"/>
      <c r="C185" s="79" t="s">
        <v>312</v>
      </c>
      <c r="D185" s="66">
        <f>(2.73*11.12+3.16*4.34+1.25*1.6+1.35*1.35)*10.764</f>
        <v>515.53639799999985</v>
      </c>
      <c r="E185" s="77">
        <f>(1*5.5)*10.764</f>
        <v>59.201999999999998</v>
      </c>
      <c r="F185" s="79">
        <f t="shared" si="18"/>
        <v>574.73839799999985</v>
      </c>
      <c r="G185" s="66">
        <v>0</v>
      </c>
      <c r="H185" s="79">
        <f t="shared" si="17"/>
        <v>862.10759699999971</v>
      </c>
      <c r="I185" s="33"/>
    </row>
    <row r="186" spans="1:10" s="78" customFormat="1" ht="15.75" customHeight="1" x14ac:dyDescent="0.35">
      <c r="A186" s="91" t="s">
        <v>346</v>
      </c>
      <c r="B186" s="92"/>
      <c r="C186" s="79" t="s">
        <v>312</v>
      </c>
      <c r="D186" s="66">
        <f>(1.5*1.5+1.4*4.24+3.3*8.09+2*1.2)*10.764</f>
        <v>401.31421199999994</v>
      </c>
      <c r="E186" s="77">
        <f>(1*4.5)*10.764</f>
        <v>48.437999999999995</v>
      </c>
      <c r="F186" s="79">
        <f t="shared" si="18"/>
        <v>449.75221199999993</v>
      </c>
      <c r="G186" s="66">
        <v>0</v>
      </c>
      <c r="H186" s="79">
        <f t="shared" si="17"/>
        <v>674.62831799999992</v>
      </c>
      <c r="I186" s="33"/>
    </row>
    <row r="187" spans="1:10" s="78" customFormat="1" ht="15.75" customHeight="1" x14ac:dyDescent="0.35">
      <c r="A187" s="91">
        <v>5</v>
      </c>
      <c r="B187" s="92"/>
      <c r="C187" s="79" t="s">
        <v>312</v>
      </c>
      <c r="D187" s="66">
        <f>(1.6*3.03+4.05*0.68+5.9*6.15+1.35*1.8+4.4*1.95)*10.764</f>
        <v>590.91130799999996</v>
      </c>
      <c r="E187" s="77">
        <f>(1*6.05)*10.764</f>
        <v>65.122199999999992</v>
      </c>
      <c r="F187" s="79">
        <f t="shared" si="18"/>
        <v>656.03350799999998</v>
      </c>
      <c r="G187" s="66">
        <v>0</v>
      </c>
      <c r="H187" s="79">
        <f t="shared" si="17"/>
        <v>984.05026199999998</v>
      </c>
      <c r="I187" s="33"/>
    </row>
    <row r="188" spans="1:10" s="78" customFormat="1" x14ac:dyDescent="0.35">
      <c r="A188" s="91">
        <f t="shared" ref="A188:A197" si="19">A187+1</f>
        <v>6</v>
      </c>
      <c r="B188" s="92"/>
      <c r="C188" s="79" t="s">
        <v>312</v>
      </c>
      <c r="D188" s="66">
        <f>(3.6*1.35+5.55*5.72+1.2*1.8+4.88*4.05+0.7*1.2)*10.764</f>
        <v>639.05867999999998</v>
      </c>
      <c r="E188" s="77">
        <f>(1*4.3)*10.764</f>
        <v>46.285199999999996</v>
      </c>
      <c r="F188" s="79">
        <f t="shared" si="18"/>
        <v>685.34388000000001</v>
      </c>
      <c r="G188" s="66">
        <v>0</v>
      </c>
      <c r="H188" s="79">
        <f t="shared" si="17"/>
        <v>1028.0158200000001</v>
      </c>
      <c r="I188" s="33"/>
    </row>
    <row r="189" spans="1:10" s="78" customFormat="1" x14ac:dyDescent="0.35">
      <c r="A189" s="91">
        <f t="shared" si="19"/>
        <v>7</v>
      </c>
      <c r="B189" s="92"/>
      <c r="C189" s="79" t="s">
        <v>312</v>
      </c>
      <c r="D189" s="66">
        <f>(2.4*2.53+4.65*5.74+1.35*1.95+3.15*2.85)*10.764</f>
        <v>477.63097200000004</v>
      </c>
      <c r="E189" s="77">
        <f>(1*3.15)*10.764</f>
        <v>33.906599999999997</v>
      </c>
      <c r="F189" s="79">
        <f t="shared" si="18"/>
        <v>511.53757200000007</v>
      </c>
      <c r="G189" s="66">
        <v>0</v>
      </c>
      <c r="H189" s="79">
        <f t="shared" si="17"/>
        <v>767.30635800000005</v>
      </c>
      <c r="I189" s="33"/>
    </row>
    <row r="190" spans="1:10" s="78" customFormat="1" ht="15.75" customHeight="1" x14ac:dyDescent="0.35">
      <c r="A190" s="91">
        <f t="shared" si="19"/>
        <v>8</v>
      </c>
      <c r="B190" s="92"/>
      <c r="C190" s="79" t="s">
        <v>312</v>
      </c>
      <c r="D190" s="66">
        <f>(3.99*2.15+6.03*7.79+1.2*2)*10.764</f>
        <v>623.7974807999999</v>
      </c>
      <c r="E190" s="77">
        <f>(1*(6.15+8.85))*10.764</f>
        <v>161.45999999999998</v>
      </c>
      <c r="F190" s="79">
        <f t="shared" si="18"/>
        <v>785.25748079999994</v>
      </c>
      <c r="G190" s="66">
        <v>0</v>
      </c>
      <c r="H190" s="79">
        <f t="shared" si="17"/>
        <v>1177.8862211999999</v>
      </c>
      <c r="I190" s="33"/>
    </row>
    <row r="191" spans="1:10" s="78" customFormat="1" ht="15.75" customHeight="1" x14ac:dyDescent="0.35">
      <c r="A191" s="91">
        <f t="shared" si="19"/>
        <v>9</v>
      </c>
      <c r="B191" s="92"/>
      <c r="C191" s="242" t="s">
        <v>334</v>
      </c>
      <c r="D191" s="243"/>
      <c r="E191" s="243"/>
      <c r="F191" s="243"/>
      <c r="G191" s="243"/>
      <c r="H191" s="244"/>
      <c r="I191" s="33"/>
    </row>
    <row r="192" spans="1:10" s="80" customFormat="1" ht="15.75" customHeight="1" x14ac:dyDescent="0.35">
      <c r="A192" s="91">
        <f t="shared" si="19"/>
        <v>10</v>
      </c>
      <c r="B192" s="92"/>
      <c r="C192" s="245"/>
      <c r="D192" s="246"/>
      <c r="E192" s="246"/>
      <c r="F192" s="246"/>
      <c r="G192" s="246"/>
      <c r="H192" s="247"/>
      <c r="I192" s="33"/>
    </row>
    <row r="193" spans="1:14" s="80" customFormat="1" ht="15.75" customHeight="1" x14ac:dyDescent="0.35">
      <c r="A193" s="91">
        <f t="shared" si="19"/>
        <v>11</v>
      </c>
      <c r="B193" s="92"/>
      <c r="C193" s="79" t="s">
        <v>312</v>
      </c>
      <c r="D193" s="66">
        <f>(5.24*2.75+6.8*7.77+3.39*1.58+1.85*1.43+1.3*1.2+1.35*1)*10.764</f>
        <v>841.28948279999986</v>
      </c>
      <c r="E193" s="77">
        <f>(1*5.24)*10.764</f>
        <v>56.403359999999999</v>
      </c>
      <c r="F193" s="79">
        <f>D193+(IF(E193&lt;201,E193,IF(E193&lt;301,E193/2,E193/3)))</f>
        <v>897.69284279999988</v>
      </c>
      <c r="G193" s="66">
        <v>0</v>
      </c>
      <c r="H193" s="79">
        <f t="shared" si="17"/>
        <v>1346.5392641999997</v>
      </c>
      <c r="I193" s="33"/>
    </row>
    <row r="194" spans="1:14" s="80" customFormat="1" ht="15.75" customHeight="1" x14ac:dyDescent="0.35">
      <c r="A194" s="91">
        <f t="shared" si="19"/>
        <v>12</v>
      </c>
      <c r="B194" s="92"/>
      <c r="C194" s="79" t="s">
        <v>312</v>
      </c>
      <c r="D194" s="66">
        <f>(3.43*1.5+6.48*6.49+4.98*2.18+1.35*2.03)*10.764</f>
        <v>654.41998440000009</v>
      </c>
      <c r="E194" s="77">
        <f>(1*6.48)*10.764</f>
        <v>69.750720000000001</v>
      </c>
      <c r="F194" s="79">
        <f>D194+(IF(E194&lt;201,E194,IF(E194&lt;301,E194/2,E194/3)))</f>
        <v>724.17070440000009</v>
      </c>
      <c r="G194" s="66">
        <v>0</v>
      </c>
      <c r="H194" s="79">
        <f t="shared" si="17"/>
        <v>1086.2560566000002</v>
      </c>
      <c r="I194" s="33"/>
    </row>
    <row r="195" spans="1:14" s="75" customFormat="1" x14ac:dyDescent="0.35">
      <c r="A195" s="91">
        <f t="shared" si="19"/>
        <v>13</v>
      </c>
      <c r="B195" s="92"/>
      <c r="C195" s="81" t="s">
        <v>312</v>
      </c>
      <c r="D195" s="66">
        <f>(3.52*1.2+7.56*5.74+4.71*2.93+1.35*1.88+1.35*1.35)*10.764</f>
        <v>708.04730879999988</v>
      </c>
      <c r="E195" s="77">
        <f>(1*4.71)*10.764</f>
        <v>50.698439999999998</v>
      </c>
      <c r="F195" s="81">
        <f>D195+(IF(E195&lt;201,E195,IF(E195&lt;301,E195/2,E195/3)))</f>
        <v>758.74574879999989</v>
      </c>
      <c r="G195" s="66">
        <v>0</v>
      </c>
      <c r="H195" s="81">
        <f t="shared" ref="H195" si="20">(F195+(IF(G195&lt;101,G195,IF(G195&lt;201,G195/2,IF(G195&lt;=301,G195/3,G195/4)))))*(($H$133)+1)</f>
        <v>1138.1186231999998</v>
      </c>
      <c r="I195" s="64"/>
      <c r="N195" s="33"/>
    </row>
    <row r="196" spans="1:14" s="75" customFormat="1" x14ac:dyDescent="0.35">
      <c r="A196" s="91">
        <f t="shared" si="19"/>
        <v>14</v>
      </c>
      <c r="B196" s="92"/>
      <c r="C196" s="81" t="s">
        <v>312</v>
      </c>
      <c r="D196" s="66">
        <f>(3.89*5.75+6.44*4.77+1.2*1.43+1.8*1.43+3.14*1.59)*10.764</f>
        <v>671.33883959999991</v>
      </c>
      <c r="E196" s="77">
        <f>(1*6.44)*10.764</f>
        <v>69.320160000000001</v>
      </c>
      <c r="F196" s="81">
        <f>D196+(IF(E196&lt;201,E196,IF(E196&lt;301,E196/2,E196/3)))</f>
        <v>740.6589995999999</v>
      </c>
      <c r="G196" s="66">
        <v>0</v>
      </c>
      <c r="H196" s="81">
        <f t="shared" ref="H196" si="21">(F196+(IF(G196&lt;101,G196,IF(G196&lt;201,G196/2,IF(G196&lt;=301,G196/3,G196/4)))))*(($H$133)+1)</f>
        <v>1110.9884993999999</v>
      </c>
      <c r="I196" s="64"/>
      <c r="J196" s="18"/>
    </row>
    <row r="197" spans="1:14" s="75" customFormat="1" ht="15.75" customHeight="1" x14ac:dyDescent="0.35">
      <c r="A197" s="91">
        <f t="shared" si="19"/>
        <v>15</v>
      </c>
      <c r="B197" s="92"/>
      <c r="C197" s="81" t="s">
        <v>312</v>
      </c>
      <c r="D197" s="77">
        <f>(8.68*12.1+2.28*5.6+1.25*1.8+1.25*1.8)*10.764</f>
        <v>1316.3941439999999</v>
      </c>
      <c r="E197" s="77">
        <f>(1*(13+10.8))*10.764</f>
        <v>256.1832</v>
      </c>
      <c r="F197" s="81">
        <f t="shared" ref="F197" si="22">D197+(IF(E197&lt;201,E197,IF(E197&lt;301,E197/2,E197/3)))</f>
        <v>1444.4857439999998</v>
      </c>
      <c r="G197" s="66">
        <v>0</v>
      </c>
      <c r="H197" s="81">
        <f t="shared" ref="H197" si="23">(F197+(IF(G197&lt;101,G197,IF(G197&lt;201,G197/2,IF(G197&lt;=301,G197/3,G197/4)))))*(($H$133)+1)</f>
        <v>2166.7286159999999</v>
      </c>
      <c r="I197" s="33"/>
    </row>
    <row r="198" spans="1:14" s="75" customFormat="1" ht="15.75" customHeight="1" x14ac:dyDescent="0.35">
      <c r="A198" s="93" t="s">
        <v>335</v>
      </c>
      <c r="B198" s="94"/>
      <c r="C198" s="94"/>
      <c r="D198" s="94"/>
      <c r="E198" s="94"/>
      <c r="F198" s="94"/>
      <c r="G198" s="94"/>
      <c r="H198" s="95"/>
      <c r="J198" s="33"/>
    </row>
    <row r="199" spans="1:14" s="75" customFormat="1" ht="15.75" customHeight="1" x14ac:dyDescent="0.35">
      <c r="A199" s="91">
        <v>1</v>
      </c>
      <c r="B199" s="92"/>
      <c r="C199" s="73" t="s">
        <v>312</v>
      </c>
      <c r="D199" s="77">
        <f>(12.62*7.57+3.64*3.15+4.23*2.3+6.48*3.55+5.95*3.55)*10.764</f>
        <v>1731.4421435999998</v>
      </c>
      <c r="E199" s="77">
        <f>(1*(13.82+0.75+0.95+9.5))*10.764</f>
        <v>269.31527999999997</v>
      </c>
      <c r="F199" s="73">
        <f>D199+(IF(E199&lt;201,E199,IF(E199&lt;301,E199/2,E199/3)))</f>
        <v>1866.0997835999997</v>
      </c>
      <c r="G199" s="66">
        <v>0</v>
      </c>
      <c r="H199" s="73">
        <f t="shared" ref="H199:H213" si="24">(F199+(IF(G199&lt;101,G199,IF(G199&lt;201,G199/2,IF(G199&lt;=301,G199/3,G199/4)))))*(($H$133)+1)</f>
        <v>2799.1496753999995</v>
      </c>
      <c r="I199" s="33"/>
    </row>
    <row r="200" spans="1:14" s="75" customFormat="1" ht="15.75" customHeight="1" x14ac:dyDescent="0.35">
      <c r="A200" s="91">
        <f t="shared" ref="A200:A213" si="25">A199+1</f>
        <v>2</v>
      </c>
      <c r="B200" s="92"/>
      <c r="C200" s="73" t="s">
        <v>312</v>
      </c>
      <c r="D200" s="77">
        <f>(4.81*1.35+5.78*7.07+1.35*1.8+4.28*2.7)*10.764</f>
        <v>660.3078923999999</v>
      </c>
      <c r="E200" s="77">
        <f>(1*5.78)*10.764</f>
        <v>62.215919999999997</v>
      </c>
      <c r="F200" s="73">
        <f>D200+(IF(E200&lt;201,E200,IF(E200&lt;301,E200/2,E200/3)))</f>
        <v>722.52381239999988</v>
      </c>
      <c r="G200" s="66">
        <v>0</v>
      </c>
      <c r="H200" s="73">
        <f t="shared" si="24"/>
        <v>1083.7857185999999</v>
      </c>
      <c r="I200" s="33"/>
    </row>
    <row r="201" spans="1:14" s="75" customFormat="1" ht="15.75" customHeight="1" x14ac:dyDescent="0.35">
      <c r="A201" s="91">
        <f t="shared" si="25"/>
        <v>3</v>
      </c>
      <c r="B201" s="92"/>
      <c r="C201" s="73" t="s">
        <v>312</v>
      </c>
      <c r="D201" s="66">
        <f>(2.86*1.35+5.78*7.07+4.28*2.7+1.35*1.8)*10.764</f>
        <v>631.9716623999999</v>
      </c>
      <c r="E201" s="77">
        <f>(1*4.28)*10.764</f>
        <v>46.069920000000003</v>
      </c>
      <c r="F201" s="73">
        <f t="shared" ref="F201:F213" si="26">D201+(IF(E201&lt;201,E201,IF(E201&lt;301,E201/2,E201/3)))</f>
        <v>678.04158239999992</v>
      </c>
      <c r="G201" s="66">
        <v>0</v>
      </c>
      <c r="H201" s="73">
        <f t="shared" si="24"/>
        <v>1017.0623735999999</v>
      </c>
      <c r="I201" s="33"/>
    </row>
    <row r="202" spans="1:14" s="75" customFormat="1" x14ac:dyDescent="0.35">
      <c r="A202" s="91">
        <f t="shared" si="25"/>
        <v>4</v>
      </c>
      <c r="B202" s="92"/>
      <c r="C202" s="73" t="s">
        <v>312</v>
      </c>
      <c r="D202" s="66">
        <f>(3.03*1.5+7.86*6+3.4*2.1+1.9*1.2+1.35*1.35)*10.764</f>
        <v>677.56689000000006</v>
      </c>
      <c r="E202" s="77">
        <f>(1*3.4)*10.764</f>
        <v>36.5976</v>
      </c>
      <c r="F202" s="73">
        <f t="shared" si="26"/>
        <v>714.16449000000011</v>
      </c>
      <c r="G202" s="66">
        <v>0</v>
      </c>
      <c r="H202" s="73">
        <f t="shared" si="24"/>
        <v>1071.2467350000002</v>
      </c>
      <c r="I202" s="33"/>
    </row>
    <row r="203" spans="1:14" s="75" customFormat="1" ht="15.75" customHeight="1" x14ac:dyDescent="0.35">
      <c r="A203" s="91">
        <f t="shared" si="25"/>
        <v>5</v>
      </c>
      <c r="B203" s="92"/>
      <c r="C203" s="73" t="s">
        <v>312</v>
      </c>
      <c r="D203" s="66">
        <f>(1.6*3.03+4.05*0.68+5.9*6.15+1.35*1.8+4.4*1.95)*10.764</f>
        <v>590.91130799999996</v>
      </c>
      <c r="E203" s="77">
        <f>(1*6.05)*10.764</f>
        <v>65.122199999999992</v>
      </c>
      <c r="F203" s="73">
        <f t="shared" si="26"/>
        <v>656.03350799999998</v>
      </c>
      <c r="G203" s="66">
        <v>0</v>
      </c>
      <c r="H203" s="73">
        <f t="shared" si="24"/>
        <v>984.05026199999998</v>
      </c>
      <c r="I203" s="33"/>
    </row>
    <row r="204" spans="1:14" s="75" customFormat="1" ht="15.75" customHeight="1" x14ac:dyDescent="0.35">
      <c r="A204" s="91">
        <f t="shared" si="25"/>
        <v>6</v>
      </c>
      <c r="B204" s="92"/>
      <c r="C204" s="73" t="s">
        <v>312</v>
      </c>
      <c r="D204" s="66">
        <f>(3.6*1.35+5.55*5.72+1.2*1.8+4.88*4.05+0.7*1.2)*10.764</f>
        <v>639.05867999999998</v>
      </c>
      <c r="E204" s="77">
        <f>(1*4.3)*10.764</f>
        <v>46.285199999999996</v>
      </c>
      <c r="F204" s="73">
        <f t="shared" si="26"/>
        <v>685.34388000000001</v>
      </c>
      <c r="G204" s="66">
        <v>0</v>
      </c>
      <c r="H204" s="73">
        <f t="shared" si="24"/>
        <v>1028.0158200000001</v>
      </c>
      <c r="I204" s="33"/>
    </row>
    <row r="205" spans="1:14" s="75" customFormat="1" ht="15.75" customHeight="1" x14ac:dyDescent="0.35">
      <c r="A205" s="91">
        <f t="shared" si="25"/>
        <v>7</v>
      </c>
      <c r="B205" s="92"/>
      <c r="C205" s="73" t="s">
        <v>312</v>
      </c>
      <c r="D205" s="66">
        <f>(2.4*2.53+4.65*5.74+1.35*1.95+3.15*2.85)*10.764</f>
        <v>477.63097200000004</v>
      </c>
      <c r="E205" s="77">
        <f>(1*3.15)*10.764</f>
        <v>33.906599999999997</v>
      </c>
      <c r="F205" s="73">
        <f t="shared" si="26"/>
        <v>511.53757200000007</v>
      </c>
      <c r="G205" s="66">
        <v>0</v>
      </c>
      <c r="H205" s="73">
        <f t="shared" si="24"/>
        <v>767.30635800000005</v>
      </c>
      <c r="I205" s="33"/>
    </row>
    <row r="206" spans="1:14" s="75" customFormat="1" ht="15.75" customHeight="1" x14ac:dyDescent="0.35">
      <c r="A206" s="91">
        <f t="shared" si="25"/>
        <v>8</v>
      </c>
      <c r="B206" s="92"/>
      <c r="C206" s="73" t="s">
        <v>312</v>
      </c>
      <c r="D206" s="66">
        <f>(3.99*2.15+6.03*7.79+1.2*2)*10.764</f>
        <v>623.7974807999999</v>
      </c>
      <c r="E206" s="77">
        <f>(1*(6.15+8.85))*10.764</f>
        <v>161.45999999999998</v>
      </c>
      <c r="F206" s="73">
        <f t="shared" si="26"/>
        <v>785.25748079999994</v>
      </c>
      <c r="G206" s="66">
        <v>0</v>
      </c>
      <c r="H206" s="73">
        <f t="shared" si="24"/>
        <v>1177.8862211999999</v>
      </c>
      <c r="I206" s="33"/>
    </row>
    <row r="207" spans="1:14" s="75" customFormat="1" x14ac:dyDescent="0.35">
      <c r="A207" s="91">
        <f t="shared" si="25"/>
        <v>9</v>
      </c>
      <c r="B207" s="92"/>
      <c r="C207" s="73" t="s">
        <v>312</v>
      </c>
      <c r="D207" s="66">
        <f>(8.31*7.78+1.6*1.5+1.8*1.35)*10.764</f>
        <v>747.90209520000019</v>
      </c>
      <c r="E207" s="77">
        <f>(1*(9.1+8.08))*10.764</f>
        <v>184.92551999999998</v>
      </c>
      <c r="F207" s="73">
        <f t="shared" si="26"/>
        <v>932.8276152000002</v>
      </c>
      <c r="G207" s="66">
        <v>0</v>
      </c>
      <c r="H207" s="73">
        <f t="shared" si="24"/>
        <v>1399.2414228000002</v>
      </c>
      <c r="I207" s="33"/>
    </row>
    <row r="208" spans="1:14" s="75" customFormat="1" x14ac:dyDescent="0.35">
      <c r="A208" s="91">
        <f t="shared" si="25"/>
        <v>10</v>
      </c>
      <c r="B208" s="92"/>
      <c r="C208" s="87" t="s">
        <v>312</v>
      </c>
      <c r="D208" s="88">
        <f>(4.47*3+6.12*4.25+3.32*2.1+1.3*1.2+1.2*1.2)*10.764</f>
        <v>531.65548799999999</v>
      </c>
      <c r="E208" s="89">
        <f>(1*3.62)*10.764</f>
        <v>38.965679999999999</v>
      </c>
      <c r="F208" s="73">
        <f t="shared" si="26"/>
        <v>570.62116800000001</v>
      </c>
      <c r="G208" s="66">
        <v>0</v>
      </c>
      <c r="H208" s="73">
        <f t="shared" si="24"/>
        <v>855.93175199999996</v>
      </c>
      <c r="I208" s="33"/>
    </row>
    <row r="209" spans="1:14" s="75" customFormat="1" ht="15.75" customHeight="1" x14ac:dyDescent="0.35">
      <c r="A209" s="91">
        <f t="shared" si="25"/>
        <v>11</v>
      </c>
      <c r="B209" s="92"/>
      <c r="C209" s="87" t="s">
        <v>312</v>
      </c>
      <c r="D209" s="88">
        <f>(5.35*10.52+3.39*1.58+1.8*1.43)*10.764</f>
        <v>691.18012079999994</v>
      </c>
      <c r="E209" s="89">
        <f>(1*5.35)*10.764</f>
        <v>57.587399999999995</v>
      </c>
      <c r="F209" s="73">
        <f t="shared" si="26"/>
        <v>748.76752079999994</v>
      </c>
      <c r="G209" s="66">
        <v>0</v>
      </c>
      <c r="H209" s="73">
        <f t="shared" si="24"/>
        <v>1123.1512811999999</v>
      </c>
      <c r="I209" s="33"/>
    </row>
    <row r="210" spans="1:14" s="75" customFormat="1" ht="15.75" customHeight="1" x14ac:dyDescent="0.35">
      <c r="A210" s="91">
        <f t="shared" si="25"/>
        <v>12</v>
      </c>
      <c r="B210" s="92"/>
      <c r="C210" s="87" t="s">
        <v>312</v>
      </c>
      <c r="D210" s="89">
        <f>(3.43*1.5+6.48*6.49+1.35*2.03+4.98*2.18)*10.764</f>
        <v>654.41998440000009</v>
      </c>
      <c r="E210" s="89">
        <f>(1*6.48)*10.764</f>
        <v>69.750720000000001</v>
      </c>
      <c r="F210" s="73">
        <f t="shared" si="26"/>
        <v>724.17070440000009</v>
      </c>
      <c r="G210" s="66">
        <v>0</v>
      </c>
      <c r="H210" s="73">
        <f t="shared" si="24"/>
        <v>1086.2560566000002</v>
      </c>
      <c r="I210" s="33"/>
    </row>
    <row r="211" spans="1:14" s="80" customFormat="1" x14ac:dyDescent="0.35">
      <c r="A211" s="91">
        <f t="shared" si="25"/>
        <v>13</v>
      </c>
      <c r="B211" s="92"/>
      <c r="C211" s="87" t="s">
        <v>312</v>
      </c>
      <c r="D211" s="89">
        <f>(3.52*1.2+7.56*5.74+4.71*2.93+1.35*1.88+1.35*1.35)*10.764</f>
        <v>708.04730879999988</v>
      </c>
      <c r="E211" s="89">
        <f>(1*4.71)*10.764</f>
        <v>50.698439999999998</v>
      </c>
      <c r="F211" s="73">
        <f t="shared" si="26"/>
        <v>758.74574879999989</v>
      </c>
      <c r="G211" s="66">
        <v>0</v>
      </c>
      <c r="H211" s="73">
        <f t="shared" si="24"/>
        <v>1138.1186231999998</v>
      </c>
      <c r="I211" s="64"/>
      <c r="N211" s="33"/>
    </row>
    <row r="212" spans="1:14" s="80" customFormat="1" x14ac:dyDescent="0.35">
      <c r="A212" s="91">
        <f t="shared" si="25"/>
        <v>14</v>
      </c>
      <c r="B212" s="92"/>
      <c r="C212" s="87" t="s">
        <v>312</v>
      </c>
      <c r="D212" s="89">
        <f>(3.89*5.75+6.44*4.77+1.2*1.43+1.8*1.43+3.14*1.58)*10.764</f>
        <v>671.0008499999999</v>
      </c>
      <c r="E212" s="89">
        <f>(1*6.44)*10.764</f>
        <v>69.320160000000001</v>
      </c>
      <c r="F212" s="73">
        <f t="shared" si="26"/>
        <v>740.32100999999989</v>
      </c>
      <c r="G212" s="66">
        <v>0</v>
      </c>
      <c r="H212" s="73">
        <f t="shared" si="24"/>
        <v>1110.4815149999999</v>
      </c>
      <c r="I212" s="64"/>
      <c r="J212" s="18"/>
    </row>
    <row r="213" spans="1:14" s="80" customFormat="1" ht="15.75" customHeight="1" x14ac:dyDescent="0.35">
      <c r="A213" s="91">
        <f t="shared" si="25"/>
        <v>15</v>
      </c>
      <c r="B213" s="92"/>
      <c r="C213" s="73" t="s">
        <v>312</v>
      </c>
      <c r="D213" s="77">
        <f>(8.68*12.1+2.28*5.6+1.25*1.8+1.25*1.8)*10.764</f>
        <v>1316.3941439999999</v>
      </c>
      <c r="E213" s="77">
        <f>(1*(13+10.8))*10.764</f>
        <v>256.1832</v>
      </c>
      <c r="F213" s="73">
        <f t="shared" si="26"/>
        <v>1444.4857439999998</v>
      </c>
      <c r="G213" s="66">
        <v>0</v>
      </c>
      <c r="H213" s="73">
        <f t="shared" si="24"/>
        <v>2166.7286159999999</v>
      </c>
      <c r="I213" s="33"/>
    </row>
    <row r="214" spans="1:14" s="80" customFormat="1" ht="15.75" customHeight="1" x14ac:dyDescent="0.35">
      <c r="A214" s="93" t="s">
        <v>347</v>
      </c>
      <c r="B214" s="94"/>
      <c r="C214" s="94"/>
      <c r="D214" s="94"/>
      <c r="E214" s="94"/>
      <c r="F214" s="94"/>
      <c r="G214" s="94"/>
      <c r="H214" s="95"/>
      <c r="J214" s="33"/>
    </row>
    <row r="215" spans="1:14" s="80" customFormat="1" ht="15.75" customHeight="1" x14ac:dyDescent="0.35">
      <c r="A215" s="91">
        <v>1</v>
      </c>
      <c r="B215" s="92"/>
      <c r="C215" s="81" t="s">
        <v>312</v>
      </c>
      <c r="D215" s="77">
        <f>(12.62*7.57+3.64*3.15+4.23*2.3+6.48*3.55+5.95*3.55)*10.764</f>
        <v>1731.4421435999998</v>
      </c>
      <c r="E215" s="77">
        <f>(1*(13.82+0.75+0.95+9.5))*10.764</f>
        <v>269.31527999999997</v>
      </c>
      <c r="F215" s="81">
        <f>D215+(IF(E215&lt;201,E215,IF(E215&lt;301,E215/2,E215/3)))</f>
        <v>1866.0997835999997</v>
      </c>
      <c r="G215" s="66">
        <v>0</v>
      </c>
      <c r="H215" s="81">
        <f t="shared" ref="H215:H222" si="27">(F215+(IF(G215&lt;101,G215,IF(G215&lt;201,G215/2,IF(G215&lt;=301,G215/3,G215/4)))))*(($H$133)+1)</f>
        <v>2799.1496753999995</v>
      </c>
      <c r="I215" s="33"/>
    </row>
    <row r="216" spans="1:14" s="80" customFormat="1" ht="15.75" customHeight="1" x14ac:dyDescent="0.35">
      <c r="A216" s="91">
        <f t="shared" ref="A216:A229" si="28">A215+1</f>
        <v>2</v>
      </c>
      <c r="B216" s="92"/>
      <c r="C216" s="81" t="s">
        <v>312</v>
      </c>
      <c r="D216" s="77">
        <f>(4.81*1.35+5.78*7.07+1.35*1.8+4.28*2.7)*10.764</f>
        <v>660.3078923999999</v>
      </c>
      <c r="E216" s="77">
        <f>(1*5.78)*10.764</f>
        <v>62.215919999999997</v>
      </c>
      <c r="F216" s="81">
        <f>D216+(IF(E216&lt;201,E216,IF(E216&lt;301,E216/2,E216/3)))</f>
        <v>722.52381239999988</v>
      </c>
      <c r="G216" s="66">
        <v>0</v>
      </c>
      <c r="H216" s="81">
        <f t="shared" si="27"/>
        <v>1083.7857185999999</v>
      </c>
      <c r="I216" s="33"/>
    </row>
    <row r="217" spans="1:14" s="80" customFormat="1" ht="15.75" customHeight="1" x14ac:dyDescent="0.35">
      <c r="A217" s="91">
        <f t="shared" si="28"/>
        <v>3</v>
      </c>
      <c r="B217" s="92"/>
      <c r="C217" s="81" t="s">
        <v>312</v>
      </c>
      <c r="D217" s="66">
        <f>(2.86*1.35+5.78*7.07+4.28*2.7+1.35*1.8)*10.764</f>
        <v>631.9716623999999</v>
      </c>
      <c r="E217" s="77">
        <f>(1*4.28)*10.764</f>
        <v>46.069920000000003</v>
      </c>
      <c r="F217" s="81">
        <f t="shared" ref="F217:F229" si="29">D217+(IF(E217&lt;201,E217,IF(E217&lt;301,E217/2,E217/3)))</f>
        <v>678.04158239999992</v>
      </c>
      <c r="G217" s="66">
        <v>0</v>
      </c>
      <c r="H217" s="81">
        <f t="shared" si="27"/>
        <v>1017.0623735999999</v>
      </c>
      <c r="I217" s="33"/>
    </row>
    <row r="218" spans="1:14" s="80" customFormat="1" x14ac:dyDescent="0.35">
      <c r="A218" s="91">
        <f t="shared" si="28"/>
        <v>4</v>
      </c>
      <c r="B218" s="92"/>
      <c r="C218" s="81" t="s">
        <v>312</v>
      </c>
      <c r="D218" s="66">
        <f>(3.03*1.5+7.86*6+3.4*2.1+1.9*1.2+1.35*1.35)*10.764</f>
        <v>677.56689000000006</v>
      </c>
      <c r="E218" s="77">
        <f>(1*3.4)*10.764</f>
        <v>36.5976</v>
      </c>
      <c r="F218" s="81">
        <f t="shared" si="29"/>
        <v>714.16449000000011</v>
      </c>
      <c r="G218" s="66">
        <v>0</v>
      </c>
      <c r="H218" s="81">
        <f t="shared" si="27"/>
        <v>1071.2467350000002</v>
      </c>
      <c r="I218" s="33"/>
    </row>
    <row r="219" spans="1:14" s="80" customFormat="1" ht="15.75" customHeight="1" x14ac:dyDescent="0.35">
      <c r="A219" s="91">
        <f t="shared" si="28"/>
        <v>5</v>
      </c>
      <c r="B219" s="92"/>
      <c r="C219" s="81" t="s">
        <v>312</v>
      </c>
      <c r="D219" s="66">
        <f>(1.6*3.03+4.05*0.68+5.9*6.15+1.35*1.8+4.4*1.95)*10.764</f>
        <v>590.91130799999996</v>
      </c>
      <c r="E219" s="77">
        <f>(1*6.05)*10.764</f>
        <v>65.122199999999992</v>
      </c>
      <c r="F219" s="81">
        <f t="shared" si="29"/>
        <v>656.03350799999998</v>
      </c>
      <c r="G219" s="66">
        <v>0</v>
      </c>
      <c r="H219" s="81">
        <f t="shared" si="27"/>
        <v>984.05026199999998</v>
      </c>
      <c r="I219" s="33"/>
    </row>
    <row r="220" spans="1:14" s="80" customFormat="1" ht="15.75" customHeight="1" x14ac:dyDescent="0.35">
      <c r="A220" s="91">
        <f t="shared" si="28"/>
        <v>6</v>
      </c>
      <c r="B220" s="92"/>
      <c r="C220" s="81" t="s">
        <v>312</v>
      </c>
      <c r="D220" s="66">
        <f>(3.6*1.35+5.55*5.72+1.2*1.8+4.88*4.05+0.7*1.2)*10.764</f>
        <v>639.05867999999998</v>
      </c>
      <c r="E220" s="77">
        <f>(1*4.3)*10.764</f>
        <v>46.285199999999996</v>
      </c>
      <c r="F220" s="81">
        <f t="shared" si="29"/>
        <v>685.34388000000001</v>
      </c>
      <c r="G220" s="66">
        <v>0</v>
      </c>
      <c r="H220" s="81">
        <f t="shared" si="27"/>
        <v>1028.0158200000001</v>
      </c>
      <c r="I220" s="33"/>
    </row>
    <row r="221" spans="1:14" s="80" customFormat="1" ht="15.75" customHeight="1" x14ac:dyDescent="0.35">
      <c r="A221" s="91">
        <f t="shared" si="28"/>
        <v>7</v>
      </c>
      <c r="B221" s="92"/>
      <c r="C221" s="81" t="s">
        <v>312</v>
      </c>
      <c r="D221" s="66">
        <f>(2.4*2.53+4.65*5.74+1.35*1.95+3.15*2.85)*10.764</f>
        <v>477.63097200000004</v>
      </c>
      <c r="E221" s="77">
        <f>(1*3.15)*10.764</f>
        <v>33.906599999999997</v>
      </c>
      <c r="F221" s="81">
        <f t="shared" si="29"/>
        <v>511.53757200000007</v>
      </c>
      <c r="G221" s="66">
        <v>0</v>
      </c>
      <c r="H221" s="81">
        <f t="shared" si="27"/>
        <v>767.30635800000005</v>
      </c>
      <c r="I221" s="33"/>
    </row>
    <row r="222" spans="1:14" s="80" customFormat="1" ht="15.75" customHeight="1" x14ac:dyDescent="0.35">
      <c r="A222" s="91">
        <f t="shared" si="28"/>
        <v>8</v>
      </c>
      <c r="B222" s="92"/>
      <c r="C222" s="81" t="s">
        <v>312</v>
      </c>
      <c r="D222" s="66">
        <f>(3.99*2.15+6.03*7.79+1.2*2)*10.764</f>
        <v>623.7974807999999</v>
      </c>
      <c r="E222" s="77">
        <f>(1*(6.15+8.85))*10.764</f>
        <v>161.45999999999998</v>
      </c>
      <c r="F222" s="81">
        <f t="shared" si="29"/>
        <v>785.25748079999994</v>
      </c>
      <c r="G222" s="66">
        <v>0</v>
      </c>
      <c r="H222" s="81">
        <f t="shared" si="27"/>
        <v>1177.8862211999999</v>
      </c>
      <c r="I222" s="33"/>
    </row>
    <row r="223" spans="1:14" s="80" customFormat="1" x14ac:dyDescent="0.35">
      <c r="A223" s="91">
        <f t="shared" si="28"/>
        <v>9</v>
      </c>
      <c r="B223" s="92"/>
      <c r="C223" s="248" t="s">
        <v>334</v>
      </c>
      <c r="D223" s="249"/>
      <c r="E223" s="249"/>
      <c r="F223" s="249"/>
      <c r="G223" s="249"/>
      <c r="H223" s="250"/>
      <c r="I223" s="33"/>
    </row>
    <row r="224" spans="1:14" s="80" customFormat="1" x14ac:dyDescent="0.35">
      <c r="A224" s="91">
        <f t="shared" si="28"/>
        <v>10</v>
      </c>
      <c r="B224" s="92"/>
      <c r="C224" s="251"/>
      <c r="D224" s="252"/>
      <c r="E224" s="252"/>
      <c r="F224" s="252"/>
      <c r="G224" s="252"/>
      <c r="H224" s="253"/>
      <c r="I224" s="33"/>
    </row>
    <row r="225" spans="1:14" s="80" customFormat="1" ht="15.75" customHeight="1" x14ac:dyDescent="0.35">
      <c r="A225" s="91">
        <f t="shared" si="28"/>
        <v>11</v>
      </c>
      <c r="B225" s="92"/>
      <c r="C225" s="81" t="s">
        <v>312</v>
      </c>
      <c r="D225" s="66">
        <f>(6.8*7.77+3.39*1.58+5.24*2.75+1.8*1.43+1.3*1.2)*10.764</f>
        <v>825.98845679999988</v>
      </c>
      <c r="E225" s="77">
        <f>(1*6.8)*10.764</f>
        <v>73.1952</v>
      </c>
      <c r="F225" s="81">
        <f t="shared" si="29"/>
        <v>899.18365679999988</v>
      </c>
      <c r="G225" s="66">
        <v>0</v>
      </c>
      <c r="H225" s="81">
        <f>(F225+(IF(G225&lt;101,G225,IF(G225&lt;201,G225/2,IF(G225&lt;=301,G225/3,G225/4)))))*(($H$133)+1)</f>
        <v>1348.7754851999998</v>
      </c>
      <c r="I225" s="33"/>
    </row>
    <row r="226" spans="1:14" s="80" customFormat="1" ht="15.75" customHeight="1" x14ac:dyDescent="0.35">
      <c r="A226" s="91">
        <f t="shared" si="28"/>
        <v>12</v>
      </c>
      <c r="B226" s="92"/>
      <c r="C226" s="81" t="s">
        <v>312</v>
      </c>
      <c r="D226" s="77">
        <f>(3.43*1.5+6.48*6.49+1.35*2.03+4.98*2.18)*10.764</f>
        <v>654.41998440000009</v>
      </c>
      <c r="E226" s="77">
        <f>(1*6.48)*10.764</f>
        <v>69.750720000000001</v>
      </c>
      <c r="F226" s="81">
        <f t="shared" si="29"/>
        <v>724.17070440000009</v>
      </c>
      <c r="G226" s="66">
        <v>0</v>
      </c>
      <c r="H226" s="81">
        <f>(F226+(IF(G226&lt;101,G226,IF(G226&lt;201,G226/2,IF(G226&lt;=301,G226/3,G226/4)))))*(($H$133)+1)</f>
        <v>1086.2560566000002</v>
      </c>
      <c r="I226" s="33"/>
    </row>
    <row r="227" spans="1:14" s="80" customFormat="1" x14ac:dyDescent="0.35">
      <c r="A227" s="91">
        <f t="shared" si="28"/>
        <v>13</v>
      </c>
      <c r="B227" s="92"/>
      <c r="C227" s="81" t="s">
        <v>312</v>
      </c>
      <c r="D227" s="77">
        <f>(3.52*1.2+7.56*5.74+4.71*2.93+1.35*1.88+1.35*1.35)*10.764</f>
        <v>708.04730879999988</v>
      </c>
      <c r="E227" s="77">
        <f>(1*4.71)*10.764</f>
        <v>50.698439999999998</v>
      </c>
      <c r="F227" s="81">
        <f t="shared" si="29"/>
        <v>758.74574879999989</v>
      </c>
      <c r="G227" s="66">
        <v>0</v>
      </c>
      <c r="H227" s="81">
        <f>(F227+(IF(G227&lt;101,G227,IF(G227&lt;201,G227/2,IF(G227&lt;=301,G227/3,G227/4)))))*(($H$133)+1)</f>
        <v>1138.1186231999998</v>
      </c>
      <c r="I227" s="64"/>
      <c r="N227" s="33"/>
    </row>
    <row r="228" spans="1:14" s="80" customFormat="1" x14ac:dyDescent="0.35">
      <c r="A228" s="91">
        <f t="shared" si="28"/>
        <v>14</v>
      </c>
      <c r="B228" s="92"/>
      <c r="C228" s="81" t="s">
        <v>312</v>
      </c>
      <c r="D228" s="77">
        <f>(3.89*5.75+6.44*4.77+1.2*1.43+1.8*1.43+3.14*1.58)*10.764</f>
        <v>671.0008499999999</v>
      </c>
      <c r="E228" s="77">
        <f>(1*6.44)*10.764</f>
        <v>69.320160000000001</v>
      </c>
      <c r="F228" s="81">
        <f t="shared" si="29"/>
        <v>740.32100999999989</v>
      </c>
      <c r="G228" s="66">
        <v>0</v>
      </c>
      <c r="H228" s="81">
        <f>(F228+(IF(G228&lt;101,G228,IF(G228&lt;201,G228/2,IF(G228&lt;=301,G228/3,G228/4)))))*(($H$133)+1)</f>
        <v>1110.4815149999999</v>
      </c>
      <c r="I228" s="64"/>
      <c r="J228" s="18"/>
    </row>
    <row r="229" spans="1:14" s="80" customFormat="1" ht="15.75" customHeight="1" x14ac:dyDescent="0.35">
      <c r="A229" s="91">
        <f t="shared" si="28"/>
        <v>15</v>
      </c>
      <c r="B229" s="92"/>
      <c r="C229" s="81" t="s">
        <v>312</v>
      </c>
      <c r="D229" s="77">
        <f>(8.68*12.1+2.28*5.6+1.25*1.8+1.25*1.8)*10.764</f>
        <v>1316.3941439999999</v>
      </c>
      <c r="E229" s="77">
        <f>(1*(13+10.8))*10.764</f>
        <v>256.1832</v>
      </c>
      <c r="F229" s="81">
        <f t="shared" si="29"/>
        <v>1444.4857439999998</v>
      </c>
      <c r="G229" s="66">
        <v>0</v>
      </c>
      <c r="H229" s="81">
        <f>(F229+(IF(G229&lt;101,G229,IF(G229&lt;201,G229/2,IF(G229&lt;=301,G229/3,G229/4)))))*(($H$133)+1)</f>
        <v>2166.7286159999999</v>
      </c>
      <c r="I229" s="33"/>
    </row>
    <row r="230" spans="1:14" s="80" customFormat="1" ht="15.75" customHeight="1" x14ac:dyDescent="0.35">
      <c r="A230" s="93" t="s">
        <v>348</v>
      </c>
      <c r="B230" s="94"/>
      <c r="C230" s="94"/>
      <c r="D230" s="94"/>
      <c r="E230" s="94"/>
      <c r="F230" s="94"/>
      <c r="G230" s="94"/>
      <c r="H230" s="95"/>
      <c r="J230" s="33"/>
    </row>
    <row r="231" spans="1:14" s="80" customFormat="1" ht="15.75" customHeight="1" x14ac:dyDescent="0.35">
      <c r="A231" s="91">
        <v>1</v>
      </c>
      <c r="B231" s="92"/>
      <c r="C231" s="81" t="s">
        <v>351</v>
      </c>
      <c r="D231" s="77">
        <f>(12.62*7.57+3.64*3.15+4.23*2.3+6.48*3.55+5.95*3.55)*10.764</f>
        <v>1731.4421435999998</v>
      </c>
      <c r="E231" s="77">
        <f>(1*(13.82+0.75+0.95+9.5))*10.764</f>
        <v>269.31527999999997</v>
      </c>
      <c r="F231" s="81">
        <f>D231+(IF(E231&lt;201,E231,IF(E231&lt;301,E231/2,E231/3)))</f>
        <v>1866.0997835999997</v>
      </c>
      <c r="G231" s="66">
        <v>0</v>
      </c>
      <c r="H231" s="81">
        <f t="shared" ref="H231:H245" si="30">(F231+(IF(G231&lt;101,G231,IF(G231&lt;201,G231/2,IF(G231&lt;=301,G231/3,G231/4)))))*(($H$133)+1)</f>
        <v>2799.1496753999995</v>
      </c>
      <c r="I231" s="33"/>
    </row>
    <row r="232" spans="1:14" s="80" customFormat="1" ht="15.75" customHeight="1" x14ac:dyDescent="0.35">
      <c r="A232" s="91">
        <f t="shared" ref="A232:A245" si="31">A231+1</f>
        <v>2</v>
      </c>
      <c r="B232" s="92"/>
      <c r="C232" s="83" t="s">
        <v>351</v>
      </c>
      <c r="D232" s="77">
        <f>(4.81*1.35+5.78*7.07+1.35*1.8+4.28*2.7)*10.764</f>
        <v>660.3078923999999</v>
      </c>
      <c r="E232" s="77">
        <f>(1*5.78)*10.764</f>
        <v>62.215919999999997</v>
      </c>
      <c r="F232" s="81">
        <f>D232+(IF(E232&lt;201,E232,IF(E232&lt;301,E232/2,E232/3)))</f>
        <v>722.52381239999988</v>
      </c>
      <c r="G232" s="66">
        <v>0</v>
      </c>
      <c r="H232" s="81">
        <f t="shared" si="30"/>
        <v>1083.7857185999999</v>
      </c>
      <c r="I232" s="33"/>
    </row>
    <row r="233" spans="1:14" s="80" customFormat="1" ht="15.75" customHeight="1" x14ac:dyDescent="0.35">
      <c r="A233" s="91">
        <f t="shared" si="31"/>
        <v>3</v>
      </c>
      <c r="B233" s="92"/>
      <c r="C233" s="83" t="s">
        <v>351</v>
      </c>
      <c r="D233" s="66">
        <f>(2.86*1.35+5.78*7.07+4.28*2.7+1.35*1.8)*10.764</f>
        <v>631.9716623999999</v>
      </c>
      <c r="E233" s="77">
        <f>(1*4.28)*10.764</f>
        <v>46.069920000000003</v>
      </c>
      <c r="F233" s="81">
        <f t="shared" ref="F233:F245" si="32">D233+(IF(E233&lt;201,E233,IF(E233&lt;301,E233/2,E233/3)))</f>
        <v>678.04158239999992</v>
      </c>
      <c r="G233" s="66">
        <v>0</v>
      </c>
      <c r="H233" s="81">
        <f t="shared" si="30"/>
        <v>1017.0623735999999</v>
      </c>
      <c r="I233" s="33"/>
    </row>
    <row r="234" spans="1:14" s="80" customFormat="1" x14ac:dyDescent="0.35">
      <c r="A234" s="91">
        <f t="shared" si="31"/>
        <v>4</v>
      </c>
      <c r="B234" s="92"/>
      <c r="C234" s="83" t="s">
        <v>351</v>
      </c>
      <c r="D234" s="66">
        <f>(3.03*1.5+7.86*6+3.4*2.1+1.9*1.2+1.35*1.35)*10.764</f>
        <v>677.56689000000006</v>
      </c>
      <c r="E234" s="77">
        <f>(1*3.4)*10.764</f>
        <v>36.5976</v>
      </c>
      <c r="F234" s="81">
        <f t="shared" si="32"/>
        <v>714.16449000000011</v>
      </c>
      <c r="G234" s="66">
        <v>0</v>
      </c>
      <c r="H234" s="81">
        <f t="shared" si="30"/>
        <v>1071.2467350000002</v>
      </c>
      <c r="I234" s="33"/>
    </row>
    <row r="235" spans="1:14" s="80" customFormat="1" ht="15.75" customHeight="1" x14ac:dyDescent="0.35">
      <c r="A235" s="91">
        <f t="shared" si="31"/>
        <v>5</v>
      </c>
      <c r="B235" s="92"/>
      <c r="C235" s="83" t="s">
        <v>351</v>
      </c>
      <c r="D235" s="66">
        <f>(1.6*3.03+4.05*0.68+5.9*6.15+1.35*1.8+4.4*1.95)*10.764</f>
        <v>590.91130799999996</v>
      </c>
      <c r="E235" s="77">
        <f>(1*6.05)*10.764</f>
        <v>65.122199999999992</v>
      </c>
      <c r="F235" s="81">
        <f t="shared" si="32"/>
        <v>656.03350799999998</v>
      </c>
      <c r="G235" s="66">
        <v>0</v>
      </c>
      <c r="H235" s="81">
        <f t="shared" si="30"/>
        <v>984.05026199999998</v>
      </c>
      <c r="I235" s="33"/>
    </row>
    <row r="236" spans="1:14" s="80" customFormat="1" ht="15.75" customHeight="1" x14ac:dyDescent="0.35">
      <c r="A236" s="91">
        <f t="shared" si="31"/>
        <v>6</v>
      </c>
      <c r="B236" s="92"/>
      <c r="C236" s="83" t="s">
        <v>351</v>
      </c>
      <c r="D236" s="66">
        <f>(3.6*1.35+5.55*5.72+1.2*1.8+4.88*4.05+0.7*1.2)*10.764</f>
        <v>639.05867999999998</v>
      </c>
      <c r="E236" s="77">
        <f>(1*4.3)*10.764</f>
        <v>46.285199999999996</v>
      </c>
      <c r="F236" s="81">
        <f t="shared" si="32"/>
        <v>685.34388000000001</v>
      </c>
      <c r="G236" s="66">
        <v>0</v>
      </c>
      <c r="H236" s="81">
        <f t="shared" si="30"/>
        <v>1028.0158200000001</v>
      </c>
      <c r="I236" s="33"/>
    </row>
    <row r="237" spans="1:14" s="80" customFormat="1" ht="15.75" customHeight="1" x14ac:dyDescent="0.35">
      <c r="A237" s="91">
        <f t="shared" si="31"/>
        <v>7</v>
      </c>
      <c r="B237" s="92"/>
      <c r="C237" s="83" t="s">
        <v>351</v>
      </c>
      <c r="D237" s="66">
        <f>(2.4*2.53+4.65*5.74+1.35*1.95+3.15*2.85)*10.764</f>
        <v>477.63097200000004</v>
      </c>
      <c r="E237" s="77">
        <f>(1*3.15)*10.764</f>
        <v>33.906599999999997</v>
      </c>
      <c r="F237" s="81">
        <f t="shared" si="32"/>
        <v>511.53757200000007</v>
      </c>
      <c r="G237" s="66">
        <v>0</v>
      </c>
      <c r="H237" s="81">
        <f t="shared" si="30"/>
        <v>767.30635800000005</v>
      </c>
      <c r="I237" s="33"/>
    </row>
    <row r="238" spans="1:14" s="80" customFormat="1" ht="15.75" customHeight="1" x14ac:dyDescent="0.35">
      <c r="A238" s="91">
        <f t="shared" si="31"/>
        <v>8</v>
      </c>
      <c r="B238" s="92"/>
      <c r="C238" s="83" t="s">
        <v>351</v>
      </c>
      <c r="D238" s="66">
        <f>(3.99*2.15+6.03*7.79+1.2*2)*10.764</f>
        <v>623.7974807999999</v>
      </c>
      <c r="E238" s="77">
        <f>(1*(6.15+8.85))*10.764</f>
        <v>161.45999999999998</v>
      </c>
      <c r="F238" s="81">
        <f t="shared" si="32"/>
        <v>785.25748079999994</v>
      </c>
      <c r="G238" s="66">
        <v>0</v>
      </c>
      <c r="H238" s="81">
        <f t="shared" si="30"/>
        <v>1177.8862211999999</v>
      </c>
      <c r="I238" s="33"/>
    </row>
    <row r="239" spans="1:14" s="80" customFormat="1" x14ac:dyDescent="0.35">
      <c r="A239" s="91">
        <f t="shared" si="31"/>
        <v>9</v>
      </c>
      <c r="B239" s="92"/>
      <c r="C239" s="83" t="s">
        <v>351</v>
      </c>
      <c r="D239" s="66">
        <f>(8.31*7.78+1.6*1.5+1.8*1.35)*10.764</f>
        <v>747.90209520000019</v>
      </c>
      <c r="E239" s="77">
        <f>(1*(9.1+8.08))*10.764</f>
        <v>184.92551999999998</v>
      </c>
      <c r="F239" s="81">
        <f t="shared" si="32"/>
        <v>932.8276152000002</v>
      </c>
      <c r="G239" s="66">
        <v>0</v>
      </c>
      <c r="H239" s="81">
        <f t="shared" si="30"/>
        <v>1399.2414228000002</v>
      </c>
      <c r="I239" s="33"/>
    </row>
    <row r="240" spans="1:14" s="80" customFormat="1" x14ac:dyDescent="0.35">
      <c r="A240" s="91">
        <f t="shared" si="31"/>
        <v>10</v>
      </c>
      <c r="B240" s="92"/>
      <c r="C240" s="83" t="s">
        <v>351</v>
      </c>
      <c r="D240" s="88">
        <f>(4.47*3+6.12*4.25+3.32*2.1+1.3*1.2+1.2*1.2)*10.764</f>
        <v>531.65548799999999</v>
      </c>
      <c r="E240" s="89">
        <f>(1*3.62)*10.764</f>
        <v>38.965679999999999</v>
      </c>
      <c r="F240" s="81">
        <f t="shared" si="32"/>
        <v>570.62116800000001</v>
      </c>
      <c r="G240" s="66">
        <v>0</v>
      </c>
      <c r="H240" s="81">
        <f t="shared" si="30"/>
        <v>855.93175199999996</v>
      </c>
      <c r="I240" s="33"/>
    </row>
    <row r="241" spans="1:14" s="80" customFormat="1" ht="15.75" customHeight="1" x14ac:dyDescent="0.35">
      <c r="A241" s="91">
        <f t="shared" si="31"/>
        <v>11</v>
      </c>
      <c r="B241" s="92"/>
      <c r="C241" s="83" t="s">
        <v>351</v>
      </c>
      <c r="D241" s="88">
        <f>(5.35*10.52+3.39*1.58+1.8*1.43)*10.764</f>
        <v>691.18012079999994</v>
      </c>
      <c r="E241" s="89">
        <f>(1*5.35)*10.764</f>
        <v>57.587399999999995</v>
      </c>
      <c r="F241" s="81">
        <f t="shared" si="32"/>
        <v>748.76752079999994</v>
      </c>
      <c r="G241" s="66">
        <v>0</v>
      </c>
      <c r="H241" s="81">
        <f t="shared" si="30"/>
        <v>1123.1512811999999</v>
      </c>
      <c r="I241" s="33"/>
    </row>
    <row r="242" spans="1:14" s="80" customFormat="1" ht="15.75" customHeight="1" x14ac:dyDescent="0.35">
      <c r="A242" s="91">
        <f t="shared" si="31"/>
        <v>12</v>
      </c>
      <c r="B242" s="92"/>
      <c r="C242" s="83" t="s">
        <v>351</v>
      </c>
      <c r="D242" s="89">
        <f>(3.43*1.5+6.48*6.49+1.35*2.03+4.98*2.18)*10.764</f>
        <v>654.41998440000009</v>
      </c>
      <c r="E242" s="89">
        <f>(1*6.48)*10.764</f>
        <v>69.750720000000001</v>
      </c>
      <c r="F242" s="81">
        <f t="shared" si="32"/>
        <v>724.17070440000009</v>
      </c>
      <c r="G242" s="66">
        <v>0</v>
      </c>
      <c r="H242" s="81">
        <f t="shared" si="30"/>
        <v>1086.2560566000002</v>
      </c>
      <c r="I242" s="33"/>
    </row>
    <row r="243" spans="1:14" s="80" customFormat="1" x14ac:dyDescent="0.35">
      <c r="A243" s="91">
        <f t="shared" si="31"/>
        <v>13</v>
      </c>
      <c r="B243" s="92"/>
      <c r="C243" s="83" t="s">
        <v>351</v>
      </c>
      <c r="D243" s="89">
        <f>(3.52*1.2+7.56*5.74+4.71*2.93+1.35*1.88+1.35*1.35)*10.764</f>
        <v>708.04730879999988</v>
      </c>
      <c r="E243" s="89">
        <f>(1*4.71)*10.764</f>
        <v>50.698439999999998</v>
      </c>
      <c r="F243" s="81">
        <f t="shared" si="32"/>
        <v>758.74574879999989</v>
      </c>
      <c r="G243" s="66">
        <v>0</v>
      </c>
      <c r="H243" s="81">
        <f t="shared" si="30"/>
        <v>1138.1186231999998</v>
      </c>
      <c r="I243" s="64"/>
      <c r="N243" s="33"/>
    </row>
    <row r="244" spans="1:14" s="80" customFormat="1" x14ac:dyDescent="0.35">
      <c r="A244" s="91">
        <f t="shared" si="31"/>
        <v>14</v>
      </c>
      <c r="B244" s="92"/>
      <c r="C244" s="83" t="s">
        <v>351</v>
      </c>
      <c r="D244" s="89">
        <f>(3.89*5.75+6.44*4.77+1.2*1.43+1.8*1.43+3.14*1.58)*10.764</f>
        <v>671.0008499999999</v>
      </c>
      <c r="E244" s="89">
        <f>(1*6.44)*10.764</f>
        <v>69.320160000000001</v>
      </c>
      <c r="F244" s="81">
        <f t="shared" si="32"/>
        <v>740.32100999999989</v>
      </c>
      <c r="G244" s="66">
        <v>0</v>
      </c>
      <c r="H244" s="81">
        <f t="shared" si="30"/>
        <v>1110.4815149999999</v>
      </c>
      <c r="I244" s="64"/>
      <c r="J244" s="18"/>
    </row>
    <row r="245" spans="1:14" s="80" customFormat="1" ht="15.75" customHeight="1" x14ac:dyDescent="0.35">
      <c r="A245" s="91">
        <f t="shared" si="31"/>
        <v>15</v>
      </c>
      <c r="B245" s="92"/>
      <c r="C245" s="83" t="s">
        <v>351</v>
      </c>
      <c r="D245" s="77">
        <f>(8.68*12.1+2.28*5.6+1.25*1.8+1.25*1.8)*10.764</f>
        <v>1316.3941439999999</v>
      </c>
      <c r="E245" s="77">
        <f>(1*(13+10.8))*10.764</f>
        <v>256.1832</v>
      </c>
      <c r="F245" s="81">
        <f t="shared" si="32"/>
        <v>1444.4857439999998</v>
      </c>
      <c r="G245" s="66">
        <v>0</v>
      </c>
      <c r="H245" s="81">
        <f t="shared" si="30"/>
        <v>2166.7286159999999</v>
      </c>
      <c r="I245" s="33"/>
    </row>
    <row r="246" spans="1:14" s="80" customFormat="1" ht="15.75" customHeight="1" x14ac:dyDescent="0.35">
      <c r="A246" s="93" t="s">
        <v>349</v>
      </c>
      <c r="B246" s="94"/>
      <c r="C246" s="94"/>
      <c r="D246" s="94"/>
      <c r="E246" s="94"/>
      <c r="F246" s="94"/>
      <c r="G246" s="94"/>
      <c r="H246" s="95"/>
      <c r="J246" s="33"/>
    </row>
    <row r="247" spans="1:14" s="80" customFormat="1" ht="15.75" customHeight="1" x14ac:dyDescent="0.35">
      <c r="A247" s="91">
        <v>1</v>
      </c>
      <c r="B247" s="92"/>
      <c r="C247" s="83" t="s">
        <v>351</v>
      </c>
      <c r="D247" s="77">
        <f>(12.62*7.57+3.64*3.15+4.23*2.3+6.48*3.55+5.95*3.55)*10.764</f>
        <v>1731.4421435999998</v>
      </c>
      <c r="E247" s="77">
        <f>(1*(13.82+0.75+0.95+9.5))*10.764</f>
        <v>269.31527999999997</v>
      </c>
      <c r="F247" s="81">
        <f>D247+(IF(E247&lt;201,E247,IF(E247&lt;301,E247/2,E247/3)))</f>
        <v>1866.0997835999997</v>
      </c>
      <c r="G247" s="66">
        <v>0</v>
      </c>
      <c r="H247" s="81">
        <f t="shared" ref="H247:H254" si="33">(F247+(IF(G247&lt;101,G247,IF(G247&lt;201,G247/2,IF(G247&lt;=301,G247/3,G247/4)))))*(($H$133)+1)</f>
        <v>2799.1496753999995</v>
      </c>
      <c r="I247" s="33"/>
    </row>
    <row r="248" spans="1:14" s="80" customFormat="1" ht="15.75" customHeight="1" x14ac:dyDescent="0.35">
      <c r="A248" s="91">
        <f t="shared" ref="A248:A261" si="34">A247+1</f>
        <v>2</v>
      </c>
      <c r="B248" s="92"/>
      <c r="C248" s="83" t="s">
        <v>351</v>
      </c>
      <c r="D248" s="77">
        <f>(4.81*1.35+5.78*7.07+1.35*1.8+4.28*2.7)*10.764</f>
        <v>660.3078923999999</v>
      </c>
      <c r="E248" s="77">
        <f>(1*5.78)*10.764</f>
        <v>62.215919999999997</v>
      </c>
      <c r="F248" s="81">
        <f>D248+(IF(E248&lt;201,E248,IF(E248&lt;301,E248/2,E248/3)))</f>
        <v>722.52381239999988</v>
      </c>
      <c r="G248" s="66">
        <v>0</v>
      </c>
      <c r="H248" s="81">
        <f t="shared" si="33"/>
        <v>1083.7857185999999</v>
      </c>
      <c r="I248" s="33"/>
    </row>
    <row r="249" spans="1:14" s="80" customFormat="1" ht="15.75" customHeight="1" x14ac:dyDescent="0.35">
      <c r="A249" s="91">
        <f t="shared" si="34"/>
        <v>3</v>
      </c>
      <c r="B249" s="92"/>
      <c r="C249" s="83" t="s">
        <v>351</v>
      </c>
      <c r="D249" s="66">
        <f>(2.86*1.35+5.78*7.07+4.28*2.7+1.35*1.8)*10.764</f>
        <v>631.9716623999999</v>
      </c>
      <c r="E249" s="77">
        <f>(1*4.28)*10.764</f>
        <v>46.069920000000003</v>
      </c>
      <c r="F249" s="81">
        <f t="shared" ref="F249:F261" si="35">D249+(IF(E249&lt;201,E249,IF(E249&lt;301,E249/2,E249/3)))</f>
        <v>678.04158239999992</v>
      </c>
      <c r="G249" s="66">
        <v>0</v>
      </c>
      <c r="H249" s="81">
        <f t="shared" si="33"/>
        <v>1017.0623735999999</v>
      </c>
      <c r="I249" s="33"/>
    </row>
    <row r="250" spans="1:14" s="80" customFormat="1" x14ac:dyDescent="0.35">
      <c r="A250" s="91">
        <f t="shared" si="34"/>
        <v>4</v>
      </c>
      <c r="B250" s="92"/>
      <c r="C250" s="83" t="s">
        <v>351</v>
      </c>
      <c r="D250" s="66">
        <f>(3.03*1.5+7.86*6+3.4*2.1+1.9*1.2+1.35*1.35)*10.764</f>
        <v>677.56689000000006</v>
      </c>
      <c r="E250" s="77">
        <f>(1*3.4)*10.764</f>
        <v>36.5976</v>
      </c>
      <c r="F250" s="81">
        <f t="shared" si="35"/>
        <v>714.16449000000011</v>
      </c>
      <c r="G250" s="66">
        <v>0</v>
      </c>
      <c r="H250" s="81">
        <f t="shared" si="33"/>
        <v>1071.2467350000002</v>
      </c>
      <c r="I250" s="33"/>
    </row>
    <row r="251" spans="1:14" s="80" customFormat="1" ht="15.75" customHeight="1" x14ac:dyDescent="0.35">
      <c r="A251" s="91">
        <f t="shared" si="34"/>
        <v>5</v>
      </c>
      <c r="B251" s="92"/>
      <c r="C251" s="83" t="s">
        <v>351</v>
      </c>
      <c r="D251" s="66">
        <f>(1.6*3.03+4.05*0.68+5.9*6.15+1.35*1.8+4.4*1.95)*10.764</f>
        <v>590.91130799999996</v>
      </c>
      <c r="E251" s="77">
        <f>(1*6.05)*10.764</f>
        <v>65.122199999999992</v>
      </c>
      <c r="F251" s="81">
        <f t="shared" si="35"/>
        <v>656.03350799999998</v>
      </c>
      <c r="G251" s="66">
        <v>0</v>
      </c>
      <c r="H251" s="81">
        <f t="shared" si="33"/>
        <v>984.05026199999998</v>
      </c>
      <c r="I251" s="33"/>
    </row>
    <row r="252" spans="1:14" s="80" customFormat="1" ht="15.75" customHeight="1" x14ac:dyDescent="0.35">
      <c r="A252" s="91">
        <f t="shared" si="34"/>
        <v>6</v>
      </c>
      <c r="B252" s="92"/>
      <c r="C252" s="83" t="s">
        <v>351</v>
      </c>
      <c r="D252" s="66">
        <f>(3.6*1.35+5.55*5.72+1.2*1.8+4.88*4.05+0.7*1.2)*10.764</f>
        <v>639.05867999999998</v>
      </c>
      <c r="E252" s="77">
        <f>(1*4.3)*10.764</f>
        <v>46.285199999999996</v>
      </c>
      <c r="F252" s="81">
        <f t="shared" si="35"/>
        <v>685.34388000000001</v>
      </c>
      <c r="G252" s="66">
        <v>0</v>
      </c>
      <c r="H252" s="81">
        <f t="shared" si="33"/>
        <v>1028.0158200000001</v>
      </c>
      <c r="I252" s="33"/>
    </row>
    <row r="253" spans="1:14" s="80" customFormat="1" ht="15.75" customHeight="1" x14ac:dyDescent="0.35">
      <c r="A253" s="91">
        <f t="shared" si="34"/>
        <v>7</v>
      </c>
      <c r="B253" s="92"/>
      <c r="C253" s="83" t="s">
        <v>351</v>
      </c>
      <c r="D253" s="66">
        <f>(2.4*2.53+4.65*5.74+1.35*1.95+3.15*2.85)*10.764</f>
        <v>477.63097200000004</v>
      </c>
      <c r="E253" s="77">
        <f>(1*3.15)*10.764</f>
        <v>33.906599999999997</v>
      </c>
      <c r="F253" s="81">
        <f t="shared" si="35"/>
        <v>511.53757200000007</v>
      </c>
      <c r="G253" s="66">
        <v>0</v>
      </c>
      <c r="H253" s="81">
        <f t="shared" si="33"/>
        <v>767.30635800000005</v>
      </c>
      <c r="I253" s="33"/>
    </row>
    <row r="254" spans="1:14" s="80" customFormat="1" ht="15.75" customHeight="1" x14ac:dyDescent="0.35">
      <c r="A254" s="91">
        <f t="shared" si="34"/>
        <v>8</v>
      </c>
      <c r="B254" s="92"/>
      <c r="C254" s="83" t="s">
        <v>351</v>
      </c>
      <c r="D254" s="66">
        <f>(3.99*2.15+6.03*7.79+1.2*2)*10.764</f>
        <v>623.7974807999999</v>
      </c>
      <c r="E254" s="77">
        <f>(1*(6.15+8.85))*10.764</f>
        <v>161.45999999999998</v>
      </c>
      <c r="F254" s="81">
        <f t="shared" si="35"/>
        <v>785.25748079999994</v>
      </c>
      <c r="G254" s="66">
        <v>0</v>
      </c>
      <c r="H254" s="81">
        <f t="shared" si="33"/>
        <v>1177.8862211999999</v>
      </c>
      <c r="I254" s="33"/>
    </row>
    <row r="255" spans="1:14" s="80" customFormat="1" x14ac:dyDescent="0.35">
      <c r="A255" s="91">
        <f t="shared" si="34"/>
        <v>9</v>
      </c>
      <c r="B255" s="92"/>
      <c r="C255" s="248" t="s">
        <v>334</v>
      </c>
      <c r="D255" s="249"/>
      <c r="E255" s="249"/>
      <c r="F255" s="249"/>
      <c r="G255" s="249"/>
      <c r="H255" s="250"/>
      <c r="I255" s="33"/>
    </row>
    <row r="256" spans="1:14" s="80" customFormat="1" x14ac:dyDescent="0.35">
      <c r="A256" s="91">
        <f t="shared" si="34"/>
        <v>10</v>
      </c>
      <c r="B256" s="92"/>
      <c r="C256" s="251"/>
      <c r="D256" s="252"/>
      <c r="E256" s="252"/>
      <c r="F256" s="252"/>
      <c r="G256" s="252"/>
      <c r="H256" s="253"/>
      <c r="I256" s="33"/>
    </row>
    <row r="257" spans="1:14" s="80" customFormat="1" ht="15.75" customHeight="1" x14ac:dyDescent="0.35">
      <c r="A257" s="91">
        <f t="shared" si="34"/>
        <v>11</v>
      </c>
      <c r="B257" s="92"/>
      <c r="C257" s="83" t="s">
        <v>351</v>
      </c>
      <c r="D257" s="66">
        <f>(6.8*7.77+3.39*1.58+5.24*2.75+1.8*1.43+1.3*1.2)*10.764</f>
        <v>825.98845679999988</v>
      </c>
      <c r="E257" s="77">
        <f>(1*6.8)*10.764</f>
        <v>73.1952</v>
      </c>
      <c r="F257" s="81">
        <f t="shared" si="35"/>
        <v>899.18365679999988</v>
      </c>
      <c r="G257" s="66">
        <v>0</v>
      </c>
      <c r="H257" s="81">
        <f>(F257+(IF(G257&lt;101,G257,IF(G257&lt;201,G257/2,IF(G257&lt;=301,G257/3,G257/4)))))*(($H$133)+1)</f>
        <v>1348.7754851999998</v>
      </c>
      <c r="I257" s="33"/>
    </row>
    <row r="258" spans="1:14" s="80" customFormat="1" ht="15.75" customHeight="1" x14ac:dyDescent="0.35">
      <c r="A258" s="91">
        <f t="shared" si="34"/>
        <v>12</v>
      </c>
      <c r="B258" s="92"/>
      <c r="C258" s="83" t="s">
        <v>351</v>
      </c>
      <c r="D258" s="77">
        <f>(3.43*1.5+6.48*6.49+1.35*2.03+4.98*2.18)*10.764</f>
        <v>654.41998440000009</v>
      </c>
      <c r="E258" s="77">
        <f>(1*6.48)*10.764</f>
        <v>69.750720000000001</v>
      </c>
      <c r="F258" s="81">
        <f t="shared" si="35"/>
        <v>724.17070440000009</v>
      </c>
      <c r="G258" s="66">
        <v>0</v>
      </c>
      <c r="H258" s="81">
        <f>(F258+(IF(G258&lt;101,G258,IF(G258&lt;201,G258/2,IF(G258&lt;=301,G258/3,G258/4)))))*(($H$133)+1)</f>
        <v>1086.2560566000002</v>
      </c>
      <c r="I258" s="33"/>
    </row>
    <row r="259" spans="1:14" s="80" customFormat="1" x14ac:dyDescent="0.35">
      <c r="A259" s="91">
        <f t="shared" si="34"/>
        <v>13</v>
      </c>
      <c r="B259" s="92"/>
      <c r="C259" s="83" t="s">
        <v>351</v>
      </c>
      <c r="D259" s="77">
        <f>(3.52*1.2+7.56*5.74+4.71*2.93+1.35*1.88+1.35*1.35)*10.764</f>
        <v>708.04730879999988</v>
      </c>
      <c r="E259" s="77">
        <f>(1*4.71)*10.764</f>
        <v>50.698439999999998</v>
      </c>
      <c r="F259" s="81">
        <f t="shared" si="35"/>
        <v>758.74574879999989</v>
      </c>
      <c r="G259" s="66">
        <v>0</v>
      </c>
      <c r="H259" s="81">
        <f>(F259+(IF(G259&lt;101,G259,IF(G259&lt;201,G259/2,IF(G259&lt;=301,G259/3,G259/4)))))*(($H$133)+1)</f>
        <v>1138.1186231999998</v>
      </c>
      <c r="I259" s="64"/>
      <c r="N259" s="33"/>
    </row>
    <row r="260" spans="1:14" s="80" customFormat="1" x14ac:dyDescent="0.35">
      <c r="A260" s="91">
        <f t="shared" si="34"/>
        <v>14</v>
      </c>
      <c r="B260" s="92"/>
      <c r="C260" s="83" t="s">
        <v>351</v>
      </c>
      <c r="D260" s="77">
        <f>(3.89*5.75+6.44*4.77+1.2*1.43+1.8*1.43+3.14*1.58)*10.764</f>
        <v>671.0008499999999</v>
      </c>
      <c r="E260" s="77">
        <f>(1*6.44)*10.764</f>
        <v>69.320160000000001</v>
      </c>
      <c r="F260" s="81">
        <f t="shared" si="35"/>
        <v>740.32100999999989</v>
      </c>
      <c r="G260" s="66">
        <v>0</v>
      </c>
      <c r="H260" s="81">
        <f>(F260+(IF(G260&lt;101,G260,IF(G260&lt;201,G260/2,IF(G260&lt;=301,G260/3,G260/4)))))*(($H$133)+1)</f>
        <v>1110.4815149999999</v>
      </c>
      <c r="I260" s="64"/>
      <c r="J260" s="18"/>
    </row>
    <row r="261" spans="1:14" s="80" customFormat="1" x14ac:dyDescent="0.35">
      <c r="A261" s="91">
        <f t="shared" si="34"/>
        <v>15</v>
      </c>
      <c r="B261" s="92"/>
      <c r="C261" s="83" t="s">
        <v>351</v>
      </c>
      <c r="D261" s="77">
        <f>(8.68*12.1+2.28*5.6+1.25*1.8+1.25*1.8)*10.764</f>
        <v>1316.3941439999999</v>
      </c>
      <c r="E261" s="77">
        <f>(1*(13+10.8))*10.764</f>
        <v>256.1832</v>
      </c>
      <c r="F261" s="81">
        <f t="shared" si="35"/>
        <v>1444.4857439999998</v>
      </c>
      <c r="G261" s="66">
        <v>0</v>
      </c>
      <c r="H261" s="81">
        <f>(F261+(IF(G261&lt;101,G261,IF(G261&lt;201,G261/2,IF(G261&lt;=301,G261/3,G261/4)))))*(($H$133)+1)</f>
        <v>2166.7286159999999</v>
      </c>
      <c r="I261" s="33"/>
    </row>
    <row r="262" spans="1:14" s="80" customFormat="1" ht="15.75" customHeight="1" x14ac:dyDescent="0.35">
      <c r="A262" s="93" t="s">
        <v>359</v>
      </c>
      <c r="B262" s="94"/>
      <c r="C262" s="94"/>
      <c r="D262" s="94"/>
      <c r="E262" s="94"/>
      <c r="F262" s="94"/>
      <c r="G262" s="94"/>
      <c r="H262" s="95"/>
      <c r="I262" s="64"/>
      <c r="N262" s="33"/>
    </row>
    <row r="263" spans="1:14" s="80" customFormat="1" x14ac:dyDescent="0.35">
      <c r="A263" s="91" t="s">
        <v>313</v>
      </c>
      <c r="B263" s="92"/>
      <c r="C263" s="117" t="s">
        <v>354</v>
      </c>
      <c r="D263" s="118"/>
      <c r="E263" s="118"/>
      <c r="F263" s="118"/>
      <c r="G263" s="118"/>
      <c r="H263" s="119"/>
      <c r="I263" s="64"/>
      <c r="J263" s="18"/>
    </row>
    <row r="264" spans="1:14" s="80" customFormat="1" x14ac:dyDescent="0.35">
      <c r="A264" s="91" t="s">
        <v>313</v>
      </c>
      <c r="B264" s="92"/>
      <c r="C264" s="117" t="s">
        <v>354</v>
      </c>
      <c r="D264" s="118"/>
      <c r="E264" s="118"/>
      <c r="F264" s="118"/>
      <c r="G264" s="118"/>
      <c r="H264" s="119"/>
      <c r="I264" s="33"/>
    </row>
    <row r="265" spans="1:14" hidden="1" x14ac:dyDescent="0.35">
      <c r="A265" s="93" t="s">
        <v>355</v>
      </c>
      <c r="B265" s="94"/>
      <c r="C265" s="94"/>
      <c r="D265" s="94"/>
      <c r="E265" s="94"/>
      <c r="F265" s="94"/>
      <c r="G265" s="94"/>
      <c r="H265" s="95"/>
    </row>
    <row r="266" spans="1:14" hidden="1" x14ac:dyDescent="0.35">
      <c r="A266" s="91" t="s">
        <v>313</v>
      </c>
      <c r="B266" s="92"/>
      <c r="C266" s="117" t="s">
        <v>354</v>
      </c>
      <c r="D266" s="118"/>
      <c r="E266" s="118"/>
      <c r="F266" s="118"/>
      <c r="G266" s="118"/>
      <c r="H266" s="119"/>
    </row>
    <row r="267" spans="1:14" hidden="1" x14ac:dyDescent="0.35">
      <c r="A267" s="91" t="s">
        <v>313</v>
      </c>
      <c r="B267" s="92"/>
      <c r="C267" s="117" t="s">
        <v>354</v>
      </c>
      <c r="D267" s="118"/>
      <c r="E267" s="118"/>
      <c r="F267" s="118"/>
      <c r="G267" s="118"/>
      <c r="H267" s="119"/>
    </row>
    <row r="268" spans="1:14" hidden="1" x14ac:dyDescent="0.35">
      <c r="A268" s="91"/>
      <c r="B268" s="116"/>
      <c r="C268" s="116"/>
      <c r="D268" s="116"/>
      <c r="E268" s="116"/>
      <c r="F268" s="116"/>
      <c r="G268" s="116"/>
      <c r="H268" s="92"/>
    </row>
    <row r="269" spans="1:14" ht="45" hidden="1" x14ac:dyDescent="0.35">
      <c r="A269" s="100" t="s">
        <v>118</v>
      </c>
      <c r="B269" s="96" t="s">
        <v>175</v>
      </c>
      <c r="C269" s="96" t="s">
        <v>54</v>
      </c>
      <c r="D269" s="96" t="s">
        <v>230</v>
      </c>
      <c r="E269" s="96" t="s">
        <v>229</v>
      </c>
      <c r="F269" s="96" t="s">
        <v>55</v>
      </c>
      <c r="G269" s="98" t="s">
        <v>56</v>
      </c>
      <c r="H269" s="50" t="s">
        <v>150</v>
      </c>
    </row>
    <row r="270" spans="1:14" hidden="1" x14ac:dyDescent="0.35">
      <c r="A270" s="101"/>
      <c r="B270" s="97"/>
      <c r="C270" s="97"/>
      <c r="D270" s="97"/>
      <c r="E270" s="97"/>
      <c r="F270" s="97"/>
      <c r="G270" s="99"/>
      <c r="H270" s="51">
        <v>0.45</v>
      </c>
    </row>
    <row r="271" spans="1:14" hidden="1" x14ac:dyDescent="0.35">
      <c r="A271" s="93" t="s">
        <v>115</v>
      </c>
      <c r="B271" s="94"/>
      <c r="C271" s="94"/>
      <c r="D271" s="94"/>
      <c r="E271" s="94"/>
      <c r="F271" s="94"/>
      <c r="G271" s="94"/>
      <c r="H271" s="95"/>
    </row>
    <row r="272" spans="1:14" hidden="1" x14ac:dyDescent="0.35">
      <c r="A272" s="91">
        <v>1</v>
      </c>
      <c r="B272" s="92"/>
      <c r="C272" s="39"/>
      <c r="D272" s="39"/>
      <c r="E272" s="39">
        <v>0</v>
      </c>
      <c r="F272" s="39">
        <f>D272+E272</f>
        <v>0</v>
      </c>
      <c r="G272" s="49">
        <v>0</v>
      </c>
      <c r="H272" s="49">
        <f>F272*(($H$270)+1)+(IF(G272&lt;101,G272,IF(G272&lt;201,G272/2,IF(G272&lt;=301,G272/3,G272/4))))</f>
        <v>0</v>
      </c>
    </row>
    <row r="273" spans="1:8" hidden="1" x14ac:dyDescent="0.35">
      <c r="A273" s="91">
        <f>A272+1</f>
        <v>2</v>
      </c>
      <c r="B273" s="92"/>
      <c r="C273" s="39"/>
      <c r="D273" s="39"/>
      <c r="E273" s="39">
        <v>0</v>
      </c>
      <c r="F273" s="49">
        <f>D273+E273</f>
        <v>0</v>
      </c>
      <c r="G273" s="49">
        <v>0</v>
      </c>
      <c r="H273" s="49">
        <f>F273*(($H$270)+1)+(IF(G273&lt;101,G273,IF(G273&lt;201,G273/2,IF(G273&lt;=301,G273/3,G273/4))))</f>
        <v>0</v>
      </c>
    </row>
    <row r="274" spans="1:8" hidden="1" x14ac:dyDescent="0.35">
      <c r="A274" s="91">
        <f>A273+1</f>
        <v>3</v>
      </c>
      <c r="B274" s="92"/>
      <c r="C274" s="39"/>
      <c r="D274" s="39"/>
      <c r="E274" s="39">
        <v>0</v>
      </c>
      <c r="F274" s="49">
        <f>D274+E274</f>
        <v>0</v>
      </c>
      <c r="G274" s="49">
        <v>0</v>
      </c>
      <c r="H274" s="49">
        <f>F274*(($H$270)+1)+(IF(G274&lt;101,G274,IF(G274&lt;201,G274/2,IF(G274&lt;=301,G274/3,G274/4))))</f>
        <v>0</v>
      </c>
    </row>
    <row r="275" spans="1:8" hidden="1" x14ac:dyDescent="0.35">
      <c r="A275" s="91">
        <f>A274+1</f>
        <v>4</v>
      </c>
      <c r="B275" s="92"/>
      <c r="C275" s="39"/>
      <c r="D275" s="39"/>
      <c r="E275" s="39">
        <v>0</v>
      </c>
      <c r="F275" s="49">
        <f>D275+E275</f>
        <v>0</v>
      </c>
      <c r="G275" s="49">
        <v>0</v>
      </c>
      <c r="H275" s="49">
        <f>F275*(($H$270)+1)+(IF(G275&lt;101,G275,IF(G275&lt;201,G275/2,IF(G275&lt;=301,G275/3,G275/4))))</f>
        <v>0</v>
      </c>
    </row>
    <row r="276" spans="1:8" hidden="1" x14ac:dyDescent="0.35">
      <c r="A276" s="102" t="s">
        <v>116</v>
      </c>
      <c r="B276" s="102"/>
      <c r="C276" s="102"/>
      <c r="D276" s="102"/>
      <c r="E276" s="102"/>
      <c r="F276" s="102"/>
      <c r="G276" s="102"/>
      <c r="H276" s="102"/>
    </row>
    <row r="277" spans="1:8" hidden="1" x14ac:dyDescent="0.35">
      <c r="A277" s="103">
        <f>LEFT(A276,SUM(LEN(A276)-LEN(SUBSTITUTE(A276,{"0","1","2","3","4","5","6","7","8","9"},""))))*100+1</f>
        <v>201</v>
      </c>
      <c r="B277" s="103"/>
      <c r="C277" s="39"/>
      <c r="D277" s="39"/>
      <c r="E277" s="49">
        <v>0</v>
      </c>
      <c r="F277" s="49">
        <f>D277+E277</f>
        <v>0</v>
      </c>
      <c r="G277" s="49">
        <v>0</v>
      </c>
      <c r="H277" s="49">
        <f>F277*(($H$270)+1)+(IF(G277&lt;101,G277,IF(G277&lt;201,G277/2,IF(G277&lt;=301,G277/3,G277/4))))</f>
        <v>0</v>
      </c>
    </row>
    <row r="278" spans="1:8" hidden="1" x14ac:dyDescent="0.35">
      <c r="A278" s="103">
        <f>A277+1</f>
        <v>202</v>
      </c>
      <c r="B278" s="103"/>
      <c r="C278" s="39"/>
      <c r="D278" s="39"/>
      <c r="E278" s="49">
        <v>0</v>
      </c>
      <c r="F278" s="49">
        <f>D278+E278</f>
        <v>0</v>
      </c>
      <c r="G278" s="49">
        <v>0</v>
      </c>
      <c r="H278" s="49">
        <f>F278*(($H$270)+1)+(IF(G278&lt;101,G278,IF(G278&lt;201,G278/2,IF(G278&lt;=301,G278/3,G278/4))))</f>
        <v>0</v>
      </c>
    </row>
    <row r="279" spans="1:8" hidden="1" x14ac:dyDescent="0.35">
      <c r="A279" s="103">
        <f>A278+1</f>
        <v>203</v>
      </c>
      <c r="B279" s="103"/>
      <c r="C279" s="39"/>
      <c r="D279" s="39"/>
      <c r="E279" s="49">
        <v>0</v>
      </c>
      <c r="F279" s="49">
        <f>D279+E279</f>
        <v>0</v>
      </c>
      <c r="G279" s="49">
        <v>0</v>
      </c>
      <c r="H279" s="49">
        <f>F279*(($H$270)+1)+(IF(G279&lt;101,G279,IF(G279&lt;201,G279/2,IF(G279&lt;=301,G279/3,G279/4))))</f>
        <v>0</v>
      </c>
    </row>
    <row r="280" spans="1:8" hidden="1" x14ac:dyDescent="0.35">
      <c r="A280" s="103">
        <f>A279+1</f>
        <v>204</v>
      </c>
      <c r="B280" s="103"/>
      <c r="C280" s="39"/>
      <c r="D280" s="39"/>
      <c r="E280" s="49">
        <v>0</v>
      </c>
      <c r="F280" s="49">
        <f>D280+E280</f>
        <v>0</v>
      </c>
      <c r="G280" s="49">
        <v>0</v>
      </c>
      <c r="H280" s="49">
        <f>F280*(($H$270)+1)+(IF(G280&lt;101,G280,IF(G280&lt;201,G280/2,IF(G280&lt;=301,G280/3,G280/4))))</f>
        <v>0</v>
      </c>
    </row>
    <row r="281" spans="1:8" hidden="1" x14ac:dyDescent="0.35">
      <c r="A281" s="103">
        <f>A280+1</f>
        <v>205</v>
      </c>
      <c r="B281" s="103"/>
      <c r="C281" s="39"/>
      <c r="D281" s="39"/>
      <c r="E281" s="49">
        <v>0</v>
      </c>
      <c r="F281" s="49">
        <f>D281+E281</f>
        <v>0</v>
      </c>
      <c r="G281" s="49">
        <v>0</v>
      </c>
      <c r="H281" s="49">
        <f>F281*(($H$270)+1)+(IF(G281&lt;101,G281,IF(G281&lt;201,G281/2,IF(G281&lt;=301,G281/3,G281/4))))</f>
        <v>0</v>
      </c>
    </row>
    <row r="282" spans="1:8" hidden="1" x14ac:dyDescent="0.35">
      <c r="A282" s="93" t="s">
        <v>151</v>
      </c>
      <c r="B282" s="94"/>
      <c r="C282" s="94"/>
      <c r="D282" s="94"/>
      <c r="E282" s="94"/>
      <c r="F282" s="94"/>
      <c r="G282" s="94"/>
      <c r="H282" s="95"/>
    </row>
    <row r="283" spans="1:8" hidden="1" x14ac:dyDescent="0.35">
      <c r="A283" s="91" t="str">
        <f ca="1">(SUMPRODUCT(MID(0&amp;(LEFT(A282,SUM(LEN(A282)-LEN(SUBSTITUTE(A282,{"0","1","2"},""))))), LARGE(INDEX(ISNUMBER(--MID((LEFT(A282,SUM(LEN(A282)-LEN(SUBSTITUTE(A282,{"0","1","2"},""))))), ROW(INDIRECT("1:"&amp;LEN((LEFT(A282,SUM(LEN(A282)-LEN(SUBSTITUTE(A282,{"0","1","2"},"")))))))), 1)) * ROW(INDIRECT("1:"&amp;LEN((LEFT(A282,SUM(LEN(A282)-LEN(SUBSTITUTE(A282,{"0","1","2"},"")))))))), 0), ROW(INDIRECT("1:"&amp;LEN((LEFT(A282,SUM(LEN(A282)-LEN(SUBSTITUTE(A282,{"0","1","2"},"")))))))))+1, 1) * 10^ROW(INDIRECT("1:"&amp;LEN((LEFT(A282,SUM(LEN(A282)-LEN(SUBSTITUTE(A282,{"0","1","2"},""))))))))/10))*100+1&amp;""&amp;" ,.., "&amp;""&amp;(SUMPRODUCT(MID(0&amp;(--TRIM(RIGHT(SUBSTITUTE(LEFT(A282,_xlfn.AGGREGATE(16,6,FIND({0,1,2,3,4,5,6,7,8,9},A282,ROW(INDIRECT("1:"&amp;LEN(A282)))),1))," ",REPT(" ",LEN(A282))),LEN(A282)))), LARGE(INDEX(ISNUMBER(--MID((--TRIM(RIGHT(SUBSTITUTE(LEFT(A282,_xlfn.AGGREGATE(16,6,FIND({0,1,2,3,4,5,6,7,8,9},A282,ROW(INDIRECT("1:"&amp;LEN(A282)))),1))," ",REPT(" ",LEN(A282))),LEN(A282)))), ROW(INDIRECT("1:"&amp;LEN((--TRIM(RIGHT(SUBSTITUTE(LEFT(A282,_xlfn.AGGREGATE(16,6,FIND({0,1,2,3,4,5,6,7,8,9},A282,ROW(INDIRECT("1:"&amp;LEN(A282)))),1))," ",REPT(" ",LEN(A282))),LEN(A282))))))), 1)) * ROW(INDIRECT("1:"&amp;LEN((--TRIM(RIGHT(SUBSTITUTE(LEFT(A282,_xlfn.AGGREGATE(16,6,FIND({0,1,2,3,4,5,6,7,8,9},A282,ROW(INDIRECT("1:"&amp;LEN(A282)))),1))," ",REPT(" ",LEN(A282))),LEN(A282))))))), 0), ROW(INDIRECT("1:"&amp;LEN((--TRIM(RIGHT(SUBSTITUTE(LEFT(A282,_xlfn.AGGREGATE(16,6,FIND({0,1,2,3,4,5,6,7,8,9},A282,ROW(INDIRECT("1:"&amp;LEN(A282)))),1))," ",REPT(" ",LEN(A282))),LEN(A282))))))))+1, 1) * 10^ROW(INDIRECT("1:"&amp;LEN((--TRIM(RIGHT(SUBSTITUTE(LEFT(A282,_xlfn.AGGREGATE(16,6,FIND({0,1,2,3,4,5,6,7,8,9},A282,ROW(INDIRECT("1:"&amp;LEN(A282)))),1))," ",REPT(" ",LEN(A282))),LEN(A282)))))))/10))*100+1</f>
        <v>301 ,.., 1501</v>
      </c>
      <c r="B283" s="92"/>
      <c r="C283" s="39"/>
      <c r="D283" s="39"/>
      <c r="E283" s="49">
        <v>0</v>
      </c>
      <c r="F283" s="49">
        <f>D283+E283</f>
        <v>0</v>
      </c>
      <c r="G283" s="49">
        <v>0</v>
      </c>
      <c r="H283" s="49">
        <f>F283*(($H$270)+1)+(IF(G283&lt;101,G283,IF(G283&lt;201,G283/2,IF(G283&lt;=301,G283/3,G283/4))))</f>
        <v>0</v>
      </c>
    </row>
    <row r="284" spans="1:8" ht="61.5" hidden="1" customHeight="1" x14ac:dyDescent="0.35">
      <c r="A284" s="91" t="str">
        <f ca="1">(SUMPRODUCT(MID(0&amp;(LEFT(A283,SUM(LEN(A283)-LEN(SUBSTITUTE(A283,{"0","1","2"},""))))), LARGE(INDEX(ISNUMBER(--MID((LEFT(A283,SUM(LEN(A283)-LEN(SUBSTITUTE(A283,{"0","1","2"},""))))), ROW(INDIRECT("1:"&amp;LEN((LEFT(A283,SUM(LEN(A283)-LEN(SUBSTITUTE(A283,{"0","1","2"},"")))))))), 1)) * ROW(INDIRECT("1:"&amp;LEN((LEFT(A283,SUM(LEN(A283)-LEN(SUBSTITUTE(A283,{"0","1","2"},"")))))))), 0), ROW(INDIRECT("1:"&amp;LEN((LEFT(A283,SUM(LEN(A283)-LEN(SUBSTITUTE(A283,{"0","1","2"},"")))))))))+1, 1) * 10^ROW(INDIRECT("1:"&amp;LEN((LEFT(A283,SUM(LEN(A283)-LEN(SUBSTITUTE(A283,{"0","1","2"},""))))))))/10))*1+1&amp;""&amp;" ,.., "&amp;""&amp;(SUMPRODUCT(MID(0&amp;(--TRIM(RIGHT(SUBSTITUTE(LEFT(A283,_xlfn.AGGREGATE(16,6,FIND({0,1,2,3,4,5,6,7,8,9},A283,ROW(INDIRECT("1:"&amp;LEN(A283)))),1))," ",REPT(" ",LEN(A283))),LEN(A283)))), LARGE(INDEX(ISNUMBER(--MID((--TRIM(RIGHT(SUBSTITUTE(LEFT(A283,_xlfn.AGGREGATE(16,6,FIND({0,1,2,3,4,5,6,7,8,9},A283,ROW(INDIRECT("1:"&amp;LEN(A283)))),1))," ",REPT(" ",LEN(A283))),LEN(A283)))), ROW(INDIRECT("1:"&amp;LEN((--TRIM(RIGHT(SUBSTITUTE(LEFT(A283,_xlfn.AGGREGATE(16,6,FIND({0,1,2,3,4,5,6,7,8,9},A283,ROW(INDIRECT("1:"&amp;LEN(A283)))),1))," ",REPT(" ",LEN(A283))),LEN(A283))))))), 1)) * ROW(INDIRECT("1:"&amp;LEN((--TRIM(RIGHT(SUBSTITUTE(LEFT(A283,_xlfn.AGGREGATE(16,6,FIND({0,1,2,3,4,5,6,7,8,9},A283,ROW(INDIRECT("1:"&amp;LEN(A283)))),1))," ",REPT(" ",LEN(A283))),LEN(A283))))))), 0), ROW(INDIRECT("1:"&amp;LEN((--TRIM(RIGHT(SUBSTITUTE(LEFT(A283,_xlfn.AGGREGATE(16,6,FIND({0,1,2,3,4,5,6,7,8,9},A283,ROW(INDIRECT("1:"&amp;LEN(A283)))),1))," ",REPT(" ",LEN(A283))),LEN(A283))))))))+1, 1) * 10^ROW(INDIRECT("1:"&amp;LEN((--TRIM(RIGHT(SUBSTITUTE(LEFT(A283,_xlfn.AGGREGATE(16,6,FIND({0,1,2,3,4,5,6,7,8,9},A283,ROW(INDIRECT("1:"&amp;LEN(A283)))),1))," ",REPT(" ",LEN(A283))),LEN(A283)))))))/10))*1+1</f>
        <v>302 ,.., 1502</v>
      </c>
      <c r="B284" s="92"/>
      <c r="C284" s="39"/>
      <c r="D284" s="39"/>
      <c r="E284" s="49">
        <v>0</v>
      </c>
      <c r="F284" s="49">
        <f>D284+E284</f>
        <v>0</v>
      </c>
      <c r="G284" s="49">
        <v>0</v>
      </c>
      <c r="H284" s="49">
        <f>F284*(($H$270)+1)+(IF(G284&lt;101,G284,IF(G284&lt;201,G284/2,IF(G284&lt;=301,G284/3,G284/4))))</f>
        <v>0</v>
      </c>
    </row>
    <row r="285" spans="1:8" hidden="1" x14ac:dyDescent="0.35">
      <c r="A285" s="91" t="str">
        <f ca="1">(SUMPRODUCT(MID(0&amp;(LEFT(A284,SUM(LEN(A284)-LEN(SUBSTITUTE(A284,{"0","1","2"},""))))), LARGE(INDEX(ISNUMBER(--MID((LEFT(A284,SUM(LEN(A284)-LEN(SUBSTITUTE(A284,{"0","1","2"},""))))), ROW(INDIRECT("1:"&amp;LEN((LEFT(A284,SUM(LEN(A284)-LEN(SUBSTITUTE(A284,{"0","1","2"},"")))))))), 1)) * ROW(INDIRECT("1:"&amp;LEN((LEFT(A284,SUM(LEN(A284)-LEN(SUBSTITUTE(A284,{"0","1","2"},"")))))))), 0), ROW(INDIRECT("1:"&amp;LEN((LEFT(A284,SUM(LEN(A284)-LEN(SUBSTITUTE(A284,{"0","1","2"},"")))))))))+1, 1) * 10^ROW(INDIRECT("1:"&amp;LEN((LEFT(A284,SUM(LEN(A284)-LEN(SUBSTITUTE(A284,{"0","1","2"},""))))))))/10))*1+1&amp;""&amp;" ,.., "&amp;""&amp;(SUMPRODUCT(MID(0&amp;(--TRIM(RIGHT(SUBSTITUTE(LEFT(A284,_xlfn.AGGREGATE(16,6,FIND({0,1,2,3,4,5,6,7,8,9},A284,ROW(INDIRECT("1:"&amp;LEN(A284)))),1))," ",REPT(" ",LEN(A284))),LEN(A284)))), LARGE(INDEX(ISNUMBER(--MID((--TRIM(RIGHT(SUBSTITUTE(LEFT(A284,_xlfn.AGGREGATE(16,6,FIND({0,1,2,3,4,5,6,7,8,9},A284,ROW(INDIRECT("1:"&amp;LEN(A284)))),1))," ",REPT(" ",LEN(A284))),LEN(A284)))), ROW(INDIRECT("1:"&amp;LEN((--TRIM(RIGHT(SUBSTITUTE(LEFT(A284,_xlfn.AGGREGATE(16,6,FIND({0,1,2,3,4,5,6,7,8,9},A284,ROW(INDIRECT("1:"&amp;LEN(A284)))),1))," ",REPT(" ",LEN(A284))),LEN(A284))))))), 1)) * ROW(INDIRECT("1:"&amp;LEN((--TRIM(RIGHT(SUBSTITUTE(LEFT(A284,_xlfn.AGGREGATE(16,6,FIND({0,1,2,3,4,5,6,7,8,9},A284,ROW(INDIRECT("1:"&amp;LEN(A284)))),1))," ",REPT(" ",LEN(A284))),LEN(A284))))))), 0), ROW(INDIRECT("1:"&amp;LEN((--TRIM(RIGHT(SUBSTITUTE(LEFT(A284,_xlfn.AGGREGATE(16,6,FIND({0,1,2,3,4,5,6,7,8,9},A284,ROW(INDIRECT("1:"&amp;LEN(A284)))),1))," ",REPT(" ",LEN(A284))),LEN(A284))))))))+1, 1) * 10^ROW(INDIRECT("1:"&amp;LEN((--TRIM(RIGHT(SUBSTITUTE(LEFT(A284,_xlfn.AGGREGATE(16,6,FIND({0,1,2,3,4,5,6,7,8,9},A284,ROW(INDIRECT("1:"&amp;LEN(A284)))),1))," ",REPT(" ",LEN(A284))),LEN(A284)))))))/10))*1+1</f>
        <v>303 ,.., 1503</v>
      </c>
      <c r="B285" s="92"/>
      <c r="C285" s="39"/>
      <c r="D285" s="39"/>
      <c r="E285" s="49">
        <v>0</v>
      </c>
      <c r="F285" s="49">
        <f>D285+E285</f>
        <v>0</v>
      </c>
      <c r="G285" s="49">
        <v>0</v>
      </c>
      <c r="H285" s="49">
        <f>F285*(($H$270)+1)+(IF(G285&lt;101,G285,IF(G285&lt;201,G285/2,IF(G285&lt;=301,G285/3,G285/4))))</f>
        <v>0</v>
      </c>
    </row>
    <row r="286" spans="1:8" hidden="1" x14ac:dyDescent="0.35">
      <c r="A286" s="91" t="str">
        <f ca="1">(SUMPRODUCT(MID(0&amp;(LEFT(A285,SUM(LEN(A285)-LEN(SUBSTITUTE(A285,{"0","1","2"},""))))), LARGE(INDEX(ISNUMBER(--MID((LEFT(A285,SUM(LEN(A285)-LEN(SUBSTITUTE(A285,{"0","1","2"},""))))), ROW(INDIRECT("1:"&amp;LEN((LEFT(A285,SUM(LEN(A285)-LEN(SUBSTITUTE(A285,{"0","1","2"},"")))))))), 1)) * ROW(INDIRECT("1:"&amp;LEN((LEFT(A285,SUM(LEN(A285)-LEN(SUBSTITUTE(A285,{"0","1","2"},"")))))))), 0), ROW(INDIRECT("1:"&amp;LEN((LEFT(A285,SUM(LEN(A285)-LEN(SUBSTITUTE(A285,{"0","1","2"},"")))))))))+1, 1) * 10^ROW(INDIRECT("1:"&amp;LEN((LEFT(A285,SUM(LEN(A285)-LEN(SUBSTITUTE(A285,{"0","1","2"},""))))))))/10))*1+1&amp;""&amp;" ,.., "&amp;""&amp;(SUMPRODUCT(MID(0&amp;(--TRIM(RIGHT(SUBSTITUTE(LEFT(A285,_xlfn.AGGREGATE(16,6,FIND({0,1,2,3,4,5,6,7,8,9},A285,ROW(INDIRECT("1:"&amp;LEN(A285)))),1))," ",REPT(" ",LEN(A285))),LEN(A285)))), LARGE(INDEX(ISNUMBER(--MID((--TRIM(RIGHT(SUBSTITUTE(LEFT(A285,_xlfn.AGGREGATE(16,6,FIND({0,1,2,3,4,5,6,7,8,9},A285,ROW(INDIRECT("1:"&amp;LEN(A285)))),1))," ",REPT(" ",LEN(A285))),LEN(A285)))), ROW(INDIRECT("1:"&amp;LEN((--TRIM(RIGHT(SUBSTITUTE(LEFT(A285,_xlfn.AGGREGATE(16,6,FIND({0,1,2,3,4,5,6,7,8,9},A285,ROW(INDIRECT("1:"&amp;LEN(A285)))),1))," ",REPT(" ",LEN(A285))),LEN(A285))))))), 1)) * ROW(INDIRECT("1:"&amp;LEN((--TRIM(RIGHT(SUBSTITUTE(LEFT(A285,_xlfn.AGGREGATE(16,6,FIND({0,1,2,3,4,5,6,7,8,9},A285,ROW(INDIRECT("1:"&amp;LEN(A285)))),1))," ",REPT(" ",LEN(A285))),LEN(A285))))))), 0), ROW(INDIRECT("1:"&amp;LEN((--TRIM(RIGHT(SUBSTITUTE(LEFT(A285,_xlfn.AGGREGATE(16,6,FIND({0,1,2,3,4,5,6,7,8,9},A285,ROW(INDIRECT("1:"&amp;LEN(A285)))),1))," ",REPT(" ",LEN(A285))),LEN(A285))))))))+1, 1) * 10^ROW(INDIRECT("1:"&amp;LEN((--TRIM(RIGHT(SUBSTITUTE(LEFT(A285,_xlfn.AGGREGATE(16,6,FIND({0,1,2,3,4,5,6,7,8,9},A285,ROW(INDIRECT("1:"&amp;LEN(A285)))),1))," ",REPT(" ",LEN(A285))),LEN(A285)))))))/10))*1+1</f>
        <v>304 ,.., 1504</v>
      </c>
      <c r="B286" s="92"/>
      <c r="C286" s="39"/>
      <c r="D286" s="39"/>
      <c r="E286" s="49">
        <v>0</v>
      </c>
      <c r="F286" s="49">
        <f>D286+E286</f>
        <v>0</v>
      </c>
      <c r="G286" s="49">
        <v>0</v>
      </c>
      <c r="H286" s="49">
        <f>F286*(($H$270)+1)+(IF(G286&lt;101,G286,IF(G286&lt;201,G286/2,IF(G286&lt;=301,G286/3,G286/4))))</f>
        <v>0</v>
      </c>
    </row>
    <row r="287" spans="1:8" hidden="1" x14ac:dyDescent="0.35">
      <c r="A287" s="91" t="str">
        <f ca="1">(SUMPRODUCT(MID(0&amp;(LEFT(A286,SUM(LEN(A286)-LEN(SUBSTITUTE(A286,{"0","1","2"},""))))), LARGE(INDEX(ISNUMBER(--MID((LEFT(A286,SUM(LEN(A286)-LEN(SUBSTITUTE(A286,{"0","1","2"},""))))), ROW(INDIRECT("1:"&amp;LEN((LEFT(A286,SUM(LEN(A286)-LEN(SUBSTITUTE(A286,{"0","1","2"},"")))))))), 1)) * ROW(INDIRECT("1:"&amp;LEN((LEFT(A286,SUM(LEN(A286)-LEN(SUBSTITUTE(A286,{"0","1","2"},"")))))))), 0), ROW(INDIRECT("1:"&amp;LEN((LEFT(A286,SUM(LEN(A286)-LEN(SUBSTITUTE(A286,{"0","1","2"},"")))))))))+1, 1) * 10^ROW(INDIRECT("1:"&amp;LEN((LEFT(A286,SUM(LEN(A286)-LEN(SUBSTITUTE(A286,{"0","1","2"},""))))))))/10))*1+1&amp;""&amp;" ,.., "&amp;""&amp;(SUMPRODUCT(MID(0&amp;(--TRIM(RIGHT(SUBSTITUTE(LEFT(A286,_xlfn.AGGREGATE(16,6,FIND({0,1,2,3,4,5,6,7,8,9},A286,ROW(INDIRECT("1:"&amp;LEN(A286)))),1))," ",REPT(" ",LEN(A286))),LEN(A286)))), LARGE(INDEX(ISNUMBER(--MID((--TRIM(RIGHT(SUBSTITUTE(LEFT(A286,_xlfn.AGGREGATE(16,6,FIND({0,1,2,3,4,5,6,7,8,9},A286,ROW(INDIRECT("1:"&amp;LEN(A286)))),1))," ",REPT(" ",LEN(A286))),LEN(A286)))), ROW(INDIRECT("1:"&amp;LEN((--TRIM(RIGHT(SUBSTITUTE(LEFT(A286,_xlfn.AGGREGATE(16,6,FIND({0,1,2,3,4,5,6,7,8,9},A286,ROW(INDIRECT("1:"&amp;LEN(A286)))),1))," ",REPT(" ",LEN(A286))),LEN(A286))))))), 1)) * ROW(INDIRECT("1:"&amp;LEN((--TRIM(RIGHT(SUBSTITUTE(LEFT(A286,_xlfn.AGGREGATE(16,6,FIND({0,1,2,3,4,5,6,7,8,9},A286,ROW(INDIRECT("1:"&amp;LEN(A286)))),1))," ",REPT(" ",LEN(A286))),LEN(A286))))))), 0), ROW(INDIRECT("1:"&amp;LEN((--TRIM(RIGHT(SUBSTITUTE(LEFT(A286,_xlfn.AGGREGATE(16,6,FIND({0,1,2,3,4,5,6,7,8,9},A286,ROW(INDIRECT("1:"&amp;LEN(A286)))),1))," ",REPT(" ",LEN(A286))),LEN(A286))))))))+1, 1) * 10^ROW(INDIRECT("1:"&amp;LEN((--TRIM(RIGHT(SUBSTITUTE(LEFT(A286,_xlfn.AGGREGATE(16,6,FIND({0,1,2,3,4,5,6,7,8,9},A286,ROW(INDIRECT("1:"&amp;LEN(A286)))),1))," ",REPT(" ",LEN(A286))),LEN(A286)))))))/10))*1+1</f>
        <v>305 ,.., 1505</v>
      </c>
      <c r="B287" s="92"/>
      <c r="C287" s="39"/>
      <c r="D287" s="39"/>
      <c r="E287" s="49">
        <v>0</v>
      </c>
      <c r="F287" s="49">
        <f>D287+E287</f>
        <v>0</v>
      </c>
      <c r="G287" s="49">
        <v>0</v>
      </c>
      <c r="H287" s="49">
        <f>F287*(($H$270)+1)+(IF(G287&lt;101,G287,IF(G287&lt;201,G287/2,IF(G287&lt;=301,G287/3,G287/4))))</f>
        <v>0</v>
      </c>
    </row>
    <row r="288" spans="1:8" hidden="1" x14ac:dyDescent="0.35">
      <c r="A288" s="93" t="s">
        <v>145</v>
      </c>
      <c r="B288" s="94"/>
      <c r="C288" s="94"/>
      <c r="D288" s="94"/>
      <c r="E288" s="94"/>
      <c r="F288" s="94"/>
      <c r="G288" s="94"/>
      <c r="H288" s="95"/>
    </row>
    <row r="289" spans="1:8" hidden="1" x14ac:dyDescent="0.35">
      <c r="A289" s="91" t="str">
        <f ca="1">(SUMPRODUCT(MID(0&amp;(LEFT(A288,SUM(LEN(A288)-LEN(SUBSTITUTE(A288,{"0","1","2"},""))))), LARGE(INDEX(ISNUMBER(--MID((LEFT(A288,SUM(LEN(A288)-LEN(SUBSTITUTE(A288,{"0","1","2"},""))))), ROW(INDIRECT("1:"&amp;LEN((LEFT(A288,SUM(LEN(A288)-LEN(SUBSTITUTE(A288,{"0","1","2"},"")))))))), 1)) * ROW(INDIRECT("1:"&amp;LEN((LEFT(A288,SUM(LEN(A288)-LEN(SUBSTITUTE(A288,{"0","1","2"},"")))))))), 0), ROW(INDIRECT("1:"&amp;LEN((LEFT(A288,SUM(LEN(A288)-LEN(SUBSTITUTE(A288,{"0","1","2"},"")))))))))+1, 1) * 10^ROW(INDIRECT("1:"&amp;LEN((LEFT(A288,SUM(LEN(A288)-LEN(SUBSTITUTE(A288,{"0","1","2"},""))))))))/10))*100+1&amp;""&amp;" to "&amp;""&amp;(SUMPRODUCT(MID(0&amp;(--TRIM(RIGHT(SUBSTITUTE(LEFT(A288,_xlfn.AGGREGATE(16,6,FIND({0,1,2,3,4,5,6,7,8,9},A288,ROW(INDIRECT("1:"&amp;LEN(A288)))),1))," ",REPT(" ",LEN(A288))),LEN(A288)))), LARGE(INDEX(ISNUMBER(--MID((--TRIM(RIGHT(SUBSTITUTE(LEFT(A288,_xlfn.AGGREGATE(16,6,FIND({0,1,2,3,4,5,6,7,8,9},A288,ROW(INDIRECT("1:"&amp;LEN(A288)))),1))," ",REPT(" ",LEN(A288))),LEN(A288)))), ROW(INDIRECT("1:"&amp;LEN((--TRIM(RIGHT(SUBSTITUTE(LEFT(A288,_xlfn.AGGREGATE(16,6,FIND({0,1,2,3,4,5,6,7,8,9},A288,ROW(INDIRECT("1:"&amp;LEN(A288)))),1))," ",REPT(" ",LEN(A288))),LEN(A288))))))), 1)) * ROW(INDIRECT("1:"&amp;LEN((--TRIM(RIGHT(SUBSTITUTE(LEFT(A288,_xlfn.AGGREGATE(16,6,FIND({0,1,2,3,4,5,6,7,8,9},A288,ROW(INDIRECT("1:"&amp;LEN(A288)))),1))," ",REPT(" ",LEN(A288))),LEN(A288))))))), 0), ROW(INDIRECT("1:"&amp;LEN((--TRIM(RIGHT(SUBSTITUTE(LEFT(A288,_xlfn.AGGREGATE(16,6,FIND({0,1,2,3,4,5,6,7,8,9},A288,ROW(INDIRECT("1:"&amp;LEN(A288)))),1))," ",REPT(" ",LEN(A288))),LEN(A288))))))))+1, 1) * 10^ROW(INDIRECT("1:"&amp;LEN((--TRIM(RIGHT(SUBSTITUTE(LEFT(A288,_xlfn.AGGREGATE(16,6,FIND({0,1,2,3,4,5,6,7,8,9},A288,ROW(INDIRECT("1:"&amp;LEN(A288)))),1))," ",REPT(" ",LEN(A288))),LEN(A288)))))))/10))*100+1</f>
        <v>201 to 501</v>
      </c>
      <c r="B289" s="92"/>
      <c r="C289" s="39"/>
      <c r="D289" s="39"/>
      <c r="E289" s="49">
        <v>0</v>
      </c>
      <c r="F289" s="49">
        <f>D289+E289</f>
        <v>0</v>
      </c>
      <c r="G289" s="49">
        <v>0</v>
      </c>
      <c r="H289" s="49">
        <f>F289*(($H$270)+1)+(IF(G289&lt;101,G289,IF(G289&lt;201,G289/2,IF(G289&lt;=301,G289/3,G289/4))))</f>
        <v>0</v>
      </c>
    </row>
    <row r="290" spans="1:8" hidden="1" x14ac:dyDescent="0.35">
      <c r="A290" s="91" t="str">
        <f ca="1">(SUMPRODUCT(MID(0&amp;(LEFT(A289,SUM(LEN(A289)-LEN(SUBSTITUTE(A289,{"0","1","2"},""))))), LARGE(INDEX(ISNUMBER(--MID((LEFT(A289,SUM(LEN(A289)-LEN(SUBSTITUTE(A289,{"0","1","2"},""))))), ROW(INDIRECT("1:"&amp;LEN((LEFT(A289,SUM(LEN(A289)-LEN(SUBSTITUTE(A289,{"0","1","2"},"")))))))), 1)) * ROW(INDIRECT("1:"&amp;LEN((LEFT(A289,SUM(LEN(A289)-LEN(SUBSTITUTE(A289,{"0","1","2"},"")))))))), 0), ROW(INDIRECT("1:"&amp;LEN((LEFT(A289,SUM(LEN(A289)-LEN(SUBSTITUTE(A289,{"0","1","2"},"")))))))))+1, 1) * 10^ROW(INDIRECT("1:"&amp;LEN((LEFT(A289,SUM(LEN(A289)-LEN(SUBSTITUTE(A289,{"0","1","2"},""))))))))/10))*1+1&amp;""&amp;" to "&amp;""&amp;(SUMPRODUCT(MID(0&amp;(--TRIM(RIGHT(SUBSTITUTE(LEFT(A289,_xlfn.AGGREGATE(16,6,FIND({0,1,2,3,4,5,6,7,8,9},A289,ROW(INDIRECT("1:"&amp;LEN(A289)))),1))," ",REPT(" ",LEN(A289))),LEN(A289)))), LARGE(INDEX(ISNUMBER(--MID((--TRIM(RIGHT(SUBSTITUTE(LEFT(A289,_xlfn.AGGREGATE(16,6,FIND({0,1,2,3,4,5,6,7,8,9},A289,ROW(INDIRECT("1:"&amp;LEN(A289)))),1))," ",REPT(" ",LEN(A289))),LEN(A289)))), ROW(INDIRECT("1:"&amp;LEN((--TRIM(RIGHT(SUBSTITUTE(LEFT(A289,_xlfn.AGGREGATE(16,6,FIND({0,1,2,3,4,5,6,7,8,9},A289,ROW(INDIRECT("1:"&amp;LEN(A289)))),1))," ",REPT(" ",LEN(A289))),LEN(A289))))))), 1)) * ROW(INDIRECT("1:"&amp;LEN((--TRIM(RIGHT(SUBSTITUTE(LEFT(A289,_xlfn.AGGREGATE(16,6,FIND({0,1,2,3,4,5,6,7,8,9},A289,ROW(INDIRECT("1:"&amp;LEN(A289)))),1))," ",REPT(" ",LEN(A289))),LEN(A289))))))), 0), ROW(INDIRECT("1:"&amp;LEN((--TRIM(RIGHT(SUBSTITUTE(LEFT(A289,_xlfn.AGGREGATE(16,6,FIND({0,1,2,3,4,5,6,7,8,9},A289,ROW(INDIRECT("1:"&amp;LEN(A289)))),1))," ",REPT(" ",LEN(A289))),LEN(A289))))))))+1, 1) * 10^ROW(INDIRECT("1:"&amp;LEN((--TRIM(RIGHT(SUBSTITUTE(LEFT(A289,_xlfn.AGGREGATE(16,6,FIND({0,1,2,3,4,5,6,7,8,9},A289,ROW(INDIRECT("1:"&amp;LEN(A289)))),1))," ",REPT(" ",LEN(A289))),LEN(A289)))))))/10))*1+1</f>
        <v>202 to 502</v>
      </c>
      <c r="B290" s="92"/>
      <c r="C290" s="39"/>
      <c r="D290" s="39"/>
      <c r="E290" s="49">
        <v>0</v>
      </c>
      <c r="F290" s="49">
        <f>D290+E290</f>
        <v>0</v>
      </c>
      <c r="G290" s="49">
        <v>0</v>
      </c>
      <c r="H290" s="49">
        <f>F290*(($H$270)+1)+(IF(G290&lt;101,G290,IF(G290&lt;201,G290/2,IF(G290&lt;=301,G290/3,G290/4))))</f>
        <v>0</v>
      </c>
    </row>
    <row r="291" spans="1:8" ht="33.75" hidden="1" customHeight="1" x14ac:dyDescent="0.35">
      <c r="A291" s="91" t="str">
        <f ca="1">(SUMPRODUCT(MID(0&amp;(LEFT(A290,SUM(LEN(A290)-LEN(SUBSTITUTE(A290,{"0","1","2"},""))))), LARGE(INDEX(ISNUMBER(--MID((LEFT(A290,SUM(LEN(A290)-LEN(SUBSTITUTE(A290,{"0","1","2"},""))))), ROW(INDIRECT("1:"&amp;LEN((LEFT(A290,SUM(LEN(A290)-LEN(SUBSTITUTE(A290,{"0","1","2"},"")))))))), 1)) * ROW(INDIRECT("1:"&amp;LEN((LEFT(A290,SUM(LEN(A290)-LEN(SUBSTITUTE(A290,{"0","1","2"},"")))))))), 0), ROW(INDIRECT("1:"&amp;LEN((LEFT(A290,SUM(LEN(A290)-LEN(SUBSTITUTE(A290,{"0","1","2"},"")))))))))+1, 1) * 10^ROW(INDIRECT("1:"&amp;LEN((LEFT(A290,SUM(LEN(A290)-LEN(SUBSTITUTE(A290,{"0","1","2"},""))))))))/10))*1+1&amp;""&amp;" to "&amp;""&amp;(SUMPRODUCT(MID(0&amp;(--TRIM(RIGHT(SUBSTITUTE(LEFT(A290,_xlfn.AGGREGATE(16,6,FIND({0,1,2,3,4,5,6,7,8,9},A290,ROW(INDIRECT("1:"&amp;LEN(A290)))),1))," ",REPT(" ",LEN(A290))),LEN(A290)))), LARGE(INDEX(ISNUMBER(--MID((--TRIM(RIGHT(SUBSTITUTE(LEFT(A290,_xlfn.AGGREGATE(16,6,FIND({0,1,2,3,4,5,6,7,8,9},A290,ROW(INDIRECT("1:"&amp;LEN(A290)))),1))," ",REPT(" ",LEN(A290))),LEN(A290)))), ROW(INDIRECT("1:"&amp;LEN((--TRIM(RIGHT(SUBSTITUTE(LEFT(A290,_xlfn.AGGREGATE(16,6,FIND({0,1,2,3,4,5,6,7,8,9},A290,ROW(INDIRECT("1:"&amp;LEN(A290)))),1))," ",REPT(" ",LEN(A290))),LEN(A290))))))), 1)) * ROW(INDIRECT("1:"&amp;LEN((--TRIM(RIGHT(SUBSTITUTE(LEFT(A290,_xlfn.AGGREGATE(16,6,FIND({0,1,2,3,4,5,6,7,8,9},A290,ROW(INDIRECT("1:"&amp;LEN(A290)))),1))," ",REPT(" ",LEN(A290))),LEN(A290))))))), 0), ROW(INDIRECT("1:"&amp;LEN((--TRIM(RIGHT(SUBSTITUTE(LEFT(A290,_xlfn.AGGREGATE(16,6,FIND({0,1,2,3,4,5,6,7,8,9},A290,ROW(INDIRECT("1:"&amp;LEN(A290)))),1))," ",REPT(" ",LEN(A290))),LEN(A290))))))))+1, 1) * 10^ROW(INDIRECT("1:"&amp;LEN((--TRIM(RIGHT(SUBSTITUTE(LEFT(A290,_xlfn.AGGREGATE(16,6,FIND({0,1,2,3,4,5,6,7,8,9},A290,ROW(INDIRECT("1:"&amp;LEN(A290)))),1))," ",REPT(" ",LEN(A290))),LEN(A290)))))))/10))*1+1</f>
        <v>203 to 503</v>
      </c>
      <c r="B291" s="92"/>
      <c r="C291" s="39"/>
      <c r="D291" s="39"/>
      <c r="E291" s="49">
        <v>0</v>
      </c>
      <c r="F291" s="49">
        <f>D291+E291</f>
        <v>0</v>
      </c>
      <c r="G291" s="49">
        <v>0</v>
      </c>
      <c r="H291" s="49">
        <f>F291*(($H$270)+1)+(IF(G291&lt;101,G291,IF(G291&lt;201,G291/2,IF(G291&lt;=301,G291/3,G291/4))))</f>
        <v>0</v>
      </c>
    </row>
    <row r="292" spans="1:8" hidden="1" x14ac:dyDescent="0.35">
      <c r="A292" s="91" t="str">
        <f ca="1">(SUMPRODUCT(MID(0&amp;(LEFT(A291,SUM(LEN(A291)-LEN(SUBSTITUTE(A291,{"0","1","2"},""))))), LARGE(INDEX(ISNUMBER(--MID((LEFT(A291,SUM(LEN(A291)-LEN(SUBSTITUTE(A291,{"0","1","2"},""))))), ROW(INDIRECT("1:"&amp;LEN((LEFT(A291,SUM(LEN(A291)-LEN(SUBSTITUTE(A291,{"0","1","2"},"")))))))), 1)) * ROW(INDIRECT("1:"&amp;LEN((LEFT(A291,SUM(LEN(A291)-LEN(SUBSTITUTE(A291,{"0","1","2"},"")))))))), 0), ROW(INDIRECT("1:"&amp;LEN((LEFT(A291,SUM(LEN(A291)-LEN(SUBSTITUTE(A291,{"0","1","2"},"")))))))))+1, 1) * 10^ROW(INDIRECT("1:"&amp;LEN((LEFT(A291,SUM(LEN(A291)-LEN(SUBSTITUTE(A291,{"0","1","2"},""))))))))/10))*1+1&amp;""&amp;" to "&amp;""&amp;(SUMPRODUCT(MID(0&amp;(--TRIM(RIGHT(SUBSTITUTE(LEFT(A291,_xlfn.AGGREGATE(16,6,FIND({0,1,2,3,4,5,6,7,8,9},A291,ROW(INDIRECT("1:"&amp;LEN(A291)))),1))," ",REPT(" ",LEN(A291))),LEN(A291)))), LARGE(INDEX(ISNUMBER(--MID((--TRIM(RIGHT(SUBSTITUTE(LEFT(A291,_xlfn.AGGREGATE(16,6,FIND({0,1,2,3,4,5,6,7,8,9},A291,ROW(INDIRECT("1:"&amp;LEN(A291)))),1))," ",REPT(" ",LEN(A291))),LEN(A291)))), ROW(INDIRECT("1:"&amp;LEN((--TRIM(RIGHT(SUBSTITUTE(LEFT(A291,_xlfn.AGGREGATE(16,6,FIND({0,1,2,3,4,5,6,7,8,9},A291,ROW(INDIRECT("1:"&amp;LEN(A291)))),1))," ",REPT(" ",LEN(A291))),LEN(A291))))))), 1)) * ROW(INDIRECT("1:"&amp;LEN((--TRIM(RIGHT(SUBSTITUTE(LEFT(A291,_xlfn.AGGREGATE(16,6,FIND({0,1,2,3,4,5,6,7,8,9},A291,ROW(INDIRECT("1:"&amp;LEN(A291)))),1))," ",REPT(" ",LEN(A291))),LEN(A291))))))), 0), ROW(INDIRECT("1:"&amp;LEN((--TRIM(RIGHT(SUBSTITUTE(LEFT(A291,_xlfn.AGGREGATE(16,6,FIND({0,1,2,3,4,5,6,7,8,9},A291,ROW(INDIRECT("1:"&amp;LEN(A291)))),1))," ",REPT(" ",LEN(A291))),LEN(A291))))))))+1, 1) * 10^ROW(INDIRECT("1:"&amp;LEN((--TRIM(RIGHT(SUBSTITUTE(LEFT(A291,_xlfn.AGGREGATE(16,6,FIND({0,1,2,3,4,5,6,7,8,9},A291,ROW(INDIRECT("1:"&amp;LEN(A291)))),1))," ",REPT(" ",LEN(A291))),LEN(A291)))))))/10))*1+1</f>
        <v>204 to 504</v>
      </c>
      <c r="B292" s="92"/>
      <c r="C292" s="39"/>
      <c r="D292" s="39"/>
      <c r="E292" s="49">
        <v>0</v>
      </c>
      <c r="F292" s="49">
        <f>D292+E292</f>
        <v>0</v>
      </c>
      <c r="G292" s="49">
        <v>0</v>
      </c>
      <c r="H292" s="49">
        <f>F292*(($H$270)+1)+(IF(G292&lt;101,G292,IF(G292&lt;201,G292/2,IF(G292&lt;=301,G292/3,G292/4))))</f>
        <v>0</v>
      </c>
    </row>
    <row r="293" spans="1:8" ht="34.5" hidden="1" customHeight="1" x14ac:dyDescent="0.35">
      <c r="A293" s="91" t="str">
        <f ca="1">(SUMPRODUCT(MID(0&amp;(LEFT(A292,SUM(LEN(A292)-LEN(SUBSTITUTE(A292,{"0","1","2"},""))))), LARGE(INDEX(ISNUMBER(--MID((LEFT(A292,SUM(LEN(A292)-LEN(SUBSTITUTE(A292,{"0","1","2"},""))))), ROW(INDIRECT("1:"&amp;LEN((LEFT(A292,SUM(LEN(A292)-LEN(SUBSTITUTE(A292,{"0","1","2"},"")))))))), 1)) * ROW(INDIRECT("1:"&amp;LEN((LEFT(A292,SUM(LEN(A292)-LEN(SUBSTITUTE(A292,{"0","1","2"},"")))))))), 0), ROW(INDIRECT("1:"&amp;LEN((LEFT(A292,SUM(LEN(A292)-LEN(SUBSTITUTE(A292,{"0","1","2"},"")))))))))+1, 1) * 10^ROW(INDIRECT("1:"&amp;LEN((LEFT(A292,SUM(LEN(A292)-LEN(SUBSTITUTE(A292,{"0","1","2"},""))))))))/10))*1+1&amp;""&amp;" to "&amp;""&amp;(SUMPRODUCT(MID(0&amp;(--TRIM(RIGHT(SUBSTITUTE(LEFT(A292,_xlfn.AGGREGATE(16,6,FIND({0,1,2,3,4,5,6,7,8,9},A292,ROW(INDIRECT("1:"&amp;LEN(A292)))),1))," ",REPT(" ",LEN(A292))),LEN(A292)))), LARGE(INDEX(ISNUMBER(--MID((--TRIM(RIGHT(SUBSTITUTE(LEFT(A292,_xlfn.AGGREGATE(16,6,FIND({0,1,2,3,4,5,6,7,8,9},A292,ROW(INDIRECT("1:"&amp;LEN(A292)))),1))," ",REPT(" ",LEN(A292))),LEN(A292)))), ROW(INDIRECT("1:"&amp;LEN((--TRIM(RIGHT(SUBSTITUTE(LEFT(A292,_xlfn.AGGREGATE(16,6,FIND({0,1,2,3,4,5,6,7,8,9},A292,ROW(INDIRECT("1:"&amp;LEN(A292)))),1))," ",REPT(" ",LEN(A292))),LEN(A292))))))), 1)) * ROW(INDIRECT("1:"&amp;LEN((--TRIM(RIGHT(SUBSTITUTE(LEFT(A292,_xlfn.AGGREGATE(16,6,FIND({0,1,2,3,4,5,6,7,8,9},A292,ROW(INDIRECT("1:"&amp;LEN(A292)))),1))," ",REPT(" ",LEN(A292))),LEN(A292))))))), 0), ROW(INDIRECT("1:"&amp;LEN((--TRIM(RIGHT(SUBSTITUTE(LEFT(A292,_xlfn.AGGREGATE(16,6,FIND({0,1,2,3,4,5,6,7,8,9},A292,ROW(INDIRECT("1:"&amp;LEN(A292)))),1))," ",REPT(" ",LEN(A292))),LEN(A292))))))))+1, 1) * 10^ROW(INDIRECT("1:"&amp;LEN((--TRIM(RIGHT(SUBSTITUTE(LEFT(A292,_xlfn.AGGREGATE(16,6,FIND({0,1,2,3,4,5,6,7,8,9},A292,ROW(INDIRECT("1:"&amp;LEN(A292)))),1))," ",REPT(" ",LEN(A292))),LEN(A292)))))))/10))*1+1</f>
        <v>205 to 505</v>
      </c>
      <c r="B293" s="92"/>
      <c r="C293" s="39"/>
      <c r="D293" s="39"/>
      <c r="E293" s="49">
        <v>0</v>
      </c>
      <c r="F293" s="49">
        <f>D293+E293</f>
        <v>0</v>
      </c>
      <c r="G293" s="49">
        <v>0</v>
      </c>
      <c r="H293" s="49">
        <f>F293*(($H$270)+1)+(IF(G293&lt;101,G293,IF(G293&lt;201,G293/2,IF(G293&lt;=301,G293/3,G293/4))))</f>
        <v>0</v>
      </c>
    </row>
    <row r="294" spans="1:8" hidden="1" x14ac:dyDescent="0.35">
      <c r="A294" s="93" t="s">
        <v>146</v>
      </c>
      <c r="B294" s="94"/>
      <c r="C294" s="94"/>
      <c r="D294" s="94"/>
      <c r="E294" s="94"/>
      <c r="F294" s="94"/>
      <c r="G294" s="94"/>
      <c r="H294" s="95"/>
    </row>
    <row r="295" spans="1:8" ht="31.5" hidden="1" customHeight="1" x14ac:dyDescent="0.35">
      <c r="A295" s="91" t="str">
        <f ca="1">(SUMPRODUCT(MID(0&amp;(LEFT(A294,SUM(LEN(A294)-LEN(SUBSTITUTE(A294,{"0","1","2"},""))))), LARGE(INDEX(ISNUMBER(--MID((LEFT(A294,SUM(LEN(A294)-LEN(SUBSTITUTE(A294,{"0","1","2"},""))))), ROW(INDIRECT("1:"&amp;LEN((LEFT(A294,SUM(LEN(A294)-LEN(SUBSTITUTE(A294,{"0","1","2"},"")))))))), 1)) * ROW(INDIRECT("1:"&amp;LEN((LEFT(A294,SUM(LEN(A294)-LEN(SUBSTITUTE(A294,{"0","1","2"},"")))))))), 0), ROW(INDIRECT("1:"&amp;LEN((LEFT(A294,SUM(LEN(A294)-LEN(SUBSTITUTE(A294,{"0","1","2"},"")))))))))+1, 1) * 10^ROW(INDIRECT("1:"&amp;LEN((LEFT(A294,SUM(LEN(A294)-LEN(SUBSTITUTE(A294,{"0","1","2"},""))))))))/10))*100+1&amp;""&amp;" &amp; "&amp;""&amp;(SUMPRODUCT(MID(0&amp;(--TRIM(RIGHT(SUBSTITUTE(LEFT(A294,_xlfn.AGGREGATE(16,6,FIND({0,1,2,3,4,5,6,7,8,9},A294,ROW(INDIRECT("1:"&amp;LEN(A294)))),1))," ",REPT(" ",LEN(A294))),LEN(A294)))), LARGE(INDEX(ISNUMBER(--MID((--TRIM(RIGHT(SUBSTITUTE(LEFT(A294,_xlfn.AGGREGATE(16,6,FIND({0,1,2,3,4,5,6,7,8,9},A294,ROW(INDIRECT("1:"&amp;LEN(A294)))),1))," ",REPT(" ",LEN(A294))),LEN(A294)))), ROW(INDIRECT("1:"&amp;LEN((--TRIM(RIGHT(SUBSTITUTE(LEFT(A294,_xlfn.AGGREGATE(16,6,FIND({0,1,2,3,4,5,6,7,8,9},A294,ROW(INDIRECT("1:"&amp;LEN(A294)))),1))," ",REPT(" ",LEN(A294))),LEN(A294))))))), 1)) * ROW(INDIRECT("1:"&amp;LEN((--TRIM(RIGHT(SUBSTITUTE(LEFT(A294,_xlfn.AGGREGATE(16,6,FIND({0,1,2,3,4,5,6,7,8,9},A294,ROW(INDIRECT("1:"&amp;LEN(A294)))),1))," ",REPT(" ",LEN(A294))),LEN(A294))))))), 0), ROW(INDIRECT("1:"&amp;LEN((--TRIM(RIGHT(SUBSTITUTE(LEFT(A294,_xlfn.AGGREGATE(16,6,FIND({0,1,2,3,4,5,6,7,8,9},A294,ROW(INDIRECT("1:"&amp;LEN(A294)))),1))," ",REPT(" ",LEN(A294))),LEN(A294))))))))+1, 1) * 10^ROW(INDIRECT("1:"&amp;LEN((--TRIM(RIGHT(SUBSTITUTE(LEFT(A294,_xlfn.AGGREGATE(16,6,FIND({0,1,2,3,4,5,6,7,8,9},A294,ROW(INDIRECT("1:"&amp;LEN(A294)))),1))," ",REPT(" ",LEN(A294))),LEN(A294)))))))/10))*100+1</f>
        <v>201 &amp; 501</v>
      </c>
      <c r="B295" s="92"/>
      <c r="C295" s="39"/>
      <c r="D295" s="39"/>
      <c r="E295" s="49">
        <v>0</v>
      </c>
      <c r="F295" s="49">
        <f>D295+E295</f>
        <v>0</v>
      </c>
      <c r="G295" s="49">
        <v>0</v>
      </c>
      <c r="H295" s="49">
        <f>F295*(($H$270)+1)+(IF(G295&lt;101,G295,IF(G295&lt;201,G295/2,IF(G295&lt;=301,G295/3,G295/4))))</f>
        <v>0</v>
      </c>
    </row>
    <row r="296" spans="1:8" hidden="1" x14ac:dyDescent="0.35">
      <c r="A296" s="91" t="str">
        <f ca="1">(SUMPRODUCT(MID(0&amp;(LEFT(A295,SUM(LEN(A295)-LEN(SUBSTITUTE(A295,{"0","1","2"},""))))), LARGE(INDEX(ISNUMBER(--MID((LEFT(A295,SUM(LEN(A295)-LEN(SUBSTITUTE(A295,{"0","1","2"},""))))), ROW(INDIRECT("1:"&amp;LEN((LEFT(A295,SUM(LEN(A295)-LEN(SUBSTITUTE(A295,{"0","1","2"},"")))))))), 1)) * ROW(INDIRECT("1:"&amp;LEN((LEFT(A295,SUM(LEN(A295)-LEN(SUBSTITUTE(A295,{"0","1","2"},"")))))))), 0), ROW(INDIRECT("1:"&amp;LEN((LEFT(A295,SUM(LEN(A295)-LEN(SUBSTITUTE(A295,{"0","1","2"},"")))))))))+1, 1) * 10^ROW(INDIRECT("1:"&amp;LEN((LEFT(A295,SUM(LEN(A295)-LEN(SUBSTITUTE(A295,{"0","1","2"},""))))))))/10))*1+1&amp;""&amp;" &amp; "&amp;""&amp;(SUMPRODUCT(MID(0&amp;(--TRIM(RIGHT(SUBSTITUTE(LEFT(A295,_xlfn.AGGREGATE(16,6,FIND({0,1,2,3,4,5,6,7,8,9},A295,ROW(INDIRECT("1:"&amp;LEN(A295)))),1))," ",REPT(" ",LEN(A295))),LEN(A295)))), LARGE(INDEX(ISNUMBER(--MID((--TRIM(RIGHT(SUBSTITUTE(LEFT(A295,_xlfn.AGGREGATE(16,6,FIND({0,1,2,3,4,5,6,7,8,9},A295,ROW(INDIRECT("1:"&amp;LEN(A295)))),1))," ",REPT(" ",LEN(A295))),LEN(A295)))), ROW(INDIRECT("1:"&amp;LEN((--TRIM(RIGHT(SUBSTITUTE(LEFT(A295,_xlfn.AGGREGATE(16,6,FIND({0,1,2,3,4,5,6,7,8,9},A295,ROW(INDIRECT("1:"&amp;LEN(A295)))),1))," ",REPT(" ",LEN(A295))),LEN(A295))))))), 1)) * ROW(INDIRECT("1:"&amp;LEN((--TRIM(RIGHT(SUBSTITUTE(LEFT(A295,_xlfn.AGGREGATE(16,6,FIND({0,1,2,3,4,5,6,7,8,9},A295,ROW(INDIRECT("1:"&amp;LEN(A295)))),1))," ",REPT(" ",LEN(A295))),LEN(A295))))))), 0), ROW(INDIRECT("1:"&amp;LEN((--TRIM(RIGHT(SUBSTITUTE(LEFT(A295,_xlfn.AGGREGATE(16,6,FIND({0,1,2,3,4,5,6,7,8,9},A295,ROW(INDIRECT("1:"&amp;LEN(A295)))),1))," ",REPT(" ",LEN(A295))),LEN(A295))))))))+1, 1) * 10^ROW(INDIRECT("1:"&amp;LEN((--TRIM(RIGHT(SUBSTITUTE(LEFT(A295,_xlfn.AGGREGATE(16,6,FIND({0,1,2,3,4,5,6,7,8,9},A295,ROW(INDIRECT("1:"&amp;LEN(A295)))),1))," ",REPT(" ",LEN(A295))),LEN(A295)))))))/10))*1+1</f>
        <v>202 &amp; 502</v>
      </c>
      <c r="B296" s="92"/>
      <c r="C296" s="39"/>
      <c r="D296" s="39"/>
      <c r="E296" s="49">
        <v>0</v>
      </c>
      <c r="F296" s="49">
        <f>D296+E296</f>
        <v>0</v>
      </c>
      <c r="G296" s="49">
        <v>0</v>
      </c>
      <c r="H296" s="49">
        <f>F296*(($H$270)+1)+(IF(G296&lt;101,G296,IF(G296&lt;201,G296/2,IF(G296&lt;=301,G296/3,G296/4))))</f>
        <v>0</v>
      </c>
    </row>
    <row r="297" spans="1:8" hidden="1" x14ac:dyDescent="0.35">
      <c r="A297" s="91" t="str">
        <f ca="1">(SUMPRODUCT(MID(0&amp;(LEFT(A296,SUM(LEN(A296)-LEN(SUBSTITUTE(A296,{"0","1","2"},""))))), LARGE(INDEX(ISNUMBER(--MID((LEFT(A296,SUM(LEN(A296)-LEN(SUBSTITUTE(A296,{"0","1","2"},""))))), ROW(INDIRECT("1:"&amp;LEN((LEFT(A296,SUM(LEN(A296)-LEN(SUBSTITUTE(A296,{"0","1","2"},"")))))))), 1)) * ROW(INDIRECT("1:"&amp;LEN((LEFT(A296,SUM(LEN(A296)-LEN(SUBSTITUTE(A296,{"0","1","2"},"")))))))), 0), ROW(INDIRECT("1:"&amp;LEN((LEFT(A296,SUM(LEN(A296)-LEN(SUBSTITUTE(A296,{"0","1","2"},"")))))))))+1, 1) * 10^ROW(INDIRECT("1:"&amp;LEN((LEFT(A296,SUM(LEN(A296)-LEN(SUBSTITUTE(A296,{"0","1","2"},""))))))))/10))*1+1&amp;""&amp;" &amp; "&amp;""&amp;(SUMPRODUCT(MID(0&amp;(--TRIM(RIGHT(SUBSTITUTE(LEFT(A296,_xlfn.AGGREGATE(16,6,FIND({0,1,2,3,4,5,6,7,8,9},A296,ROW(INDIRECT("1:"&amp;LEN(A296)))),1))," ",REPT(" ",LEN(A296))),LEN(A296)))), LARGE(INDEX(ISNUMBER(--MID((--TRIM(RIGHT(SUBSTITUTE(LEFT(A296,_xlfn.AGGREGATE(16,6,FIND({0,1,2,3,4,5,6,7,8,9},A296,ROW(INDIRECT("1:"&amp;LEN(A296)))),1))," ",REPT(" ",LEN(A296))),LEN(A296)))), ROW(INDIRECT("1:"&amp;LEN((--TRIM(RIGHT(SUBSTITUTE(LEFT(A296,_xlfn.AGGREGATE(16,6,FIND({0,1,2,3,4,5,6,7,8,9},A296,ROW(INDIRECT("1:"&amp;LEN(A296)))),1))," ",REPT(" ",LEN(A296))),LEN(A296))))))), 1)) * ROW(INDIRECT("1:"&amp;LEN((--TRIM(RIGHT(SUBSTITUTE(LEFT(A296,_xlfn.AGGREGATE(16,6,FIND({0,1,2,3,4,5,6,7,8,9},A296,ROW(INDIRECT("1:"&amp;LEN(A296)))),1))," ",REPT(" ",LEN(A296))),LEN(A296))))))), 0), ROW(INDIRECT("1:"&amp;LEN((--TRIM(RIGHT(SUBSTITUTE(LEFT(A296,_xlfn.AGGREGATE(16,6,FIND({0,1,2,3,4,5,6,7,8,9},A296,ROW(INDIRECT("1:"&amp;LEN(A296)))),1))," ",REPT(" ",LEN(A296))),LEN(A296))))))))+1, 1) * 10^ROW(INDIRECT("1:"&amp;LEN((--TRIM(RIGHT(SUBSTITUTE(LEFT(A296,_xlfn.AGGREGATE(16,6,FIND({0,1,2,3,4,5,6,7,8,9},A296,ROW(INDIRECT("1:"&amp;LEN(A296)))),1))," ",REPT(" ",LEN(A296))),LEN(A296)))))))/10))*1+1</f>
        <v>203 &amp; 503</v>
      </c>
      <c r="B297" s="92"/>
      <c r="C297" s="39"/>
      <c r="D297" s="39"/>
      <c r="E297" s="49">
        <v>0</v>
      </c>
      <c r="F297" s="49">
        <f>D297+E297</f>
        <v>0</v>
      </c>
      <c r="G297" s="49">
        <v>0</v>
      </c>
      <c r="H297" s="49">
        <f>F297*(($H$270)+1)+(IF(G297&lt;101,G297,IF(G297&lt;201,G297/2,IF(G297&lt;=301,G297/3,G297/4))))</f>
        <v>0</v>
      </c>
    </row>
    <row r="298" spans="1:8" hidden="1" x14ac:dyDescent="0.35">
      <c r="A298" s="91" t="str">
        <f ca="1">(SUMPRODUCT(MID(0&amp;(LEFT(A297,SUM(LEN(A297)-LEN(SUBSTITUTE(A297,{"0","1","2"},""))))), LARGE(INDEX(ISNUMBER(--MID((LEFT(A297,SUM(LEN(A297)-LEN(SUBSTITUTE(A297,{"0","1","2"},""))))), ROW(INDIRECT("1:"&amp;LEN((LEFT(A297,SUM(LEN(A297)-LEN(SUBSTITUTE(A297,{"0","1","2"},"")))))))), 1)) * ROW(INDIRECT("1:"&amp;LEN((LEFT(A297,SUM(LEN(A297)-LEN(SUBSTITUTE(A297,{"0","1","2"},"")))))))), 0), ROW(INDIRECT("1:"&amp;LEN((LEFT(A297,SUM(LEN(A297)-LEN(SUBSTITUTE(A297,{"0","1","2"},"")))))))))+1, 1) * 10^ROW(INDIRECT("1:"&amp;LEN((LEFT(A297,SUM(LEN(A297)-LEN(SUBSTITUTE(A297,{"0","1","2"},""))))))))/10))*1+1&amp;""&amp;" &amp; "&amp;""&amp;(SUMPRODUCT(MID(0&amp;(--TRIM(RIGHT(SUBSTITUTE(LEFT(A297,_xlfn.AGGREGATE(16,6,FIND({0,1,2,3,4,5,6,7,8,9},A297,ROW(INDIRECT("1:"&amp;LEN(A297)))),1))," ",REPT(" ",LEN(A297))),LEN(A297)))), LARGE(INDEX(ISNUMBER(--MID((--TRIM(RIGHT(SUBSTITUTE(LEFT(A297,_xlfn.AGGREGATE(16,6,FIND({0,1,2,3,4,5,6,7,8,9},A297,ROW(INDIRECT("1:"&amp;LEN(A297)))),1))," ",REPT(" ",LEN(A297))),LEN(A297)))), ROW(INDIRECT("1:"&amp;LEN((--TRIM(RIGHT(SUBSTITUTE(LEFT(A297,_xlfn.AGGREGATE(16,6,FIND({0,1,2,3,4,5,6,7,8,9},A297,ROW(INDIRECT("1:"&amp;LEN(A297)))),1))," ",REPT(" ",LEN(A297))),LEN(A297))))))), 1)) * ROW(INDIRECT("1:"&amp;LEN((--TRIM(RIGHT(SUBSTITUTE(LEFT(A297,_xlfn.AGGREGATE(16,6,FIND({0,1,2,3,4,5,6,7,8,9},A297,ROW(INDIRECT("1:"&amp;LEN(A297)))),1))," ",REPT(" ",LEN(A297))),LEN(A297))))))), 0), ROW(INDIRECT("1:"&amp;LEN((--TRIM(RIGHT(SUBSTITUTE(LEFT(A297,_xlfn.AGGREGATE(16,6,FIND({0,1,2,3,4,5,6,7,8,9},A297,ROW(INDIRECT("1:"&amp;LEN(A297)))),1))," ",REPT(" ",LEN(A297))),LEN(A297))))))))+1, 1) * 10^ROW(INDIRECT("1:"&amp;LEN((--TRIM(RIGHT(SUBSTITUTE(LEFT(A297,_xlfn.AGGREGATE(16,6,FIND({0,1,2,3,4,5,6,7,8,9},A297,ROW(INDIRECT("1:"&amp;LEN(A297)))),1))," ",REPT(" ",LEN(A297))),LEN(A297)))))))/10))*1+1</f>
        <v>204 &amp; 504</v>
      </c>
      <c r="B298" s="92"/>
      <c r="C298" s="39"/>
      <c r="D298" s="39"/>
      <c r="E298" s="49">
        <v>0</v>
      </c>
      <c r="F298" s="49">
        <f>D298+E298</f>
        <v>0</v>
      </c>
      <c r="G298" s="49">
        <v>0</v>
      </c>
      <c r="H298" s="49">
        <f>F298*(($H$270)+1)+(IF(G298&lt;101,G298,IF(G298&lt;201,G298/2,IF(G298&lt;=301,G298/3,G298/4))))</f>
        <v>0</v>
      </c>
    </row>
    <row r="299" spans="1:8" ht="33.75" hidden="1" customHeight="1" x14ac:dyDescent="0.35">
      <c r="A299" s="91" t="str">
        <f ca="1">(SUMPRODUCT(MID(0&amp;(LEFT(A298,SUM(LEN(A298)-LEN(SUBSTITUTE(A298,{"0","1","2"},""))))), LARGE(INDEX(ISNUMBER(--MID((LEFT(A298,SUM(LEN(A298)-LEN(SUBSTITUTE(A298,{"0","1","2"},""))))), ROW(INDIRECT("1:"&amp;LEN((LEFT(A298,SUM(LEN(A298)-LEN(SUBSTITUTE(A298,{"0","1","2"},"")))))))), 1)) * ROW(INDIRECT("1:"&amp;LEN((LEFT(A298,SUM(LEN(A298)-LEN(SUBSTITUTE(A298,{"0","1","2"},"")))))))), 0), ROW(INDIRECT("1:"&amp;LEN((LEFT(A298,SUM(LEN(A298)-LEN(SUBSTITUTE(A298,{"0","1","2"},"")))))))))+1, 1) * 10^ROW(INDIRECT("1:"&amp;LEN((LEFT(A298,SUM(LEN(A298)-LEN(SUBSTITUTE(A298,{"0","1","2"},""))))))))/10))*1+1&amp;""&amp;" &amp; "&amp;""&amp;(SUMPRODUCT(MID(0&amp;(--TRIM(RIGHT(SUBSTITUTE(LEFT(A298,_xlfn.AGGREGATE(16,6,FIND({0,1,2,3,4,5,6,7,8,9},A298,ROW(INDIRECT("1:"&amp;LEN(A298)))),1))," ",REPT(" ",LEN(A298))),LEN(A298)))), LARGE(INDEX(ISNUMBER(--MID((--TRIM(RIGHT(SUBSTITUTE(LEFT(A298,_xlfn.AGGREGATE(16,6,FIND({0,1,2,3,4,5,6,7,8,9},A298,ROW(INDIRECT("1:"&amp;LEN(A298)))),1))," ",REPT(" ",LEN(A298))),LEN(A298)))), ROW(INDIRECT("1:"&amp;LEN((--TRIM(RIGHT(SUBSTITUTE(LEFT(A298,_xlfn.AGGREGATE(16,6,FIND({0,1,2,3,4,5,6,7,8,9},A298,ROW(INDIRECT("1:"&amp;LEN(A298)))),1))," ",REPT(" ",LEN(A298))),LEN(A298))))))), 1)) * ROW(INDIRECT("1:"&amp;LEN((--TRIM(RIGHT(SUBSTITUTE(LEFT(A298,_xlfn.AGGREGATE(16,6,FIND({0,1,2,3,4,5,6,7,8,9},A298,ROW(INDIRECT("1:"&amp;LEN(A298)))),1))," ",REPT(" ",LEN(A298))),LEN(A298))))))), 0), ROW(INDIRECT("1:"&amp;LEN((--TRIM(RIGHT(SUBSTITUTE(LEFT(A298,_xlfn.AGGREGATE(16,6,FIND({0,1,2,3,4,5,6,7,8,9},A298,ROW(INDIRECT("1:"&amp;LEN(A298)))),1))," ",REPT(" ",LEN(A298))),LEN(A298))))))))+1, 1) * 10^ROW(INDIRECT("1:"&amp;LEN((--TRIM(RIGHT(SUBSTITUTE(LEFT(A298,_xlfn.AGGREGATE(16,6,FIND({0,1,2,3,4,5,6,7,8,9},A298,ROW(INDIRECT("1:"&amp;LEN(A298)))),1))," ",REPT(" ",LEN(A298))),LEN(A298)))))))/10))*1+1</f>
        <v>205 &amp; 505</v>
      </c>
      <c r="B299" s="92"/>
      <c r="C299" s="39"/>
      <c r="D299" s="39"/>
      <c r="E299" s="49">
        <v>0</v>
      </c>
      <c r="F299" s="49">
        <f>D299+E299</f>
        <v>0</v>
      </c>
      <c r="G299" s="49">
        <v>0</v>
      </c>
      <c r="H299" s="49">
        <f>F299*(($H$270)+1)+(IF(G299&lt;101,G299,IF(G299&lt;201,G299/2,IF(G299&lt;=301,G299/3,G299/4))))</f>
        <v>0</v>
      </c>
    </row>
    <row r="300" spans="1:8" x14ac:dyDescent="0.35">
      <c r="A300" s="222" t="s">
        <v>64</v>
      </c>
      <c r="B300" s="222"/>
      <c r="C300" s="222"/>
      <c r="D300" s="222"/>
      <c r="E300" s="222"/>
      <c r="F300" s="222"/>
      <c r="G300" s="222"/>
      <c r="H300" s="222"/>
    </row>
    <row r="301" spans="1:8" ht="31" customHeight="1" x14ac:dyDescent="0.35">
      <c r="A301" s="41" t="s">
        <v>155</v>
      </c>
      <c r="B301" s="219" t="s">
        <v>376</v>
      </c>
      <c r="C301" s="220"/>
      <c r="D301" s="220"/>
      <c r="E301" s="220"/>
      <c r="F301" s="220"/>
      <c r="G301" s="220"/>
      <c r="H301" s="221"/>
    </row>
    <row r="302" spans="1:8" x14ac:dyDescent="0.35">
      <c r="A302" s="41" t="s">
        <v>155</v>
      </c>
      <c r="B302" s="219" t="str">
        <f>(IF(H132="Saleable area Loading :","We have considered Saleable area of Commercial as per our Calculation.","We considered Saleable area of Commercial as per Builder area Sheet."))</f>
        <v>We have considered Saleable area of Commercial as per our Calculation.</v>
      </c>
      <c r="C302" s="220"/>
      <c r="D302" s="220"/>
      <c r="E302" s="220"/>
      <c r="F302" s="220"/>
      <c r="G302" s="220"/>
      <c r="H302" s="221"/>
    </row>
    <row r="303" spans="1:8" x14ac:dyDescent="0.35">
      <c r="A303" s="41" t="s">
        <v>155</v>
      </c>
      <c r="B303" s="215" t="s">
        <v>122</v>
      </c>
      <c r="C303" s="216"/>
      <c r="D303" s="216"/>
      <c r="E303" s="216"/>
      <c r="F303" s="216"/>
      <c r="G303" s="216"/>
      <c r="H303" s="217"/>
    </row>
    <row r="304" spans="1:8" x14ac:dyDescent="0.35">
      <c r="A304" s="41" t="s">
        <v>155</v>
      </c>
      <c r="B304" s="215" t="s">
        <v>338</v>
      </c>
      <c r="C304" s="216"/>
      <c r="D304" s="216"/>
      <c r="E304" s="216"/>
      <c r="F304" s="216"/>
      <c r="G304" s="216"/>
      <c r="H304" s="217"/>
    </row>
    <row r="305" spans="1:10" x14ac:dyDescent="0.35">
      <c r="A305" s="41" t="s">
        <v>155</v>
      </c>
      <c r="B305" s="215" t="s">
        <v>154</v>
      </c>
      <c r="C305" s="216"/>
      <c r="D305" s="216"/>
      <c r="E305" s="216"/>
      <c r="F305" s="216"/>
      <c r="G305" s="216"/>
      <c r="H305" s="217"/>
    </row>
    <row r="306" spans="1:10" ht="16.5" customHeight="1" x14ac:dyDescent="0.35">
      <c r="A306" s="41" t="s">
        <v>155</v>
      </c>
      <c r="B306" s="215" t="s">
        <v>123</v>
      </c>
      <c r="C306" s="216"/>
      <c r="D306" s="216"/>
      <c r="E306" s="216"/>
      <c r="F306" s="216"/>
      <c r="G306" s="216"/>
      <c r="H306" s="217"/>
    </row>
    <row r="307" spans="1:10" ht="33.75" customHeight="1" x14ac:dyDescent="0.35">
      <c r="A307" s="41" t="s">
        <v>155</v>
      </c>
      <c r="B307" s="215" t="s">
        <v>156</v>
      </c>
      <c r="C307" s="216"/>
      <c r="D307" s="216"/>
      <c r="E307" s="216"/>
      <c r="F307" s="216"/>
      <c r="G307" s="216"/>
      <c r="H307" s="217"/>
    </row>
    <row r="308" spans="1:10" x14ac:dyDescent="0.35">
      <c r="A308" s="41" t="s">
        <v>155</v>
      </c>
      <c r="B308" s="215" t="s">
        <v>124</v>
      </c>
      <c r="C308" s="216"/>
      <c r="D308" s="216"/>
      <c r="E308" s="216"/>
      <c r="F308" s="216"/>
      <c r="G308" s="216"/>
      <c r="H308" s="217"/>
    </row>
    <row r="309" spans="1:10" x14ac:dyDescent="0.35">
      <c r="A309" s="74" t="s">
        <v>155</v>
      </c>
      <c r="B309" s="219" t="s">
        <v>368</v>
      </c>
      <c r="C309" s="220"/>
      <c r="D309" s="220"/>
      <c r="E309" s="220"/>
      <c r="F309" s="220"/>
      <c r="G309" s="220"/>
      <c r="H309" s="221"/>
    </row>
    <row r="310" spans="1:10" ht="34.5" customHeight="1" x14ac:dyDescent="0.35">
      <c r="A310" s="86" t="s">
        <v>155</v>
      </c>
      <c r="B310" s="219" t="s">
        <v>371</v>
      </c>
      <c r="C310" s="220"/>
      <c r="D310" s="220"/>
      <c r="E310" s="220"/>
      <c r="F310" s="220"/>
      <c r="G310" s="220"/>
      <c r="H310" s="221"/>
    </row>
    <row r="311" spans="1:10" ht="34.5" customHeight="1" x14ac:dyDescent="0.35">
      <c r="A311" s="82" t="s">
        <v>155</v>
      </c>
      <c r="B311" s="219" t="s">
        <v>360</v>
      </c>
      <c r="C311" s="220"/>
      <c r="D311" s="220"/>
      <c r="E311" s="220"/>
      <c r="F311" s="220"/>
      <c r="G311" s="220"/>
      <c r="H311" s="221"/>
    </row>
    <row r="312" spans="1:10" x14ac:dyDescent="0.35">
      <c r="A312" s="202" t="s">
        <v>57</v>
      </c>
      <c r="B312" s="202"/>
      <c r="C312" s="202"/>
      <c r="D312" s="202"/>
      <c r="E312" s="202"/>
      <c r="F312" s="202"/>
      <c r="G312" s="202"/>
      <c r="H312" s="202"/>
    </row>
    <row r="313" spans="1:10" x14ac:dyDescent="0.35">
      <c r="A313" s="120" t="s">
        <v>58</v>
      </c>
      <c r="B313" s="120"/>
      <c r="C313" s="120"/>
      <c r="D313" s="120"/>
      <c r="E313" s="120"/>
      <c r="F313" s="120"/>
      <c r="G313" s="120"/>
      <c r="H313" s="120"/>
    </row>
    <row r="314" spans="1:10" x14ac:dyDescent="0.35">
      <c r="A314" s="218" t="s">
        <v>59</v>
      </c>
      <c r="B314" s="218"/>
      <c r="C314" s="218"/>
      <c r="D314" s="218"/>
      <c r="E314" s="218"/>
      <c r="F314" s="218"/>
      <c r="G314" s="218"/>
      <c r="H314" s="218"/>
    </row>
    <row r="315" spans="1:10" x14ac:dyDescent="0.35">
      <c r="A315" s="120" t="s">
        <v>60</v>
      </c>
      <c r="B315" s="120"/>
      <c r="C315" s="120"/>
      <c r="D315" s="120"/>
      <c r="E315" s="120"/>
      <c r="F315" s="120"/>
      <c r="G315" s="120"/>
      <c r="H315" s="120"/>
    </row>
    <row r="316" spans="1:10" x14ac:dyDescent="0.35">
      <c r="A316" s="120" t="s">
        <v>61</v>
      </c>
      <c r="B316" s="120"/>
      <c r="C316" s="120"/>
      <c r="D316" s="120"/>
      <c r="E316" s="120"/>
      <c r="F316" s="120"/>
      <c r="G316" s="120"/>
      <c r="H316" s="120"/>
    </row>
    <row r="317" spans="1:10" x14ac:dyDescent="0.35">
      <c r="A317" s="120" t="s">
        <v>125</v>
      </c>
      <c r="B317" s="120"/>
      <c r="C317" s="120"/>
      <c r="D317" s="120"/>
      <c r="E317" s="120"/>
      <c r="F317" s="120"/>
      <c r="G317" s="120"/>
      <c r="H317" s="120"/>
    </row>
    <row r="318" spans="1:10" x14ac:dyDescent="0.35">
      <c r="A318" s="126" t="s">
        <v>126</v>
      </c>
      <c r="B318" s="126"/>
      <c r="C318" s="126"/>
      <c r="D318" s="126"/>
      <c r="E318" s="126"/>
      <c r="F318" s="126"/>
      <c r="G318" s="126"/>
      <c r="H318" s="126"/>
      <c r="I318" s="18" t="s">
        <v>364</v>
      </c>
    </row>
    <row r="319" spans="1:10" x14ac:dyDescent="0.35">
      <c r="A319" s="214" t="s">
        <v>73</v>
      </c>
      <c r="B319" s="214"/>
      <c r="C319" s="214" t="s">
        <v>320</v>
      </c>
      <c r="D319" s="214"/>
      <c r="E319" s="214" t="s">
        <v>102</v>
      </c>
      <c r="F319" s="214"/>
      <c r="G319" s="214" t="s">
        <v>364</v>
      </c>
      <c r="H319" s="214"/>
      <c r="I319" s="214" t="s">
        <v>320</v>
      </c>
      <c r="J319" s="214"/>
    </row>
    <row r="320" spans="1:10" x14ac:dyDescent="0.35">
      <c r="A320" s="213" t="s">
        <v>75</v>
      </c>
      <c r="B320" s="213"/>
      <c r="C320" s="213"/>
      <c r="D320" s="213"/>
      <c r="E320" s="213"/>
      <c r="F320" s="213"/>
      <c r="G320" s="213"/>
      <c r="H320" s="213"/>
    </row>
    <row r="321" spans="1:8" x14ac:dyDescent="0.35">
      <c r="A321" s="213"/>
      <c r="B321" s="213"/>
      <c r="C321" s="213"/>
      <c r="D321" s="213"/>
      <c r="E321" s="213"/>
      <c r="F321" s="213"/>
      <c r="G321" s="213"/>
      <c r="H321" s="213"/>
    </row>
    <row r="322" spans="1:8" x14ac:dyDescent="0.35">
      <c r="A322" s="213"/>
      <c r="B322" s="213"/>
      <c r="C322" s="213"/>
      <c r="D322" s="213"/>
      <c r="E322" s="213"/>
      <c r="F322" s="213"/>
      <c r="G322" s="213"/>
      <c r="H322" s="213"/>
    </row>
    <row r="323" spans="1:8" x14ac:dyDescent="0.35">
      <c r="A323" s="213"/>
      <c r="B323" s="213"/>
      <c r="C323" s="213"/>
      <c r="D323" s="213"/>
      <c r="E323" s="213"/>
      <c r="F323" s="213"/>
      <c r="G323" s="213"/>
      <c r="H323" s="213"/>
    </row>
    <row r="324" spans="1:8" x14ac:dyDescent="0.35">
      <c r="A324" s="35" t="s">
        <v>62</v>
      </c>
      <c r="B324" s="36"/>
      <c r="C324" s="36"/>
      <c r="D324" s="35" t="str">
        <f>E9</f>
        <v>O22 Business Park</v>
      </c>
      <c r="F324" s="36"/>
      <c r="G324" s="36"/>
      <c r="H324" s="36"/>
    </row>
    <row r="325" spans="1:8" x14ac:dyDescent="0.35">
      <c r="A325" s="36"/>
      <c r="B325" s="36"/>
      <c r="C325" s="36"/>
      <c r="D325" s="36"/>
      <c r="E325" s="36"/>
      <c r="F325" s="36"/>
      <c r="G325" s="36"/>
      <c r="H325" s="36"/>
    </row>
    <row r="326" spans="1:8" x14ac:dyDescent="0.35">
      <c r="A326" s="36"/>
      <c r="B326" s="36"/>
      <c r="C326" s="36"/>
      <c r="D326" s="36"/>
      <c r="E326" s="36"/>
      <c r="F326" s="36"/>
      <c r="G326" s="36"/>
      <c r="H326" s="36"/>
    </row>
    <row r="367" spans="1:1" x14ac:dyDescent="0.35">
      <c r="A367" s="38" t="s">
        <v>163</v>
      </c>
    </row>
    <row r="410" spans="1:1" x14ac:dyDescent="0.35">
      <c r="A410" s="38" t="s">
        <v>63</v>
      </c>
    </row>
  </sheetData>
  <mergeCells count="500">
    <mergeCell ref="I319:J319"/>
    <mergeCell ref="B310:H310"/>
    <mergeCell ref="L120:M120"/>
    <mergeCell ref="C121:D121"/>
    <mergeCell ref="E121:F121"/>
    <mergeCell ref="G121:H121"/>
    <mergeCell ref="L121:M121"/>
    <mergeCell ref="B311:H311"/>
    <mergeCell ref="A262:H262"/>
    <mergeCell ref="A263:B263"/>
    <mergeCell ref="A264:B264"/>
    <mergeCell ref="A265:H265"/>
    <mergeCell ref="A266:B266"/>
    <mergeCell ref="A267:B267"/>
    <mergeCell ref="C120:D120"/>
    <mergeCell ref="E120:F120"/>
    <mergeCell ref="G120:H120"/>
    <mergeCell ref="A254:B254"/>
    <mergeCell ref="A255:B255"/>
    <mergeCell ref="A256:B256"/>
    <mergeCell ref="A257:B257"/>
    <mergeCell ref="A258:B258"/>
    <mergeCell ref="A259:B259"/>
    <mergeCell ref="A260:B260"/>
    <mergeCell ref="A261:B261"/>
    <mergeCell ref="C255:H256"/>
    <mergeCell ref="A245:B245"/>
    <mergeCell ref="A246:H246"/>
    <mergeCell ref="A247:B247"/>
    <mergeCell ref="A248:B248"/>
    <mergeCell ref="A249:B249"/>
    <mergeCell ref="A250:B250"/>
    <mergeCell ref="A251:B251"/>
    <mergeCell ref="A252:B252"/>
    <mergeCell ref="A253:B253"/>
    <mergeCell ref="A236:B236"/>
    <mergeCell ref="A237:B237"/>
    <mergeCell ref="A238:B238"/>
    <mergeCell ref="A239:B239"/>
    <mergeCell ref="A240:B240"/>
    <mergeCell ref="A241:B241"/>
    <mergeCell ref="A242:B242"/>
    <mergeCell ref="A243:B243"/>
    <mergeCell ref="A244:B244"/>
    <mergeCell ref="A228:B228"/>
    <mergeCell ref="A229:B229"/>
    <mergeCell ref="C223:H224"/>
    <mergeCell ref="A230:H230"/>
    <mergeCell ref="A231:B231"/>
    <mergeCell ref="A232:B232"/>
    <mergeCell ref="A233:B233"/>
    <mergeCell ref="A234:B234"/>
    <mergeCell ref="A235:B235"/>
    <mergeCell ref="A219:B219"/>
    <mergeCell ref="A220:B220"/>
    <mergeCell ref="A221:B221"/>
    <mergeCell ref="A222:B222"/>
    <mergeCell ref="A223:B223"/>
    <mergeCell ref="A224:B224"/>
    <mergeCell ref="A225:B225"/>
    <mergeCell ref="A226:B226"/>
    <mergeCell ref="A227:B227"/>
    <mergeCell ref="C191:H192"/>
    <mergeCell ref="A195:B195"/>
    <mergeCell ref="A196:B196"/>
    <mergeCell ref="A197:B197"/>
    <mergeCell ref="A214:H214"/>
    <mergeCell ref="A215:B215"/>
    <mergeCell ref="A216:B216"/>
    <mergeCell ref="A217:B217"/>
    <mergeCell ref="A218:B218"/>
    <mergeCell ref="A213:B213"/>
    <mergeCell ref="A205:B205"/>
    <mergeCell ref="A206:B206"/>
    <mergeCell ref="A207:B207"/>
    <mergeCell ref="A208:B208"/>
    <mergeCell ref="A209:B209"/>
    <mergeCell ref="A210:B210"/>
    <mergeCell ref="A211:B211"/>
    <mergeCell ref="A212:B212"/>
    <mergeCell ref="A193:B193"/>
    <mergeCell ref="G118:H118"/>
    <mergeCell ref="E118:F118"/>
    <mergeCell ref="C118:D118"/>
    <mergeCell ref="C122:D122"/>
    <mergeCell ref="E122:F122"/>
    <mergeCell ref="G122:H122"/>
    <mergeCell ref="L122:M122"/>
    <mergeCell ref="A118:A122"/>
    <mergeCell ref="A204:B204"/>
    <mergeCell ref="A198:H198"/>
    <mergeCell ref="A199:B199"/>
    <mergeCell ref="A200:B200"/>
    <mergeCell ref="A201:B201"/>
    <mergeCell ref="A202:B202"/>
    <mergeCell ref="A203:B203"/>
    <mergeCell ref="A175:B175"/>
    <mergeCell ref="A176:B176"/>
    <mergeCell ref="A177:B177"/>
    <mergeCell ref="A178:B178"/>
    <mergeCell ref="A179:H179"/>
    <mergeCell ref="A180:B180"/>
    <mergeCell ref="A181:B181"/>
    <mergeCell ref="A182:B182"/>
    <mergeCell ref="A183:B183"/>
    <mergeCell ref="A184:B184"/>
    <mergeCell ref="A185:B185"/>
    <mergeCell ref="A186:B186"/>
    <mergeCell ref="A187:B187"/>
    <mergeCell ref="A188:B188"/>
    <mergeCell ref="A189:B189"/>
    <mergeCell ref="A190:B190"/>
    <mergeCell ref="A191:B191"/>
    <mergeCell ref="A192:B192"/>
    <mergeCell ref="A171:B171"/>
    <mergeCell ref="A137:B137"/>
    <mergeCell ref="A138:B138"/>
    <mergeCell ref="A147:H147"/>
    <mergeCell ref="A162:B162"/>
    <mergeCell ref="C150:H150"/>
    <mergeCell ref="L135:M135"/>
    <mergeCell ref="A143:H143"/>
    <mergeCell ref="L139:M139"/>
    <mergeCell ref="A160:B160"/>
    <mergeCell ref="A161:B161"/>
    <mergeCell ref="A152:B152"/>
    <mergeCell ref="A151:B151"/>
    <mergeCell ref="A142:B142"/>
    <mergeCell ref="A123:B123"/>
    <mergeCell ref="A129:B129"/>
    <mergeCell ref="C126:D126"/>
    <mergeCell ref="A173:B173"/>
    <mergeCell ref="A174:B174"/>
    <mergeCell ref="A271:H271"/>
    <mergeCell ref="B269:B270"/>
    <mergeCell ref="A283:B283"/>
    <mergeCell ref="A149:B149"/>
    <mergeCell ref="A275:B275"/>
    <mergeCell ref="A153:B153"/>
    <mergeCell ref="A154:B154"/>
    <mergeCell ref="A155:B155"/>
    <mergeCell ref="A156:B156"/>
    <mergeCell ref="A146:H146"/>
    <mergeCell ref="A148:H148"/>
    <mergeCell ref="A163:H163"/>
    <mergeCell ref="A164:B164"/>
    <mergeCell ref="A165:B165"/>
    <mergeCell ref="A166:B166"/>
    <mergeCell ref="A167:B167"/>
    <mergeCell ref="A168:B168"/>
    <mergeCell ref="A169:B169"/>
    <mergeCell ref="A170:B170"/>
    <mergeCell ref="A134:H134"/>
    <mergeCell ref="C129:D129"/>
    <mergeCell ref="E129:F129"/>
    <mergeCell ref="C128:D128"/>
    <mergeCell ref="A124:H124"/>
    <mergeCell ref="E125:F125"/>
    <mergeCell ref="A139:H139"/>
    <mergeCell ref="A140:B140"/>
    <mergeCell ref="A141:B141"/>
    <mergeCell ref="G129:H129"/>
    <mergeCell ref="G125:H125"/>
    <mergeCell ref="C132:C133"/>
    <mergeCell ref="G128:H128"/>
    <mergeCell ref="A126:B126"/>
    <mergeCell ref="G132:G133"/>
    <mergeCell ref="A135:H135"/>
    <mergeCell ref="F132:F133"/>
    <mergeCell ref="B132:B133"/>
    <mergeCell ref="A132:A133"/>
    <mergeCell ref="A292:B292"/>
    <mergeCell ref="A293:B293"/>
    <mergeCell ref="I15:P15"/>
    <mergeCell ref="F113:H113"/>
    <mergeCell ref="F111:H111"/>
    <mergeCell ref="A284:B284"/>
    <mergeCell ref="A131:H131"/>
    <mergeCell ref="G117:H117"/>
    <mergeCell ref="A112:E112"/>
    <mergeCell ref="A150:B150"/>
    <mergeCell ref="A62:B62"/>
    <mergeCell ref="C62:E62"/>
    <mergeCell ref="D64:H64"/>
    <mergeCell ref="F112:H112"/>
    <mergeCell ref="E117:F117"/>
    <mergeCell ref="A117:B117"/>
    <mergeCell ref="C125:D125"/>
    <mergeCell ref="D72:H72"/>
    <mergeCell ref="A73:C73"/>
    <mergeCell ref="E43:H43"/>
    <mergeCell ref="A43:D43"/>
    <mergeCell ref="A84:B84"/>
    <mergeCell ref="A158:B158"/>
    <mergeCell ref="A159:B159"/>
    <mergeCell ref="B308:H308"/>
    <mergeCell ref="B306:H306"/>
    <mergeCell ref="B302:H302"/>
    <mergeCell ref="A297:B297"/>
    <mergeCell ref="A294:H294"/>
    <mergeCell ref="A295:B295"/>
    <mergeCell ref="A296:B296"/>
    <mergeCell ref="A299:B299"/>
    <mergeCell ref="A298:B298"/>
    <mergeCell ref="B301:H301"/>
    <mergeCell ref="B303:H303"/>
    <mergeCell ref="B304:H304"/>
    <mergeCell ref="A300:H300"/>
    <mergeCell ref="A268:H268"/>
    <mergeCell ref="A130:H130"/>
    <mergeCell ref="A172:B172"/>
    <mergeCell ref="A320:H323"/>
    <mergeCell ref="A319:B319"/>
    <mergeCell ref="E319:F319"/>
    <mergeCell ref="C319:D319"/>
    <mergeCell ref="G319:H319"/>
    <mergeCell ref="A318:H318"/>
    <mergeCell ref="A316:H316"/>
    <mergeCell ref="B307:H307"/>
    <mergeCell ref="A317:H317"/>
    <mergeCell ref="A314:H314"/>
    <mergeCell ref="A312:H312"/>
    <mergeCell ref="B309:H309"/>
    <mergeCell ref="A315:H315"/>
    <mergeCell ref="A313:H313"/>
    <mergeCell ref="A291:B291"/>
    <mergeCell ref="A280:B280"/>
    <mergeCell ref="B305:H305"/>
    <mergeCell ref="D132:D133"/>
    <mergeCell ref="A290:B290"/>
    <mergeCell ref="A289:B289"/>
    <mergeCell ref="A288:H288"/>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E20:F20"/>
    <mergeCell ref="G20:H20"/>
    <mergeCell ref="A21:B21"/>
    <mergeCell ref="C21:D21"/>
    <mergeCell ref="E21:F21"/>
    <mergeCell ref="G21:H21"/>
    <mergeCell ref="A22:B22"/>
    <mergeCell ref="C22:D22"/>
    <mergeCell ref="E22:F22"/>
    <mergeCell ref="G22:H22"/>
    <mergeCell ref="E27:H27"/>
    <mergeCell ref="A29:D29"/>
    <mergeCell ref="E29:H29"/>
    <mergeCell ref="A26:D26"/>
    <mergeCell ref="E26:H26"/>
    <mergeCell ref="A25:D25"/>
    <mergeCell ref="E25:H25"/>
    <mergeCell ref="A30:D30"/>
    <mergeCell ref="E30:H30"/>
    <mergeCell ref="A27:D27"/>
    <mergeCell ref="A36:B36"/>
    <mergeCell ref="C36:E36"/>
    <mergeCell ref="A31:D31"/>
    <mergeCell ref="E31:H31"/>
    <mergeCell ref="A32:D32"/>
    <mergeCell ref="E32:H32"/>
    <mergeCell ref="A28:D28"/>
    <mergeCell ref="E28:H28"/>
    <mergeCell ref="C33:E33"/>
    <mergeCell ref="F36:H36"/>
    <mergeCell ref="F33:H33"/>
    <mergeCell ref="A34:B34"/>
    <mergeCell ref="A33:B33"/>
    <mergeCell ref="C34:E34"/>
    <mergeCell ref="A35:B35"/>
    <mergeCell ref="C35:E35"/>
    <mergeCell ref="F34:H34"/>
    <mergeCell ref="F35:H35"/>
    <mergeCell ref="A37:B37"/>
    <mergeCell ref="C37:E37"/>
    <mergeCell ref="A42:D42"/>
    <mergeCell ref="E42:H42"/>
    <mergeCell ref="A41:H41"/>
    <mergeCell ref="A68:C68"/>
    <mergeCell ref="A69:C69"/>
    <mergeCell ref="D68:H68"/>
    <mergeCell ref="F37:H37"/>
    <mergeCell ref="A39:B39"/>
    <mergeCell ref="C39:H39"/>
    <mergeCell ref="A40:B40"/>
    <mergeCell ref="C40:H40"/>
    <mergeCell ref="D67:H67"/>
    <mergeCell ref="C52:E52"/>
    <mergeCell ref="A67:C67"/>
    <mergeCell ref="A51:B51"/>
    <mergeCell ref="A63:H63"/>
    <mergeCell ref="A64:C64"/>
    <mergeCell ref="A65:C65"/>
    <mergeCell ref="D65:H65"/>
    <mergeCell ref="G62:H62"/>
    <mergeCell ref="A56:B57"/>
    <mergeCell ref="C56:E56"/>
    <mergeCell ref="A38:H38"/>
    <mergeCell ref="G56:H56"/>
    <mergeCell ref="A58:B59"/>
    <mergeCell ref="C58:E58"/>
    <mergeCell ref="G58:H58"/>
    <mergeCell ref="G51:H51"/>
    <mergeCell ref="A52:B53"/>
    <mergeCell ref="C51:E51"/>
    <mergeCell ref="A54:B55"/>
    <mergeCell ref="C54:E54"/>
    <mergeCell ref="G54:H54"/>
    <mergeCell ref="A47:D47"/>
    <mergeCell ref="A48:H48"/>
    <mergeCell ref="A49:B49"/>
    <mergeCell ref="A50:B50"/>
    <mergeCell ref="C50:E50"/>
    <mergeCell ref="G50:H50"/>
    <mergeCell ref="G52:H52"/>
    <mergeCell ref="C53:H53"/>
    <mergeCell ref="A95:B95"/>
    <mergeCell ref="A96:B96"/>
    <mergeCell ref="A97:B97"/>
    <mergeCell ref="A100:B100"/>
    <mergeCell ref="A44:D44"/>
    <mergeCell ref="E44:H44"/>
    <mergeCell ref="E45:H45"/>
    <mergeCell ref="E46:H46"/>
    <mergeCell ref="E47:H47"/>
    <mergeCell ref="C59:H59"/>
    <mergeCell ref="A46:D46"/>
    <mergeCell ref="A45:D45"/>
    <mergeCell ref="A89:B89"/>
    <mergeCell ref="C91:H91"/>
    <mergeCell ref="E92:F92"/>
    <mergeCell ref="G92:H92"/>
    <mergeCell ref="E93:F102"/>
    <mergeCell ref="G93:H102"/>
    <mergeCell ref="A66:C66"/>
    <mergeCell ref="A79:B79"/>
    <mergeCell ref="A102:B102"/>
    <mergeCell ref="C49:H49"/>
    <mergeCell ref="D69:H69"/>
    <mergeCell ref="A74:C74"/>
    <mergeCell ref="A107:E107"/>
    <mergeCell ref="A106:E106"/>
    <mergeCell ref="A103:E103"/>
    <mergeCell ref="F107:H107"/>
    <mergeCell ref="L117:M117"/>
    <mergeCell ref="L118:M118"/>
    <mergeCell ref="L119:M119"/>
    <mergeCell ref="A116:H116"/>
    <mergeCell ref="A114:E114"/>
    <mergeCell ref="F114:H114"/>
    <mergeCell ref="A115:E115"/>
    <mergeCell ref="F115:H115"/>
    <mergeCell ref="C117:D117"/>
    <mergeCell ref="F103:H103"/>
    <mergeCell ref="F108:H108"/>
    <mergeCell ref="A108:E108"/>
    <mergeCell ref="A113:E113"/>
    <mergeCell ref="A109:E109"/>
    <mergeCell ref="A110:E110"/>
    <mergeCell ref="F104:H104"/>
    <mergeCell ref="F110:H110"/>
    <mergeCell ref="C119:D119"/>
    <mergeCell ref="E119:F119"/>
    <mergeCell ref="G119:H119"/>
    <mergeCell ref="G78:H78"/>
    <mergeCell ref="A128:B128"/>
    <mergeCell ref="E128:F128"/>
    <mergeCell ref="C57:H57"/>
    <mergeCell ref="A78:B78"/>
    <mergeCell ref="F109:H109"/>
    <mergeCell ref="A70:C70"/>
    <mergeCell ref="D70:H70"/>
    <mergeCell ref="C77:H77"/>
    <mergeCell ref="A80:B80"/>
    <mergeCell ref="A82:B82"/>
    <mergeCell ref="E78:F78"/>
    <mergeCell ref="A71:C71"/>
    <mergeCell ref="D71:H71"/>
    <mergeCell ref="A81:B81"/>
    <mergeCell ref="G127:H127"/>
    <mergeCell ref="D66:H66"/>
    <mergeCell ref="A88:B88"/>
    <mergeCell ref="E127:F127"/>
    <mergeCell ref="A111:E111"/>
    <mergeCell ref="F106:H106"/>
    <mergeCell ref="C123:D123"/>
    <mergeCell ref="E123:F123"/>
    <mergeCell ref="A125:B125"/>
    <mergeCell ref="L127:M127"/>
    <mergeCell ref="L126:M126"/>
    <mergeCell ref="L125:M125"/>
    <mergeCell ref="L124:M124"/>
    <mergeCell ref="A127:B127"/>
    <mergeCell ref="C127:D127"/>
    <mergeCell ref="L132:M132"/>
    <mergeCell ref="E126:F126"/>
    <mergeCell ref="G126:H126"/>
    <mergeCell ref="E132:E133"/>
    <mergeCell ref="C60:E60"/>
    <mergeCell ref="G60:H60"/>
    <mergeCell ref="C61:E61"/>
    <mergeCell ref="G61:H61"/>
    <mergeCell ref="A92:B92"/>
    <mergeCell ref="A93:B93"/>
    <mergeCell ref="A94:B94"/>
    <mergeCell ref="F105:H105"/>
    <mergeCell ref="A105:E105"/>
    <mergeCell ref="A77:B77"/>
    <mergeCell ref="A75:B75"/>
    <mergeCell ref="C75:H75"/>
    <mergeCell ref="A83:B83"/>
    <mergeCell ref="A91:B91"/>
    <mergeCell ref="A98:B98"/>
    <mergeCell ref="A99:B99"/>
    <mergeCell ref="A85:B85"/>
    <mergeCell ref="C89:H89"/>
    <mergeCell ref="A86:B86"/>
    <mergeCell ref="A101:B101"/>
    <mergeCell ref="E79:F88"/>
    <mergeCell ref="D74:H74"/>
    <mergeCell ref="A72:C72"/>
    <mergeCell ref="D73:H73"/>
    <mergeCell ref="G79:H88"/>
    <mergeCell ref="A87:B87"/>
    <mergeCell ref="A194:B194"/>
    <mergeCell ref="C55:H55"/>
    <mergeCell ref="A136:H136"/>
    <mergeCell ref="L136:M136"/>
    <mergeCell ref="A281:B281"/>
    <mergeCell ref="A278:B278"/>
    <mergeCell ref="A279:B279"/>
    <mergeCell ref="L133:M133"/>
    <mergeCell ref="L134:M134"/>
    <mergeCell ref="A157:B157"/>
    <mergeCell ref="C157:H157"/>
    <mergeCell ref="C263:H263"/>
    <mergeCell ref="C264:H264"/>
    <mergeCell ref="C266:H266"/>
    <mergeCell ref="C267:H267"/>
    <mergeCell ref="A144:B144"/>
    <mergeCell ref="A145:B145"/>
    <mergeCell ref="C144:H144"/>
    <mergeCell ref="C145:H145"/>
    <mergeCell ref="A104:E104"/>
    <mergeCell ref="G123:H123"/>
    <mergeCell ref="A60:B61"/>
    <mergeCell ref="A286:B286"/>
    <mergeCell ref="A273:B273"/>
    <mergeCell ref="A274:B274"/>
    <mergeCell ref="A272:B272"/>
    <mergeCell ref="A287:B287"/>
    <mergeCell ref="A282:H282"/>
    <mergeCell ref="C269:C270"/>
    <mergeCell ref="G269:G270"/>
    <mergeCell ref="A269:A270"/>
    <mergeCell ref="F269:F270"/>
    <mergeCell ref="A276:H276"/>
    <mergeCell ref="A285:B285"/>
    <mergeCell ref="A277:B277"/>
    <mergeCell ref="D269:D270"/>
    <mergeCell ref="E269:E270"/>
  </mergeCells>
  <dataValidations count="16">
    <dataValidation type="list" allowBlank="1" showInputMessage="1" showErrorMessage="1" sqref="E5:H5">
      <formula1>OFFSET($L$3,1,MATCH($E4,$L$3:$P$3,0)-1,10,1)</formula1>
    </dataValidation>
    <dataValidation type="list" allowBlank="1" showInputMessage="1" showErrorMessage="1" sqref="A17:B17">
      <formula1>"CTS No,Survey No,Plot No,Gut No,FP No,"</formula1>
    </dataValidation>
    <dataValidation type="list" allowBlank="1" showInputMessage="1" showErrorMessage="1" sqref="G20:H20">
      <formula1>$S$13:$W$13</formula1>
    </dataValidation>
    <dataValidation type="list" allowBlank="1" showInputMessage="1" showErrorMessage="1" sqref="E132:E133">
      <formula1>"Attached Loft area, A.P.Area,Attached Otla area,Attached Mezzanine area"</formula1>
    </dataValidation>
    <dataValidation type="list" allowBlank="1" showInputMessage="1" showErrorMessage="1" sqref="G319:H319">
      <formula1>"Kunal Kadam,Shruti Tathare,Pranita Mhatre,Shruti Fule,Pooja Kawale,Mansee Mohite,Anjali Kamble, Hitakshi Mhatre, Sachin Sawant"</formula1>
    </dataValidation>
    <dataValidation type="list" allowBlank="1" showInputMessage="1" showErrorMessage="1" sqref="F103:H103">
      <formula1>"On Saleable Area,On Builtup Area,On Carpet Area,On Plot Area"</formula1>
    </dataValidation>
    <dataValidation type="list" allowBlank="1" showInputMessage="1" showErrorMessage="1" sqref="B132:B133">
      <formula1>"Shop / IT Office No. (Sale Plan),Sale / Rehab,Sale / Mhada"</formula1>
    </dataValidation>
    <dataValidation type="list" allowBlank="1" showInputMessage="1" showErrorMessage="1" sqref="B269:B270">
      <formula1>"Flat No. (Sale Plan),Sale / Rehab,Sale / Mhada"</formula1>
    </dataValidation>
    <dataValidation type="list" allowBlank="1" showInputMessage="1" showErrorMessage="1" sqref="C21:D21">
      <formula1>OFFSET($S$13,1,MATCH($G20,$S$13:$W$13,0)-1,15,1)</formula1>
    </dataValidation>
    <dataValidation type="list" allowBlank="1" showInputMessage="1" showErrorMessage="1" sqref="Y13">
      <formula1>$D$5:$H$5</formula1>
    </dataValidation>
    <dataValidation type="list" allowBlank="1" showInputMessage="1" showErrorMessage="1" sqref="E269:E270">
      <formula1>"Fungible area,Balcony Area,Chajja Area,Cornice Area,AP Area,WS Area"</formula1>
    </dataValidation>
    <dataValidation type="list" allowBlank="1" showInputMessage="1" showErrorMessage="1" sqref="H270 H133">
      <formula1>".45,.50,.55,.60"</formula1>
    </dataValidation>
    <dataValidation type="list" allowBlank="1" showInputMessage="1" showErrorMessage="1" sqref="E4:H4">
      <formula1>$L$3:$P$3</formula1>
    </dataValidation>
    <dataValidation type="list" allowBlank="1" showInputMessage="1" showErrorMessage="1" sqref="C49:H49">
      <formula1>OFFSET($S$49,1,MATCH($G20,$S$49:$W$49,0)-1,15,1)</formula1>
    </dataValidation>
    <dataValidation type="whole" allowBlank="1" showInputMessage="1" showErrorMessage="1" sqref="C84 C98">
      <formula1>0</formula1>
      <formula2>H76</formula2>
    </dataValidation>
    <dataValidation type="list" allowBlank="1" showInputMessage="1" showErrorMessage="1" sqref="F114:H114">
      <formula1>OFFSET($S$87,1,MATCH($G20,$S$87:$W$87,0)-1,15,1)</formula1>
    </dataValidation>
  </dataValidations>
  <hyperlinks>
    <hyperlink ref="C40" r:id="rId1"/>
  </hyperlinks>
  <printOptions horizontalCentered="1"/>
  <pageMargins left="0.39370078740157483" right="0.39370078740157483" top="0.82677165354330717" bottom="0.78740157480314965" header="0.15748031496062992" footer="0.19685039370078741"/>
  <pageSetup paperSize="2" fitToHeight="0" orientation="portrait" r:id="rId2"/>
  <headerFooter>
    <oddHeader>&amp;C&amp;G</oddHeader>
    <oddFooter>&amp;L&amp;"Times New Roman,Bold"&amp;12Ref No: &amp;F&amp;C&amp;G&amp;R&amp;"Times New Roman,Bold"&amp;12&amp;P</oddFooter>
  </headerFooter>
  <rowBreaks count="5" manualBreakCount="5">
    <brk id="123" max="7" man="1"/>
    <brk id="264" max="7" man="1"/>
    <brk id="323" max="7" man="1"/>
    <brk id="366" max="7" man="1"/>
    <brk id="409" max="7"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16"/>
  <sheetViews>
    <sheetView zoomScale="85" zoomScaleNormal="85" workbookViewId="0">
      <selection activeCell="K3" sqref="K3"/>
    </sheetView>
  </sheetViews>
  <sheetFormatPr defaultColWidth="8.7265625" defaultRowHeight="14.5" x14ac:dyDescent="0.35"/>
  <cols>
    <col min="1" max="1" width="8.7265625" style="1"/>
    <col min="2" max="2" width="22.1796875" style="1" customWidth="1"/>
    <col min="3" max="3" width="37" style="1" customWidth="1"/>
    <col min="4" max="5" width="11.453125" style="1" customWidth="1"/>
    <col min="6" max="6" width="14" style="1" customWidth="1"/>
    <col min="7" max="7" width="20" style="1" customWidth="1"/>
    <col min="8" max="8" width="16.453125" style="1" customWidth="1"/>
    <col min="9" max="16384" width="8.7265625" style="1"/>
  </cols>
  <sheetData>
    <row r="1" spans="1:9" ht="15" customHeight="1" x14ac:dyDescent="0.35"/>
    <row r="2" spans="1:9" ht="15" customHeight="1" x14ac:dyDescent="0.35">
      <c r="A2" s="2"/>
      <c r="B2" s="2"/>
      <c r="C2" s="2"/>
      <c r="D2" s="2"/>
      <c r="E2" s="2"/>
      <c r="F2" s="2"/>
      <c r="G2" s="2"/>
      <c r="H2" s="2"/>
    </row>
    <row r="3" spans="1:9" ht="15.75" customHeight="1" x14ac:dyDescent="0.35">
      <c r="A3" s="2"/>
      <c r="B3" s="255" t="s">
        <v>103</v>
      </c>
      <c r="C3" s="255"/>
      <c r="D3" s="255"/>
      <c r="E3" s="255"/>
      <c r="F3" s="255"/>
      <c r="G3" s="255"/>
      <c r="H3" s="255"/>
    </row>
    <row r="4" spans="1:9" x14ac:dyDescent="0.35">
      <c r="A4" s="2"/>
      <c r="B4" s="3" t="s">
        <v>104</v>
      </c>
      <c r="C4" s="3" t="s">
        <v>105</v>
      </c>
      <c r="D4" s="3" t="s">
        <v>65</v>
      </c>
      <c r="E4" s="3" t="s">
        <v>106</v>
      </c>
      <c r="F4" s="3" t="s">
        <v>112</v>
      </c>
      <c r="G4" s="3" t="s">
        <v>113</v>
      </c>
      <c r="H4" s="3" t="s">
        <v>107</v>
      </c>
    </row>
    <row r="5" spans="1:9" ht="15" customHeight="1" x14ac:dyDescent="0.35">
      <c r="A5" s="2"/>
      <c r="B5" s="5" t="s">
        <v>108</v>
      </c>
      <c r="C5" s="6"/>
      <c r="D5" s="5"/>
      <c r="E5" s="5"/>
      <c r="F5" s="7">
        <f>E5*1.6</f>
        <v>0</v>
      </c>
      <c r="G5" s="7" t="e">
        <f>H5/F5</f>
        <v>#DIV/0!</v>
      </c>
      <c r="H5" s="8"/>
    </row>
    <row r="6" spans="1:9" x14ac:dyDescent="0.35">
      <c r="A6" s="2"/>
      <c r="B6" s="5" t="s">
        <v>108</v>
      </c>
      <c r="C6" s="9"/>
      <c r="D6" s="5"/>
      <c r="E6" s="5"/>
      <c r="F6" s="7">
        <f t="shared" ref="F6:F11" si="0">E6*1.6</f>
        <v>0</v>
      </c>
      <c r="G6" s="7" t="e">
        <f t="shared" ref="G6:G11" si="1">H6/F6</f>
        <v>#DIV/0!</v>
      </c>
      <c r="H6" s="8"/>
    </row>
    <row r="7" spans="1:9" ht="15" customHeight="1" x14ac:dyDescent="0.35">
      <c r="A7" s="2"/>
      <c r="B7" s="5" t="s">
        <v>108</v>
      </c>
      <c r="C7" s="6"/>
      <c r="D7" s="5"/>
      <c r="E7" s="5"/>
      <c r="F7" s="7">
        <f t="shared" si="0"/>
        <v>0</v>
      </c>
      <c r="G7" s="7" t="e">
        <f t="shared" si="1"/>
        <v>#DIV/0!</v>
      </c>
      <c r="H7" s="8"/>
    </row>
    <row r="8" spans="1:9" x14ac:dyDescent="0.35">
      <c r="A8" s="2"/>
      <c r="B8" s="5" t="s">
        <v>108</v>
      </c>
      <c r="C8" s="9"/>
      <c r="D8" s="5"/>
      <c r="E8" s="5"/>
      <c r="F8" s="7">
        <f t="shared" si="0"/>
        <v>0</v>
      </c>
      <c r="G8" s="7" t="e">
        <f t="shared" si="1"/>
        <v>#DIV/0!</v>
      </c>
      <c r="H8" s="8"/>
    </row>
    <row r="9" spans="1:9" ht="15" customHeight="1" x14ac:dyDescent="0.35">
      <c r="A9" s="2"/>
      <c r="B9" s="5" t="s">
        <v>108</v>
      </c>
      <c r="C9" s="9"/>
      <c r="D9" s="5"/>
      <c r="E9" s="5"/>
      <c r="F9" s="7">
        <f t="shared" si="0"/>
        <v>0</v>
      </c>
      <c r="G9" s="7" t="e">
        <f t="shared" si="1"/>
        <v>#DIV/0!</v>
      </c>
      <c r="H9" s="8"/>
    </row>
    <row r="10" spans="1:9" ht="15" customHeight="1" x14ac:dyDescent="0.35">
      <c r="A10" s="2"/>
      <c r="B10" s="5" t="s">
        <v>109</v>
      </c>
      <c r="C10" s="6"/>
      <c r="D10" s="5"/>
      <c r="E10" s="5"/>
      <c r="F10" s="7">
        <f t="shared" si="0"/>
        <v>0</v>
      </c>
      <c r="G10" s="7" t="e">
        <f t="shared" si="1"/>
        <v>#DIV/0!</v>
      </c>
      <c r="H10" s="8"/>
    </row>
    <row r="11" spans="1:9" ht="15" customHeight="1" x14ac:dyDescent="0.35">
      <c r="A11" s="2"/>
      <c r="B11" s="5" t="s">
        <v>109</v>
      </c>
      <c r="C11" s="6"/>
      <c r="D11" s="5"/>
      <c r="E11" s="5"/>
      <c r="F11" s="7">
        <f t="shared" si="0"/>
        <v>0</v>
      </c>
      <c r="G11" s="7" t="e">
        <f t="shared" si="1"/>
        <v>#DIV/0!</v>
      </c>
      <c r="H11" s="8"/>
    </row>
    <row r="12" spans="1:9" ht="15" customHeight="1" x14ac:dyDescent="0.35">
      <c r="A12" s="2"/>
      <c r="B12" s="10" t="s">
        <v>110</v>
      </c>
      <c r="C12" s="5"/>
      <c r="D12" s="5"/>
      <c r="E12" s="5"/>
      <c r="F12" s="5"/>
      <c r="G12" s="11" t="e">
        <f>AVERAGE(G5:G11)</f>
        <v>#DIV/0!</v>
      </c>
      <c r="H12" s="5"/>
    </row>
    <row r="13" spans="1:9" ht="15" customHeight="1" x14ac:dyDescent="0.35">
      <c r="B13" s="10" t="s">
        <v>111</v>
      </c>
      <c r="C13" s="5"/>
      <c r="D13" s="5"/>
      <c r="E13" s="5"/>
      <c r="F13" s="12"/>
      <c r="G13" s="10"/>
      <c r="H13" s="10"/>
      <c r="I13" s="4"/>
    </row>
    <row r="14" spans="1:9" ht="15" customHeight="1" x14ac:dyDescent="0.35"/>
    <row r="15" spans="1:9" ht="15" customHeight="1" x14ac:dyDescent="0.35"/>
    <row r="16" spans="1:9" ht="15" customHeight="1" x14ac:dyDescent="0.35"/>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B3:K69"/>
  <sheetViews>
    <sheetView topLeftCell="A55" zoomScale="130" zoomScaleNormal="130" workbookViewId="0">
      <selection activeCell="C43" sqref="C43:D69"/>
    </sheetView>
  </sheetViews>
  <sheetFormatPr defaultRowHeight="14.5" x14ac:dyDescent="0.35"/>
  <cols>
    <col min="4" max="4" width="13.81640625" bestFit="1" customWidth="1"/>
    <col min="5" max="5" width="10.453125" bestFit="1" customWidth="1"/>
    <col min="6" max="6" width="12.453125" bestFit="1" customWidth="1"/>
    <col min="7" max="7" width="18.1796875" customWidth="1"/>
    <col min="8" max="8" width="10.54296875" bestFit="1" customWidth="1"/>
  </cols>
  <sheetData>
    <row r="3" spans="2:11" x14ac:dyDescent="0.35">
      <c r="J3">
        <v>1</v>
      </c>
      <c r="K3">
        <v>2</v>
      </c>
    </row>
    <row r="4" spans="2:11" x14ac:dyDescent="0.35">
      <c r="B4" s="47"/>
      <c r="C4" s="47" t="s">
        <v>11</v>
      </c>
      <c r="D4" s="48" t="s">
        <v>176</v>
      </c>
      <c r="E4" s="48" t="s">
        <v>186</v>
      </c>
      <c r="F4" s="48" t="s">
        <v>172</v>
      </c>
      <c r="G4" s="48" t="s">
        <v>191</v>
      </c>
      <c r="H4" s="48" t="s">
        <v>209</v>
      </c>
      <c r="J4" t="s">
        <v>191</v>
      </c>
      <c r="K4" t="s">
        <v>207</v>
      </c>
    </row>
    <row r="5" spans="2:11" x14ac:dyDescent="0.35">
      <c r="B5" s="47"/>
      <c r="C5" s="47"/>
      <c r="D5" s="48" t="s">
        <v>177</v>
      </c>
      <c r="E5" s="48" t="s">
        <v>184</v>
      </c>
      <c r="F5" s="48" t="s">
        <v>206</v>
      </c>
      <c r="G5" s="48" t="s">
        <v>192</v>
      </c>
      <c r="H5" s="48" t="s">
        <v>210</v>
      </c>
    </row>
    <row r="6" spans="2:11" x14ac:dyDescent="0.35">
      <c r="B6" s="47"/>
      <c r="C6" s="47"/>
      <c r="D6" s="48" t="s">
        <v>178</v>
      </c>
      <c r="E6" s="48" t="s">
        <v>185</v>
      </c>
      <c r="F6" s="48" t="s">
        <v>207</v>
      </c>
      <c r="G6" s="48" t="s">
        <v>193</v>
      </c>
      <c r="H6" s="48" t="s">
        <v>223</v>
      </c>
    </row>
    <row r="7" spans="2:11" x14ac:dyDescent="0.35">
      <c r="B7" s="47"/>
      <c r="C7" s="47"/>
      <c r="D7" s="48" t="s">
        <v>179</v>
      </c>
      <c r="E7" s="48" t="s">
        <v>187</v>
      </c>
      <c r="F7" s="48" t="s">
        <v>208</v>
      </c>
      <c r="G7" s="48" t="s">
        <v>194</v>
      </c>
      <c r="H7" s="48" t="s">
        <v>211</v>
      </c>
    </row>
    <row r="8" spans="2:11" x14ac:dyDescent="0.35">
      <c r="B8" s="47"/>
      <c r="C8" s="47"/>
      <c r="D8" s="48" t="s">
        <v>180</v>
      </c>
      <c r="E8" s="48" t="s">
        <v>188</v>
      </c>
      <c r="F8" s="48"/>
      <c r="G8" s="48" t="s">
        <v>195</v>
      </c>
      <c r="H8" s="48" t="s">
        <v>212</v>
      </c>
    </row>
    <row r="9" spans="2:11" x14ac:dyDescent="0.35">
      <c r="B9" s="47"/>
      <c r="C9" s="47"/>
      <c r="D9" s="48" t="s">
        <v>181</v>
      </c>
      <c r="E9" s="48" t="s">
        <v>186</v>
      </c>
      <c r="F9" s="48"/>
      <c r="G9" s="48" t="s">
        <v>196</v>
      </c>
      <c r="H9" s="48" t="s">
        <v>213</v>
      </c>
    </row>
    <row r="10" spans="2:11" x14ac:dyDescent="0.35">
      <c r="B10" s="47"/>
      <c r="C10" s="47"/>
      <c r="D10" s="48" t="s">
        <v>182</v>
      </c>
      <c r="E10" s="48" t="s">
        <v>189</v>
      </c>
      <c r="F10" s="48"/>
      <c r="G10" s="48" t="s">
        <v>197</v>
      </c>
      <c r="H10" s="48" t="s">
        <v>214</v>
      </c>
    </row>
    <row r="11" spans="2:11" x14ac:dyDescent="0.35">
      <c r="B11" s="47"/>
      <c r="C11" s="47"/>
      <c r="D11" s="48" t="s">
        <v>183</v>
      </c>
      <c r="E11" s="48" t="s">
        <v>190</v>
      </c>
      <c r="F11" s="48"/>
      <c r="G11" s="48" t="s">
        <v>198</v>
      </c>
      <c r="H11" s="48" t="s">
        <v>215</v>
      </c>
    </row>
    <row r="12" spans="2:11" x14ac:dyDescent="0.35">
      <c r="B12" s="47"/>
      <c r="C12" s="47"/>
      <c r="D12" s="48"/>
      <c r="E12" s="48"/>
      <c r="F12" s="48"/>
      <c r="G12" s="48" t="s">
        <v>199</v>
      </c>
      <c r="H12" s="48" t="s">
        <v>216</v>
      </c>
    </row>
    <row r="13" spans="2:11" x14ac:dyDescent="0.35">
      <c r="B13" s="47"/>
      <c r="C13" s="47"/>
      <c r="D13" s="48"/>
      <c r="E13" s="48"/>
      <c r="F13" s="48"/>
      <c r="G13" s="48" t="s">
        <v>200</v>
      </c>
      <c r="H13" s="48" t="s">
        <v>217</v>
      </c>
    </row>
    <row r="14" spans="2:11" x14ac:dyDescent="0.35">
      <c r="B14" s="47"/>
      <c r="C14" s="47"/>
      <c r="D14" s="48"/>
      <c r="E14" s="48"/>
      <c r="F14" s="48"/>
      <c r="G14" s="48" t="s">
        <v>201</v>
      </c>
      <c r="H14" s="48" t="s">
        <v>218</v>
      </c>
    </row>
    <row r="15" spans="2:11" x14ac:dyDescent="0.35">
      <c r="B15" s="47"/>
      <c r="C15" s="47"/>
      <c r="D15" s="48"/>
      <c r="E15" s="48"/>
      <c r="F15" s="48"/>
      <c r="G15" s="48" t="s">
        <v>202</v>
      </c>
      <c r="H15" s="48" t="s">
        <v>219</v>
      </c>
    </row>
    <row r="16" spans="2:11" x14ac:dyDescent="0.35">
      <c r="B16" s="47"/>
      <c r="C16" s="47"/>
      <c r="D16" s="48"/>
      <c r="E16" s="48"/>
      <c r="F16" s="48"/>
      <c r="G16" s="48" t="s">
        <v>203</v>
      </c>
      <c r="H16" s="48" t="s">
        <v>220</v>
      </c>
    </row>
    <row r="17" spans="2:8" x14ac:dyDescent="0.35">
      <c r="B17" s="47"/>
      <c r="C17" s="47"/>
      <c r="D17" s="48"/>
      <c r="E17" s="48"/>
      <c r="F17" s="48"/>
      <c r="G17" s="48" t="s">
        <v>204</v>
      </c>
      <c r="H17" s="48" t="s">
        <v>221</v>
      </c>
    </row>
    <row r="18" spans="2:8" x14ac:dyDescent="0.35">
      <c r="B18" s="47"/>
      <c r="C18" s="47"/>
      <c r="D18" s="48"/>
      <c r="E18" s="48"/>
      <c r="F18" s="48"/>
      <c r="G18" s="48" t="s">
        <v>205</v>
      </c>
      <c r="H18" s="48" t="s">
        <v>222</v>
      </c>
    </row>
    <row r="24" spans="2:8" x14ac:dyDescent="0.35">
      <c r="C24" t="s">
        <v>169</v>
      </c>
    </row>
    <row r="25" spans="2:8" x14ac:dyDescent="0.35">
      <c r="C25" t="s">
        <v>224</v>
      </c>
    </row>
    <row r="26" spans="2:8" x14ac:dyDescent="0.35">
      <c r="C26" t="s">
        <v>225</v>
      </c>
    </row>
    <row r="27" spans="2:8" x14ac:dyDescent="0.35">
      <c r="C27" t="s">
        <v>226</v>
      </c>
    </row>
    <row r="28" spans="2:8" x14ac:dyDescent="0.35">
      <c r="C28" t="s">
        <v>227</v>
      </c>
    </row>
    <row r="29" spans="2:8" x14ac:dyDescent="0.35">
      <c r="C29" t="s">
        <v>228</v>
      </c>
    </row>
    <row r="30" spans="2:8" x14ac:dyDescent="0.35">
      <c r="C30" t="s">
        <v>169</v>
      </c>
    </row>
    <row r="33" spans="3:11" x14ac:dyDescent="0.35">
      <c r="J33">
        <v>1</v>
      </c>
      <c r="K33">
        <v>2</v>
      </c>
    </row>
    <row r="34" spans="3:11" x14ac:dyDescent="0.35">
      <c r="C34" s="52" t="s">
        <v>234</v>
      </c>
      <c r="D34" s="48" t="s">
        <v>232</v>
      </c>
      <c r="E34" s="48" t="s">
        <v>237</v>
      </c>
      <c r="F34" s="48" t="s">
        <v>235</v>
      </c>
      <c r="G34" s="48" t="s">
        <v>236</v>
      </c>
      <c r="H34" s="48" t="s">
        <v>238</v>
      </c>
      <c r="J34" t="s">
        <v>191</v>
      </c>
      <c r="K34" t="s">
        <v>207</v>
      </c>
    </row>
    <row r="35" spans="3:11" x14ac:dyDescent="0.35">
      <c r="C35" s="47" t="s">
        <v>233</v>
      </c>
      <c r="D35" s="48" t="s">
        <v>170</v>
      </c>
      <c r="E35" s="48" t="s">
        <v>242</v>
      </c>
      <c r="F35" s="48" t="s">
        <v>244</v>
      </c>
      <c r="G35" s="48" t="s">
        <v>246</v>
      </c>
      <c r="H35" s="48"/>
    </row>
    <row r="36" spans="3:11" x14ac:dyDescent="0.35">
      <c r="C36" s="47"/>
      <c r="D36" s="48" t="s">
        <v>239</v>
      </c>
      <c r="E36" s="48" t="s">
        <v>243</v>
      </c>
      <c r="F36" s="48" t="s">
        <v>245</v>
      </c>
      <c r="G36" s="48" t="s">
        <v>247</v>
      </c>
      <c r="H36" s="48"/>
    </row>
    <row r="37" spans="3:11" x14ac:dyDescent="0.35">
      <c r="C37" s="47"/>
      <c r="D37" s="48" t="s">
        <v>240</v>
      </c>
      <c r="E37" s="48"/>
      <c r="F37" s="48"/>
      <c r="G37" s="48" t="s">
        <v>248</v>
      </c>
      <c r="H37" s="48"/>
    </row>
    <row r="38" spans="3:11" x14ac:dyDescent="0.35">
      <c r="C38" s="47"/>
      <c r="D38" s="48" t="s">
        <v>241</v>
      </c>
      <c r="E38" s="48"/>
      <c r="F38" s="48"/>
      <c r="G38" s="48" t="s">
        <v>248</v>
      </c>
      <c r="H38" s="48"/>
    </row>
    <row r="39" spans="3:11" x14ac:dyDescent="0.35">
      <c r="C39" s="47"/>
      <c r="D39" s="48"/>
      <c r="E39" s="48"/>
      <c r="F39" s="48"/>
      <c r="G39" s="48" t="s">
        <v>249</v>
      </c>
      <c r="H39" s="48"/>
    </row>
    <row r="40" spans="3:11" x14ac:dyDescent="0.35">
      <c r="C40" s="47"/>
      <c r="D40" s="48"/>
      <c r="E40" s="48"/>
      <c r="F40" s="48"/>
      <c r="G40" s="48" t="s">
        <v>250</v>
      </c>
      <c r="H40" s="48"/>
    </row>
    <row r="41" spans="3:11" x14ac:dyDescent="0.35">
      <c r="C41" s="47"/>
      <c r="D41" s="48"/>
      <c r="E41" s="48"/>
      <c r="F41" s="48"/>
      <c r="G41" s="48"/>
      <c r="H41" s="48"/>
    </row>
    <row r="43" spans="3:11" x14ac:dyDescent="0.35">
      <c r="C43" t="s">
        <v>251</v>
      </c>
    </row>
    <row r="44" spans="3:11" x14ac:dyDescent="0.35">
      <c r="C44" t="s">
        <v>172</v>
      </c>
      <c r="D44" t="s">
        <v>252</v>
      </c>
    </row>
    <row r="45" spans="3:11" x14ac:dyDescent="0.35">
      <c r="D45" t="s">
        <v>253</v>
      </c>
    </row>
    <row r="46" spans="3:11" x14ac:dyDescent="0.35">
      <c r="D46" t="s">
        <v>254</v>
      </c>
    </row>
    <row r="47" spans="3:11" x14ac:dyDescent="0.35">
      <c r="D47" t="s">
        <v>255</v>
      </c>
    </row>
    <row r="48" spans="3:11" x14ac:dyDescent="0.35">
      <c r="D48" t="s">
        <v>256</v>
      </c>
    </row>
    <row r="49" spans="3:4" x14ac:dyDescent="0.35">
      <c r="C49" t="s">
        <v>176</v>
      </c>
      <c r="D49" t="s">
        <v>257</v>
      </c>
    </row>
    <row r="50" spans="3:4" x14ac:dyDescent="0.35">
      <c r="D50" t="s">
        <v>258</v>
      </c>
    </row>
    <row r="51" spans="3:4" x14ac:dyDescent="0.35">
      <c r="D51" t="s">
        <v>259</v>
      </c>
    </row>
    <row r="52" spans="3:4" x14ac:dyDescent="0.35">
      <c r="D52" t="s">
        <v>262</v>
      </c>
    </row>
    <row r="53" spans="3:4" x14ac:dyDescent="0.35">
      <c r="D53" t="s">
        <v>260</v>
      </c>
    </row>
    <row r="54" spans="3:4" x14ac:dyDescent="0.35">
      <c r="D54" t="s">
        <v>261</v>
      </c>
    </row>
    <row r="55" spans="3:4" x14ac:dyDescent="0.35">
      <c r="D55" t="s">
        <v>263</v>
      </c>
    </row>
    <row r="56" spans="3:4" x14ac:dyDescent="0.35">
      <c r="D56" t="s">
        <v>264</v>
      </c>
    </row>
    <row r="57" spans="3:4" x14ac:dyDescent="0.35">
      <c r="D57" t="s">
        <v>265</v>
      </c>
    </row>
    <row r="58" spans="3:4" x14ac:dyDescent="0.35">
      <c r="D58" t="s">
        <v>267</v>
      </c>
    </row>
    <row r="59" spans="3:4" x14ac:dyDescent="0.35">
      <c r="D59" t="s">
        <v>276</v>
      </c>
    </row>
    <row r="60" spans="3:4" x14ac:dyDescent="0.35">
      <c r="C60" t="s">
        <v>191</v>
      </c>
      <c r="D60" t="s">
        <v>268</v>
      </c>
    </row>
    <row r="61" spans="3:4" x14ac:dyDescent="0.35">
      <c r="D61" t="s">
        <v>266</v>
      </c>
    </row>
    <row r="62" spans="3:4" x14ac:dyDescent="0.35">
      <c r="D62" t="s">
        <v>256</v>
      </c>
    </row>
    <row r="63" spans="3:4" x14ac:dyDescent="0.35">
      <c r="D63" t="s">
        <v>269</v>
      </c>
    </row>
    <row r="64" spans="3:4" x14ac:dyDescent="0.35">
      <c r="D64" t="s">
        <v>270</v>
      </c>
    </row>
    <row r="65" spans="3:4" x14ac:dyDescent="0.35">
      <c r="D65" t="s">
        <v>271</v>
      </c>
    </row>
    <row r="66" spans="3:4" x14ac:dyDescent="0.35">
      <c r="D66" t="s">
        <v>272</v>
      </c>
    </row>
    <row r="67" spans="3:4" x14ac:dyDescent="0.35">
      <c r="C67" t="s">
        <v>186</v>
      </c>
      <c r="D67" t="s">
        <v>273</v>
      </c>
    </row>
    <row r="68" spans="3:4" x14ac:dyDescent="0.35">
      <c r="D68" t="s">
        <v>274</v>
      </c>
    </row>
    <row r="69" spans="3:4" x14ac:dyDescent="0.35">
      <c r="D69" t="s">
        <v>275</v>
      </c>
    </row>
  </sheetData>
  <dataValidations count="2">
    <dataValidation type="list" allowBlank="1" showInputMessage="1" showErrorMessage="1" sqref="J4 J34">
      <formula1>$D$4:$H$4</formula1>
    </dataValidation>
    <dataValidation type="list" allowBlank="1" showInputMessage="1" showErrorMessage="1" sqref="K4 K34">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C16"/>
  <sheetViews>
    <sheetView workbookViewId="0">
      <selection activeCell="C22" sqref="C22"/>
    </sheetView>
  </sheetViews>
  <sheetFormatPr defaultRowHeight="14.5" x14ac:dyDescent="0.35"/>
  <cols>
    <col min="2" max="2" width="3" bestFit="1" customWidth="1"/>
    <col min="3" max="3" width="130" customWidth="1"/>
  </cols>
  <sheetData>
    <row r="2" spans="2:3" ht="15" customHeight="1" x14ac:dyDescent="0.35">
      <c r="B2" s="53">
        <v>1</v>
      </c>
      <c r="C2" s="56" t="s">
        <v>282</v>
      </c>
    </row>
    <row r="3" spans="2:3" x14ac:dyDescent="0.35">
      <c r="B3" s="53">
        <v>2</v>
      </c>
      <c r="C3" s="54" t="s">
        <v>283</v>
      </c>
    </row>
    <row r="4" spans="2:3" x14ac:dyDescent="0.35">
      <c r="B4" s="53">
        <v>3</v>
      </c>
      <c r="C4" s="55" t="s">
        <v>284</v>
      </c>
    </row>
    <row r="5" spans="2:3" x14ac:dyDescent="0.35">
      <c r="B5" s="53">
        <v>4</v>
      </c>
      <c r="C5" s="54" t="s">
        <v>285</v>
      </c>
    </row>
    <row r="6" spans="2:3" x14ac:dyDescent="0.35">
      <c r="B6" s="53">
        <v>5</v>
      </c>
      <c r="C6" s="55" t="s">
        <v>286</v>
      </c>
    </row>
    <row r="7" spans="2:3" ht="29" x14ac:dyDescent="0.35">
      <c r="B7" s="53">
        <v>6</v>
      </c>
      <c r="C7" s="54" t="s">
        <v>287</v>
      </c>
    </row>
    <row r="8" spans="2:3" ht="72.5" x14ac:dyDescent="0.35">
      <c r="B8" s="53">
        <v>7</v>
      </c>
      <c r="C8" s="54" t="s">
        <v>288</v>
      </c>
    </row>
    <row r="9" spans="2:3" x14ac:dyDescent="0.35">
      <c r="B9" s="53">
        <v>8</v>
      </c>
      <c r="C9" s="55" t="s">
        <v>289</v>
      </c>
    </row>
    <row r="10" spans="2:3" x14ac:dyDescent="0.35">
      <c r="B10" s="53">
        <v>9</v>
      </c>
      <c r="C10" s="55" t="s">
        <v>290</v>
      </c>
    </row>
    <row r="11" spans="2:3" x14ac:dyDescent="0.35">
      <c r="B11" s="53">
        <v>10</v>
      </c>
      <c r="C11" s="55" t="s">
        <v>291</v>
      </c>
    </row>
    <row r="12" spans="2:3" x14ac:dyDescent="0.35">
      <c r="B12" s="53">
        <v>11</v>
      </c>
      <c r="C12" s="55" t="s">
        <v>292</v>
      </c>
    </row>
    <row r="13" spans="2:3" x14ac:dyDescent="0.35">
      <c r="B13" s="53">
        <v>12</v>
      </c>
      <c r="C13" s="55" t="s">
        <v>293</v>
      </c>
    </row>
    <row r="14" spans="2:3" x14ac:dyDescent="0.35">
      <c r="B14" s="53">
        <v>13</v>
      </c>
      <c r="C14" s="55" t="s">
        <v>294</v>
      </c>
    </row>
    <row r="15" spans="2:3" x14ac:dyDescent="0.35">
      <c r="B15" s="53">
        <v>14</v>
      </c>
      <c r="C15" s="55"/>
    </row>
    <row r="16" spans="2:3" x14ac:dyDescent="0.35">
      <c r="B16" s="53">
        <v>15</v>
      </c>
      <c r="C16" s="55"/>
    </row>
  </sheetData>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valuation</vt:lpstr>
      <vt:lpstr>Research</vt:lpstr>
      <vt:lpstr>Remarks</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2025-09-26T15:05:21Z</cp:lastPrinted>
  <dcterms:created xsi:type="dcterms:W3CDTF">2019-07-16T09:29:46Z</dcterms:created>
  <dcterms:modified xsi:type="dcterms:W3CDTF">2025-09-26T17:19:12Z</dcterms:modified>
</cp:coreProperties>
</file>