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MHF\22925 - L M Tower\"/>
    </mc:Choice>
  </mc:AlternateContent>
  <xr:revisionPtr revIDLastSave="0" documentId="13_ncr:1_{8ABD4D00-0CC4-42BB-8747-43E9F6C34DE7}" xr6:coauthVersionLast="47" xr6:coauthVersionMax="47" xr10:uidLastSave="{00000000-0000-0000-0000-000000000000}"/>
  <bookViews>
    <workbookView xWindow="-108" yWindow="-108" windowWidth="23256" windowHeight="12456" xr2:uid="{00000000-000D-0000-FFFF-FFFF00000000}"/>
  </bookViews>
  <sheets>
    <sheet name="Report" sheetId="1" r:id="rId1"/>
    <sheet name="C%" sheetId="4" r:id="rId2"/>
  </sheets>
  <definedNames>
    <definedName name="_xlnm.Print_Area" localSheetId="0">Report!$A$1:$H$349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7" i="1" l="1"/>
  <c r="G5" i="1"/>
  <c r="I28" i="1"/>
  <c r="I168" i="1"/>
  <c r="E185" i="1"/>
  <c r="D185" i="1"/>
  <c r="F185" i="1" s="1"/>
  <c r="H185" i="1" s="1"/>
  <c r="E184" i="1"/>
  <c r="D184" i="1"/>
  <c r="E182" i="1"/>
  <c r="D182" i="1"/>
  <c r="E181" i="1"/>
  <c r="D181" i="1"/>
  <c r="E180" i="1"/>
  <c r="D180" i="1"/>
  <c r="F180" i="1" s="1"/>
  <c r="H180" i="1" s="1"/>
  <c r="E179" i="1"/>
  <c r="D179" i="1"/>
  <c r="E178" i="1"/>
  <c r="D178" i="1"/>
  <c r="E176" i="1"/>
  <c r="D176" i="1"/>
  <c r="E175" i="1"/>
  <c r="D175" i="1"/>
  <c r="F175" i="1" s="1"/>
  <c r="H175" i="1" s="1"/>
  <c r="M175" i="1" s="1"/>
  <c r="E174" i="1"/>
  <c r="D174" i="1"/>
  <c r="E173" i="1"/>
  <c r="D173" i="1"/>
  <c r="E172" i="1"/>
  <c r="D172" i="1"/>
  <c r="E171" i="1"/>
  <c r="D171" i="1"/>
  <c r="F171" i="1" s="1"/>
  <c r="H171" i="1" s="1"/>
  <c r="M171" i="1" s="1"/>
  <c r="E170" i="1"/>
  <c r="D170" i="1"/>
  <c r="E169" i="1"/>
  <c r="D169" i="1"/>
  <c r="E167" i="1"/>
  <c r="D167" i="1"/>
  <c r="E166" i="1"/>
  <c r="D166" i="1"/>
  <c r="F166" i="1" s="1"/>
  <c r="H166" i="1" s="1"/>
  <c r="E165" i="1"/>
  <c r="D165" i="1"/>
  <c r="E164" i="1"/>
  <c r="D164" i="1"/>
  <c r="E163" i="1"/>
  <c r="D163" i="1"/>
  <c r="E162" i="1"/>
  <c r="D162" i="1"/>
  <c r="F162" i="1" s="1"/>
  <c r="H162" i="1" s="1"/>
  <c r="E161" i="1"/>
  <c r="D161" i="1"/>
  <c r="E160" i="1"/>
  <c r="D160" i="1"/>
  <c r="E156" i="1"/>
  <c r="D156" i="1"/>
  <c r="E155" i="1"/>
  <c r="D155" i="1"/>
  <c r="E154" i="1"/>
  <c r="D154" i="1"/>
  <c r="E153" i="1"/>
  <c r="D153" i="1"/>
  <c r="E152" i="1"/>
  <c r="D152" i="1"/>
  <c r="E151" i="1"/>
  <c r="D151" i="1"/>
  <c r="E147" i="1"/>
  <c r="D147" i="1"/>
  <c r="E146" i="1"/>
  <c r="D146" i="1"/>
  <c r="E145" i="1"/>
  <c r="D145" i="1"/>
  <c r="E144" i="1"/>
  <c r="D144" i="1"/>
  <c r="E143" i="1"/>
  <c r="D143" i="1"/>
  <c r="E142" i="1"/>
  <c r="D142" i="1"/>
  <c r="E138" i="1"/>
  <c r="D138" i="1"/>
  <c r="E137" i="1"/>
  <c r="D137" i="1"/>
  <c r="E136" i="1"/>
  <c r="D136" i="1"/>
  <c r="E135" i="1"/>
  <c r="D135" i="1"/>
  <c r="E134" i="1"/>
  <c r="D134" i="1"/>
  <c r="E133" i="1"/>
  <c r="D133" i="1"/>
  <c r="D126" i="1"/>
  <c r="D125" i="1"/>
  <c r="E123" i="1"/>
  <c r="D123" i="1"/>
  <c r="E122" i="1"/>
  <c r="D122" i="1"/>
  <c r="E121" i="1"/>
  <c r="D121" i="1"/>
  <c r="E120" i="1"/>
  <c r="D120" i="1"/>
  <c r="E119" i="1"/>
  <c r="D119" i="1"/>
  <c r="E118" i="1"/>
  <c r="D118" i="1"/>
  <c r="E117" i="1"/>
  <c r="D117" i="1"/>
  <c r="E115" i="1"/>
  <c r="D115" i="1"/>
  <c r="E114" i="1"/>
  <c r="D114" i="1"/>
  <c r="E113" i="1"/>
  <c r="D113" i="1"/>
  <c r="E112" i="1"/>
  <c r="D112" i="1"/>
  <c r="E111" i="1"/>
  <c r="D111" i="1"/>
  <c r="E109" i="1"/>
  <c r="D109" i="1"/>
  <c r="E108" i="1"/>
  <c r="D108" i="1"/>
  <c r="E107" i="1"/>
  <c r="D107" i="1"/>
  <c r="E106" i="1"/>
  <c r="D106" i="1"/>
  <c r="E105" i="1"/>
  <c r="D105" i="1"/>
  <c r="E104" i="1"/>
  <c r="D104" i="1"/>
  <c r="E103" i="1"/>
  <c r="D103" i="1"/>
  <c r="C90" i="1" s="1"/>
  <c r="J180" i="1"/>
  <c r="J179" i="1"/>
  <c r="A179" i="1"/>
  <c r="A180" i="1" s="1"/>
  <c r="A181" i="1" s="1"/>
  <c r="A182" i="1" s="1"/>
  <c r="A183" i="1" s="1"/>
  <c r="A184" i="1" s="1"/>
  <c r="A185" i="1" s="1"/>
  <c r="J171" i="1"/>
  <c r="J170" i="1"/>
  <c r="A170" i="1"/>
  <c r="A171" i="1" s="1"/>
  <c r="A172" i="1" s="1"/>
  <c r="A173" i="1" s="1"/>
  <c r="A174" i="1" s="1"/>
  <c r="A175" i="1" s="1"/>
  <c r="A176" i="1" s="1"/>
  <c r="J162" i="1"/>
  <c r="J161" i="1"/>
  <c r="A161" i="1"/>
  <c r="A162" i="1" s="1"/>
  <c r="A163" i="1" s="1"/>
  <c r="A164" i="1" s="1"/>
  <c r="A165" i="1" s="1"/>
  <c r="A166" i="1" s="1"/>
  <c r="A167" i="1" s="1"/>
  <c r="F174" i="1" l="1"/>
  <c r="H174" i="1" s="1"/>
  <c r="M174" i="1" s="1"/>
  <c r="F179" i="1"/>
  <c r="H179" i="1" s="1"/>
  <c r="M179" i="1" s="1"/>
  <c r="C91" i="1"/>
  <c r="C92" i="1" s="1"/>
  <c r="C96" i="1" s="1"/>
  <c r="C95" i="1"/>
  <c r="F167" i="1"/>
  <c r="H167" i="1" s="1"/>
  <c r="F172" i="1"/>
  <c r="H172" i="1" s="1"/>
  <c r="M172" i="1" s="1"/>
  <c r="F181" i="1"/>
  <c r="H181" i="1" s="1"/>
  <c r="F182" i="1"/>
  <c r="H182" i="1" s="1"/>
  <c r="F170" i="1"/>
  <c r="H170" i="1" s="1"/>
  <c r="M170" i="1" s="1"/>
  <c r="F184" i="1"/>
  <c r="H184" i="1" s="1"/>
  <c r="F176" i="1"/>
  <c r="H176" i="1" s="1"/>
  <c r="M176" i="1" s="1"/>
  <c r="F169" i="1"/>
  <c r="H169" i="1" s="1"/>
  <c r="M169" i="1" s="1"/>
  <c r="F178" i="1"/>
  <c r="H178" i="1" s="1"/>
  <c r="M178" i="1" s="1"/>
  <c r="F160" i="1"/>
  <c r="H160" i="1" s="1"/>
  <c r="M160" i="1" s="1"/>
  <c r="F161" i="1"/>
  <c r="H161" i="1" s="1"/>
  <c r="F164" i="1"/>
  <c r="H164" i="1" s="1"/>
  <c r="F165" i="1"/>
  <c r="H165" i="1" s="1"/>
  <c r="F173" i="1"/>
  <c r="H173" i="1" s="1"/>
  <c r="M173" i="1" s="1"/>
  <c r="F163" i="1"/>
  <c r="H163" i="1" s="1"/>
  <c r="J153" i="1" l="1"/>
  <c r="F153" i="1"/>
  <c r="H153" i="1" s="1"/>
  <c r="J152" i="1"/>
  <c r="A152" i="1"/>
  <c r="A153" i="1" s="1"/>
  <c r="A154" i="1" s="1"/>
  <c r="A155" i="1" s="1"/>
  <c r="A156" i="1" s="1"/>
  <c r="A157" i="1" s="1"/>
  <c r="A158" i="1" s="1"/>
  <c r="J144" i="1"/>
  <c r="J143" i="1"/>
  <c r="A143" i="1"/>
  <c r="A144" i="1" s="1"/>
  <c r="A145" i="1" s="1"/>
  <c r="A146" i="1" s="1"/>
  <c r="A147" i="1" s="1"/>
  <c r="A148" i="1" s="1"/>
  <c r="A149" i="1" s="1"/>
  <c r="G126" i="1"/>
  <c r="F126" i="1"/>
  <c r="F125" i="1"/>
  <c r="H125" i="1" s="1"/>
  <c r="A126" i="1"/>
  <c r="J125" i="1"/>
  <c r="A118" i="1"/>
  <c r="A119" i="1" s="1"/>
  <c r="A120" i="1" s="1"/>
  <c r="A121" i="1" s="1"/>
  <c r="A122" i="1" s="1"/>
  <c r="A123" i="1" s="1"/>
  <c r="J117" i="1"/>
  <c r="A112" i="1"/>
  <c r="A115" i="1" s="1"/>
  <c r="J111" i="1"/>
  <c r="J135" i="1"/>
  <c r="J134" i="1"/>
  <c r="J103" i="1"/>
  <c r="J108" i="1"/>
  <c r="J109" i="1"/>
  <c r="G41" i="1"/>
  <c r="F195" i="1"/>
  <c r="A191" i="1"/>
  <c r="A192" i="1" s="1"/>
  <c r="A193" i="1" s="1"/>
  <c r="A194" i="1" s="1"/>
  <c r="A195" i="1" s="1"/>
  <c r="A196" i="1" s="1"/>
  <c r="A197" i="1" s="1"/>
  <c r="A198" i="1" s="1"/>
  <c r="A199" i="1" s="1"/>
  <c r="A200" i="1" s="1"/>
  <c r="A134" i="1"/>
  <c r="A135" i="1" s="1"/>
  <c r="A136" i="1" s="1"/>
  <c r="A137" i="1" s="1"/>
  <c r="A138" i="1" s="1"/>
  <c r="A139" i="1" s="1"/>
  <c r="A140" i="1" s="1"/>
  <c r="A104" i="1"/>
  <c r="A105" i="1" s="1"/>
  <c r="A106" i="1" s="1"/>
  <c r="A107" i="1" s="1"/>
  <c r="A108" i="1" s="1"/>
  <c r="A109" i="1" s="1"/>
  <c r="F152" i="1" l="1"/>
  <c r="H152" i="1" s="1"/>
  <c r="F146" i="1"/>
  <c r="H146" i="1" s="1"/>
  <c r="N146" i="1" s="1"/>
  <c r="F118" i="1"/>
  <c r="H118" i="1" s="1"/>
  <c r="F142" i="1"/>
  <c r="H142" i="1" s="1"/>
  <c r="F154" i="1"/>
  <c r="H154" i="1" s="1"/>
  <c r="F151" i="1"/>
  <c r="F106" i="1"/>
  <c r="H106" i="1" s="1"/>
  <c r="F145" i="1"/>
  <c r="H145" i="1" s="1"/>
  <c r="N145" i="1" s="1"/>
  <c r="F143" i="1"/>
  <c r="H143" i="1" s="1"/>
  <c r="N143" i="1" s="1"/>
  <c r="F155" i="1"/>
  <c r="H155" i="1" s="1"/>
  <c r="F108" i="1"/>
  <c r="F109" i="1"/>
  <c r="F147" i="1"/>
  <c r="H147" i="1" s="1"/>
  <c r="N147" i="1" s="1"/>
  <c r="F156" i="1"/>
  <c r="H156" i="1" s="1"/>
  <c r="F144" i="1"/>
  <c r="H144" i="1" s="1"/>
  <c r="H126" i="1"/>
  <c r="F138" i="1"/>
  <c r="H138" i="1" s="1"/>
  <c r="F121" i="1"/>
  <c r="H121" i="1" s="1"/>
  <c r="F114" i="1"/>
  <c r="H114" i="1" s="1"/>
  <c r="F105" i="1"/>
  <c r="F104" i="1"/>
  <c r="H104" i="1" s="1"/>
  <c r="F107" i="1"/>
  <c r="F137" i="1"/>
  <c r="H137" i="1" s="1"/>
  <c r="F103" i="1"/>
  <c r="F113" i="1"/>
  <c r="H113" i="1" s="1"/>
  <c r="F115" i="1"/>
  <c r="H115" i="1" s="1"/>
  <c r="F112" i="1"/>
  <c r="F111" i="1"/>
  <c r="F123" i="1"/>
  <c r="H123" i="1" s="1"/>
  <c r="F122" i="1"/>
  <c r="H122" i="1" s="1"/>
  <c r="F120" i="1"/>
  <c r="H120" i="1" s="1"/>
  <c r="F119" i="1"/>
  <c r="H119" i="1" s="1"/>
  <c r="F117" i="1"/>
  <c r="H117" i="1" s="1"/>
  <c r="F136" i="1"/>
  <c r="H136" i="1" s="1"/>
  <c r="F135" i="1"/>
  <c r="H135" i="1" s="1"/>
  <c r="F134" i="1"/>
  <c r="H134" i="1" s="1"/>
  <c r="F133" i="1"/>
  <c r="N144" i="1" l="1"/>
  <c r="M144" i="1"/>
  <c r="M142" i="1"/>
  <c r="N142" i="1"/>
  <c r="H151" i="1"/>
  <c r="M151" i="1"/>
  <c r="H133" i="1"/>
  <c r="G95" i="1" s="1"/>
  <c r="E95" i="1"/>
  <c r="H111" i="1"/>
  <c r="E91" i="1"/>
  <c r="H112" i="1"/>
  <c r="H103" i="1"/>
  <c r="E90" i="1"/>
  <c r="E92" i="1" s="1"/>
  <c r="C8" i="1"/>
  <c r="E96" i="1" l="1"/>
  <c r="G91" i="1"/>
  <c r="J72" i="1"/>
  <c r="J71" i="1"/>
  <c r="J70" i="1"/>
  <c r="J69" i="1"/>
  <c r="H64" i="1"/>
  <c r="J66" i="1" l="1"/>
  <c r="E67" i="1" s="1"/>
  <c r="F67" i="1" s="1"/>
  <c r="J64" i="1"/>
  <c r="F71" i="1"/>
  <c r="F76" i="1"/>
  <c r="F70" i="1"/>
  <c r="J67" i="1"/>
  <c r="J68" i="1" s="1"/>
  <c r="J73" i="1" s="1"/>
  <c r="J74" i="1" s="1"/>
  <c r="E68" i="1" s="1"/>
  <c r="G67" i="1" s="1"/>
  <c r="F72" i="1"/>
  <c r="F75" i="1"/>
  <c r="F69" i="1"/>
  <c r="F73" i="1"/>
  <c r="F74" i="1"/>
  <c r="J65" i="1"/>
  <c r="F68" i="1" l="1"/>
  <c r="I61" i="1"/>
  <c r="C65" i="1" s="1"/>
  <c r="H105" i="1" l="1"/>
  <c r="H107" i="1"/>
  <c r="H108" i="1"/>
  <c r="H109" i="1"/>
  <c r="G90" i="1" l="1"/>
  <c r="G92" i="1" s="1"/>
  <c r="G96" i="1" s="1"/>
  <c r="G42" i="1"/>
  <c r="G43" i="1" l="1"/>
  <c r="G44" i="1" s="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0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Windows User</author>
  </authors>
  <commentList>
    <comment ref="A9" authorId="0" shapeId="0" xr:uid="{00000000-0006-0000-0000-000001000000}">
      <text>
        <r>
          <rPr>
            <b/>
            <sz val="9"/>
            <color indexed="81"/>
            <rFont val="Tahoma"/>
            <family val="2"/>
          </rPr>
          <t>SACHIN:</t>
        </r>
        <r>
          <rPr>
            <sz val="9"/>
            <color indexed="81"/>
            <rFont val="Tahoma"/>
            <family val="2"/>
          </rPr>
          <t xml:space="preserve">
As per CC</t>
        </r>
      </text>
    </comment>
    <comment ref="C9" authorId="0" shapeId="0" xr:uid="{00000000-0006-0000-0000-000002000000}">
      <text>
        <r>
          <rPr>
            <b/>
            <sz val="9"/>
            <color indexed="81"/>
            <rFont val="Tahoma"/>
            <family val="2"/>
          </rPr>
          <t>Take address from CC</t>
        </r>
      </text>
    </comment>
    <comment ref="C21" authorId="0" shapeId="0" xr:uid="{00000000-0006-0000-0000-000003000000}">
      <text>
        <r>
          <rPr>
            <b/>
            <sz val="9"/>
            <color indexed="81"/>
            <rFont val="Tahoma"/>
            <family val="2"/>
          </rPr>
          <t>Builder's office address from RERA</t>
        </r>
        <r>
          <rPr>
            <sz val="9"/>
            <color indexed="81"/>
            <rFont val="Tahoma"/>
            <family val="2"/>
          </rPr>
          <t xml:space="preserve">
</t>
        </r>
      </text>
    </comment>
    <comment ref="C24" authorId="0" shapeId="0" xr:uid="{00000000-0006-0000-0000-000004000000}">
      <text>
        <r>
          <rPr>
            <b/>
            <sz val="9"/>
            <color indexed="81"/>
            <rFont val="Tahoma"/>
            <family val="2"/>
          </rPr>
          <t>Provided during initiation</t>
        </r>
        <r>
          <rPr>
            <sz val="9"/>
            <color indexed="81"/>
            <rFont val="Tahoma"/>
            <family val="2"/>
          </rPr>
          <t xml:space="preserve">
</t>
        </r>
      </text>
    </comment>
    <comment ref="C25" authorId="1" shapeId="0" xr:uid="{00000000-0006-0000-0000-000005000000}">
      <text>
        <r>
          <rPr>
            <b/>
            <sz val="11"/>
            <color indexed="81"/>
            <rFont val="Tahoma"/>
            <family val="2"/>
          </rPr>
          <t xml:space="preserve">Authority
</t>
        </r>
      </text>
    </comment>
    <comment ref="C26" authorId="0" shapeId="0" xr:uid="{00000000-0006-0000-0000-000006000000}">
      <text>
        <r>
          <rPr>
            <b/>
            <sz val="9"/>
            <color indexed="81"/>
            <rFont val="Tahoma"/>
            <family val="2"/>
          </rPr>
          <t>Apartments or 
Apartments + Shops</t>
        </r>
      </text>
    </comment>
    <comment ref="G28" authorId="0" shapeId="0" xr:uid="{00000000-0006-0000-0000-000007000000}">
      <text>
        <r>
          <rPr>
            <b/>
            <sz val="9"/>
            <color indexed="81"/>
            <rFont val="Tahoma"/>
            <family val="2"/>
          </rPr>
          <t>15% of Total No of Flats</t>
        </r>
        <r>
          <rPr>
            <sz val="9"/>
            <color indexed="81"/>
            <rFont val="Tahoma"/>
            <family val="2"/>
          </rPr>
          <t xml:space="preserve">
</t>
        </r>
      </text>
    </comment>
    <comment ref="E32" authorId="0" shapeId="0" xr:uid="{00000000-0006-0000-0000-000008000000}">
      <text>
        <r>
          <rPr>
            <b/>
            <sz val="9"/>
            <color indexed="81"/>
            <rFont val="Tahoma"/>
            <family val="2"/>
          </rPr>
          <t>If Sale deed is provided</t>
        </r>
        <r>
          <rPr>
            <sz val="9"/>
            <color indexed="81"/>
            <rFont val="Tahoma"/>
            <family val="2"/>
          </rPr>
          <t xml:space="preserve">
</t>
        </r>
      </text>
    </comment>
    <comment ref="F32" authorId="0" shapeId="0" xr:uid="{00000000-0006-0000-0000-000009000000}">
      <text>
        <r>
          <rPr>
            <b/>
            <sz val="9"/>
            <color indexed="81"/>
            <rFont val="Tahoma"/>
            <family val="2"/>
          </rPr>
          <t>If Sale deed is provided</t>
        </r>
        <r>
          <rPr>
            <sz val="9"/>
            <color indexed="81"/>
            <rFont val="Tahoma"/>
            <family val="2"/>
          </rPr>
          <t xml:space="preserve">
</t>
        </r>
      </text>
    </comment>
    <comment ref="G32" authorId="0" shapeId="0" xr:uid="{00000000-0006-0000-0000-00000A000000}">
      <text>
        <r>
          <rPr>
            <b/>
            <sz val="9"/>
            <color indexed="81"/>
            <rFont val="Tahoma"/>
            <family val="2"/>
          </rPr>
          <t>If Sale deed is provided</t>
        </r>
        <r>
          <rPr>
            <sz val="9"/>
            <color indexed="81"/>
            <rFont val="Tahoma"/>
            <family val="2"/>
          </rPr>
          <t xml:space="preserve">
</t>
        </r>
      </text>
    </comment>
    <comment ref="H32" authorId="0" shapeId="0" xr:uid="{00000000-0006-0000-0000-00000B000000}">
      <text>
        <r>
          <rPr>
            <b/>
            <sz val="9"/>
            <color indexed="81"/>
            <rFont val="Tahoma"/>
            <family val="2"/>
          </rPr>
          <t>If Sale deed is provided</t>
        </r>
        <r>
          <rPr>
            <sz val="9"/>
            <color indexed="81"/>
            <rFont val="Tahoma"/>
            <family val="2"/>
          </rPr>
          <t xml:space="preserve">
</t>
        </r>
      </text>
    </comment>
    <comment ref="C47" authorId="0" shapeId="0" xr:uid="{00000000-0006-0000-0000-00000C000000}">
      <text>
        <r>
          <rPr>
            <b/>
            <sz val="9"/>
            <color indexed="81"/>
            <rFont val="Tahoma"/>
            <family val="2"/>
          </rPr>
          <t>height should also be mentioned</t>
        </r>
      </text>
    </comment>
    <comment ref="C61" authorId="0" shapeId="0" xr:uid="{00000000-0006-0000-0000-00000D000000}">
      <text>
        <r>
          <rPr>
            <b/>
            <sz val="9"/>
            <color indexed="81"/>
            <rFont val="Tahoma"/>
            <family val="2"/>
          </rPr>
          <t>RERA Start date</t>
        </r>
      </text>
    </comment>
    <comment ref="H79" authorId="0" shapeId="0" xr:uid="{00000000-0006-0000-0000-00000E000000}">
      <text>
        <r>
          <rPr>
            <b/>
            <sz val="9"/>
            <color indexed="81"/>
            <rFont val="Tahoma"/>
            <family val="2"/>
          </rPr>
          <t>if multiple buildings are in project and are connected internally</t>
        </r>
      </text>
    </comment>
    <comment ref="C81" authorId="0" shapeId="0" xr:uid="{00000000-0006-0000-0000-00000F000000}">
      <text>
        <r>
          <rPr>
            <b/>
            <sz val="9"/>
            <color indexed="81"/>
            <rFont val="Tahoma"/>
            <family val="2"/>
          </rPr>
          <t>AAC Block or Brick</t>
        </r>
      </text>
    </comment>
    <comment ref="H83" authorId="0" shapeId="0" xr:uid="{00000000-0006-0000-0000-00001000000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<sst xmlns="http://schemas.openxmlformats.org/spreadsheetml/2006/main" count="432" uniqueCount="295">
  <si>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</si>
  <si>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</si>
  <si>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</si>
  <si>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</si>
  <si>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</si>
  <si>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</si>
  <si>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</si>
  <si>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</si>
  <si>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</si>
  <si>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</si>
  <si>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</si>
  <si>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</si>
  <si>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</si>
  <si>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</si>
  <si>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</si>
  <si>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</si>
  <si>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</si>
  <si>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</si>
  <si>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</si>
  <si>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</si>
  <si>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</si>
  <si>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</si>
  <si>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</si>
  <si>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</si>
  <si>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</si>
  <si>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</si>
  <si>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</si>
  <si>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</si>
  <si>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</si>
  <si>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</si>
  <si>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</si>
  <si>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</si>
  <si>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</si>
  <si>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</si>
  <si>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</si>
  <si>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</si>
  <si>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</si>
  <si>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</si>
  <si>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</si>
  <si>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</si>
  <si>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</si>
  <si>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</si>
  <si>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</si>
  <si>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</si>
  <si>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</si>
  <si>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</si>
  <si>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</si>
  <si>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</si>
  <si>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</si>
  <si>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</si>
  <si>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</si>
  <si>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</si>
  <si>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</si>
  <si>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</si>
  <si>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</si>
  <si>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</si>
  <si>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</si>
  <si>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</si>
  <si>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</si>
  <si>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</si>
  <si>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</si>
  <si>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</si>
  <si>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</si>
  <si>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</si>
  <si>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</si>
  <si>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</si>
  <si>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</si>
  <si>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</si>
  <si>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</si>
  <si>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</si>
  <si>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</si>
  <si>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</si>
  <si>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</si>
  <si>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</si>
  <si>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</si>
  <si>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</si>
  <si>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</si>
  <si>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</si>
  <si>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</si>
  <si>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</si>
  <si>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</si>
  <si>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</si>
  <si>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</si>
  <si>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</si>
  <si>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</si>
  <si>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</si>
  <si>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</si>
  <si>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</si>
  <si>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</si>
  <si>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</si>
  <si>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</si>
  <si>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</si>
  <si>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</si>
  <si>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</si>
  <si>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</si>
  <si>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</si>
  <si>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</si>
  <si>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</si>
  <si>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</si>
  <si>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</si>
  <si>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</si>
  <si>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</si>
  <si>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</si>
  <si>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</si>
  <si>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</si>
  <si>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</si>
  <si>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</si>
  <si>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</si>
  <si>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</si>
  <si>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</si>
  <si>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</si>
  <si>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</si>
  <si>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</si>
  <si>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</si>
  <si>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</si>
  <si>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</si>
  <si>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</si>
  <si>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</si>
  <si>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</si>
  <si>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</si>
  <si>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</si>
  <si>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</si>
  <si>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</si>
  <si>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</si>
  <si>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</si>
  <si>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</si>
  <si>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</si>
  <si>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</si>
  <si>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</si>
  <si>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</si>
  <si>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</si>
  <si>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</si>
  <si>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</si>
  <si>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</si>
  <si>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</si>
  <si>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</si>
  <si>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</si>
  <si>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</si>
  <si>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</si>
  <si>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</si>
  <si>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</si>
  <si>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</si>
  <si>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</si>
  <si>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</si>
  <si>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</si>
  <si>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</si>
  <si>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CTS No</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</si>
  <si>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</si>
  <si>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</si>
  <si>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</si>
  <si>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</si>
  <si>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</si>
  <si>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</si>
  <si>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</si>
  <si>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</si>
  <si>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</si>
  <si>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</si>
  <si>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</si>
  <si>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</si>
  <si>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</si>
  <si>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</si>
  <si>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</si>
  <si>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</si>
  <si>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</si>
  <si>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</si>
  <si>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</si>
  <si>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</si>
  <si>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</si>
  <si>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</si>
  <si>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</si>
  <si>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</si>
  <si>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</si>
  <si>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</si>
  <si>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</si>
  <si>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</si>
  <si>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</si>
  <si>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</si>
  <si>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</si>
  <si>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</si>
  <si>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</si>
  <si>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</si>
  <si>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</si>
  <si>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</si>
  <si>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</si>
  <si>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</si>
  <si>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</si>
  <si>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</si>
  <si>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</si>
  <si>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</si>
  <si>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</si>
  <si>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</si>
  <si>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</si>
  <si>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</si>
  <si>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</si>
  <si>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</si>
  <si>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</si>
  <si>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</si>
  <si>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</si>
  <si>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</si>
  <si>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</si>
  <si>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</si>
  <si>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</si>
  <si>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</si>
  <si>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</si>
  <si>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</si>
  <si>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</si>
  <si>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Flat No.
(Approved
Plan)</t>
  </si>
  <si>
    <t>Flat No. (Sale Plan)</t>
  </si>
  <si>
    <t>Gross Carpet area</t>
  </si>
  <si>
    <t>Attached Terrace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</si>
  <si>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</si>
  <si>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</si>
  <si>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</si>
  <si>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</si>
  <si>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</si>
  <si>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</si>
  <si>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</si>
  <si>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</si>
  <si>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</si>
  <si>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</si>
  <si>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</si>
  <si>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</si>
  <si>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</si>
  <si>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</si>
  <si>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</si>
  <si>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</si>
  <si>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</si>
  <si>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</si>
  <si>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</si>
  <si>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</si>
  <si>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</si>
  <si>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</si>
  <si>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</si>
  <si>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L M Tower</t>
  </si>
  <si>
    <t>Temghar</t>
  </si>
  <si>
    <t>19.282225,73.074556</t>
  </si>
  <si>
    <t>https://maps.app.goo.gl/APduhNwhfDkwra2R7</t>
  </si>
  <si>
    <t>Bhiwandi Murbad Road</t>
  </si>
  <si>
    <t>P51700027947</t>
  </si>
  <si>
    <t>Landmark residency</t>
  </si>
  <si>
    <t>L M Realty</t>
  </si>
  <si>
    <t>Room No 9, 1st Floor, H No 865/B/101, Parol Road, K P Compound, Shelar, Near Asma Hotel, Shelar, Bhiwandi, Thane, 421302</t>
  </si>
  <si>
    <t>Bank Name = AXIS BANK
IFSC Code = UTIB0000591</t>
  </si>
  <si>
    <t>Bhiwandi Nizampur Municipal Corporation</t>
  </si>
  <si>
    <t>Apartments + Shops</t>
  </si>
  <si>
    <t>18.00 M. Wide Road</t>
  </si>
  <si>
    <t>Other Plot</t>
  </si>
  <si>
    <t>Bhadwad Road</t>
  </si>
  <si>
    <t>Open Plot</t>
  </si>
  <si>
    <t>Building</t>
  </si>
  <si>
    <t>Survey No. 110/8B/Plot No/2, 110/8/B/Plot No/1, 110/12/1 &amp; 110/8/A/2</t>
  </si>
  <si>
    <t>Yes, Approx 18M</t>
  </si>
  <si>
    <t>BNMC/RB/2024/APL/00021</t>
  </si>
  <si>
    <t>Gr + 1st to 15th Floor (Height 48.60 Mtrs)</t>
  </si>
  <si>
    <t>BNMC/RB/2024/APL/00021
Building A = Gr + 1st to 15th Floor</t>
  </si>
  <si>
    <t>Construction/Building Permission
Valid Upto</t>
  </si>
  <si>
    <t>-</t>
  </si>
  <si>
    <r>
      <t>Remark (</t>
    </r>
    <r>
      <rPr>
        <sz val="10"/>
        <rFont val="Times New Roman"/>
        <family val="1"/>
      </rPr>
      <t>Flat configuration /Bungalows, etc.)</t>
    </r>
  </si>
  <si>
    <t>Ground Floor For Commercial, Society Office, Drivers Room, Entrance Lobby &amp; Parking</t>
  </si>
  <si>
    <t>1.5BHK</t>
  </si>
  <si>
    <t xml:space="preserve">Commercial </t>
  </si>
  <si>
    <t>Area in approved plans is not in scale Rera carpet taken as discuss with sachin sir</t>
  </si>
  <si>
    <t>1st Floor For Commercial &amp; Residential</t>
  </si>
  <si>
    <t>Office</t>
  </si>
  <si>
    <t>Attached Otla area+ Balcony Area</t>
  </si>
  <si>
    <t>3+4+5</t>
  </si>
  <si>
    <t>2nd Floor For Commercial &amp; Residential</t>
  </si>
  <si>
    <t>3rd Floor For Commercial &amp; Residential</t>
  </si>
  <si>
    <t>RERA Carpet area</t>
  </si>
  <si>
    <t>1st Floor For Residential (Part Commercial Area)</t>
  </si>
  <si>
    <t>2nd Floor For Residential (Part Commercial Area)</t>
  </si>
  <si>
    <t>3rd Floor For Residential (Part Commercial Area)</t>
  </si>
  <si>
    <t>4th Floor For Residential (Part Commercial Area)</t>
  </si>
  <si>
    <t>5th to 7th, 9th to 12th, 14th &amp; 15th Floor For Residential</t>
  </si>
  <si>
    <t>8th &amp; 13th Floor (Part Refuge Area)</t>
  </si>
  <si>
    <t>Refuge Area</t>
  </si>
  <si>
    <t>Construction work is in process at the time of Visit.</t>
  </si>
  <si>
    <t>AP Area</t>
  </si>
  <si>
    <t>Building No. A</t>
  </si>
  <si>
    <t>Building No. A Shops</t>
  </si>
  <si>
    <t>Building No. A Offices</t>
  </si>
  <si>
    <t>Flats = 112
Shops = 07
Offices = 14</t>
  </si>
  <si>
    <t>Ms Vaidehi 7020283967</t>
  </si>
  <si>
    <t>26/09/2025 at 04:37PM</t>
  </si>
  <si>
    <t>Building No. A= Gr + 1st to 15th Floor</t>
  </si>
  <si>
    <t>On Site, we meet Ms Vaidehi 7020283967</t>
  </si>
  <si>
    <t>We considered Gross carpet area = Net carpet + AP Area.</t>
  </si>
  <si>
    <t>1. 0.55km from The Learning High School
2. 0.90km from Glory English High School
3. 0.08km from Shree Saish Hospital
4. 0.60km from Heal Life Hospital
5. 0.50km from Local Market
6. 2.9km from The Miracle Mall
7. 0.70km from Sidhivinayak Shiv Temple
8. 1.1km from Sai Baba Temple
9. 1.10km from Saibaba Mandir Bus stop
10. 6.30km from Bhiwandi Road Railway Station</t>
  </si>
  <si>
    <t>Mr. Mangesh Laxman Bapardekar</t>
  </si>
  <si>
    <t>3,00,000/-</t>
  </si>
  <si>
    <t>We have referred Survey nos from approved floor plan. 
More survey nos are mentioned in CC (Survey No.110/8/A/2, 110/8/B/1).
Please check for Legal Report.</t>
  </si>
  <si>
    <t>110/8/B/2 &amp; 110/12/1</t>
  </si>
  <si>
    <t>Building No. A = Gr + 1st to 15th Floor</t>
  </si>
  <si>
    <t>Fire NOC
Valid Upto</t>
  </si>
  <si>
    <t>BNSMNP/Agni/327/2024
Gr + 1st to 14th Floor (Height 45.40 Mtrs)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</si>
</sst>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rgb="FFE5EEF1"/>
        <bgColor indexed="64"/>
      </patternFill>
    </fill>
  </fills>
  <borders count="4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247">
    <xf numFmtId="0" fontId="0" fillId="0" borderId="0" xfId="0"/>
    <xf numFmtId="0" fontId="5" fillId="0" borderId="0" xfId="0" applyFont="1" applyProtection="1">
      <protection hidden="1"/>
    </xf>
    <xf numFmtId="0" fontId="8" fillId="3" borderId="5"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wrapText="1"/>
      <protection locked="0"/>
    </xf>
    <xf numFmtId="1" fontId="8" fillId="3" borderId="4" xfId="1" applyNumberFormat="1" applyFont="1" applyFill="1" applyBorder="1" applyAlignment="1" applyProtection="1">
      <alignment horizontal="center" wrapText="1"/>
      <protection locked="0"/>
    </xf>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8" fillId="3" borderId="7" xfId="1" applyFont="1" applyFill="1" applyBorder="1" applyAlignment="1" applyProtection="1">
      <alignment horizontal="center" vertical="top" wrapText="1"/>
      <protection locked="0"/>
    </xf>
    <xf numFmtId="9" fontId="8" fillId="3"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3" borderId="14" xfId="1" applyFont="1" applyFill="1" applyBorder="1" applyAlignment="1" applyProtection="1">
      <alignment horizontal="center" vertical="top" wrapText="1"/>
      <protection locked="0"/>
    </xf>
    <xf numFmtId="9" fontId="8" fillId="3" borderId="26" xfId="1" applyNumberFormat="1" applyFont="1" applyFill="1" applyBorder="1" applyAlignment="1" applyProtection="1">
      <alignment horizontal="center" vertical="center"/>
      <protection hidden="1"/>
    </xf>
    <xf numFmtId="9" fontId="12" fillId="3" borderId="14" xfId="1" applyNumberFormat="1" applyFont="1" applyFill="1" applyBorder="1" applyAlignment="1" applyProtection="1">
      <alignment horizontal="left" vertical="center"/>
      <protection hidden="1"/>
    </xf>
    <xf numFmtId="9" fontId="12" fillId="3"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3" borderId="11" xfId="1" applyFont="1" applyFill="1" applyBorder="1" applyAlignment="1" applyProtection="1">
      <alignment horizontal="center" vertical="top" wrapText="1"/>
      <protection locked="0"/>
    </xf>
    <xf numFmtId="0" fontId="8" fillId="3" borderId="12" xfId="1" applyFont="1" applyFill="1" applyBorder="1" applyAlignment="1" applyProtection="1">
      <alignment horizontal="center" wrapText="1"/>
      <protection locked="0"/>
    </xf>
    <xf numFmtId="9" fontId="8" fillId="3" borderId="27" xfId="1" applyNumberFormat="1" applyFont="1" applyFill="1" applyBorder="1" applyAlignment="1" applyProtection="1">
      <alignment horizontal="center" vertical="center" wrapText="1"/>
      <protection hidden="1"/>
    </xf>
    <xf numFmtId="9" fontId="12" fillId="3" borderId="28" xfId="1" applyNumberFormat="1" applyFont="1" applyFill="1" applyBorder="1" applyAlignment="1" applyProtection="1">
      <alignment horizontal="left" vertical="center"/>
      <protection hidden="1"/>
    </xf>
    <xf numFmtId="0" fontId="6" fillId="0" borderId="0" xfId="0" applyFont="1"/>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0" fillId="0" borderId="4" xfId="0" applyBorder="1" applyAlignment="1">
      <alignment horizontal="center" vertical="center"/>
    </xf>
    <xf numFmtId="0" fontId="9" fillId="0" borderId="4" xfId="0" applyFont="1" applyBorder="1" applyAlignment="1">
      <alignment horizontal="left" vertical="top" wrapText="1"/>
    </xf>
    <xf numFmtId="0" fontId="9" fillId="0" borderId="4" xfId="0" applyFont="1" applyBorder="1" applyAlignment="1">
      <alignment horizontal="center" vertical="top"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Border="1" applyAlignment="1">
      <alignment horizontal="center" vertical="center"/>
    </xf>
    <xf numFmtId="0" fontId="6" fillId="0" borderId="0" xfId="0" applyFont="1" applyAlignment="1">
      <alignment wrapText="1"/>
    </xf>
    <xf numFmtId="0" fontId="9" fillId="0" borderId="4" xfId="0" applyFont="1" applyBorder="1" applyAlignment="1">
      <alignment vertical="top" wrapText="1"/>
    </xf>
    <xf numFmtId="14" fontId="5" fillId="0" borderId="4" xfId="0" applyNumberFormat="1" applyFont="1" applyBorder="1" applyAlignment="1">
      <alignment horizontal="left" vertical="top" wrapText="1"/>
    </xf>
    <xf numFmtId="0" fontId="6" fillId="0" borderId="30" xfId="1" applyFont="1" applyBorder="1" applyProtection="1">
      <protection hidden="1"/>
    </xf>
    <xf numFmtId="0" fontId="6" fillId="0" borderId="31" xfId="1" applyFont="1" applyBorder="1" applyProtection="1">
      <protection hidden="1"/>
    </xf>
    <xf numFmtId="0" fontId="6" fillId="0" borderId="0" xfId="1" applyFont="1" applyProtection="1">
      <protection hidden="1"/>
    </xf>
    <xf numFmtId="0" fontId="6" fillId="0" borderId="3" xfId="1" applyFont="1" applyBorder="1" applyProtection="1">
      <protection hidden="1"/>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xf numFmtId="0" fontId="6" fillId="0" borderId="3" xfId="1" applyFont="1" applyBorder="1"/>
    <xf numFmtId="0" fontId="1" fillId="0" borderId="5" xfId="0" applyFont="1" applyBorder="1" applyAlignment="1">
      <alignment horizontal="left" vertical="top"/>
    </xf>
    <xf numFmtId="0" fontId="1" fillId="0" borderId="4" xfId="0" applyFont="1" applyBorder="1" applyAlignment="1">
      <alignment horizontal="left" vertical="top"/>
    </xf>
    <xf numFmtId="0" fontId="5" fillId="0" borderId="3" xfId="0" applyFont="1" applyBorder="1" applyProtection="1">
      <protection hidden="1"/>
    </xf>
    <xf numFmtId="0" fontId="6" fillId="0" borderId="4" xfId="1" applyFont="1" applyBorder="1" applyAlignment="1" applyProtection="1">
      <alignment horizontal="center" vertical="top" wrapText="1"/>
      <protection locked="0"/>
    </xf>
    <xf numFmtId="0" fontId="6" fillId="0" borderId="4" xfId="1" applyFont="1" applyBorder="1" applyAlignment="1" applyProtection="1">
      <alignment horizontal="center" wrapText="1"/>
      <protection locked="0"/>
    </xf>
    <xf numFmtId="9" fontId="6" fillId="0" borderId="4" xfId="1" applyNumberFormat="1" applyFont="1" applyBorder="1" applyAlignment="1" applyProtection="1">
      <alignment horizontal="center" vertical="center" wrapText="1"/>
      <protection hidden="1"/>
    </xf>
    <xf numFmtId="1" fontId="6" fillId="0" borderId="3" xfId="0" applyNumberFormat="1" applyFont="1" applyBorder="1"/>
    <xf numFmtId="1" fontId="6" fillId="0" borderId="4" xfId="1" applyNumberFormat="1" applyFont="1" applyBorder="1" applyAlignment="1" applyProtection="1">
      <alignment horizontal="center" wrapText="1"/>
      <protection locked="0"/>
    </xf>
    <xf numFmtId="1" fontId="6" fillId="0" borderId="3" xfId="0" applyNumberFormat="1" applyFont="1" applyBorder="1" applyAlignment="1">
      <alignment horizontal="right"/>
    </xf>
    <xf numFmtId="0" fontId="5" fillId="0" borderId="2" xfId="0" applyFont="1" applyBorder="1" applyProtection="1">
      <protection hidden="1"/>
    </xf>
    <xf numFmtId="1" fontId="6" fillId="0" borderId="1" xfId="0" applyNumberFormat="1" applyFont="1" applyBorder="1"/>
    <xf numFmtId="0" fontId="6" fillId="0" borderId="12" xfId="1" applyFont="1" applyBorder="1" applyAlignment="1" applyProtection="1">
      <alignment horizontal="center" wrapText="1"/>
      <protection locked="0"/>
    </xf>
    <xf numFmtId="9" fontId="6" fillId="0" borderId="12" xfId="1" applyNumberFormat="1" applyFont="1" applyBorder="1" applyAlignment="1" applyProtection="1">
      <alignment horizontal="center" vertical="center" wrapText="1"/>
      <protection hidden="1"/>
    </xf>
    <xf numFmtId="0" fontId="8" fillId="0" borderId="4" xfId="0" applyFont="1" applyBorder="1" applyAlignment="1">
      <alignment horizontal="center" vertical="center" wrapText="1"/>
    </xf>
    <xf numFmtId="0" fontId="7" fillId="0" borderId="14" xfId="0" applyFont="1" applyBorder="1" applyAlignment="1">
      <alignment horizontal="center" vertical="top" wrapText="1"/>
    </xf>
    <xf numFmtId="9" fontId="7" fillId="0" borderId="13" xfId="0" applyNumberFormat="1" applyFont="1" applyBorder="1" applyAlignment="1">
      <alignment horizontal="center" vertical="top" wrapText="1"/>
    </xf>
    <xf numFmtId="9" fontId="7" fillId="0" borderId="13" xfId="2" applyFont="1" applyFill="1" applyBorder="1" applyAlignment="1" applyProtection="1">
      <alignment horizontal="center" vertical="top" wrapText="1"/>
      <protection locked="0"/>
    </xf>
    <xf numFmtId="1" fontId="5" fillId="0" borderId="4" xfId="0" applyNumberFormat="1" applyFont="1" applyBorder="1" applyAlignment="1">
      <alignment horizontal="center" vertical="center"/>
    </xf>
    <xf numFmtId="0" fontId="7" fillId="0" borderId="29" xfId="0" applyFont="1" applyBorder="1" applyAlignment="1">
      <alignment horizontal="center" vertical="top" wrapText="1"/>
    </xf>
    <xf numFmtId="9" fontId="7" fillId="0" borderId="20" xfId="0" applyNumberFormat="1" applyFont="1" applyBorder="1" applyAlignment="1">
      <alignment horizontal="center" vertical="top" wrapText="1"/>
    </xf>
    <xf numFmtId="0" fontId="7" fillId="0" borderId="4" xfId="0" applyFont="1" applyBorder="1" applyAlignment="1">
      <alignment horizontal="center" vertical="center" wrapText="1"/>
    </xf>
    <xf numFmtId="9" fontId="7" fillId="0" borderId="8" xfId="0" applyNumberFormat="1" applyFont="1" applyBorder="1" applyAlignment="1">
      <alignment horizontal="lef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7" fillId="0" borderId="18"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29" xfId="0" applyFont="1" applyBorder="1" applyAlignment="1">
      <alignment horizontal="left" vertical="top" wrapText="1"/>
    </xf>
    <xf numFmtId="0" fontId="7" fillId="0" borderId="25" xfId="0" applyFont="1" applyBorder="1" applyAlignment="1">
      <alignment horizontal="left" vertical="top" wrapText="1"/>
    </xf>
    <xf numFmtId="0" fontId="7" fillId="0" borderId="24" xfId="0" applyFont="1" applyBorder="1" applyAlignment="1">
      <alignment horizontal="left" vertical="top" wrapText="1"/>
    </xf>
    <xf numFmtId="0" fontId="9" fillId="0" borderId="4" xfId="0" applyFont="1" applyBorder="1" applyAlignment="1">
      <alignment horizontal="center" vertical="center" wrapText="1"/>
    </xf>
    <xf numFmtId="0" fontId="7" fillId="0" borderId="14" xfId="0" applyFont="1" applyBorder="1" applyAlignment="1">
      <alignment horizontal="center" vertical="top" wrapText="1"/>
    </xf>
    <xf numFmtId="0" fontId="7" fillId="0" borderId="13" xfId="0" applyFont="1" applyBorder="1" applyAlignment="1">
      <alignment horizontal="center" vertical="top" wrapText="1"/>
    </xf>
    <xf numFmtId="0" fontId="9" fillId="0" borderId="13" xfId="0" applyFont="1" applyBorder="1" applyAlignment="1">
      <alignment horizontal="center" vertical="center" wrapText="1"/>
    </xf>
    <xf numFmtId="0" fontId="6" fillId="0" borderId="4" xfId="0" applyFont="1" applyBorder="1" applyAlignment="1">
      <alignment horizontal="center"/>
    </xf>
    <xf numFmtId="9" fontId="6" fillId="0" borderId="4" xfId="0" applyNumberFormat="1" applyFont="1" applyBorder="1" applyAlignment="1">
      <alignment horizontal="center"/>
    </xf>
    <xf numFmtId="0" fontId="1" fillId="0" borderId="4" xfId="1" applyFont="1" applyBorder="1" applyAlignment="1" applyProtection="1">
      <alignment horizontal="left" vertical="top" wrapText="1"/>
      <protection locked="0"/>
    </xf>
    <xf numFmtId="0" fontId="1" fillId="0" borderId="6"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1" fontId="5" fillId="0" borderId="7" xfId="0" applyNumberFormat="1" applyFont="1" applyBorder="1" applyAlignment="1">
      <alignment horizontal="center" vertical="center" wrapText="1"/>
    </xf>
    <xf numFmtId="0" fontId="5" fillId="0" borderId="10" xfId="0" applyFont="1" applyBorder="1" applyAlignment="1">
      <alignment horizontal="center" vertical="center" wrapText="1"/>
    </xf>
    <xf numFmtId="9" fontId="6" fillId="0" borderId="4" xfId="1" applyNumberFormat="1" applyFont="1" applyBorder="1" applyAlignment="1" applyProtection="1">
      <alignment horizontal="center" vertical="center" wrapText="1"/>
      <protection hidden="1"/>
    </xf>
    <xf numFmtId="9" fontId="6" fillId="0" borderId="6" xfId="1" applyNumberFormat="1" applyFont="1" applyBorder="1" applyAlignment="1" applyProtection="1">
      <alignment horizontal="center" vertical="center" wrapText="1"/>
      <protection hidden="1"/>
    </xf>
    <xf numFmtId="9" fontId="6" fillId="0" borderId="12" xfId="1" applyNumberFormat="1" applyFont="1" applyBorder="1" applyAlignment="1" applyProtection="1">
      <alignment horizontal="center" vertical="center" wrapText="1"/>
      <protection hidden="1"/>
    </xf>
    <xf numFmtId="9" fontId="6" fillId="0" borderId="32" xfId="1" applyNumberFormat="1" applyFont="1" applyBorder="1" applyAlignment="1" applyProtection="1">
      <alignment horizontal="center" vertical="center" wrapText="1"/>
      <protection hidden="1"/>
    </xf>
    <xf numFmtId="0" fontId="8" fillId="0" borderId="4" xfId="0" applyFont="1" applyBorder="1" applyAlignment="1">
      <alignment horizontal="center" vertical="center" wrapText="1"/>
    </xf>
    <xf numFmtId="9" fontId="6" fillId="0" borderId="12" xfId="0" applyNumberFormat="1" applyFont="1" applyBorder="1" applyAlignment="1">
      <alignment horizontal="center"/>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1" fontId="9" fillId="0" borderId="38" xfId="0" applyNumberFormat="1" applyFont="1" applyBorder="1" applyAlignment="1">
      <alignment horizontal="center" vertical="center" wrapText="1"/>
    </xf>
    <xf numFmtId="0" fontId="9" fillId="0" borderId="39"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164" fontId="8" fillId="0" borderId="4" xfId="1" applyNumberFormat="1" applyFont="1" applyBorder="1" applyAlignment="1" applyProtection="1">
      <alignment horizontal="left" vertical="center" wrapText="1"/>
      <protection locked="0"/>
    </xf>
    <xf numFmtId="22" fontId="8" fillId="0" borderId="4" xfId="0" applyNumberFormat="1" applyFont="1" applyBorder="1" applyAlignment="1">
      <alignment horizontal="left" vertical="center" wrapText="1"/>
    </xf>
    <xf numFmtId="0" fontId="9" fillId="0" borderId="7" xfId="0" applyFont="1" applyBorder="1" applyAlignment="1">
      <alignment horizontal="center" vertical="top" wrapText="1"/>
    </xf>
    <xf numFmtId="0" fontId="9" fillId="0" borderId="10" xfId="0" applyFont="1" applyBorder="1" applyAlignment="1">
      <alignment horizontal="center" vertical="top" wrapText="1"/>
    </xf>
    <xf numFmtId="0" fontId="9" fillId="0" borderId="7" xfId="0" applyFont="1" applyBorder="1" applyAlignment="1">
      <alignment horizontal="left" vertical="top" wrapText="1"/>
    </xf>
    <xf numFmtId="0" fontId="9" fillId="0" borderId="10" xfId="0" applyFont="1" applyBorder="1" applyAlignment="1">
      <alignment horizontal="left" vertical="top" wrapText="1"/>
    </xf>
    <xf numFmtId="0" fontId="9" fillId="0" borderId="29" xfId="0" applyFont="1" applyBorder="1" applyAlignment="1">
      <alignment horizontal="left" vertical="top" wrapText="1"/>
    </xf>
    <xf numFmtId="0" fontId="9" fillId="0" borderId="24"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14" fontId="8" fillId="0" borderId="7" xfId="0" applyNumberFormat="1" applyFont="1" applyBorder="1" applyAlignment="1">
      <alignment horizontal="center" vertical="center"/>
    </xf>
    <xf numFmtId="14"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1" fillId="0" borderId="33" xfId="1" applyFont="1" applyBorder="1" applyAlignment="1" applyProtection="1">
      <alignment horizontal="left" vertical="top" wrapText="1"/>
      <protection locked="0"/>
    </xf>
    <xf numFmtId="0" fontId="1" fillId="0" borderId="30" xfId="1" applyFont="1" applyBorder="1" applyAlignment="1" applyProtection="1">
      <alignment horizontal="left" vertical="top" wrapText="1"/>
      <protection locked="0"/>
    </xf>
    <xf numFmtId="0" fontId="1" fillId="0" borderId="34" xfId="1" applyFont="1" applyBorder="1" applyAlignment="1" applyProtection="1">
      <alignment horizontal="left" vertical="top" wrapText="1"/>
      <protection locked="0"/>
    </xf>
    <xf numFmtId="0" fontId="1" fillId="0" borderId="35" xfId="1" applyFont="1" applyBorder="1" applyAlignment="1" applyProtection="1">
      <alignment horizontal="left" vertical="top" wrapText="1"/>
      <protection locked="0"/>
    </xf>
    <xf numFmtId="0" fontId="1" fillId="0" borderId="21" xfId="1" applyFont="1" applyBorder="1" applyAlignment="1" applyProtection="1">
      <alignment horizontal="left" vertical="top" wrapText="1"/>
      <protection locked="0"/>
    </xf>
    <xf numFmtId="0" fontId="1" fillId="0" borderId="22" xfId="1" applyFont="1" applyBorder="1" applyAlignment="1" applyProtection="1">
      <alignment horizontal="left" vertical="top" wrapText="1"/>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29" xfId="0" applyFont="1" applyBorder="1" applyAlignment="1">
      <alignment horizontal="left" vertical="top" wrapText="1"/>
    </xf>
    <xf numFmtId="0" fontId="11" fillId="0" borderId="24" xfId="0" applyFont="1" applyBorder="1" applyAlignment="1">
      <alignment horizontal="left" vertical="top" wrapText="1"/>
    </xf>
    <xf numFmtId="0" fontId="11" fillId="0" borderId="20" xfId="0" applyFont="1" applyBorder="1" applyAlignment="1">
      <alignment horizontal="left" vertical="top" wrapText="1"/>
    </xf>
    <xf numFmtId="0" fontId="11" fillId="0" borderId="22"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5" fillId="0" borderId="2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11" fillId="0" borderId="7" xfId="0" applyFont="1" applyBorder="1" applyAlignment="1">
      <alignment vertical="top" wrapText="1"/>
    </xf>
    <xf numFmtId="0" fontId="11" fillId="0" borderId="10" xfId="0" applyFont="1" applyBorder="1" applyAlignment="1">
      <alignment vertical="top" wrapText="1"/>
    </xf>
    <xf numFmtId="2" fontId="8" fillId="0" borderId="4" xfId="0" applyNumberFormat="1" applyFont="1" applyBorder="1" applyAlignment="1">
      <alignment horizontal="center" vertical="center"/>
    </xf>
    <xf numFmtId="0" fontId="5" fillId="0" borderId="4" xfId="0" applyFont="1" applyBorder="1" applyAlignment="1">
      <alignment horizontal="left" vertical="center"/>
    </xf>
    <xf numFmtId="165" fontId="8" fillId="0" borderId="4" xfId="0" applyNumberFormat="1" applyFont="1" applyBorder="1" applyAlignment="1">
      <alignment horizontal="center" vertical="center"/>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7" fillId="0" borderId="8" xfId="0" applyFont="1" applyBorder="1" applyAlignment="1">
      <alignment horizontal="center" vertical="center" wrapText="1"/>
    </xf>
    <xf numFmtId="0" fontId="6" fillId="0" borderId="11" xfId="1" applyFont="1" applyBorder="1" applyAlignment="1" applyProtection="1">
      <alignment horizontal="center" vertical="top" wrapText="1"/>
      <protection locked="0"/>
    </xf>
    <xf numFmtId="0" fontId="6" fillId="0" borderId="12" xfId="1" applyFont="1" applyBorder="1" applyAlignment="1" applyProtection="1">
      <alignment horizontal="center" vertical="top" wrapText="1"/>
      <protection locked="0"/>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8" fillId="0" borderId="7" xfId="0" applyFont="1" applyBorder="1" applyAlignment="1">
      <alignment horizontal="center" vertical="center"/>
    </xf>
    <xf numFmtId="0" fontId="6" fillId="0" borderId="4" xfId="1" applyFont="1" applyBorder="1" applyAlignment="1" applyProtection="1">
      <alignment horizontal="center" vertical="center" wrapText="1"/>
      <protection locked="0"/>
    </xf>
    <xf numFmtId="0" fontId="6" fillId="0" borderId="6" xfId="1" applyFont="1" applyBorder="1" applyAlignment="1" applyProtection="1">
      <alignment horizontal="center" vertical="center" wrapText="1"/>
      <protection locked="0"/>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horizontal="left" vertical="top"/>
    </xf>
    <xf numFmtId="0" fontId="5" fillId="0" borderId="10" xfId="0" applyFont="1" applyBorder="1" applyAlignment="1">
      <alignment horizontal="left" vertical="top"/>
    </xf>
    <xf numFmtId="0" fontId="7" fillId="0" borderId="14" xfId="1" applyFont="1" applyBorder="1" applyAlignment="1" applyProtection="1">
      <alignment horizontal="center" vertical="top" wrapText="1"/>
      <protection locked="0"/>
    </xf>
    <xf numFmtId="0" fontId="9" fillId="0" borderId="2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9" xfId="0" applyFont="1" applyBorder="1" applyAlignment="1">
      <alignment horizontal="left" vertical="center" wrapText="1"/>
    </xf>
    <xf numFmtId="0" fontId="9" fillId="0" borderId="24"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2" xfId="0" applyFont="1" applyBorder="1" applyAlignment="1">
      <alignment horizontal="left" vertical="center" wrapText="1"/>
    </xf>
    <xf numFmtId="0" fontId="9" fillId="0" borderId="40" xfId="0" applyFont="1" applyBorder="1" applyAlignment="1">
      <alignment horizontal="center" vertical="center" wrapText="1"/>
    </xf>
    <xf numFmtId="0" fontId="9" fillId="0" borderId="14" xfId="0" applyFont="1" applyBorder="1" applyAlignment="1">
      <alignment horizontal="center" vertical="top" wrapText="1"/>
    </xf>
    <xf numFmtId="0" fontId="9" fillId="0" borderId="13" xfId="0" applyFont="1" applyBorder="1" applyAlignment="1">
      <alignment horizontal="center" vertical="top" wrapText="1"/>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8" fillId="0" borderId="13" xfId="0" applyFont="1" applyBorder="1" applyAlignment="1">
      <alignment horizontal="left" vertical="center"/>
    </xf>
    <xf numFmtId="0" fontId="1" fillId="0" borderId="4" xfId="0" applyFont="1" applyBorder="1" applyAlignment="1">
      <alignment horizontal="center" vertical="top" wrapText="1"/>
    </xf>
    <xf numFmtId="0" fontId="1" fillId="0" borderId="4" xfId="0" applyFont="1" applyBorder="1" applyAlignment="1">
      <alignment horizontal="center" vertical="top"/>
    </xf>
    <xf numFmtId="0" fontId="5" fillId="0" borderId="4" xfId="0" applyFont="1" applyBorder="1" applyAlignment="1">
      <alignment vertical="top" wrapText="1"/>
    </xf>
    <xf numFmtId="0" fontId="5" fillId="0" borderId="4" xfId="0" applyFont="1" applyBorder="1" applyAlignment="1">
      <alignment vertical="top"/>
    </xf>
    <xf numFmtId="0" fontId="5"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3" fillId="0" borderId="4" xfId="0" applyFont="1" applyBorder="1" applyAlignment="1">
      <alignment horizontal="center" vertical="center"/>
    </xf>
    <xf numFmtId="0" fontId="8" fillId="0" borderId="4" xfId="0" applyFont="1" applyBorder="1" applyAlignment="1">
      <alignment vertical="top" wrapText="1"/>
    </xf>
    <xf numFmtId="0" fontId="10" fillId="0" borderId="4" xfId="0" applyFont="1" applyBorder="1" applyAlignment="1">
      <alignment vertical="top" wrapText="1"/>
    </xf>
    <xf numFmtId="0" fontId="17" fillId="0" borderId="7" xfId="3" applyFont="1" applyFill="1" applyBorder="1" applyAlignment="1">
      <alignment horizontal="center" vertical="top" wrapText="1"/>
    </xf>
    <xf numFmtId="0" fontId="1" fillId="0" borderId="7" xfId="0" applyFont="1" applyBorder="1" applyAlignment="1">
      <alignment horizontal="left" vertical="center" wrapText="1"/>
    </xf>
    <xf numFmtId="0" fontId="1" fillId="0" borderId="10" xfId="0" applyFont="1" applyBorder="1" applyAlignment="1">
      <alignment horizontal="left" vertical="center" wrapText="1"/>
    </xf>
    <xf numFmtId="0" fontId="5" fillId="0" borderId="4" xfId="0" applyFont="1" applyBorder="1" applyAlignment="1">
      <alignment horizontal="left" vertical="top" wrapText="1"/>
    </xf>
    <xf numFmtId="0" fontId="5" fillId="0" borderId="4" xfId="0" applyFont="1" applyBorder="1" applyAlignment="1">
      <alignment horizontal="left" vertical="center" wrapText="1"/>
    </xf>
    <xf numFmtId="0" fontId="8" fillId="0" borderId="4" xfId="0" applyFont="1" applyBorder="1" applyAlignment="1">
      <alignment horizontal="center" vertical="center"/>
    </xf>
    <xf numFmtId="0" fontId="9" fillId="0" borderId="4" xfId="0" applyFont="1" applyBorder="1" applyAlignment="1">
      <alignment horizontal="left" vertical="top" wrapText="1"/>
    </xf>
    <xf numFmtId="0" fontId="9" fillId="0" borderId="4" xfId="0" applyFont="1" applyBorder="1" applyAlignment="1">
      <alignment horizontal="center" vertical="top" wrapText="1"/>
    </xf>
    <xf numFmtId="1" fontId="5" fillId="0" borderId="29" xfId="0" applyNumberFormat="1" applyFont="1" applyBorder="1" applyAlignment="1">
      <alignment horizontal="center" vertical="center" wrapText="1"/>
    </xf>
    <xf numFmtId="1" fontId="5" fillId="0" borderId="24" xfId="0" applyNumberFormat="1" applyFont="1" applyBorder="1" applyAlignment="1">
      <alignment horizontal="center" vertical="center" wrapText="1"/>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9" fillId="0" borderId="8" xfId="0" applyFont="1" applyBorder="1" applyAlignment="1">
      <alignment horizontal="center" vertical="center" wrapText="1"/>
    </xf>
    <xf numFmtId="1" fontId="9" fillId="0" borderId="7" xfId="0" applyNumberFormat="1" applyFont="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3" borderId="8" xfId="1" applyFont="1" applyFill="1" applyBorder="1" applyAlignment="1" applyProtection="1">
      <alignment horizontal="center" vertical="center" wrapText="1"/>
      <protection locked="0"/>
    </xf>
    <xf numFmtId="0" fontId="8" fillId="3" borderId="9" xfId="1" applyFont="1" applyFill="1" applyBorder="1" applyAlignment="1" applyProtection="1">
      <alignment horizontal="center" vertical="center" wrapText="1"/>
      <protection locked="0"/>
    </xf>
    <xf numFmtId="9" fontId="8" fillId="3" borderId="25" xfId="1" applyNumberFormat="1" applyFont="1" applyFill="1" applyBorder="1" applyAlignment="1" applyProtection="1">
      <alignment horizontal="center" vertical="center" wrapText="1"/>
      <protection hidden="1"/>
    </xf>
    <xf numFmtId="9" fontId="8" fillId="3" borderId="23" xfId="1" applyNumberFormat="1" applyFont="1" applyFill="1" applyBorder="1" applyAlignment="1" applyProtection="1">
      <alignment horizontal="center" vertical="center" wrapText="1"/>
      <protection hidden="1"/>
    </xf>
    <xf numFmtId="9" fontId="8" fillId="3" borderId="0" xfId="1" applyNumberFormat="1" applyFont="1" applyFill="1" applyAlignment="1" applyProtection="1">
      <alignment horizontal="center" vertical="center" wrapText="1"/>
      <protection hidden="1"/>
    </xf>
    <xf numFmtId="9" fontId="8" fillId="3" borderId="3" xfId="1" applyNumberFormat="1" applyFont="1" applyFill="1" applyBorder="1" applyAlignment="1" applyProtection="1">
      <alignment horizontal="center" vertical="center" wrapText="1"/>
      <protection hidden="1"/>
    </xf>
    <xf numFmtId="9" fontId="8" fillId="3" borderId="2" xfId="1" applyNumberFormat="1" applyFont="1" applyFill="1" applyBorder="1" applyAlignment="1" applyProtection="1">
      <alignment horizontal="center" vertical="center" wrapText="1"/>
      <protection hidden="1"/>
    </xf>
    <xf numFmtId="9" fontId="8" fillId="3"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xr:uid="{00000000-0005-0000-0000-000001000000}"/>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722243</xdr:colOff>
      <xdr:row>29</xdr:row>
      <xdr:rowOff>337930</xdr:rowOff>
    </xdr:from>
    <xdr:to>
      <xdr:col>14</xdr:col>
      <xdr:colOff>253826</xdr:colOff>
      <xdr:row>35</xdr:row>
      <xdr:rowOff>290940</xdr:rowOff>
    </xdr:to>
    <xdr:pic>
      <xdr:nvPicPr>
        <xdr:cNvPr id="2" name="Picture 1">
          <a:extLst>
            <a:ext uri="{FF2B5EF4-FFF2-40B4-BE49-F238E27FC236}">
              <a16:creationId xmlns:a16="http://schemas.microsoft.com/office/drawing/2014/main" id="{C2C3D998-ED1F-A8D9-966B-66D24AE1EED4}"/>
            </a:ext>
          </a:extLst>
        </xdr:cNvPr>
        <xdr:cNvPicPr>
          <a:picLocks noChangeAspect="1"/>
        </xdr:cNvPicPr>
      </xdr:nvPicPr>
      <xdr:blipFill>
        <a:blip xmlns:r="http://schemas.openxmlformats.org/officeDocument/2006/relationships" r:embed="rId1"/>
        <a:stretch>
          <a:fillRect/>
        </a:stretch>
      </xdr:blipFill>
      <xdr:spPr>
        <a:xfrm>
          <a:off x="7653130" y="8448260"/>
          <a:ext cx="3600000" cy="1655914"/>
        </a:xfrm>
        <a:prstGeom prst="rect">
          <a:avLst/>
        </a:prstGeom>
      </xdr:spPr>
    </xdr:pic>
    <xdr:clientData/>
  </xdr:twoCellAnchor>
  <xdr:twoCellAnchor editAs="oneCell">
    <xdr:from>
      <xdr:col>8</xdr:col>
      <xdr:colOff>351183</xdr:colOff>
      <xdr:row>45</xdr:row>
      <xdr:rowOff>139148</xdr:rowOff>
    </xdr:from>
    <xdr:to>
      <xdr:col>10</xdr:col>
      <xdr:colOff>574174</xdr:colOff>
      <xdr:row>47</xdr:row>
      <xdr:rowOff>467472</xdr:rowOff>
    </xdr:to>
    <xdr:pic>
      <xdr:nvPicPr>
        <xdr:cNvPr id="3" name="Picture 2">
          <a:extLst>
            <a:ext uri="{FF2B5EF4-FFF2-40B4-BE49-F238E27FC236}">
              <a16:creationId xmlns:a16="http://schemas.microsoft.com/office/drawing/2014/main" id="{95DF2786-2E8C-F09B-B4DD-5CD20916B39B}"/>
            </a:ext>
          </a:extLst>
        </xdr:cNvPr>
        <xdr:cNvPicPr>
          <a:picLocks noChangeAspect="1"/>
        </xdr:cNvPicPr>
      </xdr:nvPicPr>
      <xdr:blipFill>
        <a:blip xmlns:r="http://schemas.openxmlformats.org/officeDocument/2006/relationships" r:embed="rId2"/>
        <a:stretch>
          <a:fillRect/>
        </a:stretch>
      </xdr:blipFill>
      <xdr:spPr>
        <a:xfrm>
          <a:off x="7282070" y="13079896"/>
          <a:ext cx="1800000" cy="1136706"/>
        </a:xfrm>
        <a:prstGeom prst="rect">
          <a:avLst/>
        </a:prstGeom>
      </xdr:spPr>
    </xdr:pic>
    <xdr:clientData/>
  </xdr:twoCellAnchor>
  <xdr:twoCellAnchor>
    <xdr:from>
      <xdr:col>0</xdr:col>
      <xdr:colOff>556591</xdr:colOff>
      <xdr:row>201</xdr:row>
      <xdr:rowOff>145773</xdr:rowOff>
    </xdr:from>
    <xdr:to>
      <xdr:col>7</xdr:col>
      <xdr:colOff>398647</xdr:colOff>
      <xdr:row>244</xdr:row>
      <xdr:rowOff>160852</xdr:rowOff>
    </xdr:to>
    <xdr:grpSp>
      <xdr:nvGrpSpPr>
        <xdr:cNvPr id="4" name="Group 3">
          <a:extLst>
            <a:ext uri="{FF2B5EF4-FFF2-40B4-BE49-F238E27FC236}">
              <a16:creationId xmlns:a16="http://schemas.microsoft.com/office/drawing/2014/main" id="{2C275CF1-EB7D-D382-1E21-0A9E543B399D}"/>
            </a:ext>
          </a:extLst>
        </xdr:cNvPr>
        <xdr:cNvGrpSpPr/>
      </xdr:nvGrpSpPr>
      <xdr:grpSpPr>
        <a:xfrm>
          <a:off x="556591" y="41618451"/>
          <a:ext cx="5891673" cy="7138123"/>
          <a:chOff x="483163" y="135925"/>
          <a:chExt cx="5891673" cy="7138122"/>
        </a:xfrm>
      </xdr:grpSpPr>
      <xdr:grpSp>
        <xdr:nvGrpSpPr>
          <xdr:cNvPr id="5" name="Group 4">
            <a:extLst>
              <a:ext uri="{FF2B5EF4-FFF2-40B4-BE49-F238E27FC236}">
                <a16:creationId xmlns:a16="http://schemas.microsoft.com/office/drawing/2014/main" id="{277F8D63-C704-B75E-0F43-2E25D73682BA}"/>
              </a:ext>
            </a:extLst>
          </xdr:cNvPr>
          <xdr:cNvGrpSpPr/>
        </xdr:nvGrpSpPr>
        <xdr:grpSpPr>
          <a:xfrm>
            <a:off x="483163" y="2804986"/>
            <a:ext cx="5891671" cy="2520000"/>
            <a:chOff x="483163" y="2743201"/>
            <a:chExt cx="5891671" cy="2520000"/>
          </a:xfrm>
        </xdr:grpSpPr>
        <xdr:pic>
          <xdr:nvPicPr>
            <xdr:cNvPr id="14" name="Picture 13">
              <a:extLst>
                <a:ext uri="{FF2B5EF4-FFF2-40B4-BE49-F238E27FC236}">
                  <a16:creationId xmlns:a16="http://schemas.microsoft.com/office/drawing/2014/main" id="{4E8FAA7E-6D61-165C-0A4D-EE7CE3D97A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84983" y="2743201"/>
              <a:ext cx="188803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F51B6336-E9B9-9F35-9B74-582F3BAFE9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163" y="2743201"/>
              <a:ext cx="1888031"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3B514648-9C1F-5B31-4476-695C16AEBA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86803" y="2743201"/>
              <a:ext cx="1888031"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53D01812-1B8A-24CA-F5E0-E534AC60CCF7}"/>
              </a:ext>
            </a:extLst>
          </xdr:cNvPr>
          <xdr:cNvGrpSpPr/>
        </xdr:nvGrpSpPr>
        <xdr:grpSpPr>
          <a:xfrm>
            <a:off x="483163" y="135925"/>
            <a:ext cx="5891673" cy="2520000"/>
            <a:chOff x="483163" y="111211"/>
            <a:chExt cx="5891673" cy="2520000"/>
          </a:xfrm>
        </xdr:grpSpPr>
        <xdr:pic>
          <xdr:nvPicPr>
            <xdr:cNvPr id="11" name="Picture 10">
              <a:extLst>
                <a:ext uri="{FF2B5EF4-FFF2-40B4-BE49-F238E27FC236}">
                  <a16:creationId xmlns:a16="http://schemas.microsoft.com/office/drawing/2014/main" id="{E89029D0-F446-F956-DC84-AE2CE0AC4D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86805" y="111211"/>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9A9021DA-EBF8-DC17-AC51-4335FF6AAB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84984" y="111211"/>
              <a:ext cx="1888031"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490D22D8-C4D9-0B2A-885F-1ABB89F75A6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3163" y="111211"/>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BBA9AC67-64AB-6D69-A81A-51D59C55FD1C}"/>
              </a:ext>
            </a:extLst>
          </xdr:cNvPr>
          <xdr:cNvGrpSpPr/>
        </xdr:nvGrpSpPr>
        <xdr:grpSpPr>
          <a:xfrm>
            <a:off x="1292176" y="5474047"/>
            <a:ext cx="4273644" cy="1800000"/>
            <a:chOff x="1292178" y="5375191"/>
            <a:chExt cx="4273644" cy="1800000"/>
          </a:xfrm>
        </xdr:grpSpPr>
        <xdr:pic>
          <xdr:nvPicPr>
            <xdr:cNvPr id="8" name="Picture 7">
              <a:extLst>
                <a:ext uri="{FF2B5EF4-FFF2-40B4-BE49-F238E27FC236}">
                  <a16:creationId xmlns:a16="http://schemas.microsoft.com/office/drawing/2014/main" id="{890D7CE5-B752-9716-4099-354199C8191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54701" y="5375191"/>
              <a:ext cx="1348594" cy="1800000"/>
            </a:xfrm>
            <a:prstGeom prst="rect">
              <a:avLst/>
            </a:prstGeom>
            <a:ln>
              <a:solidFill>
                <a:schemeClr val="tx1"/>
              </a:solidFill>
            </a:ln>
          </xdr:spPr>
        </xdr:pic>
        <xdr:pic>
          <xdr:nvPicPr>
            <xdr:cNvPr id="9" name="Picture 8">
              <a:extLst>
                <a:ext uri="{FF2B5EF4-FFF2-40B4-BE49-F238E27FC236}">
                  <a16:creationId xmlns:a16="http://schemas.microsoft.com/office/drawing/2014/main" id="{78ED254E-DEC5-7386-06F0-DA0B4CE444A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217228" y="5375191"/>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D220B61B-7F9A-B21F-F2FC-C6979C1C37F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92178" y="5375191"/>
              <a:ext cx="1348594" cy="1800000"/>
            </a:xfrm>
            <a:prstGeom prst="rect">
              <a:avLst/>
            </a:prstGeom>
            <a:ln>
              <a:solidFill>
                <a:schemeClr val="tx1"/>
              </a:solidFill>
            </a:ln>
          </xdr:spPr>
        </xdr:pic>
      </xdr:grpSp>
    </xdr:grpSp>
    <xdr:clientData/>
  </xdr:twoCellAnchor>
  <xdr:twoCellAnchor>
    <xdr:from>
      <xdr:col>0</xdr:col>
      <xdr:colOff>616226</xdr:colOff>
      <xdr:row>253</xdr:row>
      <xdr:rowOff>33131</xdr:rowOff>
    </xdr:from>
    <xdr:to>
      <xdr:col>7</xdr:col>
      <xdr:colOff>326609</xdr:colOff>
      <xdr:row>298</xdr:row>
      <xdr:rowOff>149281</xdr:rowOff>
    </xdr:to>
    <xdr:grpSp>
      <xdr:nvGrpSpPr>
        <xdr:cNvPr id="17" name="Group 16">
          <a:extLst>
            <a:ext uri="{FF2B5EF4-FFF2-40B4-BE49-F238E27FC236}">
              <a16:creationId xmlns:a16="http://schemas.microsoft.com/office/drawing/2014/main" id="{F619410E-8468-A705-9A88-78019793C958}"/>
            </a:ext>
          </a:extLst>
        </xdr:cNvPr>
        <xdr:cNvGrpSpPr/>
      </xdr:nvGrpSpPr>
      <xdr:grpSpPr>
        <a:xfrm>
          <a:off x="616226" y="50113096"/>
          <a:ext cx="5760000" cy="7570498"/>
          <a:chOff x="549000" y="262898"/>
          <a:chExt cx="5760000" cy="7570497"/>
        </a:xfrm>
      </xdr:grpSpPr>
      <xdr:pic>
        <xdr:nvPicPr>
          <xdr:cNvPr id="18" name="Picture 17">
            <a:extLst>
              <a:ext uri="{FF2B5EF4-FFF2-40B4-BE49-F238E27FC236}">
                <a16:creationId xmlns:a16="http://schemas.microsoft.com/office/drawing/2014/main" id="{6D334AED-8A9D-0FC5-E1CC-C9F30A3A0C47}"/>
              </a:ext>
            </a:extLst>
          </xdr:cNvPr>
          <xdr:cNvPicPr>
            <a:picLocks noChangeAspect="1"/>
          </xdr:cNvPicPr>
        </xdr:nvPicPr>
        <xdr:blipFill>
          <a:blip xmlns:r="http://schemas.openxmlformats.org/officeDocument/2006/relationships" r:embed="rId12"/>
          <a:stretch>
            <a:fillRect/>
          </a:stretch>
        </xdr:blipFill>
        <xdr:spPr>
          <a:xfrm>
            <a:off x="549000" y="262898"/>
            <a:ext cx="5760000" cy="4309102"/>
          </a:xfrm>
          <a:prstGeom prst="rect">
            <a:avLst/>
          </a:prstGeom>
          <a:ln>
            <a:solidFill>
              <a:schemeClr val="tx1"/>
            </a:solidFill>
          </a:ln>
        </xdr:spPr>
      </xdr:pic>
      <xdr:pic>
        <xdr:nvPicPr>
          <xdr:cNvPr id="19" name="Picture 18">
            <a:extLst>
              <a:ext uri="{FF2B5EF4-FFF2-40B4-BE49-F238E27FC236}">
                <a16:creationId xmlns:a16="http://schemas.microsoft.com/office/drawing/2014/main" id="{5C958E3B-DB94-A7A0-152D-6DA627998F4C}"/>
              </a:ext>
            </a:extLst>
          </xdr:cNvPr>
          <xdr:cNvPicPr>
            <a:picLocks noChangeAspect="1"/>
          </xdr:cNvPicPr>
        </xdr:nvPicPr>
        <xdr:blipFill>
          <a:blip xmlns:r="http://schemas.openxmlformats.org/officeDocument/2006/relationships" r:embed="rId13"/>
          <a:stretch>
            <a:fillRect/>
          </a:stretch>
        </xdr:blipFill>
        <xdr:spPr>
          <a:xfrm>
            <a:off x="1629000" y="4725355"/>
            <a:ext cx="3600000" cy="3108040"/>
          </a:xfrm>
          <a:prstGeom prst="rect">
            <a:avLst/>
          </a:prstGeom>
          <a:ln>
            <a:solidFill>
              <a:schemeClr val="tx1"/>
            </a:solidFill>
          </a:ln>
        </xdr:spPr>
      </xdr:pic>
    </xdr:grpSp>
    <xdr:clientData/>
  </xdr:twoCellAnchor>
  <xdr:twoCellAnchor>
    <xdr:from>
      <xdr:col>0</xdr:col>
      <xdr:colOff>596348</xdr:colOff>
      <xdr:row>304</xdr:row>
      <xdr:rowOff>19878</xdr:rowOff>
    </xdr:from>
    <xdr:to>
      <xdr:col>6</xdr:col>
      <xdr:colOff>868018</xdr:colOff>
      <xdr:row>345</xdr:row>
      <xdr:rowOff>119269</xdr:rowOff>
    </xdr:to>
    <xdr:grpSp>
      <xdr:nvGrpSpPr>
        <xdr:cNvPr id="20" name="Group 19">
          <a:extLst>
            <a:ext uri="{FF2B5EF4-FFF2-40B4-BE49-F238E27FC236}">
              <a16:creationId xmlns:a16="http://schemas.microsoft.com/office/drawing/2014/main" id="{08983BBA-39E6-92FF-E984-F61D93A278DE}"/>
            </a:ext>
          </a:extLst>
        </xdr:cNvPr>
        <xdr:cNvGrpSpPr/>
      </xdr:nvGrpSpPr>
      <xdr:grpSpPr>
        <a:xfrm>
          <a:off x="596348" y="58548104"/>
          <a:ext cx="5440018" cy="6891130"/>
          <a:chOff x="549000" y="341667"/>
          <a:chExt cx="6157500" cy="8534900"/>
        </a:xfrm>
      </xdr:grpSpPr>
      <xdr:pic>
        <xdr:nvPicPr>
          <xdr:cNvPr id="21" name="Picture 20">
            <a:extLst>
              <a:ext uri="{FF2B5EF4-FFF2-40B4-BE49-F238E27FC236}">
                <a16:creationId xmlns:a16="http://schemas.microsoft.com/office/drawing/2014/main" id="{B1274245-6FC8-8A8F-14BA-EBDF28A32E31}"/>
              </a:ext>
            </a:extLst>
          </xdr:cNvPr>
          <xdr:cNvPicPr>
            <a:picLocks noChangeAspect="1"/>
          </xdr:cNvPicPr>
        </xdr:nvPicPr>
        <xdr:blipFill>
          <a:blip xmlns:r="http://schemas.openxmlformats.org/officeDocument/2006/relationships" r:embed="rId14"/>
          <a:srcRect l="21441" t="25657" r="33153" b="15405"/>
          <a:stretch/>
        </xdr:blipFill>
        <xdr:spPr>
          <a:xfrm>
            <a:off x="946500" y="341667"/>
            <a:ext cx="5760000" cy="4205713"/>
          </a:xfrm>
          <a:prstGeom prst="rect">
            <a:avLst/>
          </a:prstGeom>
          <a:ln>
            <a:solidFill>
              <a:schemeClr val="tx1"/>
            </a:solidFill>
          </a:ln>
        </xdr:spPr>
      </xdr:pic>
      <xdr:grpSp>
        <xdr:nvGrpSpPr>
          <xdr:cNvPr id="22" name="Group 21">
            <a:extLst>
              <a:ext uri="{FF2B5EF4-FFF2-40B4-BE49-F238E27FC236}">
                <a16:creationId xmlns:a16="http://schemas.microsoft.com/office/drawing/2014/main" id="{53DFA263-5336-B383-084E-0D94F51BFEE5}"/>
              </a:ext>
            </a:extLst>
          </xdr:cNvPr>
          <xdr:cNvGrpSpPr/>
        </xdr:nvGrpSpPr>
        <xdr:grpSpPr>
          <a:xfrm>
            <a:off x="549000" y="4670854"/>
            <a:ext cx="5760000" cy="4205713"/>
            <a:chOff x="549000" y="4670854"/>
            <a:chExt cx="5760000" cy="4205713"/>
          </a:xfrm>
        </xdr:grpSpPr>
        <xdr:pic>
          <xdr:nvPicPr>
            <xdr:cNvPr id="23" name="Picture 22">
              <a:extLst>
                <a:ext uri="{FF2B5EF4-FFF2-40B4-BE49-F238E27FC236}">
                  <a16:creationId xmlns:a16="http://schemas.microsoft.com/office/drawing/2014/main" id="{3AFC0127-75DC-936C-1231-45E93DB7F53E}"/>
                </a:ext>
              </a:extLst>
            </xdr:cNvPr>
            <xdr:cNvPicPr>
              <a:picLocks noChangeAspect="1"/>
            </xdr:cNvPicPr>
          </xdr:nvPicPr>
          <xdr:blipFill>
            <a:blip xmlns:r="http://schemas.openxmlformats.org/officeDocument/2006/relationships" r:embed="rId15"/>
            <a:srcRect l="24324" t="23413" r="30271" b="17648"/>
            <a:stretch/>
          </xdr:blipFill>
          <xdr:spPr>
            <a:xfrm>
              <a:off x="549000" y="4670854"/>
              <a:ext cx="5760000" cy="4205713"/>
            </a:xfrm>
            <a:prstGeom prst="rect">
              <a:avLst/>
            </a:prstGeom>
            <a:ln>
              <a:solidFill>
                <a:schemeClr val="tx1"/>
              </a:solidFill>
            </a:ln>
          </xdr:spPr>
        </xdr:pic>
        <xdr:sp macro="" textlink="">
          <xdr:nvSpPr>
            <xdr:cNvPr id="24" name="Rectangle 23">
              <a:extLst>
                <a:ext uri="{FF2B5EF4-FFF2-40B4-BE49-F238E27FC236}">
                  <a16:creationId xmlns:a16="http://schemas.microsoft.com/office/drawing/2014/main" id="{0CE333F8-D4F7-CB10-4A5F-2290C07E5803}"/>
                </a:ext>
              </a:extLst>
            </xdr:cNvPr>
            <xdr:cNvSpPr/>
          </xdr:nvSpPr>
          <xdr:spPr>
            <a:xfrm>
              <a:off x="2891481" y="6042454"/>
              <a:ext cx="1519881" cy="926757"/>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PduhNwhfDkwra2R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49"/>
  <sheetViews>
    <sheetView tabSelected="1" view="pageBreakPreview" topLeftCell="A121" zoomScale="115" zoomScaleNormal="115" zoomScaleSheetLayoutView="115" workbookViewId="0">
      <selection activeCell="L125" sqref="L125"/>
    </sheetView>
  </sheetViews>
  <sheetFormatPr defaultColWidth="9.109375" defaultRowHeight="13.2" x14ac:dyDescent="0.25"/>
  <cols>
    <col min="1" max="2" width="12" style="28" customWidth="1"/>
    <col min="3" max="8" width="12.88671875" style="28" customWidth="1"/>
    <col min="9" max="9" width="13.88671875" style="28" customWidth="1"/>
    <col min="10" max="16384" width="9.109375" style="28"/>
  </cols>
  <sheetData>
    <row r="1" spans="1:20" ht="41.25" customHeight="1" x14ac:dyDescent="0.25">
      <c r="A1" s="207" t="s">
        <v>142</v>
      </c>
      <c r="B1" s="207"/>
      <c r="C1" s="208"/>
      <c r="D1" s="208"/>
      <c r="E1" s="208"/>
      <c r="F1" s="208"/>
      <c r="G1" s="208"/>
      <c r="H1" s="208"/>
    </row>
    <row r="2" spans="1:20" ht="13.8" x14ac:dyDescent="0.25">
      <c r="A2" s="214" t="s">
        <v>85</v>
      </c>
      <c r="B2" s="214"/>
      <c r="C2" s="214"/>
      <c r="D2" s="214"/>
      <c r="E2" s="214"/>
      <c r="F2" s="214"/>
      <c r="G2" s="214"/>
      <c r="H2" s="214"/>
    </row>
    <row r="3" spans="1:20" ht="26.4" x14ac:dyDescent="0.25">
      <c r="A3" s="29" t="s">
        <v>102</v>
      </c>
      <c r="B3" s="29"/>
      <c r="C3" s="126" t="s">
        <v>108</v>
      </c>
      <c r="D3" s="127"/>
      <c r="E3" s="128"/>
      <c r="F3" s="30" t="s">
        <v>103</v>
      </c>
      <c r="G3" s="132">
        <v>45925</v>
      </c>
      <c r="H3" s="132"/>
    </row>
    <row r="4" spans="1:20" ht="26.4" x14ac:dyDescent="0.25">
      <c r="A4" s="29" t="s">
        <v>106</v>
      </c>
      <c r="B4" s="29"/>
      <c r="C4" s="129" t="s">
        <v>232</v>
      </c>
      <c r="D4" s="130"/>
      <c r="E4" s="131"/>
      <c r="F4" s="30" t="s">
        <v>104</v>
      </c>
      <c r="G4" s="133" t="s">
        <v>283</v>
      </c>
      <c r="H4" s="133"/>
    </row>
    <row r="5" spans="1:20" ht="39.6" x14ac:dyDescent="0.25">
      <c r="A5" s="218" t="s">
        <v>107</v>
      </c>
      <c r="B5" s="219"/>
      <c r="C5" s="126" t="s">
        <v>282</v>
      </c>
      <c r="D5" s="127"/>
      <c r="E5" s="128"/>
      <c r="F5" s="30" t="s">
        <v>105</v>
      </c>
      <c r="G5" s="132" t="str">
        <f ca="1">TEXT(TODAY(),"DD/MM/YYYY")</f>
        <v>29/09/2025</v>
      </c>
      <c r="H5" s="132"/>
    </row>
    <row r="6" spans="1:20" ht="13.8" x14ac:dyDescent="0.25">
      <c r="A6" s="214" t="s">
        <v>101</v>
      </c>
      <c r="B6" s="214"/>
      <c r="C6" s="214"/>
      <c r="D6" s="214"/>
      <c r="E6" s="214"/>
      <c r="F6" s="214"/>
      <c r="G6" s="214"/>
      <c r="H6" s="214"/>
    </row>
    <row r="7" spans="1:20" ht="13.8" x14ac:dyDescent="0.25">
      <c r="A7" s="136" t="s">
        <v>0</v>
      </c>
      <c r="B7" s="137"/>
      <c r="C7" s="216" t="s">
        <v>233</v>
      </c>
      <c r="D7" s="216"/>
      <c r="E7" s="216"/>
      <c r="F7" s="216"/>
      <c r="G7" s="216"/>
      <c r="H7" s="216"/>
    </row>
    <row r="8" spans="1:20" ht="25.5" customHeight="1" x14ac:dyDescent="0.25">
      <c r="A8" s="136" t="s">
        <v>1</v>
      </c>
      <c r="B8" s="137"/>
      <c r="C8" s="209" t="str">
        <f>CONCATENATE((IF(OR(C7="",C7="NA"),"",C7)),", ",(IF(OR(A9="",A9="NA"),"",A9)),".",(IF(OR(C9="",C9="NA"),"",C9)),", near ",(IF(OR(C17="",C17="NA"),"",C17)),", ",(IF(OR(C11="",C11="NA"),"",C11)),", ",(IF(OR(C10="",C10="NA"),"",C10)),", ",(IF(OR(C12="",C12="NA"),"",C12)),", ",(IF(OR(C13="",C13="NA"),"",C13)),", ",(IF(OR(C14="",C14="NA"),"",C14))," - ",(IF(OR(C15="",C15="NA"),"",C15)),".")</f>
        <v>L M Tower, CTS No.110/8/B/2 &amp; 110/12/1, near Landmark residency, Bhiwandi Murbad Road, Temghar, Bhiwandi, Bhiwandi, Thane - 421302.</v>
      </c>
      <c r="D8" s="209"/>
      <c r="E8" s="209"/>
      <c r="F8" s="209"/>
      <c r="G8" s="209"/>
      <c r="H8" s="209"/>
      <c r="P8" s="31" t="s">
        <v>147</v>
      </c>
      <c r="Q8" s="31" t="s">
        <v>148</v>
      </c>
      <c r="R8" s="31" t="s">
        <v>149</v>
      </c>
      <c r="S8" s="31" t="s">
        <v>150</v>
      </c>
      <c r="T8" s="31" t="s">
        <v>151</v>
      </c>
    </row>
    <row r="9" spans="1:20" ht="14.4" x14ac:dyDescent="0.25">
      <c r="A9" s="136" t="s">
        <v>146</v>
      </c>
      <c r="B9" s="137"/>
      <c r="C9" s="209" t="s">
        <v>291</v>
      </c>
      <c r="D9" s="209"/>
      <c r="E9" s="209"/>
      <c r="F9" s="209"/>
      <c r="G9" s="209"/>
      <c r="H9" s="209"/>
      <c r="P9" s="31" t="s">
        <v>152</v>
      </c>
      <c r="Q9" s="31" t="s">
        <v>153</v>
      </c>
      <c r="R9" s="31" t="s">
        <v>154</v>
      </c>
      <c r="S9" s="31" t="s">
        <v>155</v>
      </c>
      <c r="T9" s="31" t="s">
        <v>156</v>
      </c>
    </row>
    <row r="10" spans="1:20" ht="14.4" x14ac:dyDescent="0.25">
      <c r="A10" s="136" t="s">
        <v>6</v>
      </c>
      <c r="B10" s="137"/>
      <c r="C10" s="210" t="s">
        <v>234</v>
      </c>
      <c r="D10" s="210"/>
      <c r="E10" s="210"/>
      <c r="F10" s="210"/>
      <c r="G10" s="210"/>
      <c r="H10" s="210"/>
      <c r="P10" s="31" t="s">
        <v>157</v>
      </c>
      <c r="Q10" s="31" t="s">
        <v>158</v>
      </c>
      <c r="R10" s="31" t="s">
        <v>159</v>
      </c>
      <c r="S10" s="31" t="s">
        <v>160</v>
      </c>
      <c r="T10" s="31" t="s">
        <v>161</v>
      </c>
    </row>
    <row r="11" spans="1:20" ht="14.4" x14ac:dyDescent="0.25">
      <c r="A11" s="136" t="s">
        <v>144</v>
      </c>
      <c r="B11" s="137"/>
      <c r="C11" s="210" t="s">
        <v>237</v>
      </c>
      <c r="D11" s="210"/>
      <c r="E11" s="210"/>
      <c r="F11" s="210"/>
      <c r="G11" s="210"/>
      <c r="H11" s="210"/>
      <c r="P11" s="31" t="s">
        <v>162</v>
      </c>
      <c r="Q11" s="31" t="s">
        <v>163</v>
      </c>
      <c r="R11" s="31" t="s">
        <v>164</v>
      </c>
      <c r="S11" s="31" t="s">
        <v>165</v>
      </c>
      <c r="T11" s="31" t="s">
        <v>166</v>
      </c>
    </row>
    <row r="12" spans="1:20" ht="14.4" x14ac:dyDescent="0.25">
      <c r="A12" s="136" t="s">
        <v>145</v>
      </c>
      <c r="B12" s="137"/>
      <c r="C12" s="210" t="s">
        <v>167</v>
      </c>
      <c r="D12" s="210"/>
      <c r="E12" s="210"/>
      <c r="F12" s="210"/>
      <c r="G12" s="210"/>
      <c r="H12" s="210"/>
      <c r="P12" s="31" t="s">
        <v>167</v>
      </c>
      <c r="Q12" s="31" t="s">
        <v>168</v>
      </c>
      <c r="R12" s="31" t="s">
        <v>149</v>
      </c>
      <c r="S12" s="31" t="s">
        <v>169</v>
      </c>
      <c r="T12" s="31" t="s">
        <v>170</v>
      </c>
    </row>
    <row r="13" spans="1:20" ht="14.4" x14ac:dyDescent="0.25">
      <c r="A13" s="136" t="s">
        <v>131</v>
      </c>
      <c r="B13" s="137"/>
      <c r="C13" s="210" t="s">
        <v>167</v>
      </c>
      <c r="D13" s="210"/>
      <c r="E13" s="210"/>
      <c r="F13" s="210"/>
      <c r="G13" s="210"/>
      <c r="H13" s="210"/>
      <c r="P13" s="31" t="s">
        <v>171</v>
      </c>
      <c r="Q13" s="31" t="s">
        <v>148</v>
      </c>
      <c r="R13" s="31"/>
      <c r="S13" s="31" t="s">
        <v>172</v>
      </c>
      <c r="T13" s="31" t="s">
        <v>173</v>
      </c>
    </row>
    <row r="14" spans="1:20" ht="14.4" x14ac:dyDescent="0.25">
      <c r="A14" s="136" t="s">
        <v>132</v>
      </c>
      <c r="B14" s="137"/>
      <c r="C14" s="210" t="s">
        <v>152</v>
      </c>
      <c r="D14" s="210"/>
      <c r="E14" s="210"/>
      <c r="F14" s="210"/>
      <c r="G14" s="210"/>
      <c r="H14" s="210"/>
      <c r="P14" s="31" t="s">
        <v>174</v>
      </c>
      <c r="Q14" s="31" t="s">
        <v>175</v>
      </c>
      <c r="R14" s="31"/>
      <c r="S14" s="31" t="s">
        <v>176</v>
      </c>
      <c r="T14" s="31" t="s">
        <v>177</v>
      </c>
    </row>
    <row r="15" spans="1:20" ht="14.4" x14ac:dyDescent="0.25">
      <c r="A15" s="136" t="s">
        <v>133</v>
      </c>
      <c r="B15" s="137"/>
      <c r="C15" s="211">
        <v>421302</v>
      </c>
      <c r="D15" s="211"/>
      <c r="E15" s="211"/>
      <c r="F15" s="211"/>
      <c r="G15" s="211"/>
      <c r="H15" s="211"/>
      <c r="P15" s="31" t="s">
        <v>178</v>
      </c>
      <c r="Q15" s="31" t="s">
        <v>179</v>
      </c>
      <c r="R15" s="31"/>
      <c r="S15" s="31" t="s">
        <v>180</v>
      </c>
      <c r="T15" s="31" t="s">
        <v>181</v>
      </c>
    </row>
    <row r="16" spans="1:20" ht="14.4" x14ac:dyDescent="0.25">
      <c r="A16" s="136" t="s">
        <v>48</v>
      </c>
      <c r="B16" s="137"/>
      <c r="C16" s="209" t="s">
        <v>238</v>
      </c>
      <c r="D16" s="209"/>
      <c r="E16" s="209"/>
      <c r="F16" s="209"/>
      <c r="G16" s="209"/>
      <c r="H16" s="209"/>
      <c r="P16" s="31"/>
      <c r="Q16" s="31"/>
      <c r="R16" s="31"/>
      <c r="S16" s="31" t="s">
        <v>182</v>
      </c>
      <c r="T16" s="31" t="s">
        <v>183</v>
      </c>
    </row>
    <row r="17" spans="1:20" ht="14.4" x14ac:dyDescent="0.25">
      <c r="A17" s="136" t="s">
        <v>90</v>
      </c>
      <c r="B17" s="137"/>
      <c r="C17" s="213" t="s">
        <v>239</v>
      </c>
      <c r="D17" s="213"/>
      <c r="E17" s="213"/>
      <c r="F17" s="213"/>
      <c r="G17" s="213"/>
      <c r="H17" s="213"/>
      <c r="P17" s="31"/>
      <c r="Q17" s="31"/>
      <c r="R17" s="31"/>
      <c r="S17" s="31" t="s">
        <v>184</v>
      </c>
      <c r="T17" s="31" t="s">
        <v>185</v>
      </c>
    </row>
    <row r="18" spans="1:20" ht="14.4" x14ac:dyDescent="0.25">
      <c r="A18" s="136" t="s">
        <v>89</v>
      </c>
      <c r="B18" s="137"/>
      <c r="C18" s="173" t="s">
        <v>143</v>
      </c>
      <c r="D18" s="174"/>
      <c r="E18" s="175"/>
      <c r="F18" s="173" t="s">
        <v>235</v>
      </c>
      <c r="G18" s="174"/>
      <c r="H18" s="175"/>
      <c r="P18" s="31"/>
      <c r="Q18" s="31"/>
      <c r="R18" s="31"/>
      <c r="S18" s="31" t="s">
        <v>186</v>
      </c>
      <c r="T18" s="31" t="s">
        <v>187</v>
      </c>
    </row>
    <row r="19" spans="1:20" ht="14.4" x14ac:dyDescent="0.25">
      <c r="A19" s="136" t="s">
        <v>134</v>
      </c>
      <c r="B19" s="137"/>
      <c r="C19" s="217" t="s">
        <v>236</v>
      </c>
      <c r="D19" s="174"/>
      <c r="E19" s="174"/>
      <c r="F19" s="174"/>
      <c r="G19" s="174"/>
      <c r="H19" s="175"/>
      <c r="P19" s="31"/>
      <c r="Q19" s="31"/>
      <c r="R19" s="31"/>
      <c r="S19" s="31" t="s">
        <v>188</v>
      </c>
      <c r="T19" s="31" t="s">
        <v>189</v>
      </c>
    </row>
    <row r="20" spans="1:20" ht="14.4" x14ac:dyDescent="0.25">
      <c r="A20" s="136" t="s">
        <v>2</v>
      </c>
      <c r="B20" s="137"/>
      <c r="C20" s="209" t="s">
        <v>240</v>
      </c>
      <c r="D20" s="209"/>
      <c r="E20" s="209"/>
      <c r="F20" s="209"/>
      <c r="G20" s="209"/>
      <c r="H20" s="209"/>
      <c r="P20" s="31"/>
      <c r="Q20" s="31"/>
      <c r="R20" s="31"/>
      <c r="S20" s="31" t="s">
        <v>190</v>
      </c>
      <c r="T20" s="31" t="s">
        <v>191</v>
      </c>
    </row>
    <row r="21" spans="1:20" ht="27" customHeight="1" x14ac:dyDescent="0.25">
      <c r="A21" s="136" t="s">
        <v>3</v>
      </c>
      <c r="B21" s="137"/>
      <c r="C21" s="215" t="s">
        <v>241</v>
      </c>
      <c r="D21" s="215"/>
      <c r="E21" s="215"/>
      <c r="F21" s="215"/>
      <c r="G21" s="215"/>
      <c r="H21" s="215"/>
      <c r="P21" s="31"/>
      <c r="Q21" s="31"/>
      <c r="R21" s="31"/>
      <c r="S21" s="31" t="s">
        <v>192</v>
      </c>
      <c r="T21" s="31" t="s">
        <v>193</v>
      </c>
    </row>
    <row r="22" spans="1:20" ht="15" customHeight="1" x14ac:dyDescent="0.25">
      <c r="A22" s="136" t="s">
        <v>109</v>
      </c>
      <c r="B22" s="137"/>
      <c r="C22" s="211" t="s">
        <v>52</v>
      </c>
      <c r="D22" s="211"/>
      <c r="E22" s="211"/>
      <c r="F22" s="211"/>
      <c r="G22" s="211"/>
      <c r="H22" s="211"/>
      <c r="P22" s="31"/>
      <c r="Q22" s="31"/>
      <c r="R22" s="31"/>
      <c r="S22" s="31" t="s">
        <v>194</v>
      </c>
      <c r="T22" s="31" t="s">
        <v>195</v>
      </c>
    </row>
    <row r="23" spans="1:20" ht="28.2" customHeight="1" x14ac:dyDescent="0.25">
      <c r="A23" s="136" t="s">
        <v>4</v>
      </c>
      <c r="B23" s="137"/>
      <c r="C23" s="209" t="s">
        <v>242</v>
      </c>
      <c r="D23" s="210"/>
      <c r="E23" s="210"/>
      <c r="F23" s="210"/>
      <c r="G23" s="210"/>
      <c r="H23" s="210"/>
    </row>
    <row r="24" spans="1:20" x14ac:dyDescent="0.25">
      <c r="A24" s="136" t="s">
        <v>5</v>
      </c>
      <c r="B24" s="137"/>
      <c r="C24" s="211">
        <v>7020283967</v>
      </c>
      <c r="D24" s="211"/>
      <c r="E24" s="211"/>
      <c r="F24" s="211"/>
      <c r="G24" s="211"/>
      <c r="H24" s="211"/>
    </row>
    <row r="25" spans="1:20" ht="27.75" customHeight="1" x14ac:dyDescent="0.25">
      <c r="A25" s="136" t="s">
        <v>87</v>
      </c>
      <c r="B25" s="137"/>
      <c r="C25" s="210" t="s">
        <v>243</v>
      </c>
      <c r="D25" s="210"/>
      <c r="E25" s="210"/>
      <c r="F25" s="210"/>
      <c r="G25" s="210"/>
      <c r="H25" s="210"/>
    </row>
    <row r="26" spans="1:20" ht="29.4" customHeight="1" x14ac:dyDescent="0.25">
      <c r="A26" s="84" t="s">
        <v>88</v>
      </c>
      <c r="B26" s="86"/>
      <c r="C26" s="212" t="s">
        <v>244</v>
      </c>
      <c r="D26" s="212"/>
      <c r="E26" s="212"/>
      <c r="F26" s="212"/>
      <c r="G26" s="212"/>
      <c r="H26" s="212"/>
    </row>
    <row r="27" spans="1:20" ht="39.6" x14ac:dyDescent="0.25">
      <c r="A27" s="136" t="s">
        <v>92</v>
      </c>
      <c r="B27" s="137"/>
      <c r="C27" s="220" t="s">
        <v>278</v>
      </c>
      <c r="D27" s="220"/>
      <c r="E27" s="220"/>
      <c r="F27" s="32" t="s">
        <v>7</v>
      </c>
      <c r="G27" s="212" t="s">
        <v>91</v>
      </c>
      <c r="H27" s="212"/>
    </row>
    <row r="28" spans="1:20" ht="39.6" x14ac:dyDescent="0.25">
      <c r="A28" s="136" t="s">
        <v>8</v>
      </c>
      <c r="B28" s="137"/>
      <c r="C28" s="220" t="s">
        <v>281</v>
      </c>
      <c r="D28" s="211"/>
      <c r="E28" s="211"/>
      <c r="F28" s="32" t="s">
        <v>124</v>
      </c>
      <c r="G28" s="212">
        <v>17</v>
      </c>
      <c r="H28" s="212"/>
      <c r="I28" s="28">
        <f>112/100*15</f>
        <v>16.8</v>
      </c>
    </row>
    <row r="29" spans="1:20" ht="28.5" customHeight="1" x14ac:dyDescent="0.25">
      <c r="A29" s="136" t="s">
        <v>204</v>
      </c>
      <c r="B29" s="137"/>
      <c r="C29" s="186" t="s">
        <v>292</v>
      </c>
      <c r="D29" s="187"/>
      <c r="E29" s="188"/>
      <c r="F29" s="188"/>
      <c r="G29" s="188"/>
      <c r="H29" s="189"/>
    </row>
    <row r="30" spans="1:20" ht="27" customHeight="1" x14ac:dyDescent="0.25">
      <c r="A30" s="136" t="s">
        <v>205</v>
      </c>
      <c r="B30" s="137"/>
      <c r="C30" s="186" t="s">
        <v>292</v>
      </c>
      <c r="D30" s="187"/>
      <c r="E30" s="188"/>
      <c r="F30" s="188"/>
      <c r="G30" s="188"/>
      <c r="H30" s="189"/>
    </row>
    <row r="31" spans="1:20" ht="12.75" customHeight="1" x14ac:dyDescent="0.25">
      <c r="A31" s="138" t="s">
        <v>9</v>
      </c>
      <c r="B31" s="139"/>
      <c r="C31" s="134" t="s">
        <v>93</v>
      </c>
      <c r="D31" s="135"/>
      <c r="E31" s="33" t="s">
        <v>12</v>
      </c>
      <c r="F31" s="33" t="s">
        <v>13</v>
      </c>
      <c r="G31" s="33" t="s">
        <v>14</v>
      </c>
      <c r="H31" s="33" t="s">
        <v>15</v>
      </c>
    </row>
    <row r="32" spans="1:20" ht="12.75" customHeight="1" x14ac:dyDescent="0.25">
      <c r="A32" s="140"/>
      <c r="B32" s="141"/>
      <c r="C32" s="134" t="s">
        <v>10</v>
      </c>
      <c r="D32" s="135"/>
      <c r="E32" s="34" t="s">
        <v>223</v>
      </c>
      <c r="F32" s="34" t="s">
        <v>223</v>
      </c>
      <c r="G32" s="34" t="s">
        <v>223</v>
      </c>
      <c r="H32" s="34" t="s">
        <v>223</v>
      </c>
    </row>
    <row r="33" spans="1:9" ht="26.4" x14ac:dyDescent="0.25">
      <c r="A33" s="140"/>
      <c r="B33" s="141"/>
      <c r="C33" s="134" t="s">
        <v>86</v>
      </c>
      <c r="D33" s="135"/>
      <c r="E33" s="34" t="s">
        <v>245</v>
      </c>
      <c r="F33" s="35" t="s">
        <v>246</v>
      </c>
      <c r="G33" s="35" t="s">
        <v>246</v>
      </c>
      <c r="H33" s="35" t="s">
        <v>246</v>
      </c>
    </row>
    <row r="34" spans="1:9" ht="26.4" x14ac:dyDescent="0.25">
      <c r="A34" s="142"/>
      <c r="B34" s="143"/>
      <c r="C34" s="134" t="s">
        <v>11</v>
      </c>
      <c r="D34" s="135"/>
      <c r="E34" s="34" t="s">
        <v>247</v>
      </c>
      <c r="F34" s="34" t="s">
        <v>239</v>
      </c>
      <c r="G34" s="34" t="s">
        <v>248</v>
      </c>
      <c r="H34" s="34" t="s">
        <v>249</v>
      </c>
    </row>
    <row r="35" spans="1:9" ht="29.25" customHeight="1" x14ac:dyDescent="0.25">
      <c r="A35" s="136" t="s">
        <v>16</v>
      </c>
      <c r="B35" s="137"/>
      <c r="C35" s="221" t="s">
        <v>250</v>
      </c>
      <c r="D35" s="221"/>
      <c r="E35" s="221"/>
      <c r="F35" s="221"/>
      <c r="G35" s="221"/>
      <c r="H35" s="221"/>
    </row>
    <row r="36" spans="1:9" ht="38.25" customHeight="1" x14ac:dyDescent="0.25">
      <c r="A36" s="136" t="s">
        <v>128</v>
      </c>
      <c r="B36" s="137"/>
      <c r="C36" s="82">
        <v>2761.69</v>
      </c>
      <c r="D36" s="83"/>
      <c r="E36" s="223" t="s">
        <v>129</v>
      </c>
      <c r="F36" s="223"/>
      <c r="G36" s="222">
        <v>2657.01</v>
      </c>
      <c r="H36" s="222"/>
    </row>
    <row r="37" spans="1:9" x14ac:dyDescent="0.25">
      <c r="A37" s="136" t="s">
        <v>17</v>
      </c>
      <c r="B37" s="137"/>
      <c r="C37" s="76" t="s">
        <v>251</v>
      </c>
      <c r="D37" s="76"/>
      <c r="E37" s="76"/>
      <c r="F37" s="76"/>
      <c r="G37" s="76"/>
      <c r="H37" s="76"/>
    </row>
    <row r="38" spans="1:9" ht="133.5" customHeight="1" x14ac:dyDescent="0.25">
      <c r="A38" s="136" t="s">
        <v>123</v>
      </c>
      <c r="B38" s="137"/>
      <c r="C38" s="213" t="s">
        <v>287</v>
      </c>
      <c r="D38" s="213"/>
      <c r="E38" s="212"/>
      <c r="F38" s="212"/>
      <c r="G38" s="212"/>
      <c r="H38" s="212"/>
      <c r="I38" s="37"/>
    </row>
    <row r="39" spans="1:9" x14ac:dyDescent="0.25">
      <c r="A39" s="224" t="s">
        <v>94</v>
      </c>
      <c r="B39" s="224"/>
      <c r="C39" s="224"/>
      <c r="D39" s="224"/>
      <c r="E39" s="224"/>
      <c r="F39" s="224"/>
      <c r="G39" s="224"/>
      <c r="H39" s="224"/>
    </row>
    <row r="40" spans="1:9" ht="12.75" customHeight="1" x14ac:dyDescent="0.25">
      <c r="A40" s="191" t="s">
        <v>19</v>
      </c>
      <c r="B40" s="192"/>
      <c r="C40" s="171" t="s">
        <v>95</v>
      </c>
      <c r="D40" s="171"/>
      <c r="E40" s="171"/>
      <c r="F40" s="171"/>
      <c r="G40" s="222">
        <v>2657.01</v>
      </c>
      <c r="H40" s="222"/>
    </row>
    <row r="41" spans="1:9" x14ac:dyDescent="0.25">
      <c r="A41" s="193"/>
      <c r="B41" s="194"/>
      <c r="C41" s="171" t="s">
        <v>96</v>
      </c>
      <c r="D41" s="171"/>
      <c r="E41" s="171"/>
      <c r="F41" s="171"/>
      <c r="G41" s="222">
        <f>2922.711/G40</f>
        <v>1.0999999999999999</v>
      </c>
      <c r="H41" s="222"/>
    </row>
    <row r="42" spans="1:9" x14ac:dyDescent="0.25">
      <c r="A42" s="193"/>
      <c r="B42" s="194"/>
      <c r="C42" s="171" t="s">
        <v>97</v>
      </c>
      <c r="D42" s="171"/>
      <c r="E42" s="171"/>
      <c r="F42" s="171"/>
      <c r="G42" s="170">
        <f>G45/G40-G41</f>
        <v>2.1356012961938413</v>
      </c>
      <c r="H42" s="170"/>
    </row>
    <row r="43" spans="1:9" x14ac:dyDescent="0.25">
      <c r="A43" s="193"/>
      <c r="B43" s="194"/>
      <c r="C43" s="171" t="s">
        <v>98</v>
      </c>
      <c r="D43" s="171"/>
      <c r="E43" s="171"/>
      <c r="F43" s="171"/>
      <c r="G43" s="170">
        <f>G41+G42</f>
        <v>3.235601296193841</v>
      </c>
      <c r="H43" s="170"/>
    </row>
    <row r="44" spans="1:9" x14ac:dyDescent="0.25">
      <c r="A44" s="193"/>
      <c r="B44" s="194"/>
      <c r="C44" s="76" t="s">
        <v>127</v>
      </c>
      <c r="D44" s="76"/>
      <c r="E44" s="76"/>
      <c r="F44" s="76"/>
      <c r="G44" s="172">
        <f>G40*G43</f>
        <v>8597.0249999999978</v>
      </c>
      <c r="H44" s="172"/>
    </row>
    <row r="45" spans="1:9" x14ac:dyDescent="0.25">
      <c r="A45" s="179"/>
      <c r="B45" s="180"/>
      <c r="C45" s="171" t="s">
        <v>99</v>
      </c>
      <c r="D45" s="171"/>
      <c r="E45" s="171"/>
      <c r="F45" s="171"/>
      <c r="G45" s="172">
        <v>8597.0249999999996</v>
      </c>
      <c r="H45" s="172"/>
    </row>
    <row r="46" spans="1:9" ht="32.25" customHeight="1" x14ac:dyDescent="0.25">
      <c r="A46" s="136" t="s">
        <v>100</v>
      </c>
      <c r="B46" s="137"/>
      <c r="C46" s="147" t="s">
        <v>252</v>
      </c>
      <c r="D46" s="148"/>
      <c r="E46" s="148"/>
      <c r="F46" s="149"/>
      <c r="G46" s="38" t="s">
        <v>221</v>
      </c>
      <c r="H46" s="39">
        <v>45674</v>
      </c>
    </row>
    <row r="47" spans="1:9" ht="32.25" customHeight="1" x14ac:dyDescent="0.25">
      <c r="A47" s="136" t="s">
        <v>20</v>
      </c>
      <c r="B47" s="137"/>
      <c r="C47" s="221" t="s">
        <v>253</v>
      </c>
      <c r="D47" s="221"/>
      <c r="E47" s="171"/>
      <c r="F47" s="171"/>
      <c r="G47" s="171"/>
      <c r="H47" s="171"/>
    </row>
    <row r="48" spans="1:9" ht="43.5" customHeight="1" x14ac:dyDescent="0.25">
      <c r="A48" s="84" t="s">
        <v>255</v>
      </c>
      <c r="B48" s="86"/>
      <c r="C48" s="147" t="s">
        <v>254</v>
      </c>
      <c r="D48" s="148"/>
      <c r="E48" s="148"/>
      <c r="F48" s="149"/>
      <c r="G48" s="38" t="s">
        <v>221</v>
      </c>
      <c r="H48" s="39">
        <v>45674</v>
      </c>
    </row>
    <row r="49" spans="1:12" ht="43.5" customHeight="1" x14ac:dyDescent="0.25">
      <c r="A49" s="84" t="s">
        <v>293</v>
      </c>
      <c r="B49" s="86"/>
      <c r="C49" s="147" t="s">
        <v>294</v>
      </c>
      <c r="D49" s="148"/>
      <c r="E49" s="148"/>
      <c r="F49" s="149"/>
      <c r="G49" s="38" t="s">
        <v>221</v>
      </c>
      <c r="H49" s="39">
        <v>45455</v>
      </c>
    </row>
    <row r="50" spans="1:12" x14ac:dyDescent="0.25">
      <c r="A50" s="195" t="s">
        <v>21</v>
      </c>
      <c r="B50" s="196"/>
      <c r="C50" s="156" t="s">
        <v>110</v>
      </c>
      <c r="D50" s="110"/>
      <c r="E50" s="76" t="s">
        <v>256</v>
      </c>
      <c r="F50" s="76"/>
      <c r="G50" s="76"/>
      <c r="H50" s="76"/>
    </row>
    <row r="51" spans="1:12" x14ac:dyDescent="0.25">
      <c r="A51" s="197"/>
      <c r="B51" s="198"/>
      <c r="C51" s="156" t="s">
        <v>111</v>
      </c>
      <c r="D51" s="110"/>
      <c r="E51" s="183" t="s">
        <v>256</v>
      </c>
      <c r="F51" s="146"/>
      <c r="G51" s="38" t="s">
        <v>221</v>
      </c>
      <c r="H51" s="36" t="s">
        <v>256</v>
      </c>
      <c r="J51" s="28" t="s">
        <v>230</v>
      </c>
    </row>
    <row r="52" spans="1:12" ht="13.2" customHeight="1" x14ac:dyDescent="0.25">
      <c r="A52" s="199"/>
      <c r="B52" s="200"/>
      <c r="C52" s="156" t="s">
        <v>231</v>
      </c>
      <c r="D52" s="74"/>
      <c r="E52" s="76" t="s">
        <v>256</v>
      </c>
      <c r="F52" s="76"/>
      <c r="G52" s="76"/>
      <c r="H52" s="76"/>
      <c r="I52" s="75" t="s">
        <v>229</v>
      </c>
      <c r="J52" s="76"/>
      <c r="K52" s="76"/>
      <c r="L52" s="76"/>
    </row>
    <row r="53" spans="1:12" x14ac:dyDescent="0.25">
      <c r="A53" s="77" t="s">
        <v>222</v>
      </c>
      <c r="B53" s="79"/>
      <c r="C53" s="156" t="s">
        <v>256</v>
      </c>
      <c r="D53" s="157"/>
      <c r="E53" s="157"/>
      <c r="F53" s="157"/>
      <c r="G53" s="157"/>
      <c r="H53" s="110"/>
    </row>
    <row r="54" spans="1:12" ht="36" hidden="1" customHeight="1" x14ac:dyDescent="0.25">
      <c r="A54" s="168" t="s">
        <v>224</v>
      </c>
      <c r="B54" s="169"/>
      <c r="C54" s="147"/>
      <c r="D54" s="148"/>
      <c r="E54" s="148"/>
      <c r="F54" s="149"/>
      <c r="G54" s="38" t="s">
        <v>221</v>
      </c>
      <c r="H54" s="39"/>
    </row>
    <row r="55" spans="1:12" hidden="1" x14ac:dyDescent="0.25">
      <c r="A55" s="158" t="s">
        <v>225</v>
      </c>
      <c r="B55" s="159"/>
      <c r="C55" s="147"/>
      <c r="D55" s="148"/>
      <c r="E55" s="148"/>
      <c r="F55" s="149"/>
      <c r="G55" s="38" t="s">
        <v>221</v>
      </c>
      <c r="H55" s="39"/>
    </row>
    <row r="56" spans="1:12" ht="34.5" hidden="1" customHeight="1" x14ac:dyDescent="0.25">
      <c r="A56" s="160"/>
      <c r="B56" s="161"/>
      <c r="C56" s="147"/>
      <c r="D56" s="148"/>
      <c r="E56" s="148"/>
      <c r="F56" s="149"/>
      <c r="G56" s="38"/>
      <c r="H56" s="39"/>
    </row>
    <row r="57" spans="1:12" hidden="1" x14ac:dyDescent="0.25">
      <c r="A57" s="158" t="s">
        <v>226</v>
      </c>
      <c r="B57" s="159"/>
      <c r="C57" s="119"/>
      <c r="D57" s="164"/>
      <c r="E57" s="164"/>
      <c r="F57" s="120"/>
      <c r="G57" s="38" t="s">
        <v>221</v>
      </c>
      <c r="H57" s="39"/>
    </row>
    <row r="58" spans="1:12" ht="25.5" hidden="1" customHeight="1" x14ac:dyDescent="0.25">
      <c r="A58" s="162"/>
      <c r="B58" s="163"/>
      <c r="C58" s="165"/>
      <c r="D58" s="166"/>
      <c r="E58" s="166"/>
      <c r="F58" s="167"/>
      <c r="G58" s="38" t="s">
        <v>227</v>
      </c>
      <c r="H58" s="39"/>
    </row>
    <row r="59" spans="1:12" ht="25.5" hidden="1" customHeight="1" x14ac:dyDescent="0.25">
      <c r="A59" s="160"/>
      <c r="B59" s="161"/>
      <c r="C59" s="147" t="s">
        <v>228</v>
      </c>
      <c r="D59" s="148"/>
      <c r="E59" s="148"/>
      <c r="F59" s="149"/>
      <c r="G59" s="38"/>
      <c r="H59" s="39"/>
    </row>
    <row r="60" spans="1:12" ht="13.8" thickBot="1" x14ac:dyDescent="0.3">
      <c r="A60" s="99" t="s">
        <v>22</v>
      </c>
      <c r="B60" s="99"/>
      <c r="C60" s="99"/>
      <c r="D60" s="99"/>
      <c r="E60" s="99"/>
      <c r="F60" s="99"/>
      <c r="G60" s="99"/>
      <c r="H60" s="99"/>
    </row>
    <row r="61" spans="1:12" ht="12.75" customHeight="1" x14ac:dyDescent="0.25">
      <c r="A61" s="77" t="s">
        <v>23</v>
      </c>
      <c r="B61" s="79"/>
      <c r="C61" s="144">
        <v>44217</v>
      </c>
      <c r="D61" s="146"/>
      <c r="E61" s="93" t="s">
        <v>24</v>
      </c>
      <c r="F61" s="95"/>
      <c r="G61" s="144">
        <v>46022</v>
      </c>
      <c r="H61" s="145"/>
      <c r="I61" s="40"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","0")))&amp;(IF(E68=0%,"",IF(E68=J67,"Footing work is process",IF(E68=J68,"Footing work Completed",IF(E68=J69,"1st Basement Completed",IF(E68=J70,"1st &amp; 2nd Basement Completed",IF(E68=J71,"1st to 3rd Basement Completed",IF(E68=J72,"1st to 4th Basement Completed",IF(E68=J73,"Plinth work is process",IF(E68=J74,"Plinth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Plinth work completed, RCC Slab, Brickwork, Internal Plaster upto 9 Floor, External Plaster upto 9 Floor Completed</v>
      </c>
      <c r="J61" s="41"/>
    </row>
    <row r="62" spans="1:12" ht="13.8" thickBot="1" x14ac:dyDescent="0.3">
      <c r="A62" s="190" t="s">
        <v>57</v>
      </c>
      <c r="B62" s="190"/>
      <c r="C62" s="190"/>
      <c r="D62" s="190"/>
      <c r="E62" s="190"/>
      <c r="F62" s="190"/>
      <c r="G62" s="190"/>
      <c r="H62" s="190"/>
      <c r="I62" s="42"/>
      <c r="J62" s="43"/>
    </row>
    <row r="63" spans="1:12" ht="26.25" customHeight="1" x14ac:dyDescent="0.25">
      <c r="A63" s="150" t="s">
        <v>284</v>
      </c>
      <c r="B63" s="151"/>
      <c r="C63" s="151"/>
      <c r="D63" s="152"/>
      <c r="E63" s="44" t="s">
        <v>58</v>
      </c>
      <c r="F63" s="44" t="s">
        <v>59</v>
      </c>
      <c r="G63" s="44" t="s">
        <v>60</v>
      </c>
      <c r="H63" s="45" t="s">
        <v>46</v>
      </c>
      <c r="I63" s="42" t="s">
        <v>136</v>
      </c>
      <c r="J63" s="43"/>
    </row>
    <row r="64" spans="1:12" x14ac:dyDescent="0.25">
      <c r="A64" s="153"/>
      <c r="B64" s="154"/>
      <c r="C64" s="154"/>
      <c r="D64" s="155"/>
      <c r="E64" s="46">
        <v>0</v>
      </c>
      <c r="F64" s="46">
        <v>1</v>
      </c>
      <c r="G64" s="46">
        <v>0</v>
      </c>
      <c r="H64" s="47">
        <f ca="1">--TRIM(RIGHT(SUBSTITUTE(LEFT(A63,_xlfn.AGGREGATE(16,6,FIND({0,1,2,3,4,5,6,7,8,9},A63,ROW(INDIRECT("1:"&amp;LEN(A63)))),1))," ",REPT(" ",LEN(A63))),LEN(A63)))</f>
        <v>15</v>
      </c>
      <c r="I64" s="1" t="s">
        <v>64</v>
      </c>
      <c r="J64" s="48">
        <f ca="1">H64*25%</f>
        <v>3.75</v>
      </c>
    </row>
    <row r="65" spans="1:10" ht="31.2" customHeight="1" x14ac:dyDescent="0.25">
      <c r="A65" s="49" t="s">
        <v>135</v>
      </c>
      <c r="B65" s="50"/>
      <c r="C65" s="105" t="str">
        <f ca="1">I61</f>
        <v>Excavation work Completed. Plinth work completed, RCC Slab, Brickwork, Internal Plaster upto 9 Floor, External Plaster upto 9 Floor Completed</v>
      </c>
      <c r="D65" s="105"/>
      <c r="E65" s="105"/>
      <c r="F65" s="105"/>
      <c r="G65" s="105"/>
      <c r="H65" s="106"/>
      <c r="I65" s="1" t="s">
        <v>66</v>
      </c>
      <c r="J65" s="51">
        <f ca="1">H64*50%</f>
        <v>7.5</v>
      </c>
    </row>
    <row r="66" spans="1:10" ht="15" customHeight="1" x14ac:dyDescent="0.25">
      <c r="A66" s="107" t="s">
        <v>61</v>
      </c>
      <c r="B66" s="108"/>
      <c r="C66" s="103" t="s">
        <v>137</v>
      </c>
      <c r="D66" s="103"/>
      <c r="E66" s="52" t="s">
        <v>62</v>
      </c>
      <c r="F66" s="52" t="s">
        <v>63</v>
      </c>
      <c r="G66" s="184" t="s">
        <v>56</v>
      </c>
      <c r="H66" s="185"/>
      <c r="I66" s="1" t="s">
        <v>68</v>
      </c>
      <c r="J66" s="51">
        <f ca="1">H64</f>
        <v>15</v>
      </c>
    </row>
    <row r="67" spans="1:10" ht="15" customHeight="1" x14ac:dyDescent="0.25">
      <c r="A67" s="107" t="s">
        <v>65</v>
      </c>
      <c r="B67" s="108"/>
      <c r="C67" s="104">
        <v>0</v>
      </c>
      <c r="D67" s="104"/>
      <c r="E67" s="53">
        <f ca="1">J66</f>
        <v>15</v>
      </c>
      <c r="F67" s="54">
        <f ca="1">((100/H64)*E67)/100</f>
        <v>1</v>
      </c>
      <c r="G67" s="111">
        <f ca="1">(((E68/H64*10)+(40/(F64+G64+H64)*E69)+(15/(H64)*E70)+(5/(H64)*E71)+(5/H64*E72)+(10/H64*E73)+(5/H64*E74)+(5/H64*E75)+(5/H64*E76))/100)</f>
        <v>0.71</v>
      </c>
      <c r="H67" s="112"/>
      <c r="I67" s="1" t="s">
        <v>70</v>
      </c>
      <c r="J67" s="55">
        <f ca="1">(IF(E64&gt;1,(H64/(E64+2)),H64/4))</f>
        <v>3.75</v>
      </c>
    </row>
    <row r="68" spans="1:10" ht="15" customHeight="1" x14ac:dyDescent="0.25">
      <c r="A68" s="107" t="s">
        <v>67</v>
      </c>
      <c r="B68" s="108"/>
      <c r="C68" s="104">
        <v>0.1</v>
      </c>
      <c r="D68" s="104"/>
      <c r="E68" s="56">
        <f ca="1">J74</f>
        <v>15</v>
      </c>
      <c r="F68" s="54">
        <f ca="1">((100/H64)*E68)/100</f>
        <v>1</v>
      </c>
      <c r="G68" s="111"/>
      <c r="H68" s="112"/>
      <c r="I68" s="1" t="s">
        <v>72</v>
      </c>
      <c r="J68" s="55">
        <f ca="1">(IF(E64&gt;1,(H64/(E64+2)+J67),H64/4+J67))</f>
        <v>7.5</v>
      </c>
    </row>
    <row r="69" spans="1:10" ht="15" customHeight="1" x14ac:dyDescent="0.25">
      <c r="A69" s="107" t="s">
        <v>69</v>
      </c>
      <c r="B69" s="108"/>
      <c r="C69" s="104">
        <v>0.4</v>
      </c>
      <c r="D69" s="104"/>
      <c r="E69" s="56">
        <v>16</v>
      </c>
      <c r="F69" s="54">
        <f ca="1">((100/(F64+G64+H64))*E69)/100</f>
        <v>1</v>
      </c>
      <c r="G69" s="111"/>
      <c r="H69" s="112"/>
      <c r="I69" s="1" t="s">
        <v>74</v>
      </c>
      <c r="J69" s="55">
        <f>(IF(E64&gt;1,(H64/(E64+2)+J68),0))</f>
        <v>0</v>
      </c>
    </row>
    <row r="70" spans="1:10" ht="15" customHeight="1" x14ac:dyDescent="0.25">
      <c r="A70" s="107" t="s">
        <v>71</v>
      </c>
      <c r="B70" s="108"/>
      <c r="C70" s="104">
        <v>0.15</v>
      </c>
      <c r="D70" s="104"/>
      <c r="E70" s="53">
        <v>15</v>
      </c>
      <c r="F70" s="54">
        <f ca="1">((100/H64)*E70)/100</f>
        <v>1</v>
      </c>
      <c r="G70" s="111"/>
      <c r="H70" s="112"/>
      <c r="I70" s="1" t="s">
        <v>76</v>
      </c>
      <c r="J70" s="55">
        <f>(IF(E64&gt;2,(H64/(E64+2)+J69),0))</f>
        <v>0</v>
      </c>
    </row>
    <row r="71" spans="1:10" ht="15" customHeight="1" x14ac:dyDescent="0.25">
      <c r="A71" s="107" t="s">
        <v>73</v>
      </c>
      <c r="B71" s="108"/>
      <c r="C71" s="104">
        <v>0.05</v>
      </c>
      <c r="D71" s="104"/>
      <c r="E71" s="53">
        <v>9</v>
      </c>
      <c r="F71" s="54">
        <f ca="1">((100/H64)*E71)/100</f>
        <v>0.6</v>
      </c>
      <c r="G71" s="111"/>
      <c r="H71" s="112"/>
      <c r="I71" s="1" t="s">
        <v>78</v>
      </c>
      <c r="J71" s="57">
        <f>(IF(E64&gt;3,(H64/(E64+2)+J70),0))</f>
        <v>0</v>
      </c>
    </row>
    <row r="72" spans="1:10" ht="15" customHeight="1" x14ac:dyDescent="0.25">
      <c r="A72" s="107" t="s">
        <v>75</v>
      </c>
      <c r="B72" s="108"/>
      <c r="C72" s="104">
        <v>0.05</v>
      </c>
      <c r="D72" s="104"/>
      <c r="E72" s="53">
        <v>9</v>
      </c>
      <c r="F72" s="54">
        <f ca="1">((100/(H64))*E72)/100</f>
        <v>0.6</v>
      </c>
      <c r="G72" s="111"/>
      <c r="H72" s="112"/>
      <c r="I72" s="1" t="s">
        <v>80</v>
      </c>
      <c r="J72" s="55">
        <f>(IF(E64&gt;4,(H64/(E64+2)+J71),0))</f>
        <v>0</v>
      </c>
    </row>
    <row r="73" spans="1:10" ht="15" customHeight="1" x14ac:dyDescent="0.25">
      <c r="A73" s="107" t="s">
        <v>77</v>
      </c>
      <c r="B73" s="108"/>
      <c r="C73" s="104">
        <v>0.1</v>
      </c>
      <c r="D73" s="104"/>
      <c r="E73" s="53">
        <v>0</v>
      </c>
      <c r="F73" s="54">
        <f ca="1">((100/H64)*E73)/100</f>
        <v>0</v>
      </c>
      <c r="G73" s="111"/>
      <c r="H73" s="112"/>
      <c r="I73" s="1" t="s">
        <v>82</v>
      </c>
      <c r="J73" s="55">
        <f ca="1">(IF(E64=1,(H64/(E64+3)+J68),IF(E64=0,(H64/4+J68),IF(E64&gt;1,0))))</f>
        <v>11.25</v>
      </c>
    </row>
    <row r="74" spans="1:10" ht="15.75" customHeight="1" thickBot="1" x14ac:dyDescent="0.3">
      <c r="A74" s="107" t="s">
        <v>79</v>
      </c>
      <c r="B74" s="108"/>
      <c r="C74" s="104">
        <v>0.05</v>
      </c>
      <c r="D74" s="104"/>
      <c r="E74" s="53">
        <v>0</v>
      </c>
      <c r="F74" s="54">
        <f ca="1">((100/H64)*E74)/100</f>
        <v>0</v>
      </c>
      <c r="G74" s="111"/>
      <c r="H74" s="112"/>
      <c r="I74" s="58" t="s">
        <v>84</v>
      </c>
      <c r="J74" s="59">
        <f ca="1">(IF(E64&gt;1.5,(H64/(E64+2)+J68+MAX(0,J69-J68)+MAX(0,J70-J69)+MAX(0,J71-J70)+MAX(0,J72-J71)+MAX(0,J73-J72)),IF(E64=1,(H64/(E64+3)+J73),IF(E64=0,H64/4+J73))))</f>
        <v>15</v>
      </c>
    </row>
    <row r="75" spans="1:10" ht="28.5" customHeight="1" x14ac:dyDescent="0.25">
      <c r="A75" s="107" t="s">
        <v>81</v>
      </c>
      <c r="B75" s="108"/>
      <c r="C75" s="104">
        <v>0.05</v>
      </c>
      <c r="D75" s="104"/>
      <c r="E75" s="53">
        <v>0</v>
      </c>
      <c r="F75" s="54">
        <f ca="1">((100/(H64))*E75)/100</f>
        <v>0</v>
      </c>
      <c r="G75" s="111"/>
      <c r="H75" s="112"/>
    </row>
    <row r="76" spans="1:10" ht="13.8" thickBot="1" x14ac:dyDescent="0.3">
      <c r="A76" s="177" t="s">
        <v>83</v>
      </c>
      <c r="B76" s="178"/>
      <c r="C76" s="116">
        <v>0.05</v>
      </c>
      <c r="D76" s="116"/>
      <c r="E76" s="60">
        <v>0</v>
      </c>
      <c r="F76" s="61">
        <f ca="1">((100/(H64))*E76)/100</f>
        <v>0</v>
      </c>
      <c r="G76" s="113"/>
      <c r="H76" s="114"/>
    </row>
    <row r="77" spans="1:10" x14ac:dyDescent="0.25">
      <c r="A77" s="179" t="s">
        <v>25</v>
      </c>
      <c r="B77" s="180"/>
      <c r="C77" s="206" t="s">
        <v>113</v>
      </c>
      <c r="D77" s="206"/>
      <c r="E77" s="206"/>
      <c r="F77" s="206"/>
      <c r="G77" s="206"/>
      <c r="H77" s="206"/>
    </row>
    <row r="78" spans="1:10" x14ac:dyDescent="0.25">
      <c r="A78" s="99" t="s">
        <v>26</v>
      </c>
      <c r="B78" s="99"/>
      <c r="C78" s="99"/>
      <c r="D78" s="99"/>
      <c r="E78" s="99"/>
      <c r="F78" s="99"/>
      <c r="G78" s="99"/>
      <c r="H78" s="99"/>
    </row>
    <row r="79" spans="1:10" x14ac:dyDescent="0.25">
      <c r="A79" s="181" t="s">
        <v>27</v>
      </c>
      <c r="B79" s="182"/>
      <c r="C79" s="117" t="s">
        <v>50</v>
      </c>
      <c r="D79" s="118"/>
      <c r="E79" s="115" t="s">
        <v>28</v>
      </c>
      <c r="F79" s="115"/>
      <c r="G79" s="62" t="s">
        <v>18</v>
      </c>
      <c r="H79" s="62" t="s">
        <v>51</v>
      </c>
    </row>
    <row r="80" spans="1:10" x14ac:dyDescent="0.25">
      <c r="A80" s="181" t="s">
        <v>29</v>
      </c>
      <c r="B80" s="182"/>
      <c r="C80" s="117" t="s">
        <v>49</v>
      </c>
      <c r="D80" s="118"/>
      <c r="E80" s="115" t="s">
        <v>30</v>
      </c>
      <c r="F80" s="115"/>
      <c r="G80" s="62" t="s">
        <v>18</v>
      </c>
      <c r="H80" s="62" t="s">
        <v>52</v>
      </c>
    </row>
    <row r="81" spans="1:8" x14ac:dyDescent="0.25">
      <c r="A81" s="181" t="s">
        <v>31</v>
      </c>
      <c r="B81" s="182"/>
      <c r="C81" s="117" t="s">
        <v>138</v>
      </c>
      <c r="D81" s="118"/>
      <c r="E81" s="115" t="s">
        <v>32</v>
      </c>
      <c r="F81" s="115"/>
      <c r="G81" s="62" t="s">
        <v>18</v>
      </c>
      <c r="H81" s="62" t="s">
        <v>51</v>
      </c>
    </row>
    <row r="82" spans="1:8" x14ac:dyDescent="0.25">
      <c r="A82" s="181" t="s">
        <v>33</v>
      </c>
      <c r="B82" s="182"/>
      <c r="C82" s="117" t="s">
        <v>121</v>
      </c>
      <c r="D82" s="118"/>
      <c r="E82" s="115" t="s">
        <v>34</v>
      </c>
      <c r="F82" s="115"/>
      <c r="G82" s="62" t="s">
        <v>18</v>
      </c>
      <c r="H82" s="62" t="s">
        <v>51</v>
      </c>
    </row>
    <row r="83" spans="1:8" x14ac:dyDescent="0.25">
      <c r="A83" s="181" t="s">
        <v>35</v>
      </c>
      <c r="B83" s="182"/>
      <c r="C83" s="117" t="s">
        <v>126</v>
      </c>
      <c r="D83" s="118"/>
      <c r="E83" s="115" t="s">
        <v>36</v>
      </c>
      <c r="F83" s="115"/>
      <c r="G83" s="62" t="s">
        <v>18</v>
      </c>
      <c r="H83" s="62" t="s">
        <v>52</v>
      </c>
    </row>
    <row r="84" spans="1:8" ht="28.2" customHeight="1" x14ac:dyDescent="0.25">
      <c r="A84" s="181" t="s">
        <v>37</v>
      </c>
      <c r="B84" s="182"/>
      <c r="C84" s="117" t="s">
        <v>139</v>
      </c>
      <c r="D84" s="118"/>
      <c r="E84" s="115" t="s">
        <v>38</v>
      </c>
      <c r="F84" s="115"/>
      <c r="G84" s="62" t="s">
        <v>18</v>
      </c>
      <c r="H84" s="62" t="s">
        <v>52</v>
      </c>
    </row>
    <row r="85" spans="1:8" x14ac:dyDescent="0.25">
      <c r="A85" s="181" t="s">
        <v>39</v>
      </c>
      <c r="B85" s="182"/>
      <c r="C85" s="117" t="s">
        <v>122</v>
      </c>
      <c r="D85" s="118"/>
      <c r="E85" s="205" t="s">
        <v>40</v>
      </c>
      <c r="F85" s="205"/>
      <c r="G85" s="62" t="s">
        <v>18</v>
      </c>
      <c r="H85" s="62" t="s">
        <v>52</v>
      </c>
    </row>
    <row r="86" spans="1:8" x14ac:dyDescent="0.25">
      <c r="A86" s="80" t="s">
        <v>41</v>
      </c>
      <c r="B86" s="81"/>
      <c r="C86" s="117" t="s">
        <v>125</v>
      </c>
      <c r="D86" s="118"/>
      <c r="E86" s="99" t="s">
        <v>42</v>
      </c>
      <c r="F86" s="99"/>
      <c r="G86" s="115" t="s">
        <v>52</v>
      </c>
      <c r="H86" s="115"/>
    </row>
    <row r="87" spans="1:8" ht="25.5" customHeight="1" x14ac:dyDescent="0.25">
      <c r="A87" s="80" t="s">
        <v>43</v>
      </c>
      <c r="B87" s="81"/>
      <c r="C87" s="80" t="s">
        <v>54</v>
      </c>
      <c r="D87" s="81"/>
      <c r="E87" s="99" t="s">
        <v>44</v>
      </c>
      <c r="F87" s="99"/>
      <c r="G87" s="205" t="s">
        <v>53</v>
      </c>
      <c r="H87" s="205"/>
    </row>
    <row r="88" spans="1:8" x14ac:dyDescent="0.25">
      <c r="A88" s="117" t="s">
        <v>196</v>
      </c>
      <c r="B88" s="176"/>
      <c r="C88" s="176"/>
      <c r="D88" s="176"/>
      <c r="E88" s="176"/>
      <c r="F88" s="176"/>
      <c r="G88" s="176"/>
      <c r="H88" s="118"/>
    </row>
    <row r="89" spans="1:8" x14ac:dyDescent="0.25">
      <c r="A89" s="99" t="s">
        <v>197</v>
      </c>
      <c r="B89" s="99"/>
      <c r="C89" s="80" t="s">
        <v>198</v>
      </c>
      <c r="D89" s="81"/>
      <c r="E89" s="99" t="s">
        <v>199</v>
      </c>
      <c r="F89" s="99"/>
      <c r="G89" s="99" t="s">
        <v>200</v>
      </c>
      <c r="H89" s="99"/>
    </row>
    <row r="90" spans="1:8" x14ac:dyDescent="0.25">
      <c r="A90" s="205" t="s">
        <v>279</v>
      </c>
      <c r="B90" s="205"/>
      <c r="C90" s="109">
        <f>COUNT(D103:D109)</f>
        <v>7</v>
      </c>
      <c r="D90" s="110"/>
      <c r="E90" s="109">
        <f>SUM(F103:F109)</f>
        <v>2970.54108</v>
      </c>
      <c r="F90" s="110"/>
      <c r="G90" s="109">
        <f>SUM(H103:H109)</f>
        <v>4604.3386739999996</v>
      </c>
      <c r="H90" s="110"/>
    </row>
    <row r="91" spans="1:8" x14ac:dyDescent="0.25">
      <c r="A91" s="205" t="s">
        <v>280</v>
      </c>
      <c r="B91" s="205"/>
      <c r="C91" s="109">
        <f>COUNT(D111:D115)+COUNT(D117:D123)+COUNT(D125:D126)</f>
        <v>14</v>
      </c>
      <c r="D91" s="110"/>
      <c r="E91" s="109">
        <f t="shared" ref="E91" si="0">SUM(F111:F115)+SUM(F117:F123)+SUM(F125:F126)</f>
        <v>7098.438204</v>
      </c>
      <c r="F91" s="110"/>
      <c r="G91" s="109">
        <f t="shared" ref="G91" si="1">SUM(H111:H115)+SUM(H117:H123)+SUM(H125:H126)</f>
        <v>11031.477216200001</v>
      </c>
      <c r="H91" s="110"/>
    </row>
    <row r="92" spans="1:8" x14ac:dyDescent="0.25">
      <c r="A92" s="99" t="s">
        <v>201</v>
      </c>
      <c r="B92" s="99"/>
      <c r="C92" s="234">
        <f>C90+C91</f>
        <v>21</v>
      </c>
      <c r="D92" s="81"/>
      <c r="E92" s="234">
        <f>E90+E91</f>
        <v>10068.979284000001</v>
      </c>
      <c r="F92" s="81"/>
      <c r="G92" s="234">
        <f>G90+G91</f>
        <v>15635.8158902</v>
      </c>
      <c r="H92" s="81"/>
    </row>
    <row r="93" spans="1:8" x14ac:dyDescent="0.25">
      <c r="A93" s="99" t="s">
        <v>202</v>
      </c>
      <c r="B93" s="99"/>
      <c r="C93" s="99"/>
      <c r="D93" s="99"/>
      <c r="E93" s="99"/>
      <c r="F93" s="99"/>
      <c r="G93" s="99"/>
      <c r="H93" s="99"/>
    </row>
    <row r="94" spans="1:8" x14ac:dyDescent="0.25">
      <c r="A94" s="99" t="s">
        <v>197</v>
      </c>
      <c r="B94" s="99"/>
      <c r="C94" s="80" t="s">
        <v>198</v>
      </c>
      <c r="D94" s="81"/>
      <c r="E94" s="99" t="s">
        <v>199</v>
      </c>
      <c r="F94" s="99"/>
      <c r="G94" s="99" t="s">
        <v>200</v>
      </c>
      <c r="H94" s="99"/>
    </row>
    <row r="95" spans="1:8" ht="13.8" thickBot="1" x14ac:dyDescent="0.3">
      <c r="A95" s="123" t="s">
        <v>278</v>
      </c>
      <c r="B95" s="123"/>
      <c r="C95" s="119">
        <f>COUNT(D133:D138)+COUNT(D142:D147)+COUNT(D151:D156)+COUNT(D160:D167)+COUNT(D169:D176)*9+COUNT(D178:D182,D184:D185)*2</f>
        <v>112</v>
      </c>
      <c r="D95" s="120"/>
      <c r="E95" s="225">
        <f t="shared" ref="E95" si="2">SUM(F133:F138)+SUM(F142:F147)+SUM(F151:F156)+SUM(F160:F167)+SUM(F169:F176)*9+SUM(F178:F182,F184:F185)*2</f>
        <v>71426.890079999997</v>
      </c>
      <c r="F95" s="226"/>
      <c r="G95" s="225">
        <f t="shared" ref="G95" si="3">SUM(H133:H138)+SUM(H142:H147)+SUM(H151:H156)+SUM(H160:H167)+SUM(H169:H176)*9+SUM(H178:H182,H184:H185)*2</f>
        <v>107140.33512</v>
      </c>
      <c r="H95" s="226"/>
    </row>
    <row r="96" spans="1:8" ht="13.8" thickBot="1" x14ac:dyDescent="0.3">
      <c r="A96" s="124" t="s">
        <v>203</v>
      </c>
      <c r="B96" s="125"/>
      <c r="C96" s="121">
        <f>C92+C95</f>
        <v>133</v>
      </c>
      <c r="D96" s="122"/>
      <c r="E96" s="121">
        <f>E92+E95</f>
        <v>81495.869363999998</v>
      </c>
      <c r="F96" s="122"/>
      <c r="G96" s="121">
        <f>G92+G95</f>
        <v>122776.1510102</v>
      </c>
      <c r="H96" s="201"/>
    </row>
    <row r="97" spans="1:12" x14ac:dyDescent="0.25">
      <c r="A97" s="102" t="s">
        <v>45</v>
      </c>
      <c r="B97" s="102"/>
      <c r="C97" s="102"/>
      <c r="D97" s="102"/>
      <c r="E97" s="102"/>
      <c r="F97" s="102"/>
      <c r="G97" s="102"/>
      <c r="H97" s="102"/>
    </row>
    <row r="98" spans="1:12" x14ac:dyDescent="0.25">
      <c r="A98" s="99" t="s">
        <v>211</v>
      </c>
      <c r="B98" s="99"/>
      <c r="C98" s="99"/>
      <c r="D98" s="99"/>
      <c r="E98" s="99"/>
      <c r="F98" s="99"/>
      <c r="G98" s="99"/>
      <c r="H98" s="99"/>
    </row>
    <row r="99" spans="1:12" ht="39.6" x14ac:dyDescent="0.25">
      <c r="A99" s="202" t="s">
        <v>212</v>
      </c>
      <c r="B99" s="100" t="s">
        <v>213</v>
      </c>
      <c r="C99" s="100" t="s">
        <v>257</v>
      </c>
      <c r="D99" s="100" t="s">
        <v>268</v>
      </c>
      <c r="E99" s="100" t="s">
        <v>264</v>
      </c>
      <c r="F99" s="100" t="s">
        <v>208</v>
      </c>
      <c r="G99" s="63" t="s">
        <v>209</v>
      </c>
      <c r="H99" s="63" t="s">
        <v>140</v>
      </c>
    </row>
    <row r="100" spans="1:12" x14ac:dyDescent="0.25">
      <c r="A100" s="203"/>
      <c r="B100" s="101"/>
      <c r="C100" s="101"/>
      <c r="D100" s="101"/>
      <c r="E100" s="101"/>
      <c r="F100" s="101"/>
      <c r="G100" s="64"/>
      <c r="H100" s="65">
        <v>0.55000000000000004</v>
      </c>
    </row>
    <row r="101" spans="1:12" x14ac:dyDescent="0.25">
      <c r="A101" s="99" t="s">
        <v>278</v>
      </c>
      <c r="B101" s="99"/>
      <c r="C101" s="99"/>
      <c r="D101" s="99"/>
      <c r="E101" s="99"/>
      <c r="F101" s="99"/>
      <c r="G101" s="99"/>
      <c r="H101" s="99"/>
    </row>
    <row r="102" spans="1:12" x14ac:dyDescent="0.25">
      <c r="A102" s="99" t="s">
        <v>258</v>
      </c>
      <c r="B102" s="99"/>
      <c r="C102" s="99"/>
      <c r="D102" s="99"/>
      <c r="E102" s="99"/>
      <c r="F102" s="99"/>
      <c r="G102" s="99"/>
      <c r="H102" s="99"/>
      <c r="L102" s="28" t="s">
        <v>261</v>
      </c>
    </row>
    <row r="103" spans="1:12" x14ac:dyDescent="0.25">
      <c r="A103" s="73">
        <v>1</v>
      </c>
      <c r="B103" s="74"/>
      <c r="C103" s="35" t="s">
        <v>210</v>
      </c>
      <c r="D103" s="66">
        <f>(27.69)*10.764</f>
        <v>298.05516</v>
      </c>
      <c r="E103" s="66">
        <f t="shared" ref="E103:E109" si="4">(1.2*3)*10.764</f>
        <v>38.750399999999992</v>
      </c>
      <c r="F103" s="66">
        <f>D103+(IF(E103&lt;201,E103,IF(E103&lt;301,E103/2,E103/3)))</f>
        <v>336.80556000000001</v>
      </c>
      <c r="G103" s="66">
        <v>0</v>
      </c>
      <c r="H103" s="66">
        <f t="shared" ref="H103:H109" si="5">F103*(($H$100)+1)+(IF(G103&lt;101,G103,IF(G103&lt;201,G103/2,IF(G103&lt;=301,G103/3,G103/4))))</f>
        <v>522.04861800000003</v>
      </c>
      <c r="J103" s="28">
        <f>8.9*6.27+3.47*0.6</f>
        <v>57.884999999999998</v>
      </c>
    </row>
    <row r="104" spans="1:12" x14ac:dyDescent="0.25">
      <c r="A104" s="73">
        <f>A103+1</f>
        <v>2</v>
      </c>
      <c r="B104" s="74"/>
      <c r="C104" s="35" t="s">
        <v>210</v>
      </c>
      <c r="D104" s="66">
        <f>(40.54)*10.764</f>
        <v>436.37255999999996</v>
      </c>
      <c r="E104" s="66">
        <f t="shared" si="4"/>
        <v>38.750399999999992</v>
      </c>
      <c r="F104" s="66">
        <f t="shared" ref="F104:F109" si="6">D104+(IF(E104&lt;201,E104,IF(E104&lt;301,E104/2,E104/3)))</f>
        <v>475.12295999999998</v>
      </c>
      <c r="G104" s="66">
        <v>0</v>
      </c>
      <c r="H104" s="66">
        <f t="shared" si="5"/>
        <v>736.44058799999993</v>
      </c>
    </row>
    <row r="105" spans="1:12" x14ac:dyDescent="0.25">
      <c r="A105" s="73">
        <f t="shared" ref="A105:A109" si="7">A104+1</f>
        <v>3</v>
      </c>
      <c r="B105" s="74"/>
      <c r="C105" s="35" t="s">
        <v>210</v>
      </c>
      <c r="D105" s="66">
        <f>(42.08)*10.764</f>
        <v>452.94911999999994</v>
      </c>
      <c r="E105" s="66">
        <f t="shared" si="4"/>
        <v>38.750399999999992</v>
      </c>
      <c r="F105" s="66">
        <f t="shared" si="6"/>
        <v>491.69951999999995</v>
      </c>
      <c r="G105" s="66">
        <v>0</v>
      </c>
      <c r="H105" s="66">
        <f t="shared" si="5"/>
        <v>762.13425599999994</v>
      </c>
    </row>
    <row r="106" spans="1:12" x14ac:dyDescent="0.25">
      <c r="A106" s="73">
        <f t="shared" si="7"/>
        <v>4</v>
      </c>
      <c r="B106" s="74"/>
      <c r="C106" s="35" t="s">
        <v>210</v>
      </c>
      <c r="D106" s="66">
        <f>(42.08)*10.764</f>
        <v>452.94911999999994</v>
      </c>
      <c r="E106" s="66">
        <f t="shared" si="4"/>
        <v>38.750399999999992</v>
      </c>
      <c r="F106" s="66">
        <f t="shared" si="6"/>
        <v>491.69951999999995</v>
      </c>
      <c r="G106" s="66">
        <v>0</v>
      </c>
      <c r="H106" s="66">
        <f t="shared" si="5"/>
        <v>762.13425599999994</v>
      </c>
    </row>
    <row r="107" spans="1:12" x14ac:dyDescent="0.25">
      <c r="A107" s="73">
        <f t="shared" si="7"/>
        <v>5</v>
      </c>
      <c r="B107" s="74"/>
      <c r="C107" s="35" t="s">
        <v>210</v>
      </c>
      <c r="D107" s="66">
        <f>(42.08)*10.764</f>
        <v>452.94911999999994</v>
      </c>
      <c r="E107" s="66">
        <f t="shared" si="4"/>
        <v>38.750399999999992</v>
      </c>
      <c r="F107" s="66">
        <f t="shared" si="6"/>
        <v>491.69951999999995</v>
      </c>
      <c r="G107" s="66">
        <v>0</v>
      </c>
      <c r="H107" s="66">
        <f t="shared" si="5"/>
        <v>762.13425599999994</v>
      </c>
    </row>
    <row r="108" spans="1:12" x14ac:dyDescent="0.25">
      <c r="A108" s="73">
        <f t="shared" si="7"/>
        <v>6</v>
      </c>
      <c r="B108" s="74"/>
      <c r="C108" s="35" t="s">
        <v>210</v>
      </c>
      <c r="D108" s="66">
        <f>(28.12)*10.764</f>
        <v>302.68367999999998</v>
      </c>
      <c r="E108" s="66">
        <f t="shared" si="4"/>
        <v>38.750399999999992</v>
      </c>
      <c r="F108" s="66">
        <f t="shared" si="6"/>
        <v>341.43407999999999</v>
      </c>
      <c r="G108" s="66">
        <v>0</v>
      </c>
      <c r="H108" s="66">
        <f t="shared" si="5"/>
        <v>529.22282400000006</v>
      </c>
      <c r="J108" s="28">
        <f>9.65*6.64</f>
        <v>64.075999999999993</v>
      </c>
    </row>
    <row r="109" spans="1:12" x14ac:dyDescent="0.25">
      <c r="A109" s="73">
        <f t="shared" si="7"/>
        <v>7</v>
      </c>
      <c r="B109" s="74"/>
      <c r="C109" s="35" t="s">
        <v>210</v>
      </c>
      <c r="D109" s="66">
        <f>(28.18)*10.764</f>
        <v>303.32952</v>
      </c>
      <c r="E109" s="66">
        <f t="shared" si="4"/>
        <v>38.750399999999992</v>
      </c>
      <c r="F109" s="66">
        <f t="shared" si="6"/>
        <v>342.07992000000002</v>
      </c>
      <c r="G109" s="66">
        <v>0</v>
      </c>
      <c r="H109" s="66">
        <f t="shared" si="5"/>
        <v>530.22387600000002</v>
      </c>
      <c r="J109" s="28">
        <f>7.44*6.75</f>
        <v>50.220000000000006</v>
      </c>
    </row>
    <row r="110" spans="1:12" x14ac:dyDescent="0.25">
      <c r="A110" s="99" t="s">
        <v>262</v>
      </c>
      <c r="B110" s="99"/>
      <c r="C110" s="99"/>
      <c r="D110" s="99"/>
      <c r="E110" s="99"/>
      <c r="F110" s="99"/>
      <c r="G110" s="99"/>
      <c r="H110" s="99"/>
    </row>
    <row r="111" spans="1:12" x14ac:dyDescent="0.25">
      <c r="A111" s="73">
        <v>1</v>
      </c>
      <c r="B111" s="74"/>
      <c r="C111" s="35" t="s">
        <v>263</v>
      </c>
      <c r="D111" s="66">
        <f>(28.967)*10.764</f>
        <v>311.80078799999995</v>
      </c>
      <c r="E111" s="66">
        <f>(1.2*3.2)*10.764</f>
        <v>41.333759999999998</v>
      </c>
      <c r="F111" s="66">
        <f>D111+(IF(E111&lt;201,E111,IF(E111&lt;301,E111/2,E111/3)))</f>
        <v>353.13454799999994</v>
      </c>
      <c r="G111" s="66">
        <v>0</v>
      </c>
      <c r="H111" s="66">
        <f t="shared" ref="H111:H115" si="8">F111*(($H$100)+1)+(IF(G111&lt;101,G111,IF(G111&lt;201,G111/2,IF(G111&lt;=301,G111/3,G111/4))))</f>
        <v>547.3585493999999</v>
      </c>
      <c r="J111" s="28">
        <f>8.9*6.27+3.47*0.6</f>
        <v>57.884999999999998</v>
      </c>
    </row>
    <row r="112" spans="1:12" x14ac:dyDescent="0.25">
      <c r="A112" s="73">
        <f>A111+1</f>
        <v>2</v>
      </c>
      <c r="B112" s="74"/>
      <c r="C112" s="35" t="s">
        <v>263</v>
      </c>
      <c r="D112" s="66">
        <f>(31.87)*10.764</f>
        <v>343.04867999999999</v>
      </c>
      <c r="E112" s="66">
        <f>(1.2*3)*10.764</f>
        <v>38.750399999999992</v>
      </c>
      <c r="F112" s="66">
        <f t="shared" ref="F112:F115" si="9">D112+(IF(E112&lt;201,E112,IF(E112&lt;301,E112/2,E112/3)))</f>
        <v>381.79908</v>
      </c>
      <c r="G112" s="66">
        <v>0</v>
      </c>
      <c r="H112" s="66">
        <f t="shared" si="8"/>
        <v>591.78857400000004</v>
      </c>
    </row>
    <row r="113" spans="1:10" x14ac:dyDescent="0.25">
      <c r="A113" s="73" t="s">
        <v>265</v>
      </c>
      <c r="B113" s="74"/>
      <c r="C113" s="35" t="s">
        <v>263</v>
      </c>
      <c r="D113" s="66">
        <f>(98.73)*10.764</f>
        <v>1062.72972</v>
      </c>
      <c r="E113" s="66">
        <f>(1.2*3*3)*10.764</f>
        <v>116.25119999999998</v>
      </c>
      <c r="F113" s="66">
        <f t="shared" si="9"/>
        <v>1178.98092</v>
      </c>
      <c r="G113" s="66">
        <v>0</v>
      </c>
      <c r="H113" s="66">
        <f t="shared" si="8"/>
        <v>1827.4204259999999</v>
      </c>
    </row>
    <row r="114" spans="1:10" x14ac:dyDescent="0.25">
      <c r="A114" s="73">
        <v>6</v>
      </c>
      <c r="B114" s="74"/>
      <c r="C114" s="35" t="s">
        <v>263</v>
      </c>
      <c r="D114" s="66">
        <f>(27.74)*10.764</f>
        <v>298.59335999999996</v>
      </c>
      <c r="E114" s="66">
        <f>(1.2*3.2)*10.764</f>
        <v>41.333759999999998</v>
      </c>
      <c r="F114" s="66">
        <f t="shared" si="9"/>
        <v>339.92711999999995</v>
      </c>
      <c r="G114" s="66">
        <v>0</v>
      </c>
      <c r="H114" s="66">
        <f t="shared" si="8"/>
        <v>526.88703599999997</v>
      </c>
    </row>
    <row r="115" spans="1:10" x14ac:dyDescent="0.25">
      <c r="A115" s="73">
        <f t="shared" ref="A115" si="10">A114+1</f>
        <v>7</v>
      </c>
      <c r="B115" s="74"/>
      <c r="C115" s="35" t="s">
        <v>263</v>
      </c>
      <c r="D115" s="66">
        <f>(28.18)*10.764</f>
        <v>303.32952</v>
      </c>
      <c r="E115" s="66">
        <f>(1.2*4.81)*10.764</f>
        <v>62.12980799999999</v>
      </c>
      <c r="F115" s="66">
        <f t="shared" si="9"/>
        <v>365.45932799999997</v>
      </c>
      <c r="G115" s="66">
        <v>0</v>
      </c>
      <c r="H115" s="66">
        <f t="shared" si="8"/>
        <v>566.46195839999996</v>
      </c>
    </row>
    <row r="116" spans="1:10" ht="13.2" customHeight="1" x14ac:dyDescent="0.25">
      <c r="A116" s="99" t="s">
        <v>266</v>
      </c>
      <c r="B116" s="99"/>
      <c r="C116" s="99"/>
      <c r="D116" s="99"/>
      <c r="E116" s="99"/>
      <c r="F116" s="99"/>
      <c r="G116" s="99"/>
      <c r="H116" s="99"/>
    </row>
    <row r="117" spans="1:10" x14ac:dyDescent="0.25">
      <c r="A117" s="73">
        <v>1</v>
      </c>
      <c r="B117" s="74"/>
      <c r="C117" s="35" t="s">
        <v>263</v>
      </c>
      <c r="D117" s="66">
        <f>(28.97)*10.764</f>
        <v>311.83308</v>
      </c>
      <c r="E117" s="66">
        <f>(1.2*3.2)*10.764</f>
        <v>41.333759999999998</v>
      </c>
      <c r="F117" s="66">
        <f>D117+(IF(E117&lt;201,E117,IF(E117&lt;301,E117/2,E117/3)))</f>
        <v>353.16683999999998</v>
      </c>
      <c r="G117" s="66">
        <v>0</v>
      </c>
      <c r="H117" s="66">
        <f t="shared" ref="H117:H118" si="11">F117*(($H$100)+1)+(IF(G117&lt;101,G117,IF(G117&lt;201,G117/2,IF(G117&lt;=301,G117/3,G117/4))))</f>
        <v>547.40860199999997</v>
      </c>
      <c r="J117" s="28">
        <f>8.9*6.27+3.47*0.6</f>
        <v>57.884999999999998</v>
      </c>
    </row>
    <row r="118" spans="1:10" x14ac:dyDescent="0.25">
      <c r="A118" s="73">
        <f>A117+1</f>
        <v>2</v>
      </c>
      <c r="B118" s="74"/>
      <c r="C118" s="35" t="s">
        <v>263</v>
      </c>
      <c r="D118" s="66">
        <f>(31.87)*10.764</f>
        <v>343.04867999999999</v>
      </c>
      <c r="E118" s="66">
        <f>(1.2*3)*10.764</f>
        <v>38.750399999999992</v>
      </c>
      <c r="F118" s="66">
        <f t="shared" ref="F118" si="12">D118+(IF(E118&lt;201,E118,IF(E118&lt;301,E118/2,E118/3)))</f>
        <v>381.79908</v>
      </c>
      <c r="G118" s="66">
        <v>0</v>
      </c>
      <c r="H118" s="66">
        <f t="shared" si="11"/>
        <v>591.78857400000004</v>
      </c>
    </row>
    <row r="119" spans="1:10" x14ac:dyDescent="0.25">
      <c r="A119" s="73">
        <f t="shared" ref="A119:A123" si="13">A118+1</f>
        <v>3</v>
      </c>
      <c r="B119" s="74"/>
      <c r="C119" s="35" t="s">
        <v>263</v>
      </c>
      <c r="D119" s="66">
        <f>(31.85)*10.764</f>
        <v>342.83339999999998</v>
      </c>
      <c r="E119" s="66">
        <f>(1.2*3)*10.764</f>
        <v>38.750399999999992</v>
      </c>
      <c r="F119" s="66">
        <f t="shared" ref="F119:F123" si="14">D119+(IF(E119&lt;201,E119,IF(E119&lt;301,E119/2,E119/3)))</f>
        <v>381.5838</v>
      </c>
      <c r="G119" s="66">
        <v>0</v>
      </c>
      <c r="H119" s="66">
        <f t="shared" ref="H119:H123" si="15">F119*(($H$100)+1)+(IF(G119&lt;101,G119,IF(G119&lt;201,G119/2,IF(G119&lt;=301,G119/3,G119/4))))</f>
        <v>591.45488999999998</v>
      </c>
    </row>
    <row r="120" spans="1:10" x14ac:dyDescent="0.25">
      <c r="A120" s="73">
        <f t="shared" si="13"/>
        <v>4</v>
      </c>
      <c r="B120" s="74"/>
      <c r="C120" s="35" t="s">
        <v>263</v>
      </c>
      <c r="D120" s="66">
        <f>(31.88)*10.764</f>
        <v>343.15631999999999</v>
      </c>
      <c r="E120" s="66">
        <f>(1.2*3)*10.764</f>
        <v>38.750399999999992</v>
      </c>
      <c r="F120" s="66">
        <f t="shared" si="14"/>
        <v>381.90672000000001</v>
      </c>
      <c r="G120" s="66">
        <v>0</v>
      </c>
      <c r="H120" s="66">
        <f t="shared" si="15"/>
        <v>591.95541600000001</v>
      </c>
    </row>
    <row r="121" spans="1:10" x14ac:dyDescent="0.25">
      <c r="A121" s="73">
        <f t="shared" si="13"/>
        <v>5</v>
      </c>
      <c r="B121" s="74"/>
      <c r="C121" s="35" t="s">
        <v>263</v>
      </c>
      <c r="D121" s="66">
        <f>(31.87)*10.764</f>
        <v>343.04867999999999</v>
      </c>
      <c r="E121" s="66">
        <f>(1.2*3)*10.764</f>
        <v>38.750399999999992</v>
      </c>
      <c r="F121" s="66">
        <f t="shared" si="14"/>
        <v>381.79908</v>
      </c>
      <c r="G121" s="66">
        <v>0</v>
      </c>
      <c r="H121" s="66">
        <f t="shared" si="15"/>
        <v>591.78857400000004</v>
      </c>
    </row>
    <row r="122" spans="1:10" x14ac:dyDescent="0.25">
      <c r="A122" s="73">
        <f t="shared" si="13"/>
        <v>6</v>
      </c>
      <c r="B122" s="74"/>
      <c r="C122" s="35" t="s">
        <v>263</v>
      </c>
      <c r="D122" s="66">
        <f>(27.74)*10.764</f>
        <v>298.59335999999996</v>
      </c>
      <c r="E122" s="66">
        <f>(1.2*3.2)*10.764</f>
        <v>41.333759999999998</v>
      </c>
      <c r="F122" s="66">
        <f t="shared" si="14"/>
        <v>339.92711999999995</v>
      </c>
      <c r="G122" s="66">
        <v>0</v>
      </c>
      <c r="H122" s="66">
        <f t="shared" si="15"/>
        <v>526.88703599999997</v>
      </c>
    </row>
    <row r="123" spans="1:10" x14ac:dyDescent="0.25">
      <c r="A123" s="73">
        <f t="shared" si="13"/>
        <v>7</v>
      </c>
      <c r="B123" s="74"/>
      <c r="C123" s="35" t="s">
        <v>263</v>
      </c>
      <c r="D123" s="66">
        <f>(28.18)*10.764</f>
        <v>303.32952</v>
      </c>
      <c r="E123" s="66">
        <f>(1.2*4.81)*10.764</f>
        <v>62.12980799999999</v>
      </c>
      <c r="F123" s="66">
        <f t="shared" si="14"/>
        <v>365.45932799999997</v>
      </c>
      <c r="G123" s="66">
        <v>0</v>
      </c>
      <c r="H123" s="66">
        <f t="shared" si="15"/>
        <v>566.46195839999996</v>
      </c>
    </row>
    <row r="124" spans="1:10" ht="13.2" customHeight="1" x14ac:dyDescent="0.25">
      <c r="A124" s="99" t="s">
        <v>267</v>
      </c>
      <c r="B124" s="99"/>
      <c r="C124" s="99"/>
      <c r="D124" s="99"/>
      <c r="E124" s="99"/>
      <c r="F124" s="99"/>
      <c r="G124" s="99"/>
      <c r="H124" s="99"/>
    </row>
    <row r="125" spans="1:10" x14ac:dyDescent="0.25">
      <c r="A125" s="73">
        <v>1</v>
      </c>
      <c r="B125" s="74"/>
      <c r="C125" s="35" t="s">
        <v>263</v>
      </c>
      <c r="D125" s="66">
        <f>(44.43)*10.764</f>
        <v>478.24451999999997</v>
      </c>
      <c r="E125" s="35">
        <v>0</v>
      </c>
      <c r="F125" s="66">
        <f>D125+(IF(E125&lt;201,E125,IF(E125&lt;301,E125/2,E125/3)))</f>
        <v>478.24451999999997</v>
      </c>
      <c r="G125" s="66">
        <v>0</v>
      </c>
      <c r="H125" s="66">
        <f t="shared" ref="H125:H126" si="16">F125*(($H$100)+1)+(IF(G125&lt;101,G125,IF(G125&lt;201,G125/2,IF(G125&lt;=301,G125/3,G125/4))))</f>
        <v>741.27900599999998</v>
      </c>
      <c r="J125" s="28">
        <f>8.9*6.27+3.47*0.6</f>
        <v>57.884999999999998</v>
      </c>
    </row>
    <row r="126" spans="1:10" x14ac:dyDescent="0.25">
      <c r="A126" s="73">
        <f>A125+1</f>
        <v>2</v>
      </c>
      <c r="B126" s="74"/>
      <c r="C126" s="35" t="s">
        <v>263</v>
      </c>
      <c r="D126" s="66">
        <f>(131.48)*10.764</f>
        <v>1415.2507199999998</v>
      </c>
      <c r="E126" s="35">
        <v>0</v>
      </c>
      <c r="F126" s="66">
        <f t="shared" ref="F126" si="17">D126+(IF(E126&lt;201,E126,IF(E126&lt;301,E126/2,E126/3)))</f>
        <v>1415.2507199999998</v>
      </c>
      <c r="G126" s="66">
        <f>3.2*2.64+12.95+7.5</f>
        <v>28.898</v>
      </c>
      <c r="H126" s="66">
        <f t="shared" si="16"/>
        <v>2222.5366159999999</v>
      </c>
    </row>
    <row r="127" spans="1:10" x14ac:dyDescent="0.25">
      <c r="A127" s="73"/>
      <c r="B127" s="204"/>
      <c r="C127" s="204"/>
      <c r="D127" s="204"/>
      <c r="E127" s="204"/>
      <c r="F127" s="204"/>
      <c r="G127" s="204"/>
      <c r="H127" s="74"/>
    </row>
    <row r="128" spans="1:10" ht="39.6" x14ac:dyDescent="0.25">
      <c r="A128" s="202" t="s">
        <v>206</v>
      </c>
      <c r="B128" s="100" t="s">
        <v>207</v>
      </c>
      <c r="C128" s="100" t="s">
        <v>257</v>
      </c>
      <c r="D128" s="100" t="s">
        <v>268</v>
      </c>
      <c r="E128" s="100" t="s">
        <v>277</v>
      </c>
      <c r="F128" s="100" t="s">
        <v>208</v>
      </c>
      <c r="G128" s="67" t="s">
        <v>209</v>
      </c>
      <c r="H128" s="63" t="s">
        <v>140</v>
      </c>
    </row>
    <row r="129" spans="1:14" x14ac:dyDescent="0.25">
      <c r="A129" s="203"/>
      <c r="B129" s="101"/>
      <c r="C129" s="101"/>
      <c r="D129" s="101"/>
      <c r="E129" s="101"/>
      <c r="F129" s="101"/>
      <c r="G129" s="68"/>
      <c r="H129" s="65">
        <v>0.5</v>
      </c>
    </row>
    <row r="130" spans="1:14" x14ac:dyDescent="0.25">
      <c r="A130" s="99" t="s">
        <v>278</v>
      </c>
      <c r="B130" s="99"/>
      <c r="C130" s="99"/>
      <c r="D130" s="99"/>
      <c r="E130" s="99"/>
      <c r="F130" s="99"/>
      <c r="G130" s="99"/>
      <c r="H130" s="102"/>
    </row>
    <row r="131" spans="1:14" ht="13.2" hidden="1" customHeight="1" x14ac:dyDescent="0.25">
      <c r="A131" s="99" t="s">
        <v>258</v>
      </c>
      <c r="B131" s="99"/>
      <c r="C131" s="99"/>
      <c r="D131" s="99"/>
      <c r="E131" s="99"/>
      <c r="F131" s="99"/>
      <c r="G131" s="99"/>
      <c r="H131" s="99"/>
    </row>
    <row r="132" spans="1:14" ht="13.2" customHeight="1" x14ac:dyDescent="0.25">
      <c r="A132" s="99" t="s">
        <v>269</v>
      </c>
      <c r="B132" s="99"/>
      <c r="C132" s="99"/>
      <c r="D132" s="99"/>
      <c r="E132" s="99"/>
      <c r="F132" s="99"/>
      <c r="G132" s="99"/>
      <c r="H132" s="99"/>
      <c r="I132" s="28">
        <v>1</v>
      </c>
      <c r="L132" s="66">
        <v>10.763999999999999</v>
      </c>
    </row>
    <row r="133" spans="1:14" x14ac:dyDescent="0.25">
      <c r="A133" s="73">
        <v>1</v>
      </c>
      <c r="B133" s="74"/>
      <c r="C133" s="35" t="s">
        <v>55</v>
      </c>
      <c r="D133" s="66">
        <f>(40.34)*10.764</f>
        <v>434.21976000000001</v>
      </c>
      <c r="E133" s="66">
        <f>(1.2*(3.05+2.2+3.15))*10.764</f>
        <v>108.50112</v>
      </c>
      <c r="F133" s="66">
        <f>D133+E133</f>
        <v>542.72087999999997</v>
      </c>
      <c r="G133" s="66">
        <v>0</v>
      </c>
      <c r="H133" s="66">
        <f>F133*(($H$129)+1)+(IF(G133&lt;101,G133,IF(G133&lt;201,G133/2,IF(G133&lt;=301,G133/3,G133/4))))</f>
        <v>814.08132000000001</v>
      </c>
    </row>
    <row r="134" spans="1:14" x14ac:dyDescent="0.25">
      <c r="A134" s="73">
        <f>A133+1</f>
        <v>2</v>
      </c>
      <c r="B134" s="74"/>
      <c r="C134" s="35" t="s">
        <v>55</v>
      </c>
      <c r="D134" s="66">
        <f>(40.34)*10.764</f>
        <v>434.21976000000001</v>
      </c>
      <c r="E134" s="66">
        <f>(1.2*(3.05+2.2+3.15))*10.764</f>
        <v>108.50112</v>
      </c>
      <c r="F134" s="66">
        <f t="shared" ref="F134:F138" si="18">D134+E134</f>
        <v>542.72087999999997</v>
      </c>
      <c r="G134" s="66">
        <v>0</v>
      </c>
      <c r="H134" s="66">
        <f t="shared" ref="H134:H138" si="19">F134*(($H$129)+1)+(IF(G134&lt;101,G134,IF(G134&lt;201,G134/2,IF(G134&lt;=301,G134/3,G134/4))))</f>
        <v>814.08132000000001</v>
      </c>
      <c r="J134" s="28">
        <f>3.05*4.95+2.2*2.5+4.35*3.65+1.22*2.15+2.2*1.22+1.63*0.6+0.9*2.4</f>
        <v>44.919999999999987</v>
      </c>
    </row>
    <row r="135" spans="1:14" x14ac:dyDescent="0.25">
      <c r="A135" s="73">
        <f t="shared" ref="A135:A140" si="20">A134+1</f>
        <v>3</v>
      </c>
      <c r="B135" s="74"/>
      <c r="C135" s="35" t="s">
        <v>259</v>
      </c>
      <c r="D135" s="66">
        <f>(57.16)*10.764</f>
        <v>615.27023999999994</v>
      </c>
      <c r="E135" s="66">
        <f>(1.2*(3+6.55))*10.764</f>
        <v>123.35544</v>
      </c>
      <c r="F135" s="66">
        <f t="shared" si="18"/>
        <v>738.62567999999999</v>
      </c>
      <c r="G135" s="66">
        <v>0</v>
      </c>
      <c r="H135" s="66">
        <f t="shared" si="19"/>
        <v>1107.9385199999999</v>
      </c>
      <c r="J135" s="28">
        <f>6.1*3+2.2*3.1+3.1*2.9+3.2*3+2*1.4+2.2*1.4+2.1*0.6+3*0.9+1.4*0.9</f>
        <v>54.809999999999995</v>
      </c>
    </row>
    <row r="136" spans="1:14" x14ac:dyDescent="0.25">
      <c r="A136" s="73">
        <f t="shared" si="20"/>
        <v>4</v>
      </c>
      <c r="B136" s="74"/>
      <c r="C136" s="35" t="s">
        <v>259</v>
      </c>
      <c r="D136" s="66">
        <f>(57.16)*10.764</f>
        <v>615.27023999999994</v>
      </c>
      <c r="E136" s="66">
        <f>(1.2*(3+6.55))*10.764</f>
        <v>123.35544</v>
      </c>
      <c r="F136" s="66">
        <f t="shared" si="18"/>
        <v>738.62567999999999</v>
      </c>
      <c r="G136" s="66">
        <v>0</v>
      </c>
      <c r="H136" s="66">
        <f t="shared" si="19"/>
        <v>1107.9385199999999</v>
      </c>
    </row>
    <row r="137" spans="1:14" x14ac:dyDescent="0.25">
      <c r="A137" s="73">
        <f t="shared" si="20"/>
        <v>5</v>
      </c>
      <c r="B137" s="74"/>
      <c r="C137" s="35" t="s">
        <v>55</v>
      </c>
      <c r="D137" s="66">
        <f>(40.55)*10.764</f>
        <v>436.48019999999997</v>
      </c>
      <c r="E137" s="66">
        <f>(1.2*(3.05+2.2+3.15))*10.764</f>
        <v>108.50112</v>
      </c>
      <c r="F137" s="66">
        <f t="shared" si="18"/>
        <v>544.98131999999998</v>
      </c>
      <c r="G137" s="66">
        <v>0</v>
      </c>
      <c r="H137" s="66">
        <f t="shared" si="19"/>
        <v>817.47198000000003</v>
      </c>
    </row>
    <row r="138" spans="1:14" x14ac:dyDescent="0.25">
      <c r="A138" s="73">
        <f t="shared" si="20"/>
        <v>6</v>
      </c>
      <c r="B138" s="74"/>
      <c r="C138" s="35" t="s">
        <v>55</v>
      </c>
      <c r="D138" s="66">
        <f>(40.55)*10.764</f>
        <v>436.48019999999997</v>
      </c>
      <c r="E138" s="66">
        <f>(1.2*(3.05+2.2+3.15))*10.764</f>
        <v>108.50112</v>
      </c>
      <c r="F138" s="66">
        <f t="shared" si="18"/>
        <v>544.98131999999998</v>
      </c>
      <c r="G138" s="66">
        <v>0</v>
      </c>
      <c r="H138" s="66">
        <f t="shared" si="19"/>
        <v>817.47198000000003</v>
      </c>
    </row>
    <row r="139" spans="1:14" x14ac:dyDescent="0.25">
      <c r="A139" s="73">
        <f t="shared" si="20"/>
        <v>7</v>
      </c>
      <c r="B139" s="74"/>
      <c r="C139" s="227" t="s">
        <v>260</v>
      </c>
      <c r="D139" s="228"/>
      <c r="E139" s="228"/>
      <c r="F139" s="228"/>
      <c r="G139" s="228"/>
      <c r="H139" s="229"/>
    </row>
    <row r="140" spans="1:14" x14ac:dyDescent="0.25">
      <c r="A140" s="73">
        <f t="shared" si="20"/>
        <v>8</v>
      </c>
      <c r="B140" s="74"/>
      <c r="C140" s="230"/>
      <c r="D140" s="231"/>
      <c r="E140" s="231"/>
      <c r="F140" s="231"/>
      <c r="G140" s="231"/>
      <c r="H140" s="232"/>
    </row>
    <row r="141" spans="1:14" ht="13.2" customHeight="1" x14ac:dyDescent="0.25">
      <c r="A141" s="99" t="s">
        <v>270</v>
      </c>
      <c r="B141" s="99"/>
      <c r="C141" s="99"/>
      <c r="D141" s="99"/>
      <c r="E141" s="99"/>
      <c r="F141" s="99"/>
      <c r="G141" s="99"/>
      <c r="H141" s="99"/>
      <c r="I141" s="28">
        <v>1</v>
      </c>
      <c r="N141" s="28">
        <v>5800</v>
      </c>
    </row>
    <row r="142" spans="1:14" x14ac:dyDescent="0.25">
      <c r="A142" s="73">
        <v>1</v>
      </c>
      <c r="B142" s="74"/>
      <c r="C142" s="35" t="s">
        <v>55</v>
      </c>
      <c r="D142" s="66">
        <f>(40.34)*10.764</f>
        <v>434.21976000000001</v>
      </c>
      <c r="E142" s="66">
        <f>(1.2*(3.05+2.2+3.15))*10.764</f>
        <v>108.50112</v>
      </c>
      <c r="F142" s="66">
        <f>D142+E142</f>
        <v>542.72087999999997</v>
      </c>
      <c r="G142" s="66">
        <v>0</v>
      </c>
      <c r="H142" s="66">
        <f>F142*(($H$129)+1)+(IF(G142&lt;101,G142,IF(G142&lt;201,G142/2,IF(G142&lt;=301,G142/3,G142/4))))</f>
        <v>814.08132000000001</v>
      </c>
      <c r="L142" s="28">
        <v>4500000</v>
      </c>
      <c r="M142" s="28">
        <f>L142/H142</f>
        <v>5527.7033011886333</v>
      </c>
      <c r="N142" s="28">
        <f>$N$141*H142</f>
        <v>4721671.6560000004</v>
      </c>
    </row>
    <row r="143" spans="1:14" x14ac:dyDescent="0.25">
      <c r="A143" s="73">
        <f>A142+1</f>
        <v>2</v>
      </c>
      <c r="B143" s="74"/>
      <c r="C143" s="35" t="s">
        <v>55</v>
      </c>
      <c r="D143" s="66">
        <f>(40.34)*10.764</f>
        <v>434.21976000000001</v>
      </c>
      <c r="E143" s="66">
        <f>(1.2*(3.05+2.2+3.15))*10.764</f>
        <v>108.50112</v>
      </c>
      <c r="F143" s="66">
        <f t="shared" ref="F143:F147" si="21">D143+E143</f>
        <v>542.72087999999997</v>
      </c>
      <c r="G143" s="66">
        <v>0</v>
      </c>
      <c r="H143" s="66">
        <f t="shared" ref="H143:H147" si="22">F143*(($H$129)+1)+(IF(G143&lt;101,G143,IF(G143&lt;201,G143/2,IF(G143&lt;=301,G143/3,G143/4))))</f>
        <v>814.08132000000001</v>
      </c>
      <c r="J143" s="28">
        <f>3.05*4.95+2.2*2.5+4.35*3.65+1.22*2.15+2.2*1.22+1.63*0.6+0.9*2.4</f>
        <v>44.919999999999987</v>
      </c>
      <c r="N143" s="28">
        <f t="shared" ref="N143:N147" si="23">$N$141*H143</f>
        <v>4721671.6560000004</v>
      </c>
    </row>
    <row r="144" spans="1:14" x14ac:dyDescent="0.25">
      <c r="A144" s="73">
        <f t="shared" ref="A144:A149" si="24">A143+1</f>
        <v>3</v>
      </c>
      <c r="B144" s="74"/>
      <c r="C144" s="35" t="s">
        <v>259</v>
      </c>
      <c r="D144" s="66">
        <f>(57.16)*10.764</f>
        <v>615.27023999999994</v>
      </c>
      <c r="E144" s="66">
        <f>(1.2*(3+6.55))*10.764</f>
        <v>123.35544</v>
      </c>
      <c r="F144" s="66">
        <f t="shared" si="21"/>
        <v>738.62567999999999</v>
      </c>
      <c r="G144" s="66">
        <v>0</v>
      </c>
      <c r="H144" s="66">
        <f t="shared" si="22"/>
        <v>1107.9385199999999</v>
      </c>
      <c r="J144" s="28">
        <f>6.1*3+2.2*3.1+3.1*2.9+3.2*3+2*1.4+2.2*1.4+2.1*0.6+3*0.9+1.4*0.9</f>
        <v>54.809999999999995</v>
      </c>
      <c r="L144" s="28">
        <v>6800000</v>
      </c>
      <c r="M144" s="28">
        <f>L144/H144</f>
        <v>6137.5246705927329</v>
      </c>
      <c r="N144" s="28">
        <f>$N$141*H144</f>
        <v>6426043.4159999993</v>
      </c>
    </row>
    <row r="145" spans="1:14" x14ac:dyDescent="0.25">
      <c r="A145" s="73">
        <f t="shared" si="24"/>
        <v>4</v>
      </c>
      <c r="B145" s="74"/>
      <c r="C145" s="35" t="s">
        <v>259</v>
      </c>
      <c r="D145" s="66">
        <f>(57.16)*10.764</f>
        <v>615.27023999999994</v>
      </c>
      <c r="E145" s="66">
        <f>(1.2*(3+6.55))*10.764</f>
        <v>123.35544</v>
      </c>
      <c r="F145" s="66">
        <f t="shared" si="21"/>
        <v>738.62567999999999</v>
      </c>
      <c r="G145" s="66">
        <v>0</v>
      </c>
      <c r="H145" s="66">
        <f t="shared" si="22"/>
        <v>1107.9385199999999</v>
      </c>
      <c r="N145" s="28">
        <f t="shared" si="23"/>
        <v>6426043.4159999993</v>
      </c>
    </row>
    <row r="146" spans="1:14" x14ac:dyDescent="0.25">
      <c r="A146" s="73">
        <f t="shared" si="24"/>
        <v>5</v>
      </c>
      <c r="B146" s="74"/>
      <c r="C146" s="35" t="s">
        <v>55</v>
      </c>
      <c r="D146" s="66">
        <f>(40.55)*10.764</f>
        <v>436.48019999999997</v>
      </c>
      <c r="E146" s="66">
        <f>(1.2*(3.05+2.2+3.15))*10.764</f>
        <v>108.50112</v>
      </c>
      <c r="F146" s="66">
        <f t="shared" si="21"/>
        <v>544.98131999999998</v>
      </c>
      <c r="G146" s="66">
        <v>0</v>
      </c>
      <c r="H146" s="66">
        <f t="shared" si="22"/>
        <v>817.47198000000003</v>
      </c>
      <c r="N146" s="28">
        <f t="shared" si="23"/>
        <v>4741337.4840000002</v>
      </c>
    </row>
    <row r="147" spans="1:14" x14ac:dyDescent="0.25">
      <c r="A147" s="73">
        <f t="shared" si="24"/>
        <v>6</v>
      </c>
      <c r="B147" s="74"/>
      <c r="C147" s="35" t="s">
        <v>55</v>
      </c>
      <c r="D147" s="66">
        <f>(40.55)*10.764</f>
        <v>436.48019999999997</v>
      </c>
      <c r="E147" s="66">
        <f>(1.2*(3.05+2.2+3.15))*10.764</f>
        <v>108.50112</v>
      </c>
      <c r="F147" s="66">
        <f t="shared" si="21"/>
        <v>544.98131999999998</v>
      </c>
      <c r="G147" s="66">
        <v>0</v>
      </c>
      <c r="H147" s="66">
        <f t="shared" si="22"/>
        <v>817.47198000000003</v>
      </c>
      <c r="N147" s="28">
        <f t="shared" si="23"/>
        <v>4741337.4840000002</v>
      </c>
    </row>
    <row r="148" spans="1:14" x14ac:dyDescent="0.25">
      <c r="A148" s="73">
        <f t="shared" si="24"/>
        <v>7</v>
      </c>
      <c r="B148" s="74"/>
      <c r="C148" s="227" t="s">
        <v>260</v>
      </c>
      <c r="D148" s="228"/>
      <c r="E148" s="228"/>
      <c r="F148" s="228"/>
      <c r="G148" s="228"/>
      <c r="H148" s="229"/>
    </row>
    <row r="149" spans="1:14" x14ac:dyDescent="0.25">
      <c r="A149" s="73">
        <f t="shared" si="24"/>
        <v>8</v>
      </c>
      <c r="B149" s="74"/>
      <c r="C149" s="230"/>
      <c r="D149" s="231"/>
      <c r="E149" s="231"/>
      <c r="F149" s="231"/>
      <c r="G149" s="231"/>
      <c r="H149" s="232"/>
    </row>
    <row r="150" spans="1:14" ht="13.2" customHeight="1" x14ac:dyDescent="0.25">
      <c r="A150" s="99" t="s">
        <v>271</v>
      </c>
      <c r="B150" s="99"/>
      <c r="C150" s="99"/>
      <c r="D150" s="99"/>
      <c r="E150" s="99"/>
      <c r="F150" s="99"/>
      <c r="G150" s="99"/>
      <c r="H150" s="99"/>
      <c r="I150" s="28">
        <v>1</v>
      </c>
    </row>
    <row r="151" spans="1:14" x14ac:dyDescent="0.25">
      <c r="A151" s="73">
        <v>1</v>
      </c>
      <c r="B151" s="74"/>
      <c r="C151" s="35" t="s">
        <v>55</v>
      </c>
      <c r="D151" s="66">
        <f>(40.34)*10.764</f>
        <v>434.21976000000001</v>
      </c>
      <c r="E151" s="66">
        <f>(1.2*(3.05+2.2+3.15))*10.764</f>
        <v>108.50112</v>
      </c>
      <c r="F151" s="66">
        <f>D151+E151</f>
        <v>542.72087999999997</v>
      </c>
      <c r="G151" s="66">
        <v>0</v>
      </c>
      <c r="H151" s="66">
        <f>F151*(($H$129)+1)+(IF(G151&lt;101,G151,IF(G151&lt;201,G151/2,IF(G151&lt;=301,G151/3,G151/4))))</f>
        <v>814.08132000000001</v>
      </c>
      <c r="L151" s="28">
        <v>3200000</v>
      </c>
      <c r="M151" s="28">
        <f>L151/F151</f>
        <v>5896.216854601209</v>
      </c>
    </row>
    <row r="152" spans="1:14" x14ac:dyDescent="0.25">
      <c r="A152" s="73">
        <f>A151+1</f>
        <v>2</v>
      </c>
      <c r="B152" s="74"/>
      <c r="C152" s="35" t="s">
        <v>55</v>
      </c>
      <c r="D152" s="66">
        <f>(40.34)*10.764</f>
        <v>434.21976000000001</v>
      </c>
      <c r="E152" s="66">
        <f>(1.2*(3.05+2.2+3.15))*10.764</f>
        <v>108.50112</v>
      </c>
      <c r="F152" s="66">
        <f t="shared" ref="F152:F156" si="25">D152+E152</f>
        <v>542.72087999999997</v>
      </c>
      <c r="G152" s="66">
        <v>0</v>
      </c>
      <c r="H152" s="66">
        <f t="shared" ref="H152:H156" si="26">F152*(($H$129)+1)+(IF(G152&lt;101,G152,IF(G152&lt;201,G152/2,IF(G152&lt;=301,G152/3,G152/4))))</f>
        <v>814.08132000000001</v>
      </c>
      <c r="J152" s="28">
        <f>3.05*4.95+2.2*2.5+4.35*3.65+1.22*2.15+2.2*1.22+1.63*0.6+0.9*2.4</f>
        <v>44.919999999999987</v>
      </c>
    </row>
    <row r="153" spans="1:14" x14ac:dyDescent="0.25">
      <c r="A153" s="73">
        <f t="shared" ref="A153:A158" si="27">A152+1</f>
        <v>3</v>
      </c>
      <c r="B153" s="74"/>
      <c r="C153" s="35" t="s">
        <v>259</v>
      </c>
      <c r="D153" s="66">
        <f>(57.16)*10.764</f>
        <v>615.27023999999994</v>
      </c>
      <c r="E153" s="66">
        <f>(1.2*(3+6.55))*10.764</f>
        <v>123.35544</v>
      </c>
      <c r="F153" s="66">
        <f t="shared" si="25"/>
        <v>738.62567999999999</v>
      </c>
      <c r="G153" s="66">
        <v>0</v>
      </c>
      <c r="H153" s="66">
        <f t="shared" si="26"/>
        <v>1107.9385199999999</v>
      </c>
      <c r="J153" s="28">
        <f>6.1*3+2.2*3.1+3.1*2.9+3.2*3+2*1.4+2.2*1.4+2.1*0.6+3*0.9+1.4*0.9</f>
        <v>54.809999999999995</v>
      </c>
    </row>
    <row r="154" spans="1:14" x14ac:dyDescent="0.25">
      <c r="A154" s="73">
        <f t="shared" si="27"/>
        <v>4</v>
      </c>
      <c r="B154" s="74"/>
      <c r="C154" s="35" t="s">
        <v>259</v>
      </c>
      <c r="D154" s="66">
        <f>(57.16)*10.764</f>
        <v>615.27023999999994</v>
      </c>
      <c r="E154" s="66">
        <f>(1.2*(3+6.55))*10.764</f>
        <v>123.35544</v>
      </c>
      <c r="F154" s="66">
        <f t="shared" si="25"/>
        <v>738.62567999999999</v>
      </c>
      <c r="G154" s="66">
        <v>0</v>
      </c>
      <c r="H154" s="66">
        <f t="shared" si="26"/>
        <v>1107.9385199999999</v>
      </c>
    </row>
    <row r="155" spans="1:14" x14ac:dyDescent="0.25">
      <c r="A155" s="73">
        <f t="shared" si="27"/>
        <v>5</v>
      </c>
      <c r="B155" s="74"/>
      <c r="C155" s="35" t="s">
        <v>55</v>
      </c>
      <c r="D155" s="66">
        <f>(40.55)*10.764</f>
        <v>436.48019999999997</v>
      </c>
      <c r="E155" s="66">
        <f>(1.2*(3.05+2.2+3.15))*10.764</f>
        <v>108.50112</v>
      </c>
      <c r="F155" s="66">
        <f t="shared" si="25"/>
        <v>544.98131999999998</v>
      </c>
      <c r="G155" s="66">
        <v>0</v>
      </c>
      <c r="H155" s="66">
        <f t="shared" si="26"/>
        <v>817.47198000000003</v>
      </c>
    </row>
    <row r="156" spans="1:14" x14ac:dyDescent="0.25">
      <c r="A156" s="73">
        <f t="shared" si="27"/>
        <v>6</v>
      </c>
      <c r="B156" s="74"/>
      <c r="C156" s="35" t="s">
        <v>55</v>
      </c>
      <c r="D156" s="66">
        <f>(40.55)*10.764</f>
        <v>436.48019999999997</v>
      </c>
      <c r="E156" s="66">
        <f>(1.2*(3.05+2.2+3.15))*10.764</f>
        <v>108.50112</v>
      </c>
      <c r="F156" s="66">
        <f t="shared" si="25"/>
        <v>544.98131999999998</v>
      </c>
      <c r="G156" s="66">
        <v>0</v>
      </c>
      <c r="H156" s="66">
        <f t="shared" si="26"/>
        <v>817.47198000000003</v>
      </c>
    </row>
    <row r="157" spans="1:14" x14ac:dyDescent="0.25">
      <c r="A157" s="73">
        <f t="shared" si="27"/>
        <v>7</v>
      </c>
      <c r="B157" s="74"/>
      <c r="C157" s="227" t="s">
        <v>260</v>
      </c>
      <c r="D157" s="228"/>
      <c r="E157" s="228"/>
      <c r="F157" s="228"/>
      <c r="G157" s="228"/>
      <c r="H157" s="229"/>
    </row>
    <row r="158" spans="1:14" x14ac:dyDescent="0.25">
      <c r="A158" s="73">
        <f t="shared" si="27"/>
        <v>8</v>
      </c>
      <c r="B158" s="74"/>
      <c r="C158" s="230"/>
      <c r="D158" s="231"/>
      <c r="E158" s="231"/>
      <c r="F158" s="231"/>
      <c r="G158" s="231"/>
      <c r="H158" s="232"/>
    </row>
    <row r="159" spans="1:14" ht="13.2" customHeight="1" x14ac:dyDescent="0.25">
      <c r="A159" s="99" t="s">
        <v>272</v>
      </c>
      <c r="B159" s="99"/>
      <c r="C159" s="99"/>
      <c r="D159" s="99"/>
      <c r="E159" s="99"/>
      <c r="F159" s="99"/>
      <c r="G159" s="99"/>
      <c r="H159" s="99"/>
      <c r="I159" s="28">
        <v>1</v>
      </c>
    </row>
    <row r="160" spans="1:14" x14ac:dyDescent="0.25">
      <c r="A160" s="73">
        <v>1</v>
      </c>
      <c r="B160" s="74"/>
      <c r="C160" s="35" t="s">
        <v>55</v>
      </c>
      <c r="D160" s="66">
        <f>(40.34)*10.764</f>
        <v>434.21976000000001</v>
      </c>
      <c r="E160" s="66">
        <f>(1.2*(3.05+2.2+3.15))*10.764</f>
        <v>108.50112</v>
      </c>
      <c r="F160" s="66">
        <f>D160+E160</f>
        <v>542.72087999999997</v>
      </c>
      <c r="G160" s="66">
        <v>0</v>
      </c>
      <c r="H160" s="66">
        <f>F160*(($H$129)+1)+(IF(G160&lt;101,G160,IF(G160&lt;201,G160/2,IF(G160&lt;=301,G160/3,G160/4))))</f>
        <v>814.08132000000001</v>
      </c>
      <c r="L160" s="28">
        <v>3799000</v>
      </c>
      <c r="M160" s="28">
        <f>L160/H160</f>
        <v>4666.6099647145811</v>
      </c>
    </row>
    <row r="161" spans="1:13" x14ac:dyDescent="0.25">
      <c r="A161" s="73">
        <f>A160+1</f>
        <v>2</v>
      </c>
      <c r="B161" s="74"/>
      <c r="C161" s="35" t="s">
        <v>55</v>
      </c>
      <c r="D161" s="66">
        <f>(40.34)*10.764</f>
        <v>434.21976000000001</v>
      </c>
      <c r="E161" s="66">
        <f>(1.2*(3.05+2.2+3.15))*10.764</f>
        <v>108.50112</v>
      </c>
      <c r="F161" s="66">
        <f t="shared" ref="F161:F165" si="28">D161+E161</f>
        <v>542.72087999999997</v>
      </c>
      <c r="G161" s="66">
        <v>0</v>
      </c>
      <c r="H161" s="66">
        <f t="shared" ref="H161:H165" si="29">F161*(($H$129)+1)+(IF(G161&lt;101,G161,IF(G161&lt;201,G161/2,IF(G161&lt;=301,G161/3,G161/4))))</f>
        <v>814.08132000000001</v>
      </c>
      <c r="J161" s="28">
        <f>3.05*4.95+2.2*2.5+4.35*3.65+1.22*2.15+2.2*1.22+1.63*0.6+0.9*2.4</f>
        <v>44.919999999999987</v>
      </c>
    </row>
    <row r="162" spans="1:13" x14ac:dyDescent="0.25">
      <c r="A162" s="73">
        <f t="shared" ref="A162:A167" si="30">A161+1</f>
        <v>3</v>
      </c>
      <c r="B162" s="74"/>
      <c r="C162" s="35" t="s">
        <v>259</v>
      </c>
      <c r="D162" s="66">
        <f>(57.16)*10.764</f>
        <v>615.27023999999994</v>
      </c>
      <c r="E162" s="66">
        <f>(1.2*(3+6.55))*10.764</f>
        <v>123.35544</v>
      </c>
      <c r="F162" s="66">
        <f t="shared" si="28"/>
        <v>738.62567999999999</v>
      </c>
      <c r="G162" s="66">
        <v>0</v>
      </c>
      <c r="H162" s="66">
        <f t="shared" si="29"/>
        <v>1107.9385199999999</v>
      </c>
      <c r="J162" s="28">
        <f>6.1*3+2.2*3.1+3.1*2.9+3.2*3+2*1.4+2.2*1.4+2.1*0.6+3*0.9+1.4*0.9</f>
        <v>54.809999999999995</v>
      </c>
    </row>
    <row r="163" spans="1:13" x14ac:dyDescent="0.25">
      <c r="A163" s="73">
        <f t="shared" si="30"/>
        <v>4</v>
      </c>
      <c r="B163" s="74"/>
      <c r="C163" s="35" t="s">
        <v>259</v>
      </c>
      <c r="D163" s="66">
        <f>(57.16)*10.764</f>
        <v>615.27023999999994</v>
      </c>
      <c r="E163" s="66">
        <f>(1.2*(3+6.55))*10.764</f>
        <v>123.35544</v>
      </c>
      <c r="F163" s="66">
        <f t="shared" si="28"/>
        <v>738.62567999999999</v>
      </c>
      <c r="G163" s="66">
        <v>0</v>
      </c>
      <c r="H163" s="66">
        <f t="shared" si="29"/>
        <v>1107.9385199999999</v>
      </c>
    </row>
    <row r="164" spans="1:13" x14ac:dyDescent="0.25">
      <c r="A164" s="73">
        <f t="shared" si="30"/>
        <v>5</v>
      </c>
      <c r="B164" s="74"/>
      <c r="C164" s="35" t="s">
        <v>55</v>
      </c>
      <c r="D164" s="66">
        <f>(40.55)*10.764</f>
        <v>436.48019999999997</v>
      </c>
      <c r="E164" s="66">
        <f>(1.2*(3.05+2.2+3.15))*10.764</f>
        <v>108.50112</v>
      </c>
      <c r="F164" s="66">
        <f t="shared" si="28"/>
        <v>544.98131999999998</v>
      </c>
      <c r="G164" s="66">
        <v>0</v>
      </c>
      <c r="H164" s="66">
        <f t="shared" si="29"/>
        <v>817.47198000000003</v>
      </c>
    </row>
    <row r="165" spans="1:13" x14ac:dyDescent="0.25">
      <c r="A165" s="73">
        <f t="shared" si="30"/>
        <v>6</v>
      </c>
      <c r="B165" s="74"/>
      <c r="C165" s="35" t="s">
        <v>55</v>
      </c>
      <c r="D165" s="66">
        <f>(40.55)*10.764</f>
        <v>436.48019999999997</v>
      </c>
      <c r="E165" s="66">
        <f>(1.2*(3.05+2.2+3.15))*10.764</f>
        <v>108.50112</v>
      </c>
      <c r="F165" s="66">
        <f t="shared" si="28"/>
        <v>544.98131999999998</v>
      </c>
      <c r="G165" s="66">
        <v>0</v>
      </c>
      <c r="H165" s="66">
        <f t="shared" si="29"/>
        <v>817.47198000000003</v>
      </c>
    </row>
    <row r="166" spans="1:13" x14ac:dyDescent="0.25">
      <c r="A166" s="73">
        <f t="shared" si="30"/>
        <v>7</v>
      </c>
      <c r="B166" s="74"/>
      <c r="C166" s="35" t="s">
        <v>259</v>
      </c>
      <c r="D166" s="66">
        <f>(57.16)*10.764</f>
        <v>615.27023999999994</v>
      </c>
      <c r="E166" s="66">
        <f>(1.2*(3+6.55))*10.764</f>
        <v>123.35544</v>
      </c>
      <c r="F166" s="66">
        <f t="shared" ref="F166:F167" si="31">D166+E166</f>
        <v>738.62567999999999</v>
      </c>
      <c r="G166" s="66">
        <v>0</v>
      </c>
      <c r="H166" s="66">
        <f t="shared" ref="H166:H167" si="32">F166*(($H$129)+1)+(IF(G166&lt;101,G166,IF(G166&lt;201,G166/2,IF(G166&lt;=301,G166/3,G166/4))))</f>
        <v>1107.9385199999999</v>
      </c>
    </row>
    <row r="167" spans="1:13" x14ac:dyDescent="0.25">
      <c r="A167" s="73">
        <f t="shared" si="30"/>
        <v>8</v>
      </c>
      <c r="B167" s="74"/>
      <c r="C167" s="35" t="s">
        <v>259</v>
      </c>
      <c r="D167" s="66">
        <f>(57.16)*10.764</f>
        <v>615.27023999999994</v>
      </c>
      <c r="E167" s="66">
        <f>(1.2*(3+6.55))*10.764</f>
        <v>123.35544</v>
      </c>
      <c r="F167" s="66">
        <f t="shared" si="31"/>
        <v>738.62567999999999</v>
      </c>
      <c r="G167" s="66">
        <v>0</v>
      </c>
      <c r="H167" s="66">
        <f t="shared" si="32"/>
        <v>1107.9385199999999</v>
      </c>
    </row>
    <row r="168" spans="1:13" ht="13.2" customHeight="1" x14ac:dyDescent="0.25">
      <c r="A168" s="99" t="s">
        <v>273</v>
      </c>
      <c r="B168" s="99"/>
      <c r="C168" s="99"/>
      <c r="D168" s="99"/>
      <c r="E168" s="99"/>
      <c r="F168" s="99"/>
      <c r="G168" s="99"/>
      <c r="H168" s="99"/>
      <c r="I168" s="28">
        <f>3+4+2</f>
        <v>9</v>
      </c>
    </row>
    <row r="169" spans="1:13" x14ac:dyDescent="0.25">
      <c r="A169" s="73">
        <v>1</v>
      </c>
      <c r="B169" s="74"/>
      <c r="C169" s="35" t="s">
        <v>55</v>
      </c>
      <c r="D169" s="66">
        <f>(40.34)*10.764</f>
        <v>434.21976000000001</v>
      </c>
      <c r="E169" s="66">
        <f>(1.2*(3.05+2.2+3.15))*10.764</f>
        <v>108.50112</v>
      </c>
      <c r="F169" s="66">
        <f>D169+E169</f>
        <v>542.72087999999997</v>
      </c>
      <c r="G169" s="66">
        <v>0</v>
      </c>
      <c r="H169" s="66">
        <f>F169*(($H$129)+1)+(IF(G169&lt;101,G169,IF(G169&lt;201,G169/2,IF(G169&lt;=301,G169/3,G169/4))))</f>
        <v>814.08132000000001</v>
      </c>
      <c r="L169" s="28">
        <v>3800000</v>
      </c>
      <c r="M169" s="28">
        <f t="shared" ref="M169:M179" si="33">L169/H169</f>
        <v>4667.838343225957</v>
      </c>
    </row>
    <row r="170" spans="1:13" x14ac:dyDescent="0.25">
      <c r="A170" s="73">
        <f>A169+1</f>
        <v>2</v>
      </c>
      <c r="B170" s="74"/>
      <c r="C170" s="35" t="s">
        <v>55</v>
      </c>
      <c r="D170" s="66">
        <f>(40.34)*10.764</f>
        <v>434.21976000000001</v>
      </c>
      <c r="E170" s="66">
        <f>(1.2*(3.05+2.2+3.15))*10.764</f>
        <v>108.50112</v>
      </c>
      <c r="F170" s="66">
        <f t="shared" ref="F170:F176" si="34">D170+E170</f>
        <v>542.72087999999997</v>
      </c>
      <c r="G170" s="66">
        <v>0</v>
      </c>
      <c r="H170" s="66">
        <f t="shared" ref="H170:H176" si="35">F170*(($H$129)+1)+(IF(G170&lt;101,G170,IF(G170&lt;201,G170/2,IF(G170&lt;=301,G170/3,G170/4))))</f>
        <v>814.08132000000001</v>
      </c>
      <c r="J170" s="28">
        <f>3.05*4.95+2.2*2.5+4.35*3.65+1.22*2.15+2.2*1.22+1.63*0.6+0.9*2.4</f>
        <v>44.919999999999987</v>
      </c>
      <c r="M170" s="28">
        <f t="shared" si="33"/>
        <v>0</v>
      </c>
    </row>
    <row r="171" spans="1:13" x14ac:dyDescent="0.25">
      <c r="A171" s="73">
        <f t="shared" ref="A171:A176" si="36">A170+1</f>
        <v>3</v>
      </c>
      <c r="B171" s="74"/>
      <c r="C171" s="35" t="s">
        <v>259</v>
      </c>
      <c r="D171" s="66">
        <f>(57.16)*10.764</f>
        <v>615.27023999999994</v>
      </c>
      <c r="E171" s="66">
        <f>(1.2*(3+6.55))*10.764</f>
        <v>123.35544</v>
      </c>
      <c r="F171" s="66">
        <f t="shared" si="34"/>
        <v>738.62567999999999</v>
      </c>
      <c r="G171" s="66">
        <v>0</v>
      </c>
      <c r="H171" s="66">
        <f t="shared" si="35"/>
        <v>1107.9385199999999</v>
      </c>
      <c r="J171" s="28">
        <f>6.1*3+2.2*3.1+3.1*2.9+3.2*3+2*1.4+2.2*1.4+2.1*0.6+3*0.9+1.4*0.9</f>
        <v>54.809999999999995</v>
      </c>
      <c r="L171" s="28">
        <v>5700000</v>
      </c>
      <c r="M171" s="28">
        <f t="shared" si="33"/>
        <v>5144.689797408615</v>
      </c>
    </row>
    <row r="172" spans="1:13" x14ac:dyDescent="0.25">
      <c r="A172" s="73">
        <f t="shared" si="36"/>
        <v>4</v>
      </c>
      <c r="B172" s="74"/>
      <c r="C172" s="35" t="s">
        <v>259</v>
      </c>
      <c r="D172" s="66">
        <f>(57.16)*10.764</f>
        <v>615.27023999999994</v>
      </c>
      <c r="E172" s="66">
        <f>(1.2*(3+6.55))*10.764</f>
        <v>123.35544</v>
      </c>
      <c r="F172" s="66">
        <f t="shared" si="34"/>
        <v>738.62567999999999</v>
      </c>
      <c r="G172" s="66">
        <v>0</v>
      </c>
      <c r="H172" s="66">
        <f t="shared" si="35"/>
        <v>1107.9385199999999</v>
      </c>
      <c r="M172" s="28">
        <f t="shared" si="33"/>
        <v>0</v>
      </c>
    </row>
    <row r="173" spans="1:13" x14ac:dyDescent="0.25">
      <c r="A173" s="73">
        <f t="shared" si="36"/>
        <v>5</v>
      </c>
      <c r="B173" s="74"/>
      <c r="C173" s="35" t="s">
        <v>55</v>
      </c>
      <c r="D173" s="66">
        <f>(40.55)*10.764</f>
        <v>436.48019999999997</v>
      </c>
      <c r="E173" s="66">
        <f>(1.2*(3.05+2.2+3.15))*10.764</f>
        <v>108.50112</v>
      </c>
      <c r="F173" s="66">
        <f t="shared" si="34"/>
        <v>544.98131999999998</v>
      </c>
      <c r="G173" s="66">
        <v>0</v>
      </c>
      <c r="H173" s="66">
        <f t="shared" si="35"/>
        <v>817.47198000000003</v>
      </c>
      <c r="M173" s="28">
        <f t="shared" si="33"/>
        <v>0</v>
      </c>
    </row>
    <row r="174" spans="1:13" x14ac:dyDescent="0.25">
      <c r="A174" s="73">
        <f t="shared" si="36"/>
        <v>6</v>
      </c>
      <c r="B174" s="74"/>
      <c r="C174" s="35" t="s">
        <v>55</v>
      </c>
      <c r="D174" s="66">
        <f>(40.55)*10.764</f>
        <v>436.48019999999997</v>
      </c>
      <c r="E174" s="66">
        <f>(1.2*(3.05+2.2+3.15))*10.764</f>
        <v>108.50112</v>
      </c>
      <c r="F174" s="66">
        <f t="shared" si="34"/>
        <v>544.98131999999998</v>
      </c>
      <c r="G174" s="66">
        <v>0</v>
      </c>
      <c r="H174" s="66">
        <f t="shared" si="35"/>
        <v>817.47198000000003</v>
      </c>
      <c r="M174" s="28">
        <f t="shared" si="33"/>
        <v>0</v>
      </c>
    </row>
    <row r="175" spans="1:13" x14ac:dyDescent="0.25">
      <c r="A175" s="73">
        <f t="shared" si="36"/>
        <v>7</v>
      </c>
      <c r="B175" s="74"/>
      <c r="C175" s="35" t="s">
        <v>259</v>
      </c>
      <c r="D175" s="66">
        <f>(57.16)*10.764</f>
        <v>615.27023999999994</v>
      </c>
      <c r="E175" s="66">
        <f>(1.2*(3+6.55))*10.764</f>
        <v>123.35544</v>
      </c>
      <c r="F175" s="66">
        <f t="shared" si="34"/>
        <v>738.62567999999999</v>
      </c>
      <c r="G175" s="66">
        <v>0</v>
      </c>
      <c r="H175" s="66">
        <f t="shared" si="35"/>
        <v>1107.9385199999999</v>
      </c>
      <c r="M175" s="28">
        <f t="shared" si="33"/>
        <v>0</v>
      </c>
    </row>
    <row r="176" spans="1:13" x14ac:dyDescent="0.25">
      <c r="A176" s="73">
        <f t="shared" si="36"/>
        <v>8</v>
      </c>
      <c r="B176" s="74"/>
      <c r="C176" s="35" t="s">
        <v>259</v>
      </c>
      <c r="D176" s="66">
        <f>(57.16)*10.764</f>
        <v>615.27023999999994</v>
      </c>
      <c r="E176" s="66">
        <f>(1.2*(3+6.55))*10.764</f>
        <v>123.35544</v>
      </c>
      <c r="F176" s="66">
        <f t="shared" si="34"/>
        <v>738.62567999999999</v>
      </c>
      <c r="G176" s="66">
        <v>0</v>
      </c>
      <c r="H176" s="66">
        <f t="shared" si="35"/>
        <v>1107.9385199999999</v>
      </c>
      <c r="M176" s="28">
        <f t="shared" si="33"/>
        <v>0</v>
      </c>
    </row>
    <row r="177" spans="1:13" ht="13.2" customHeight="1" x14ac:dyDescent="0.25">
      <c r="A177" s="99" t="s">
        <v>274</v>
      </c>
      <c r="B177" s="99"/>
      <c r="C177" s="99"/>
      <c r="D177" s="99"/>
      <c r="E177" s="99"/>
      <c r="F177" s="99"/>
      <c r="G177" s="99"/>
      <c r="H177" s="99"/>
      <c r="I177" s="28">
        <v>2</v>
      </c>
      <c r="M177" s="28" t="e">
        <f t="shared" si="33"/>
        <v>#DIV/0!</v>
      </c>
    </row>
    <row r="178" spans="1:13" x14ac:dyDescent="0.25">
      <c r="A178" s="73">
        <v>1</v>
      </c>
      <c r="B178" s="74"/>
      <c r="C178" s="35" t="s">
        <v>55</v>
      </c>
      <c r="D178" s="66">
        <f>(40.34)*10.764</f>
        <v>434.21976000000001</v>
      </c>
      <c r="E178" s="66">
        <f>(1.2*(3.05+2.2+3.15))*10.764</f>
        <v>108.50112</v>
      </c>
      <c r="F178" s="66">
        <f>D178+E178</f>
        <v>542.72087999999997</v>
      </c>
      <c r="G178" s="66">
        <v>0</v>
      </c>
      <c r="H178" s="66">
        <f>F178*(($H$129)+1)+(IF(G178&lt;101,G178,IF(G178&lt;201,G178/2,IF(G178&lt;=301,G178/3,G178/4))))</f>
        <v>814.08132000000001</v>
      </c>
      <c r="M178" s="28">
        <f t="shared" si="33"/>
        <v>0</v>
      </c>
    </row>
    <row r="179" spans="1:13" x14ac:dyDescent="0.25">
      <c r="A179" s="73">
        <f>A178+1</f>
        <v>2</v>
      </c>
      <c r="B179" s="74"/>
      <c r="C179" s="35" t="s">
        <v>55</v>
      </c>
      <c r="D179" s="66">
        <f>(40.34)*10.764</f>
        <v>434.21976000000001</v>
      </c>
      <c r="E179" s="66">
        <f>(1.2*(3.05+2.2+3.15))*10.764</f>
        <v>108.50112</v>
      </c>
      <c r="F179" s="66">
        <f t="shared" ref="F179:F185" si="37">D179+E179</f>
        <v>542.72087999999997</v>
      </c>
      <c r="G179" s="66">
        <v>0</v>
      </c>
      <c r="H179" s="66">
        <f>F179*(($H$129)+1)+(IF(G179&lt;101,G179,IF(G179&lt;201,G179/2,IF(G179&lt;=301,G179/3,G179/4))))</f>
        <v>814.08132000000001</v>
      </c>
      <c r="J179" s="28">
        <f>3.05*4.95+2.2*2.5+4.35*3.65+1.22*2.15+2.2*1.22+1.63*0.6+0.9*2.4</f>
        <v>44.919999999999987</v>
      </c>
      <c r="M179" s="28">
        <f t="shared" si="33"/>
        <v>0</v>
      </c>
    </row>
    <row r="180" spans="1:13" x14ac:dyDescent="0.25">
      <c r="A180" s="73">
        <f t="shared" ref="A180:A185" si="38">A179+1</f>
        <v>3</v>
      </c>
      <c r="B180" s="74"/>
      <c r="C180" s="35" t="s">
        <v>259</v>
      </c>
      <c r="D180" s="66">
        <f>(57.16)*10.764</f>
        <v>615.27023999999994</v>
      </c>
      <c r="E180" s="66">
        <f>(1.2*(3+6.55))*10.764</f>
        <v>123.35544</v>
      </c>
      <c r="F180" s="66">
        <f t="shared" si="37"/>
        <v>738.62567999999999</v>
      </c>
      <c r="G180" s="66">
        <v>0</v>
      </c>
      <c r="H180" s="66">
        <f>F180*(($H$129)+1)+(IF(G180&lt;101,G180,IF(G180&lt;201,G180/2,IF(G180&lt;=301,G180/3,G180/4))))</f>
        <v>1107.9385199999999</v>
      </c>
      <c r="J180" s="28">
        <f>6.1*3+2.2*3.1+3.1*2.9+3.2*3+2*1.4+2.2*1.4+2.1*0.6+3*0.9+1.4*0.9</f>
        <v>54.809999999999995</v>
      </c>
    </row>
    <row r="181" spans="1:13" x14ac:dyDescent="0.25">
      <c r="A181" s="73">
        <f t="shared" si="38"/>
        <v>4</v>
      </c>
      <c r="B181" s="74"/>
      <c r="C181" s="35" t="s">
        <v>259</v>
      </c>
      <c r="D181" s="66">
        <f>(57.16)*10.764</f>
        <v>615.27023999999994</v>
      </c>
      <c r="E181" s="66">
        <f>(1.2*(3+6.55))*10.764</f>
        <v>123.35544</v>
      </c>
      <c r="F181" s="66">
        <f t="shared" si="37"/>
        <v>738.62567999999999</v>
      </c>
      <c r="G181" s="66">
        <v>0</v>
      </c>
      <c r="H181" s="66">
        <f>F181*(($H$129)+1)+(IF(G181&lt;101,G181,IF(G181&lt;201,G181/2,IF(G181&lt;=301,G181/3,G181/4))))</f>
        <v>1107.9385199999999</v>
      </c>
    </row>
    <row r="182" spans="1:13" x14ac:dyDescent="0.25">
      <c r="A182" s="73">
        <f t="shared" si="38"/>
        <v>5</v>
      </c>
      <c r="B182" s="74"/>
      <c r="C182" s="35" t="s">
        <v>55</v>
      </c>
      <c r="D182" s="66">
        <f>(40.55)*10.764</f>
        <v>436.48019999999997</v>
      </c>
      <c r="E182" s="66">
        <f>(1.2*(3.05+2.2+3.15))*10.764</f>
        <v>108.50112</v>
      </c>
      <c r="F182" s="66">
        <f t="shared" si="37"/>
        <v>544.98131999999998</v>
      </c>
      <c r="G182" s="66">
        <v>0</v>
      </c>
      <c r="H182" s="66">
        <f>F182*(($H$129)+1)+(IF(G182&lt;101,G182,IF(G182&lt;201,G182/2,IF(G182&lt;=301,G182/3,G182/4))))</f>
        <v>817.47198000000003</v>
      </c>
    </row>
    <row r="183" spans="1:13" x14ac:dyDescent="0.25">
      <c r="A183" s="73">
        <f t="shared" si="38"/>
        <v>6</v>
      </c>
      <c r="B183" s="74"/>
      <c r="C183" s="73" t="s">
        <v>275</v>
      </c>
      <c r="D183" s="204"/>
      <c r="E183" s="204"/>
      <c r="F183" s="204"/>
      <c r="G183" s="204"/>
      <c r="H183" s="74"/>
    </row>
    <row r="184" spans="1:13" x14ac:dyDescent="0.25">
      <c r="A184" s="73">
        <f t="shared" si="38"/>
        <v>7</v>
      </c>
      <c r="B184" s="74"/>
      <c r="C184" s="35" t="s">
        <v>259</v>
      </c>
      <c r="D184" s="66">
        <f>(57.16)*10.764</f>
        <v>615.27023999999994</v>
      </c>
      <c r="E184" s="66">
        <f>(1.2*(3+6.55))*10.764</f>
        <v>123.35544</v>
      </c>
      <c r="F184" s="66">
        <f t="shared" si="37"/>
        <v>738.62567999999999</v>
      </c>
      <c r="G184" s="66">
        <v>0</v>
      </c>
      <c r="H184" s="66">
        <f>F184*(($H$129)+1)+(IF(G184&lt;101,G184,IF(G184&lt;201,G184/2,IF(G184&lt;=301,G184/3,G184/4))))</f>
        <v>1107.9385199999999</v>
      </c>
    </row>
    <row r="185" spans="1:13" x14ac:dyDescent="0.25">
      <c r="A185" s="73">
        <f t="shared" si="38"/>
        <v>8</v>
      </c>
      <c r="B185" s="74"/>
      <c r="C185" s="35" t="s">
        <v>259</v>
      </c>
      <c r="D185" s="66">
        <f>(57.16)*10.764</f>
        <v>615.27023999999994</v>
      </c>
      <c r="E185" s="66">
        <f>(1.2*(3+6.55))*10.764</f>
        <v>123.35544</v>
      </c>
      <c r="F185" s="66">
        <f t="shared" si="37"/>
        <v>738.62567999999999</v>
      </c>
      <c r="G185" s="66">
        <v>0</v>
      </c>
      <c r="H185" s="66">
        <f>F185*(($H$129)+1)+(IF(G185&lt;101,G185,IF(G185&lt;201,G185/2,IF(G185&lt;=301,G185/3,G185/4))))</f>
        <v>1107.9385199999999</v>
      </c>
    </row>
    <row r="186" spans="1:13" x14ac:dyDescent="0.25">
      <c r="A186" s="117" t="s">
        <v>114</v>
      </c>
      <c r="B186" s="176"/>
      <c r="C186" s="176"/>
      <c r="D186" s="176"/>
      <c r="E186" s="176"/>
      <c r="F186" s="176"/>
      <c r="G186" s="176"/>
      <c r="H186" s="118"/>
    </row>
    <row r="187" spans="1:13" x14ac:dyDescent="0.25">
      <c r="A187" s="77" t="s">
        <v>115</v>
      </c>
      <c r="B187" s="78"/>
      <c r="C187" s="78"/>
      <c r="D187" s="78"/>
      <c r="E187" s="79"/>
      <c r="F187" s="93">
        <v>5500</v>
      </c>
      <c r="G187" s="94"/>
      <c r="H187" s="95"/>
    </row>
    <row r="188" spans="1:13" x14ac:dyDescent="0.25">
      <c r="A188" s="77" t="s">
        <v>116</v>
      </c>
      <c r="B188" s="78"/>
      <c r="C188" s="78"/>
      <c r="D188" s="78"/>
      <c r="E188" s="79"/>
      <c r="F188" s="93" t="s">
        <v>289</v>
      </c>
      <c r="G188" s="94"/>
      <c r="H188" s="95"/>
    </row>
    <row r="189" spans="1:13" x14ac:dyDescent="0.25">
      <c r="A189" s="99" t="s">
        <v>47</v>
      </c>
      <c r="B189" s="99"/>
      <c r="C189" s="99"/>
      <c r="D189" s="99"/>
      <c r="E189" s="99"/>
      <c r="F189" s="99"/>
      <c r="G189" s="99"/>
      <c r="H189" s="99"/>
    </row>
    <row r="190" spans="1:13" x14ac:dyDescent="0.25">
      <c r="A190" s="69">
        <v>1</v>
      </c>
      <c r="B190" s="84" t="s">
        <v>276</v>
      </c>
      <c r="C190" s="85"/>
      <c r="D190" s="85"/>
      <c r="E190" s="85"/>
      <c r="F190" s="85"/>
      <c r="G190" s="85"/>
      <c r="H190" s="86"/>
    </row>
    <row r="191" spans="1:13" x14ac:dyDescent="0.25">
      <c r="A191" s="69">
        <f t="shared" ref="A191:A200" si="39">A190+1</f>
        <v>2</v>
      </c>
      <c r="B191" s="84" t="s">
        <v>214</v>
      </c>
      <c r="C191" s="85"/>
      <c r="D191" s="85"/>
      <c r="E191" s="85"/>
      <c r="F191" s="85"/>
      <c r="G191" s="85"/>
      <c r="H191" s="86"/>
    </row>
    <row r="192" spans="1:13" x14ac:dyDescent="0.25">
      <c r="A192" s="69">
        <f t="shared" si="39"/>
        <v>3</v>
      </c>
      <c r="B192" s="84" t="s">
        <v>215</v>
      </c>
      <c r="C192" s="85"/>
      <c r="D192" s="85"/>
      <c r="E192" s="85"/>
      <c r="F192" s="85"/>
      <c r="G192" s="85"/>
      <c r="H192" s="86"/>
    </row>
    <row r="193" spans="1:8" ht="12.75" customHeight="1" x14ac:dyDescent="0.25">
      <c r="A193" s="69">
        <f t="shared" si="39"/>
        <v>4</v>
      </c>
      <c r="B193" s="84" t="s">
        <v>216</v>
      </c>
      <c r="C193" s="85"/>
      <c r="D193" s="85"/>
      <c r="E193" s="85"/>
      <c r="F193" s="85"/>
      <c r="G193" s="85"/>
      <c r="H193" s="86"/>
    </row>
    <row r="194" spans="1:8" x14ac:dyDescent="0.25">
      <c r="A194" s="69">
        <f t="shared" si="39"/>
        <v>5</v>
      </c>
      <c r="B194" s="84" t="s">
        <v>286</v>
      </c>
      <c r="C194" s="85"/>
      <c r="D194" s="85"/>
      <c r="E194" s="85"/>
      <c r="F194" s="85"/>
      <c r="G194" s="85"/>
      <c r="H194" s="86"/>
    </row>
    <row r="195" spans="1:8" x14ac:dyDescent="0.25">
      <c r="A195" s="69">
        <f t="shared" si="39"/>
        <v>6</v>
      </c>
      <c r="B195" s="84" t="s">
        <v>220</v>
      </c>
      <c r="C195" s="85"/>
      <c r="D195" s="85"/>
      <c r="E195" s="85"/>
      <c r="F195" s="70">
        <f>H129</f>
        <v>0.5</v>
      </c>
      <c r="G195" s="71"/>
      <c r="H195" s="72"/>
    </row>
    <row r="196" spans="1:8" x14ac:dyDescent="0.25">
      <c r="A196" s="69">
        <f t="shared" si="39"/>
        <v>7</v>
      </c>
      <c r="B196" s="84" t="s">
        <v>217</v>
      </c>
      <c r="C196" s="85"/>
      <c r="D196" s="85"/>
      <c r="E196" s="85"/>
      <c r="F196" s="85"/>
      <c r="G196" s="85"/>
      <c r="H196" s="86"/>
    </row>
    <row r="197" spans="1:8" ht="29.25" customHeight="1" x14ac:dyDescent="0.25">
      <c r="A197" s="69">
        <f t="shared" si="39"/>
        <v>8</v>
      </c>
      <c r="B197" s="84" t="s">
        <v>218</v>
      </c>
      <c r="C197" s="85"/>
      <c r="D197" s="85"/>
      <c r="E197" s="85"/>
      <c r="F197" s="85"/>
      <c r="G197" s="85"/>
      <c r="H197" s="86"/>
    </row>
    <row r="198" spans="1:8" x14ac:dyDescent="0.25">
      <c r="A198" s="69">
        <f t="shared" si="39"/>
        <v>9</v>
      </c>
      <c r="B198" s="84" t="s">
        <v>219</v>
      </c>
      <c r="C198" s="85"/>
      <c r="D198" s="85"/>
      <c r="E198" s="85"/>
      <c r="F198" s="85"/>
      <c r="G198" s="85"/>
      <c r="H198" s="86"/>
    </row>
    <row r="199" spans="1:8" x14ac:dyDescent="0.25">
      <c r="A199" s="69">
        <f t="shared" si="39"/>
        <v>10</v>
      </c>
      <c r="B199" s="84" t="s">
        <v>285</v>
      </c>
      <c r="C199" s="85"/>
      <c r="D199" s="85"/>
      <c r="E199" s="85"/>
      <c r="F199" s="85"/>
      <c r="G199" s="85"/>
      <c r="H199" s="86"/>
    </row>
    <row r="200" spans="1:8" ht="43.2" customHeight="1" x14ac:dyDescent="0.25">
      <c r="A200" s="69">
        <f t="shared" si="39"/>
        <v>11</v>
      </c>
      <c r="B200" s="84" t="s">
        <v>290</v>
      </c>
      <c r="C200" s="85"/>
      <c r="D200" s="85"/>
      <c r="E200" s="85"/>
      <c r="F200" s="85"/>
      <c r="G200" s="85"/>
      <c r="H200" s="86"/>
    </row>
    <row r="201" spans="1:8" x14ac:dyDescent="0.25">
      <c r="A201" s="77" t="s">
        <v>119</v>
      </c>
      <c r="B201" s="79"/>
      <c r="C201" s="77" t="str">
        <f>C7</f>
        <v>L M Tower</v>
      </c>
      <c r="D201" s="78"/>
      <c r="E201" s="78"/>
      <c r="F201" s="78"/>
      <c r="G201" s="78"/>
      <c r="H201" s="79"/>
    </row>
    <row r="202" spans="1:8" x14ac:dyDescent="0.25">
      <c r="A202" s="96"/>
      <c r="B202" s="97"/>
      <c r="C202" s="97"/>
      <c r="D202" s="97"/>
      <c r="E202" s="97"/>
      <c r="F202" s="97"/>
      <c r="G202" s="97"/>
      <c r="H202" s="98"/>
    </row>
    <row r="203" spans="1:8" x14ac:dyDescent="0.25">
      <c r="A203" s="87"/>
      <c r="B203" s="88"/>
      <c r="C203" s="88"/>
      <c r="D203" s="88"/>
      <c r="E203" s="88"/>
      <c r="F203" s="88"/>
      <c r="G203" s="88"/>
      <c r="H203" s="89"/>
    </row>
    <row r="204" spans="1:8" x14ac:dyDescent="0.25">
      <c r="A204" s="87"/>
      <c r="B204" s="88"/>
      <c r="C204" s="88"/>
      <c r="D204" s="88"/>
      <c r="E204" s="88"/>
      <c r="F204" s="88"/>
      <c r="G204" s="88"/>
      <c r="H204" s="89"/>
    </row>
    <row r="205" spans="1:8" x14ac:dyDescent="0.25">
      <c r="A205" s="87"/>
      <c r="B205" s="88"/>
      <c r="C205" s="88"/>
      <c r="D205" s="88"/>
      <c r="E205" s="88"/>
      <c r="F205" s="88"/>
      <c r="G205" s="88"/>
      <c r="H205" s="89"/>
    </row>
    <row r="206" spans="1:8" x14ac:dyDescent="0.25">
      <c r="A206" s="87"/>
      <c r="B206" s="88"/>
      <c r="C206" s="88"/>
      <c r="D206" s="88"/>
      <c r="E206" s="88"/>
      <c r="F206" s="88"/>
      <c r="G206" s="88"/>
      <c r="H206" s="89"/>
    </row>
    <row r="207" spans="1:8" x14ac:dyDescent="0.25">
      <c r="A207" s="87"/>
      <c r="B207" s="88"/>
      <c r="C207" s="88"/>
      <c r="D207" s="88"/>
      <c r="E207" s="88"/>
      <c r="F207" s="88"/>
      <c r="G207" s="88"/>
      <c r="H207" s="89"/>
    </row>
    <row r="208" spans="1:8" x14ac:dyDescent="0.25">
      <c r="A208" s="87"/>
      <c r="B208" s="88"/>
      <c r="C208" s="88"/>
      <c r="D208" s="88"/>
      <c r="E208" s="88"/>
      <c r="F208" s="88"/>
      <c r="G208" s="88"/>
      <c r="H208" s="89"/>
    </row>
    <row r="209" spans="1:8" x14ac:dyDescent="0.25">
      <c r="A209" s="87"/>
      <c r="B209" s="88"/>
      <c r="C209" s="88"/>
      <c r="D209" s="88"/>
      <c r="E209" s="88"/>
      <c r="F209" s="88"/>
      <c r="G209" s="88"/>
      <c r="H209" s="89"/>
    </row>
    <row r="210" spans="1:8" x14ac:dyDescent="0.25">
      <c r="A210" s="87"/>
      <c r="B210" s="88"/>
      <c r="C210" s="88"/>
      <c r="D210" s="88"/>
      <c r="E210" s="88"/>
      <c r="F210" s="88"/>
      <c r="G210" s="88"/>
      <c r="H210" s="89"/>
    </row>
    <row r="211" spans="1:8" x14ac:dyDescent="0.25">
      <c r="A211" s="87"/>
      <c r="B211" s="88"/>
      <c r="C211" s="88"/>
      <c r="D211" s="88"/>
      <c r="E211" s="88"/>
      <c r="F211" s="88"/>
      <c r="G211" s="88"/>
      <c r="H211" s="89"/>
    </row>
    <row r="212" spans="1:8" x14ac:dyDescent="0.25">
      <c r="A212" s="87"/>
      <c r="B212" s="88"/>
      <c r="C212" s="88"/>
      <c r="D212" s="88"/>
      <c r="E212" s="88"/>
      <c r="F212" s="88"/>
      <c r="G212" s="88"/>
      <c r="H212" s="89"/>
    </row>
    <row r="213" spans="1:8" x14ac:dyDescent="0.25">
      <c r="A213" s="87"/>
      <c r="B213" s="88"/>
      <c r="C213" s="88"/>
      <c r="D213" s="88"/>
      <c r="E213" s="88"/>
      <c r="F213" s="88"/>
      <c r="G213" s="88"/>
      <c r="H213" s="89"/>
    </row>
    <row r="214" spans="1:8" x14ac:dyDescent="0.25">
      <c r="A214" s="87"/>
      <c r="B214" s="88"/>
      <c r="C214" s="88"/>
      <c r="D214" s="88"/>
      <c r="E214" s="88"/>
      <c r="F214" s="88"/>
      <c r="G214" s="88"/>
      <c r="H214" s="89"/>
    </row>
    <row r="215" spans="1:8" x14ac:dyDescent="0.25">
      <c r="A215" s="87"/>
      <c r="B215" s="88"/>
      <c r="C215" s="88"/>
      <c r="D215" s="88"/>
      <c r="E215" s="88"/>
      <c r="F215" s="88"/>
      <c r="G215" s="88"/>
      <c r="H215" s="89"/>
    </row>
    <row r="216" spans="1:8" x14ac:dyDescent="0.25">
      <c r="A216" s="87"/>
      <c r="B216" s="88"/>
      <c r="C216" s="88"/>
      <c r="D216" s="88"/>
      <c r="E216" s="88"/>
      <c r="F216" s="88"/>
      <c r="G216" s="88"/>
      <c r="H216" s="89"/>
    </row>
    <row r="217" spans="1:8" x14ac:dyDescent="0.25">
      <c r="A217" s="87"/>
      <c r="B217" s="88"/>
      <c r="C217" s="88"/>
      <c r="D217" s="88"/>
      <c r="E217" s="88"/>
      <c r="F217" s="88"/>
      <c r="G217" s="88"/>
      <c r="H217" s="89"/>
    </row>
    <row r="218" spans="1:8" x14ac:dyDescent="0.25">
      <c r="A218" s="87"/>
      <c r="B218" s="88"/>
      <c r="C218" s="88"/>
      <c r="D218" s="88"/>
      <c r="E218" s="88"/>
      <c r="F218" s="88"/>
      <c r="G218" s="88"/>
      <c r="H218" s="89"/>
    </row>
    <row r="219" spans="1:8" x14ac:dyDescent="0.25">
      <c r="A219" s="87"/>
      <c r="B219" s="88"/>
      <c r="C219" s="88"/>
      <c r="D219" s="88"/>
      <c r="E219" s="88"/>
      <c r="F219" s="88"/>
      <c r="G219" s="88"/>
      <c r="H219" s="89"/>
    </row>
    <row r="220" spans="1:8" x14ac:dyDescent="0.25">
      <c r="A220" s="87"/>
      <c r="B220" s="88"/>
      <c r="C220" s="88"/>
      <c r="D220" s="88"/>
      <c r="E220" s="88"/>
      <c r="F220" s="88"/>
      <c r="G220" s="88"/>
      <c r="H220" s="89"/>
    </row>
    <row r="221" spans="1:8" x14ac:dyDescent="0.25">
      <c r="A221" s="87"/>
      <c r="B221" s="88"/>
      <c r="C221" s="88"/>
      <c r="D221" s="88"/>
      <c r="E221" s="88"/>
      <c r="F221" s="88"/>
      <c r="G221" s="88"/>
      <c r="H221" s="89"/>
    </row>
    <row r="222" spans="1:8" x14ac:dyDescent="0.25">
      <c r="A222" s="87"/>
      <c r="B222" s="88"/>
      <c r="C222" s="88"/>
      <c r="D222" s="88"/>
      <c r="E222" s="88"/>
      <c r="F222" s="88"/>
      <c r="G222" s="88"/>
      <c r="H222" s="89"/>
    </row>
    <row r="223" spans="1:8" x14ac:dyDescent="0.25">
      <c r="A223" s="87"/>
      <c r="B223" s="88"/>
      <c r="C223" s="88"/>
      <c r="D223" s="88"/>
      <c r="E223" s="88"/>
      <c r="F223" s="88"/>
      <c r="G223" s="88"/>
      <c r="H223" s="89"/>
    </row>
    <row r="224" spans="1:8" x14ac:dyDescent="0.25">
      <c r="A224" s="87"/>
      <c r="B224" s="88"/>
      <c r="C224" s="88"/>
      <c r="D224" s="88"/>
      <c r="E224" s="88"/>
      <c r="F224" s="88"/>
      <c r="G224" s="88"/>
      <c r="H224" s="89"/>
    </row>
    <row r="225" spans="1:8" x14ac:dyDescent="0.25">
      <c r="A225" s="87"/>
      <c r="B225" s="88"/>
      <c r="C225" s="88"/>
      <c r="D225" s="88"/>
      <c r="E225" s="88"/>
      <c r="F225" s="88"/>
      <c r="G225" s="88"/>
      <c r="H225" s="89"/>
    </row>
    <row r="226" spans="1:8" x14ac:dyDescent="0.25">
      <c r="A226" s="87"/>
      <c r="B226" s="88"/>
      <c r="C226" s="88"/>
      <c r="D226" s="88"/>
      <c r="E226" s="88"/>
      <c r="F226" s="88"/>
      <c r="G226" s="88"/>
      <c r="H226" s="89"/>
    </row>
    <row r="227" spans="1:8" x14ac:dyDescent="0.25">
      <c r="A227" s="87"/>
      <c r="B227" s="88"/>
      <c r="C227" s="88"/>
      <c r="D227" s="88"/>
      <c r="E227" s="88"/>
      <c r="F227" s="88"/>
      <c r="G227" s="88"/>
      <c r="H227" s="89"/>
    </row>
    <row r="228" spans="1:8" x14ac:dyDescent="0.25">
      <c r="A228" s="87"/>
      <c r="B228" s="88"/>
      <c r="C228" s="88"/>
      <c r="D228" s="88"/>
      <c r="E228" s="88"/>
      <c r="F228" s="88"/>
      <c r="G228" s="88"/>
      <c r="H228" s="89"/>
    </row>
    <row r="229" spans="1:8" x14ac:dyDescent="0.25">
      <c r="A229" s="87"/>
      <c r="B229" s="88"/>
      <c r="C229" s="88"/>
      <c r="D229" s="88"/>
      <c r="E229" s="88"/>
      <c r="F229" s="88"/>
      <c r="G229" s="88"/>
      <c r="H229" s="89"/>
    </row>
    <row r="230" spans="1:8" x14ac:dyDescent="0.25">
      <c r="A230" s="87"/>
      <c r="B230" s="88"/>
      <c r="C230" s="88"/>
      <c r="D230" s="88"/>
      <c r="E230" s="88"/>
      <c r="F230" s="88"/>
      <c r="G230" s="88"/>
      <c r="H230" s="89"/>
    </row>
    <row r="231" spans="1:8" x14ac:dyDescent="0.25">
      <c r="A231" s="87"/>
      <c r="B231" s="88"/>
      <c r="C231" s="88"/>
      <c r="D231" s="88"/>
      <c r="E231" s="88"/>
      <c r="F231" s="88"/>
      <c r="G231" s="88"/>
      <c r="H231" s="89"/>
    </row>
    <row r="232" spans="1:8" x14ac:dyDescent="0.25">
      <c r="A232" s="87"/>
      <c r="B232" s="88"/>
      <c r="C232" s="88"/>
      <c r="D232" s="88"/>
      <c r="E232" s="88"/>
      <c r="F232" s="88"/>
      <c r="G232" s="88"/>
      <c r="H232" s="89"/>
    </row>
    <row r="233" spans="1:8" x14ac:dyDescent="0.25">
      <c r="A233" s="87"/>
      <c r="B233" s="88"/>
      <c r="C233" s="88"/>
      <c r="D233" s="88"/>
      <c r="E233" s="88"/>
      <c r="F233" s="88"/>
      <c r="G233" s="88"/>
      <c r="H233" s="89"/>
    </row>
    <row r="234" spans="1:8" x14ac:dyDescent="0.25">
      <c r="A234" s="87"/>
      <c r="B234" s="88"/>
      <c r="C234" s="88"/>
      <c r="D234" s="88"/>
      <c r="E234" s="88"/>
      <c r="F234" s="88"/>
      <c r="G234" s="88"/>
      <c r="H234" s="89"/>
    </row>
    <row r="235" spans="1:8" x14ac:dyDescent="0.25">
      <c r="A235" s="87"/>
      <c r="B235" s="88"/>
      <c r="C235" s="88"/>
      <c r="D235" s="88"/>
      <c r="E235" s="88"/>
      <c r="F235" s="88"/>
      <c r="G235" s="88"/>
      <c r="H235" s="89"/>
    </row>
    <row r="236" spans="1:8" x14ac:dyDescent="0.25">
      <c r="A236" s="87"/>
      <c r="B236" s="88"/>
      <c r="C236" s="88"/>
      <c r="D236" s="88"/>
      <c r="E236" s="88"/>
      <c r="F236" s="88"/>
      <c r="G236" s="88"/>
      <c r="H236" s="89"/>
    </row>
    <row r="237" spans="1:8" x14ac:dyDescent="0.25">
      <c r="A237" s="87"/>
      <c r="B237" s="88"/>
      <c r="C237" s="88"/>
      <c r="D237" s="88"/>
      <c r="E237" s="88"/>
      <c r="F237" s="88"/>
      <c r="G237" s="88"/>
      <c r="H237" s="89"/>
    </row>
    <row r="238" spans="1:8" x14ac:dyDescent="0.25">
      <c r="A238" s="87"/>
      <c r="B238" s="88"/>
      <c r="C238" s="88"/>
      <c r="D238" s="88"/>
      <c r="E238" s="88"/>
      <c r="F238" s="88"/>
      <c r="G238" s="88"/>
      <c r="H238" s="89"/>
    </row>
    <row r="239" spans="1:8" x14ac:dyDescent="0.25">
      <c r="A239" s="87"/>
      <c r="B239" s="88"/>
      <c r="C239" s="88"/>
      <c r="D239" s="88"/>
      <c r="E239" s="88"/>
      <c r="F239" s="88"/>
      <c r="G239" s="88"/>
      <c r="H239" s="89"/>
    </row>
    <row r="240" spans="1:8" x14ac:dyDescent="0.25">
      <c r="A240" s="87"/>
      <c r="B240" s="88"/>
      <c r="C240" s="88"/>
      <c r="D240" s="88"/>
      <c r="E240" s="88"/>
      <c r="F240" s="88"/>
      <c r="G240" s="88"/>
      <c r="H240" s="89"/>
    </row>
    <row r="241" spans="1:8" x14ac:dyDescent="0.25">
      <c r="A241" s="87"/>
      <c r="B241" s="88"/>
      <c r="C241" s="88"/>
      <c r="D241" s="88"/>
      <c r="E241" s="88"/>
      <c r="F241" s="88"/>
      <c r="G241" s="88"/>
      <c r="H241" s="89"/>
    </row>
    <row r="242" spans="1:8" x14ac:dyDescent="0.25">
      <c r="A242" s="87"/>
      <c r="B242" s="88"/>
      <c r="C242" s="88"/>
      <c r="D242" s="88"/>
      <c r="E242" s="88"/>
      <c r="F242" s="88"/>
      <c r="G242" s="88"/>
      <c r="H242" s="89"/>
    </row>
    <row r="243" spans="1:8" x14ac:dyDescent="0.25">
      <c r="A243" s="87"/>
      <c r="B243" s="88"/>
      <c r="C243" s="88"/>
      <c r="D243" s="88"/>
      <c r="E243" s="88"/>
      <c r="F243" s="88"/>
      <c r="G243" s="88"/>
      <c r="H243" s="89"/>
    </row>
    <row r="244" spans="1:8" x14ac:dyDescent="0.25">
      <c r="A244" s="87"/>
      <c r="B244" s="88"/>
      <c r="C244" s="88"/>
      <c r="D244" s="88"/>
      <c r="E244" s="88"/>
      <c r="F244" s="88"/>
      <c r="G244" s="88"/>
      <c r="H244" s="89"/>
    </row>
    <row r="245" spans="1:8" x14ac:dyDescent="0.25">
      <c r="A245" s="87"/>
      <c r="B245" s="88"/>
      <c r="C245" s="88"/>
      <c r="D245" s="88"/>
      <c r="E245" s="88"/>
      <c r="F245" s="88"/>
      <c r="G245" s="88"/>
      <c r="H245" s="89"/>
    </row>
    <row r="246" spans="1:8" x14ac:dyDescent="0.25">
      <c r="A246" s="87"/>
      <c r="B246" s="88"/>
      <c r="C246" s="88"/>
      <c r="D246" s="88"/>
      <c r="E246" s="88"/>
      <c r="F246" s="88"/>
      <c r="G246" s="88"/>
      <c r="H246" s="89"/>
    </row>
    <row r="247" spans="1:8" x14ac:dyDescent="0.25">
      <c r="A247" s="87"/>
      <c r="B247" s="88"/>
      <c r="C247" s="88"/>
      <c r="D247" s="88"/>
      <c r="E247" s="88"/>
      <c r="F247" s="88"/>
      <c r="G247" s="88"/>
      <c r="H247" s="89"/>
    </row>
    <row r="248" spans="1:8" x14ac:dyDescent="0.25">
      <c r="A248" s="87"/>
      <c r="B248" s="88"/>
      <c r="C248" s="88"/>
      <c r="D248" s="88"/>
      <c r="E248" s="88"/>
      <c r="F248" s="88"/>
      <c r="G248" s="88"/>
      <c r="H248" s="89"/>
    </row>
    <row r="249" spans="1:8" x14ac:dyDescent="0.25">
      <c r="A249" s="87"/>
      <c r="B249" s="88"/>
      <c r="C249" s="88"/>
      <c r="D249" s="88"/>
      <c r="E249" s="88"/>
      <c r="F249" s="88"/>
      <c r="G249" s="88"/>
      <c r="H249" s="89"/>
    </row>
    <row r="250" spans="1:8" x14ac:dyDescent="0.25">
      <c r="A250" s="87"/>
      <c r="B250" s="88"/>
      <c r="C250" s="88"/>
      <c r="D250" s="88"/>
      <c r="E250" s="88"/>
      <c r="F250" s="88"/>
      <c r="G250" s="88"/>
      <c r="H250" s="89"/>
    </row>
    <row r="251" spans="1:8" x14ac:dyDescent="0.25">
      <c r="A251" s="87"/>
      <c r="B251" s="88"/>
      <c r="C251" s="88"/>
      <c r="D251" s="88"/>
      <c r="E251" s="88"/>
      <c r="F251" s="88"/>
      <c r="G251" s="88"/>
      <c r="H251" s="89"/>
    </row>
    <row r="252" spans="1:8" ht="12.75" customHeight="1" x14ac:dyDescent="0.25">
      <c r="A252" s="77" t="s">
        <v>141</v>
      </c>
      <c r="B252" s="79"/>
      <c r="C252" s="77"/>
      <c r="D252" s="78"/>
      <c r="E252" s="78"/>
      <c r="F252" s="78"/>
      <c r="G252" s="78"/>
      <c r="H252" s="79"/>
    </row>
    <row r="253" spans="1:8" x14ac:dyDescent="0.25">
      <c r="A253" s="87"/>
      <c r="B253" s="88"/>
      <c r="C253" s="88"/>
      <c r="D253" s="88"/>
      <c r="E253" s="88"/>
      <c r="F253" s="88"/>
      <c r="G253" s="88"/>
      <c r="H253" s="89"/>
    </row>
    <row r="254" spans="1:8" x14ac:dyDescent="0.25">
      <c r="A254" s="87"/>
      <c r="B254" s="88"/>
      <c r="C254" s="88"/>
      <c r="D254" s="88"/>
      <c r="E254" s="88"/>
      <c r="F254" s="88"/>
      <c r="G254" s="88"/>
      <c r="H254" s="89"/>
    </row>
    <row r="255" spans="1:8" x14ac:dyDescent="0.25">
      <c r="A255" s="87"/>
      <c r="B255" s="88"/>
      <c r="C255" s="88"/>
      <c r="D255" s="88"/>
      <c r="E255" s="88"/>
      <c r="F255" s="88"/>
      <c r="G255" s="88"/>
      <c r="H255" s="89"/>
    </row>
    <row r="256" spans="1:8" x14ac:dyDescent="0.25">
      <c r="A256" s="87"/>
      <c r="B256" s="88"/>
      <c r="C256" s="88"/>
      <c r="D256" s="88"/>
      <c r="E256" s="88"/>
      <c r="F256" s="88"/>
      <c r="G256" s="88"/>
      <c r="H256" s="89"/>
    </row>
    <row r="257" spans="1:8" x14ac:dyDescent="0.25">
      <c r="A257" s="87"/>
      <c r="B257" s="88"/>
      <c r="C257" s="88"/>
      <c r="D257" s="88"/>
      <c r="E257" s="88"/>
      <c r="F257" s="88"/>
      <c r="G257" s="88"/>
      <c r="H257" s="89"/>
    </row>
    <row r="258" spans="1:8" x14ac:dyDescent="0.25">
      <c r="A258" s="87"/>
      <c r="B258" s="88"/>
      <c r="C258" s="88"/>
      <c r="D258" s="88"/>
      <c r="E258" s="88"/>
      <c r="F258" s="88"/>
      <c r="G258" s="88"/>
      <c r="H258" s="89"/>
    </row>
    <row r="259" spans="1:8" x14ac:dyDescent="0.25">
      <c r="A259" s="87"/>
      <c r="B259" s="88"/>
      <c r="C259" s="88"/>
      <c r="D259" s="88"/>
      <c r="E259" s="88"/>
      <c r="F259" s="88"/>
      <c r="G259" s="88"/>
      <c r="H259" s="89"/>
    </row>
    <row r="260" spans="1:8" x14ac:dyDescent="0.25">
      <c r="A260" s="87"/>
      <c r="B260" s="88"/>
      <c r="C260" s="88"/>
      <c r="D260" s="88"/>
      <c r="E260" s="88"/>
      <c r="F260" s="88"/>
      <c r="G260" s="88"/>
      <c r="H260" s="89"/>
    </row>
    <row r="261" spans="1:8" x14ac:dyDescent="0.25">
      <c r="A261" s="87"/>
      <c r="B261" s="88"/>
      <c r="C261" s="88"/>
      <c r="D261" s="88"/>
      <c r="E261" s="88"/>
      <c r="F261" s="88"/>
      <c r="G261" s="88"/>
      <c r="H261" s="89"/>
    </row>
    <row r="262" spans="1:8" x14ac:dyDescent="0.25">
      <c r="A262" s="87"/>
      <c r="B262" s="88"/>
      <c r="C262" s="88"/>
      <c r="D262" s="88"/>
      <c r="E262" s="88"/>
      <c r="F262" s="88"/>
      <c r="G262" s="88"/>
      <c r="H262" s="89"/>
    </row>
    <row r="263" spans="1:8" x14ac:dyDescent="0.25">
      <c r="A263" s="87"/>
      <c r="B263" s="88"/>
      <c r="C263" s="88"/>
      <c r="D263" s="88"/>
      <c r="E263" s="88"/>
      <c r="F263" s="88"/>
      <c r="G263" s="88"/>
      <c r="H263" s="89"/>
    </row>
    <row r="264" spans="1:8" x14ac:dyDescent="0.25">
      <c r="A264" s="87"/>
      <c r="B264" s="88"/>
      <c r="C264" s="88"/>
      <c r="D264" s="88"/>
      <c r="E264" s="88"/>
      <c r="F264" s="88"/>
      <c r="G264" s="88"/>
      <c r="H264" s="89"/>
    </row>
    <row r="265" spans="1:8" x14ac:dyDescent="0.25">
      <c r="A265" s="87"/>
      <c r="B265" s="88"/>
      <c r="C265" s="88"/>
      <c r="D265" s="88"/>
      <c r="E265" s="88"/>
      <c r="F265" s="88"/>
      <c r="G265" s="88"/>
      <c r="H265" s="89"/>
    </row>
    <row r="266" spans="1:8" x14ac:dyDescent="0.25">
      <c r="A266" s="87"/>
      <c r="B266" s="88"/>
      <c r="C266" s="88"/>
      <c r="D266" s="88"/>
      <c r="E266" s="88"/>
      <c r="F266" s="88"/>
      <c r="G266" s="88"/>
      <c r="H266" s="89"/>
    </row>
    <row r="267" spans="1:8" x14ac:dyDescent="0.25">
      <c r="A267" s="87"/>
      <c r="B267" s="88"/>
      <c r="C267" s="88"/>
      <c r="D267" s="88"/>
      <c r="E267" s="88"/>
      <c r="F267" s="88"/>
      <c r="G267" s="88"/>
      <c r="H267" s="89"/>
    </row>
    <row r="268" spans="1:8" x14ac:dyDescent="0.25">
      <c r="A268" s="87"/>
      <c r="B268" s="88"/>
      <c r="C268" s="88"/>
      <c r="D268" s="88"/>
      <c r="E268" s="88"/>
      <c r="F268" s="88"/>
      <c r="G268" s="88"/>
      <c r="H268" s="89"/>
    </row>
    <row r="269" spans="1:8" x14ac:dyDescent="0.25">
      <c r="A269" s="87"/>
      <c r="B269" s="88"/>
      <c r="C269" s="88"/>
      <c r="D269" s="88"/>
      <c r="E269" s="88"/>
      <c r="F269" s="88"/>
      <c r="G269" s="88"/>
      <c r="H269" s="89"/>
    </row>
    <row r="270" spans="1:8" x14ac:dyDescent="0.25">
      <c r="A270" s="87"/>
      <c r="B270" s="88"/>
      <c r="C270" s="88"/>
      <c r="D270" s="88"/>
      <c r="E270" s="88"/>
      <c r="F270" s="88"/>
      <c r="G270" s="88"/>
      <c r="H270" s="89"/>
    </row>
    <row r="271" spans="1:8" x14ac:dyDescent="0.25">
      <c r="A271" s="87"/>
      <c r="B271" s="88"/>
      <c r="C271" s="88"/>
      <c r="D271" s="88"/>
      <c r="E271" s="88"/>
      <c r="F271" s="88"/>
      <c r="G271" s="88"/>
      <c r="H271" s="89"/>
    </row>
    <row r="272" spans="1:8" x14ac:dyDescent="0.25">
      <c r="A272" s="87"/>
      <c r="B272" s="88"/>
      <c r="C272" s="88"/>
      <c r="D272" s="88"/>
      <c r="E272" s="88"/>
      <c r="F272" s="88"/>
      <c r="G272" s="88"/>
      <c r="H272" s="89"/>
    </row>
    <row r="273" spans="1:8" x14ac:dyDescent="0.25">
      <c r="A273" s="87"/>
      <c r="B273" s="88"/>
      <c r="C273" s="88"/>
      <c r="D273" s="88"/>
      <c r="E273" s="88"/>
      <c r="F273" s="88"/>
      <c r="G273" s="88"/>
      <c r="H273" s="89"/>
    </row>
    <row r="274" spans="1:8" x14ac:dyDescent="0.25">
      <c r="A274" s="87"/>
      <c r="B274" s="88"/>
      <c r="C274" s="88"/>
      <c r="D274" s="88"/>
      <c r="E274" s="88"/>
      <c r="F274" s="88"/>
      <c r="G274" s="88"/>
      <c r="H274" s="89"/>
    </row>
    <row r="275" spans="1:8" x14ac:dyDescent="0.25">
      <c r="A275" s="87"/>
      <c r="B275" s="88"/>
      <c r="C275" s="88"/>
      <c r="D275" s="88"/>
      <c r="E275" s="88"/>
      <c r="F275" s="88"/>
      <c r="G275" s="88"/>
      <c r="H275" s="89"/>
    </row>
    <row r="276" spans="1:8" x14ac:dyDescent="0.25">
      <c r="A276" s="87"/>
      <c r="B276" s="88"/>
      <c r="C276" s="88"/>
      <c r="D276" s="88"/>
      <c r="E276" s="88"/>
      <c r="F276" s="88"/>
      <c r="G276" s="88"/>
      <c r="H276" s="89"/>
    </row>
    <row r="277" spans="1:8" x14ac:dyDescent="0.25">
      <c r="A277" s="87"/>
      <c r="B277" s="88"/>
      <c r="C277" s="88"/>
      <c r="D277" s="88"/>
      <c r="E277" s="88"/>
      <c r="F277" s="88"/>
      <c r="G277" s="88"/>
      <c r="H277" s="89"/>
    </row>
    <row r="278" spans="1:8" x14ac:dyDescent="0.25">
      <c r="A278" s="87"/>
      <c r="B278" s="88"/>
      <c r="C278" s="88"/>
      <c r="D278" s="88"/>
      <c r="E278" s="88"/>
      <c r="F278" s="88"/>
      <c r="G278" s="88"/>
      <c r="H278" s="89"/>
    </row>
    <row r="279" spans="1:8" x14ac:dyDescent="0.25">
      <c r="A279" s="87"/>
      <c r="B279" s="88"/>
      <c r="C279" s="88"/>
      <c r="D279" s="88"/>
      <c r="E279" s="88"/>
      <c r="F279" s="88"/>
      <c r="G279" s="88"/>
      <c r="H279" s="89"/>
    </row>
    <row r="280" spans="1:8" x14ac:dyDescent="0.25">
      <c r="A280" s="87"/>
      <c r="B280" s="88"/>
      <c r="C280" s="88"/>
      <c r="D280" s="88"/>
      <c r="E280" s="88"/>
      <c r="F280" s="88"/>
      <c r="G280" s="88"/>
      <c r="H280" s="89"/>
    </row>
    <row r="281" spans="1:8" x14ac:dyDescent="0.25">
      <c r="A281" s="87"/>
      <c r="B281" s="88"/>
      <c r="C281" s="88"/>
      <c r="D281" s="88"/>
      <c r="E281" s="88"/>
      <c r="F281" s="88"/>
      <c r="G281" s="88"/>
      <c r="H281" s="89"/>
    </row>
    <row r="282" spans="1:8" x14ac:dyDescent="0.25">
      <c r="A282" s="87"/>
      <c r="B282" s="88"/>
      <c r="C282" s="88"/>
      <c r="D282" s="88"/>
      <c r="E282" s="88"/>
      <c r="F282" s="88"/>
      <c r="G282" s="88"/>
      <c r="H282" s="89"/>
    </row>
    <row r="283" spans="1:8" x14ac:dyDescent="0.25">
      <c r="A283" s="87"/>
      <c r="B283" s="88"/>
      <c r="C283" s="88"/>
      <c r="D283" s="88"/>
      <c r="E283" s="88"/>
      <c r="F283" s="88"/>
      <c r="G283" s="88"/>
      <c r="H283" s="89"/>
    </row>
    <row r="284" spans="1:8" x14ac:dyDescent="0.25">
      <c r="A284" s="87"/>
      <c r="B284" s="88"/>
      <c r="C284" s="88"/>
      <c r="D284" s="88"/>
      <c r="E284" s="88"/>
      <c r="F284" s="88"/>
      <c r="G284" s="88"/>
      <c r="H284" s="89"/>
    </row>
    <row r="285" spans="1:8" x14ac:dyDescent="0.25">
      <c r="A285" s="87"/>
      <c r="B285" s="88"/>
      <c r="C285" s="88"/>
      <c r="D285" s="88"/>
      <c r="E285" s="88"/>
      <c r="F285" s="88"/>
      <c r="G285" s="88"/>
      <c r="H285" s="89"/>
    </row>
    <row r="286" spans="1:8" x14ac:dyDescent="0.25">
      <c r="A286" s="87"/>
      <c r="B286" s="88"/>
      <c r="C286" s="88"/>
      <c r="D286" s="88"/>
      <c r="E286" s="88"/>
      <c r="F286" s="88"/>
      <c r="G286" s="88"/>
      <c r="H286" s="89"/>
    </row>
    <row r="287" spans="1:8" x14ac:dyDescent="0.25">
      <c r="A287" s="87"/>
      <c r="B287" s="88"/>
      <c r="C287" s="88"/>
      <c r="D287" s="88"/>
      <c r="E287" s="88"/>
      <c r="F287" s="88"/>
      <c r="G287" s="88"/>
      <c r="H287" s="89"/>
    </row>
    <row r="288" spans="1:8" x14ac:dyDescent="0.25">
      <c r="A288" s="87"/>
      <c r="B288" s="88"/>
      <c r="C288" s="88"/>
      <c r="D288" s="88"/>
      <c r="E288" s="88"/>
      <c r="F288" s="88"/>
      <c r="G288" s="88"/>
      <c r="H288" s="89"/>
    </row>
    <row r="289" spans="1:8" x14ac:dyDescent="0.25">
      <c r="A289" s="87"/>
      <c r="B289" s="88"/>
      <c r="C289" s="88"/>
      <c r="D289" s="88"/>
      <c r="E289" s="88"/>
      <c r="F289" s="88"/>
      <c r="G289" s="88"/>
      <c r="H289" s="89"/>
    </row>
    <row r="290" spans="1:8" x14ac:dyDescent="0.25">
      <c r="A290" s="87"/>
      <c r="B290" s="88"/>
      <c r="C290" s="88"/>
      <c r="D290" s="88"/>
      <c r="E290" s="88"/>
      <c r="F290" s="88"/>
      <c r="G290" s="88"/>
      <c r="H290" s="89"/>
    </row>
    <row r="291" spans="1:8" x14ac:dyDescent="0.25">
      <c r="A291" s="87"/>
      <c r="B291" s="88"/>
      <c r="C291" s="88"/>
      <c r="D291" s="88"/>
      <c r="E291" s="88"/>
      <c r="F291" s="88"/>
      <c r="G291" s="88"/>
      <c r="H291" s="89"/>
    </row>
    <row r="292" spans="1:8" x14ac:dyDescent="0.25">
      <c r="A292" s="87"/>
      <c r="B292" s="88"/>
      <c r="C292" s="88"/>
      <c r="D292" s="88"/>
      <c r="E292" s="88"/>
      <c r="F292" s="88"/>
      <c r="G292" s="88"/>
      <c r="H292" s="89"/>
    </row>
    <row r="293" spans="1:8" x14ac:dyDescent="0.25">
      <c r="A293" s="87"/>
      <c r="B293" s="88"/>
      <c r="C293" s="88"/>
      <c r="D293" s="88"/>
      <c r="E293" s="88"/>
      <c r="F293" s="88"/>
      <c r="G293" s="88"/>
      <c r="H293" s="89"/>
    </row>
    <row r="294" spans="1:8" x14ac:dyDescent="0.25">
      <c r="A294" s="87"/>
      <c r="B294" s="88"/>
      <c r="C294" s="88"/>
      <c r="D294" s="88"/>
      <c r="E294" s="88"/>
      <c r="F294" s="88"/>
      <c r="G294" s="88"/>
      <c r="H294" s="89"/>
    </row>
    <row r="295" spans="1:8" x14ac:dyDescent="0.25">
      <c r="A295" s="87"/>
      <c r="B295" s="88"/>
      <c r="C295" s="88"/>
      <c r="D295" s="88"/>
      <c r="E295" s="88"/>
      <c r="F295" s="88"/>
      <c r="G295" s="88"/>
      <c r="H295" s="89"/>
    </row>
    <row r="296" spans="1:8" x14ac:dyDescent="0.25">
      <c r="A296" s="87"/>
      <c r="B296" s="88"/>
      <c r="C296" s="88"/>
      <c r="D296" s="88"/>
      <c r="E296" s="88"/>
      <c r="F296" s="88"/>
      <c r="G296" s="88"/>
      <c r="H296" s="89"/>
    </row>
    <row r="297" spans="1:8" x14ac:dyDescent="0.25">
      <c r="A297" s="87"/>
      <c r="B297" s="88"/>
      <c r="C297" s="88"/>
      <c r="D297" s="88"/>
      <c r="E297" s="88"/>
      <c r="F297" s="88"/>
      <c r="G297" s="88"/>
      <c r="H297" s="89"/>
    </row>
    <row r="298" spans="1:8" x14ac:dyDescent="0.25">
      <c r="A298" s="87"/>
      <c r="B298" s="88"/>
      <c r="C298" s="88"/>
      <c r="D298" s="88"/>
      <c r="E298" s="88"/>
      <c r="F298" s="88"/>
      <c r="G298" s="88"/>
      <c r="H298" s="89"/>
    </row>
    <row r="299" spans="1:8" x14ac:dyDescent="0.25">
      <c r="A299" s="87"/>
      <c r="B299" s="88"/>
      <c r="C299" s="88"/>
      <c r="D299" s="88"/>
      <c r="E299" s="88"/>
      <c r="F299" s="88"/>
      <c r="G299" s="88"/>
      <c r="H299" s="89"/>
    </row>
    <row r="300" spans="1:8" x14ac:dyDescent="0.25">
      <c r="A300" s="87"/>
      <c r="B300" s="88"/>
      <c r="C300" s="88"/>
      <c r="D300" s="88"/>
      <c r="E300" s="88"/>
      <c r="F300" s="88"/>
      <c r="G300" s="88"/>
      <c r="H300" s="89"/>
    </row>
    <row r="301" spans="1:8" x14ac:dyDescent="0.25">
      <c r="A301" s="87"/>
      <c r="B301" s="88"/>
      <c r="C301" s="88"/>
      <c r="D301" s="88"/>
      <c r="E301" s="88"/>
      <c r="F301" s="88"/>
      <c r="G301" s="88"/>
      <c r="H301" s="89"/>
    </row>
    <row r="302" spans="1:8" x14ac:dyDescent="0.25">
      <c r="A302" s="90"/>
      <c r="B302" s="91"/>
      <c r="C302" s="91"/>
      <c r="D302" s="91"/>
      <c r="E302" s="91"/>
      <c r="F302" s="91"/>
      <c r="G302" s="91"/>
      <c r="H302" s="92"/>
    </row>
    <row r="303" spans="1:8" x14ac:dyDescent="0.25">
      <c r="A303" s="77" t="s">
        <v>120</v>
      </c>
      <c r="B303" s="79"/>
      <c r="C303" s="80"/>
      <c r="D303" s="233"/>
      <c r="E303" s="233"/>
      <c r="F303" s="233"/>
      <c r="G303" s="233"/>
      <c r="H303" s="81"/>
    </row>
    <row r="304" spans="1:8" x14ac:dyDescent="0.25">
      <c r="A304" s="87"/>
      <c r="B304" s="88"/>
      <c r="C304" s="88"/>
      <c r="D304" s="88"/>
      <c r="E304" s="88"/>
      <c r="F304" s="88"/>
      <c r="G304" s="88"/>
      <c r="H304" s="89"/>
    </row>
    <row r="305" spans="1:8" x14ac:dyDescent="0.25">
      <c r="A305" s="87"/>
      <c r="B305" s="88"/>
      <c r="C305" s="88"/>
      <c r="D305" s="88"/>
      <c r="E305" s="88"/>
      <c r="F305" s="88"/>
      <c r="G305" s="88"/>
      <c r="H305" s="89"/>
    </row>
    <row r="306" spans="1:8" x14ac:dyDescent="0.25">
      <c r="A306" s="87"/>
      <c r="B306" s="88"/>
      <c r="C306" s="88"/>
      <c r="D306" s="88"/>
      <c r="E306" s="88"/>
      <c r="F306" s="88"/>
      <c r="G306" s="88"/>
      <c r="H306" s="89"/>
    </row>
    <row r="307" spans="1:8" x14ac:dyDescent="0.25">
      <c r="A307" s="87"/>
      <c r="B307" s="88"/>
      <c r="C307" s="88"/>
      <c r="D307" s="88"/>
      <c r="E307" s="88"/>
      <c r="F307" s="88"/>
      <c r="G307" s="88"/>
      <c r="H307" s="89"/>
    </row>
    <row r="308" spans="1:8" x14ac:dyDescent="0.25">
      <c r="A308" s="87"/>
      <c r="B308" s="88"/>
      <c r="C308" s="88"/>
      <c r="D308" s="88"/>
      <c r="E308" s="88"/>
      <c r="F308" s="88"/>
      <c r="G308" s="88"/>
      <c r="H308" s="89"/>
    </row>
    <row r="309" spans="1:8" x14ac:dyDescent="0.25">
      <c r="A309" s="87"/>
      <c r="B309" s="88"/>
      <c r="C309" s="88"/>
      <c r="D309" s="88"/>
      <c r="E309" s="88"/>
      <c r="F309" s="88"/>
      <c r="G309" s="88"/>
      <c r="H309" s="89"/>
    </row>
    <row r="310" spans="1:8" x14ac:dyDescent="0.25">
      <c r="A310" s="87"/>
      <c r="B310" s="88"/>
      <c r="C310" s="88"/>
      <c r="D310" s="88"/>
      <c r="E310" s="88"/>
      <c r="F310" s="88"/>
      <c r="G310" s="88"/>
      <c r="H310" s="89"/>
    </row>
    <row r="311" spans="1:8" x14ac:dyDescent="0.25">
      <c r="A311" s="87"/>
      <c r="B311" s="88"/>
      <c r="C311" s="88"/>
      <c r="D311" s="88"/>
      <c r="E311" s="88"/>
      <c r="F311" s="88"/>
      <c r="G311" s="88"/>
      <c r="H311" s="89"/>
    </row>
    <row r="312" spans="1:8" x14ac:dyDescent="0.25">
      <c r="A312" s="87"/>
      <c r="B312" s="88"/>
      <c r="C312" s="88"/>
      <c r="D312" s="88"/>
      <c r="E312" s="88"/>
      <c r="F312" s="88"/>
      <c r="G312" s="88"/>
      <c r="H312" s="89"/>
    </row>
    <row r="313" spans="1:8" x14ac:dyDescent="0.25">
      <c r="A313" s="87"/>
      <c r="B313" s="88"/>
      <c r="C313" s="88"/>
      <c r="D313" s="88"/>
      <c r="E313" s="88"/>
      <c r="F313" s="88"/>
      <c r="G313" s="88"/>
      <c r="H313" s="89"/>
    </row>
    <row r="314" spans="1:8" x14ac:dyDescent="0.25">
      <c r="A314" s="87"/>
      <c r="B314" s="88"/>
      <c r="C314" s="88"/>
      <c r="D314" s="88"/>
      <c r="E314" s="88"/>
      <c r="F314" s="88"/>
      <c r="G314" s="88"/>
      <c r="H314" s="89"/>
    </row>
    <row r="315" spans="1:8" x14ac:dyDescent="0.25">
      <c r="A315" s="87"/>
      <c r="B315" s="88"/>
      <c r="C315" s="88"/>
      <c r="D315" s="88"/>
      <c r="E315" s="88"/>
      <c r="F315" s="88"/>
      <c r="G315" s="88"/>
      <c r="H315" s="89"/>
    </row>
    <row r="316" spans="1:8" x14ac:dyDescent="0.25">
      <c r="A316" s="87"/>
      <c r="B316" s="88"/>
      <c r="C316" s="88"/>
      <c r="D316" s="88"/>
      <c r="E316" s="88"/>
      <c r="F316" s="88"/>
      <c r="G316" s="88"/>
      <c r="H316" s="89"/>
    </row>
    <row r="317" spans="1:8" x14ac:dyDescent="0.25">
      <c r="A317" s="87"/>
      <c r="B317" s="88"/>
      <c r="C317" s="88"/>
      <c r="D317" s="88"/>
      <c r="E317" s="88"/>
      <c r="F317" s="88"/>
      <c r="G317" s="88"/>
      <c r="H317" s="89"/>
    </row>
    <row r="318" spans="1:8" x14ac:dyDescent="0.25">
      <c r="A318" s="87"/>
      <c r="B318" s="88"/>
      <c r="C318" s="88"/>
      <c r="D318" s="88"/>
      <c r="E318" s="88"/>
      <c r="F318" s="88"/>
      <c r="G318" s="88"/>
      <c r="H318" s="89"/>
    </row>
    <row r="319" spans="1:8" x14ac:dyDescent="0.25">
      <c r="A319" s="87"/>
      <c r="B319" s="88"/>
      <c r="C319" s="88"/>
      <c r="D319" s="88"/>
      <c r="E319" s="88"/>
      <c r="F319" s="88"/>
      <c r="G319" s="88"/>
      <c r="H319" s="89"/>
    </row>
    <row r="320" spans="1:8" x14ac:dyDescent="0.25">
      <c r="A320" s="87"/>
      <c r="B320" s="88"/>
      <c r="C320" s="88"/>
      <c r="D320" s="88"/>
      <c r="E320" s="88"/>
      <c r="F320" s="88"/>
      <c r="G320" s="88"/>
      <c r="H320" s="89"/>
    </row>
    <row r="321" spans="1:8" x14ac:dyDescent="0.25">
      <c r="A321" s="87"/>
      <c r="B321" s="88"/>
      <c r="C321" s="88"/>
      <c r="D321" s="88"/>
      <c r="E321" s="88"/>
      <c r="F321" s="88"/>
      <c r="G321" s="88"/>
      <c r="H321" s="89"/>
    </row>
    <row r="322" spans="1:8" x14ac:dyDescent="0.25">
      <c r="A322" s="87"/>
      <c r="B322" s="88"/>
      <c r="C322" s="88"/>
      <c r="D322" s="88"/>
      <c r="E322" s="88"/>
      <c r="F322" s="88"/>
      <c r="G322" s="88"/>
      <c r="H322" s="89"/>
    </row>
    <row r="323" spans="1:8" x14ac:dyDescent="0.25">
      <c r="A323" s="87"/>
      <c r="B323" s="88"/>
      <c r="C323" s="88"/>
      <c r="D323" s="88"/>
      <c r="E323" s="88"/>
      <c r="F323" s="88"/>
      <c r="G323" s="88"/>
      <c r="H323" s="89"/>
    </row>
    <row r="324" spans="1:8" x14ac:dyDescent="0.25">
      <c r="A324" s="87"/>
      <c r="B324" s="88"/>
      <c r="C324" s="88"/>
      <c r="D324" s="88"/>
      <c r="E324" s="88"/>
      <c r="F324" s="88"/>
      <c r="G324" s="88"/>
      <c r="H324" s="89"/>
    </row>
    <row r="325" spans="1:8" x14ac:dyDescent="0.25">
      <c r="A325" s="87"/>
      <c r="B325" s="88"/>
      <c r="C325" s="88"/>
      <c r="D325" s="88"/>
      <c r="E325" s="88"/>
      <c r="F325" s="88"/>
      <c r="G325" s="88"/>
      <c r="H325" s="89"/>
    </row>
    <row r="326" spans="1:8" x14ac:dyDescent="0.25">
      <c r="A326" s="87"/>
      <c r="B326" s="88"/>
      <c r="C326" s="88"/>
      <c r="D326" s="88"/>
      <c r="E326" s="88"/>
      <c r="F326" s="88"/>
      <c r="G326" s="88"/>
      <c r="H326" s="89"/>
    </row>
    <row r="327" spans="1:8" x14ac:dyDescent="0.25">
      <c r="A327" s="87"/>
      <c r="B327" s="88"/>
      <c r="C327" s="88"/>
      <c r="D327" s="88"/>
      <c r="E327" s="88"/>
      <c r="F327" s="88"/>
      <c r="G327" s="88"/>
      <c r="H327" s="89"/>
    </row>
    <row r="328" spans="1:8" x14ac:dyDescent="0.25">
      <c r="A328" s="87"/>
      <c r="B328" s="88"/>
      <c r="C328" s="88"/>
      <c r="D328" s="88"/>
      <c r="E328" s="88"/>
      <c r="F328" s="88"/>
      <c r="G328" s="88"/>
      <c r="H328" s="89"/>
    </row>
    <row r="329" spans="1:8" x14ac:dyDescent="0.25">
      <c r="A329" s="87"/>
      <c r="B329" s="88"/>
      <c r="C329" s="88"/>
      <c r="D329" s="88"/>
      <c r="E329" s="88"/>
      <c r="F329" s="88"/>
      <c r="G329" s="88"/>
      <c r="H329" s="89"/>
    </row>
    <row r="330" spans="1:8" x14ac:dyDescent="0.25">
      <c r="A330" s="87"/>
      <c r="B330" s="88"/>
      <c r="C330" s="88"/>
      <c r="D330" s="88"/>
      <c r="E330" s="88"/>
      <c r="F330" s="88"/>
      <c r="G330" s="88"/>
      <c r="H330" s="89"/>
    </row>
    <row r="331" spans="1:8" x14ac:dyDescent="0.25">
      <c r="A331" s="87"/>
      <c r="B331" s="88"/>
      <c r="C331" s="88"/>
      <c r="D331" s="88"/>
      <c r="E331" s="88"/>
      <c r="F331" s="88"/>
      <c r="G331" s="88"/>
      <c r="H331" s="89"/>
    </row>
    <row r="332" spans="1:8" x14ac:dyDescent="0.25">
      <c r="A332" s="87"/>
      <c r="B332" s="88"/>
      <c r="C332" s="88"/>
      <c r="D332" s="88"/>
      <c r="E332" s="88"/>
      <c r="F332" s="88"/>
      <c r="G332" s="88"/>
      <c r="H332" s="89"/>
    </row>
    <row r="333" spans="1:8" x14ac:dyDescent="0.25">
      <c r="A333" s="87"/>
      <c r="B333" s="88"/>
      <c r="C333" s="88"/>
      <c r="D333" s="88"/>
      <c r="E333" s="88"/>
      <c r="F333" s="88"/>
      <c r="G333" s="88"/>
      <c r="H333" s="89"/>
    </row>
    <row r="334" spans="1:8" x14ac:dyDescent="0.25">
      <c r="A334" s="87"/>
      <c r="B334" s="88"/>
      <c r="C334" s="88"/>
      <c r="D334" s="88"/>
      <c r="E334" s="88"/>
      <c r="F334" s="88"/>
      <c r="G334" s="88"/>
      <c r="H334" s="89"/>
    </row>
    <row r="335" spans="1:8" x14ac:dyDescent="0.25">
      <c r="A335" s="87"/>
      <c r="B335" s="88"/>
      <c r="C335" s="88"/>
      <c r="D335" s="88"/>
      <c r="E335" s="88"/>
      <c r="F335" s="88"/>
      <c r="G335" s="88"/>
      <c r="H335" s="89"/>
    </row>
    <row r="336" spans="1:8" x14ac:dyDescent="0.25">
      <c r="A336" s="87"/>
      <c r="B336" s="88"/>
      <c r="C336" s="88"/>
      <c r="D336" s="88"/>
      <c r="E336" s="88"/>
      <c r="F336" s="88"/>
      <c r="G336" s="88"/>
      <c r="H336" s="89"/>
    </row>
    <row r="337" spans="1:8" x14ac:dyDescent="0.25">
      <c r="A337" s="87"/>
      <c r="B337" s="88"/>
      <c r="C337" s="88"/>
      <c r="D337" s="88"/>
      <c r="E337" s="88"/>
      <c r="F337" s="88"/>
      <c r="G337" s="88"/>
      <c r="H337" s="89"/>
    </row>
    <row r="338" spans="1:8" x14ac:dyDescent="0.25">
      <c r="A338" s="87"/>
      <c r="B338" s="88"/>
      <c r="C338" s="88"/>
      <c r="D338" s="88"/>
      <c r="E338" s="88"/>
      <c r="F338" s="88"/>
      <c r="G338" s="88"/>
      <c r="H338" s="89"/>
    </row>
    <row r="339" spans="1:8" x14ac:dyDescent="0.25">
      <c r="A339" s="87"/>
      <c r="B339" s="88"/>
      <c r="C339" s="88"/>
      <c r="D339" s="88"/>
      <c r="E339" s="88"/>
      <c r="F339" s="88"/>
      <c r="G339" s="88"/>
      <c r="H339" s="89"/>
    </row>
    <row r="340" spans="1:8" x14ac:dyDescent="0.25">
      <c r="A340" s="87"/>
      <c r="B340" s="88"/>
      <c r="C340" s="88"/>
      <c r="D340" s="88"/>
      <c r="E340" s="88"/>
      <c r="F340" s="88"/>
      <c r="G340" s="88"/>
      <c r="H340" s="89"/>
    </row>
    <row r="341" spans="1:8" x14ac:dyDescent="0.25">
      <c r="A341" s="87"/>
      <c r="B341" s="88"/>
      <c r="C341" s="88"/>
      <c r="D341" s="88"/>
      <c r="E341" s="88"/>
      <c r="F341" s="88"/>
      <c r="G341" s="88"/>
      <c r="H341" s="89"/>
    </row>
    <row r="342" spans="1:8" x14ac:dyDescent="0.25">
      <c r="A342" s="87"/>
      <c r="B342" s="88"/>
      <c r="C342" s="88"/>
      <c r="D342" s="88"/>
      <c r="E342" s="88"/>
      <c r="F342" s="88"/>
      <c r="G342" s="88"/>
      <c r="H342" s="89"/>
    </row>
    <row r="343" spans="1:8" x14ac:dyDescent="0.25">
      <c r="A343" s="87"/>
      <c r="B343" s="88"/>
      <c r="C343" s="88"/>
      <c r="D343" s="88"/>
      <c r="E343" s="88"/>
      <c r="F343" s="88"/>
      <c r="G343" s="88"/>
      <c r="H343" s="89"/>
    </row>
    <row r="344" spans="1:8" x14ac:dyDescent="0.25">
      <c r="A344" s="87"/>
      <c r="B344" s="88"/>
      <c r="C344" s="88"/>
      <c r="D344" s="88"/>
      <c r="E344" s="88"/>
      <c r="F344" s="88"/>
      <c r="G344" s="88"/>
      <c r="H344" s="89"/>
    </row>
    <row r="345" spans="1:8" x14ac:dyDescent="0.25">
      <c r="A345" s="87"/>
      <c r="B345" s="88"/>
      <c r="C345" s="88"/>
      <c r="D345" s="88"/>
      <c r="E345" s="88"/>
      <c r="F345" s="88"/>
      <c r="G345" s="88"/>
      <c r="H345" s="89"/>
    </row>
    <row r="346" spans="1:8" x14ac:dyDescent="0.25">
      <c r="A346" s="87"/>
      <c r="B346" s="88"/>
      <c r="C346" s="88"/>
      <c r="D346" s="88"/>
      <c r="E346" s="88"/>
      <c r="F346" s="88"/>
      <c r="G346" s="88"/>
      <c r="H346" s="89"/>
    </row>
    <row r="347" spans="1:8" x14ac:dyDescent="0.25">
      <c r="A347" s="87"/>
      <c r="B347" s="88"/>
      <c r="C347" s="88"/>
      <c r="D347" s="88"/>
      <c r="E347" s="88"/>
      <c r="F347" s="88"/>
      <c r="G347" s="88"/>
      <c r="H347" s="89"/>
    </row>
    <row r="348" spans="1:8" x14ac:dyDescent="0.25">
      <c r="A348" s="87"/>
      <c r="B348" s="88"/>
      <c r="C348" s="88"/>
      <c r="D348" s="88"/>
      <c r="E348" s="88"/>
      <c r="F348" s="88"/>
      <c r="G348" s="88"/>
      <c r="H348" s="89"/>
    </row>
    <row r="349" spans="1:8" ht="50.25" customHeight="1" x14ac:dyDescent="0.25">
      <c r="A349" s="80" t="s">
        <v>117</v>
      </c>
      <c r="B349" s="81"/>
      <c r="C349" s="82" t="s">
        <v>288</v>
      </c>
      <c r="D349" s="83"/>
      <c r="E349" s="99" t="s">
        <v>118</v>
      </c>
      <c r="F349" s="99"/>
      <c r="G349" s="205"/>
      <c r="H349" s="205"/>
    </row>
  </sheetData>
  <mergeCells count="483">
    <mergeCell ref="A182:B182"/>
    <mergeCell ref="A183:B183"/>
    <mergeCell ref="A184:B184"/>
    <mergeCell ref="A185:B185"/>
    <mergeCell ref="C183:H183"/>
    <mergeCell ref="A186:H186"/>
    <mergeCell ref="A92:B92"/>
    <mergeCell ref="C92:D92"/>
    <mergeCell ref="E92:F92"/>
    <mergeCell ref="G92:H92"/>
    <mergeCell ref="A173:B173"/>
    <mergeCell ref="A174:B174"/>
    <mergeCell ref="A175:B175"/>
    <mergeCell ref="A176:B176"/>
    <mergeCell ref="A177:H177"/>
    <mergeCell ref="A178:B178"/>
    <mergeCell ref="A179:B179"/>
    <mergeCell ref="A180:B180"/>
    <mergeCell ref="A181:B181"/>
    <mergeCell ref="A165:B165"/>
    <mergeCell ref="A166:B166"/>
    <mergeCell ref="A167:B167"/>
    <mergeCell ref="A168:H168"/>
    <mergeCell ref="A169:B169"/>
    <mergeCell ref="A170:B170"/>
    <mergeCell ref="A171:B171"/>
    <mergeCell ref="A172:B172"/>
    <mergeCell ref="A244:H244"/>
    <mergeCell ref="A245:H245"/>
    <mergeCell ref="A141:H141"/>
    <mergeCell ref="A142:B142"/>
    <mergeCell ref="A143:B143"/>
    <mergeCell ref="A144:B144"/>
    <mergeCell ref="A145:B145"/>
    <mergeCell ref="A146:B146"/>
    <mergeCell ref="A147:B147"/>
    <mergeCell ref="A148:B148"/>
    <mergeCell ref="C148:H149"/>
    <mergeCell ref="A149:B149"/>
    <mergeCell ref="A150:H150"/>
    <mergeCell ref="A151:B151"/>
    <mergeCell ref="A152:B152"/>
    <mergeCell ref="A153:B153"/>
    <mergeCell ref="A154:B154"/>
    <mergeCell ref="A155:B155"/>
    <mergeCell ref="A156:B156"/>
    <mergeCell ref="A157:B157"/>
    <mergeCell ref="C157:H158"/>
    <mergeCell ref="A158:B158"/>
    <mergeCell ref="A159:H159"/>
    <mergeCell ref="A160:B160"/>
    <mergeCell ref="C303:H303"/>
    <mergeCell ref="A334:H334"/>
    <mergeCell ref="A335:H335"/>
    <mergeCell ref="A336:H336"/>
    <mergeCell ref="A337:H337"/>
    <mergeCell ref="A338:H338"/>
    <mergeCell ref="A304:H304"/>
    <mergeCell ref="A305:H305"/>
    <mergeCell ref="A306:H306"/>
    <mergeCell ref="A290:H290"/>
    <mergeCell ref="A291:H291"/>
    <mergeCell ref="A303:B303"/>
    <mergeCell ref="A235:H235"/>
    <mergeCell ref="A236:H236"/>
    <mergeCell ref="A237:H237"/>
    <mergeCell ref="A238:H238"/>
    <mergeCell ref="A239:H239"/>
    <mergeCell ref="A240:H240"/>
    <mergeCell ref="A241:H241"/>
    <mergeCell ref="A242:H242"/>
    <mergeCell ref="A243:H243"/>
    <mergeCell ref="A307:H307"/>
    <mergeCell ref="A308:H308"/>
    <mergeCell ref="A309:H309"/>
    <mergeCell ref="A310:H310"/>
    <mergeCell ref="A311:H311"/>
    <mergeCell ref="A312:H312"/>
    <mergeCell ref="A313:H313"/>
    <mergeCell ref="A314:H314"/>
    <mergeCell ref="A315:H315"/>
    <mergeCell ref="A340:H340"/>
    <mergeCell ref="A327:H327"/>
    <mergeCell ref="A328:H328"/>
    <mergeCell ref="A329:H329"/>
    <mergeCell ref="A330:H330"/>
    <mergeCell ref="A331:H331"/>
    <mergeCell ref="A332:H332"/>
    <mergeCell ref="A333:H333"/>
    <mergeCell ref="A316:H316"/>
    <mergeCell ref="A317:H317"/>
    <mergeCell ref="A318:H318"/>
    <mergeCell ref="A319:H319"/>
    <mergeCell ref="A320:H320"/>
    <mergeCell ref="A321:H321"/>
    <mergeCell ref="A322:H322"/>
    <mergeCell ref="A323:H323"/>
    <mergeCell ref="A324:H324"/>
    <mergeCell ref="A325:H325"/>
    <mergeCell ref="A326:H326"/>
    <mergeCell ref="A339:H339"/>
    <mergeCell ref="A341:H341"/>
    <mergeCell ref="A342:H342"/>
    <mergeCell ref="A348:H348"/>
    <mergeCell ref="A343:H343"/>
    <mergeCell ref="A344:H344"/>
    <mergeCell ref="A345:H345"/>
    <mergeCell ref="A346:H346"/>
    <mergeCell ref="A347:H347"/>
    <mergeCell ref="A246:H246"/>
    <mergeCell ref="A247:H247"/>
    <mergeCell ref="A248:H248"/>
    <mergeCell ref="A249:H249"/>
    <mergeCell ref="A250:H250"/>
    <mergeCell ref="A264:H264"/>
    <mergeCell ref="A265:H265"/>
    <mergeCell ref="A266:H266"/>
    <mergeCell ref="A267:H267"/>
    <mergeCell ref="A253:H253"/>
    <mergeCell ref="A254:H254"/>
    <mergeCell ref="A251:H251"/>
    <mergeCell ref="A268:H268"/>
    <mergeCell ref="A269:H269"/>
    <mergeCell ref="A270:H270"/>
    <mergeCell ref="A271:H271"/>
    <mergeCell ref="A295:H295"/>
    <mergeCell ref="A296:H296"/>
    <mergeCell ref="A297:H297"/>
    <mergeCell ref="A298:H298"/>
    <mergeCell ref="A286:H286"/>
    <mergeCell ref="A226:H226"/>
    <mergeCell ref="A227:H227"/>
    <mergeCell ref="A228:H228"/>
    <mergeCell ref="A229:H229"/>
    <mergeCell ref="A230:H230"/>
    <mergeCell ref="A231:H231"/>
    <mergeCell ref="A232:H232"/>
    <mergeCell ref="A233:H233"/>
    <mergeCell ref="A234:H234"/>
    <mergeCell ref="A289:H289"/>
    <mergeCell ref="A220:H220"/>
    <mergeCell ref="A221:H221"/>
    <mergeCell ref="A222:H222"/>
    <mergeCell ref="A223:H223"/>
    <mergeCell ref="A224:H224"/>
    <mergeCell ref="A225:H225"/>
    <mergeCell ref="A292:H292"/>
    <mergeCell ref="A293:H293"/>
    <mergeCell ref="A294:H294"/>
    <mergeCell ref="A275:H275"/>
    <mergeCell ref="A276:H276"/>
    <mergeCell ref="A277:H277"/>
    <mergeCell ref="A280:H280"/>
    <mergeCell ref="A274:H274"/>
    <mergeCell ref="A211:H211"/>
    <mergeCell ref="A212:H212"/>
    <mergeCell ref="A213:H213"/>
    <mergeCell ref="A214:H214"/>
    <mergeCell ref="A215:H215"/>
    <mergeCell ref="A216:H216"/>
    <mergeCell ref="A217:H217"/>
    <mergeCell ref="A218:H218"/>
    <mergeCell ref="A219:H219"/>
    <mergeCell ref="E81:F81"/>
    <mergeCell ref="E89:F89"/>
    <mergeCell ref="A203:H203"/>
    <mergeCell ref="A204:H204"/>
    <mergeCell ref="A205:H205"/>
    <mergeCell ref="A206:H206"/>
    <mergeCell ref="A207:H207"/>
    <mergeCell ref="A189:H189"/>
    <mergeCell ref="B191:H191"/>
    <mergeCell ref="B192:H192"/>
    <mergeCell ref="B193:H193"/>
    <mergeCell ref="B194:H194"/>
    <mergeCell ref="B196:H196"/>
    <mergeCell ref="B197:H197"/>
    <mergeCell ref="B198:H198"/>
    <mergeCell ref="B199:H199"/>
    <mergeCell ref="A201:B201"/>
    <mergeCell ref="B195:E195"/>
    <mergeCell ref="A131:H131"/>
    <mergeCell ref="C139:H140"/>
    <mergeCell ref="A161:B161"/>
    <mergeCell ref="A162:B162"/>
    <mergeCell ref="A163:B163"/>
    <mergeCell ref="A164:B164"/>
    <mergeCell ref="C36:D36"/>
    <mergeCell ref="C42:F42"/>
    <mergeCell ref="E95:F95"/>
    <mergeCell ref="G95:H95"/>
    <mergeCell ref="A68:B68"/>
    <mergeCell ref="A69:B69"/>
    <mergeCell ref="C201:H201"/>
    <mergeCell ref="E83:F83"/>
    <mergeCell ref="E84:F84"/>
    <mergeCell ref="E85:F85"/>
    <mergeCell ref="G86:H86"/>
    <mergeCell ref="G87:H87"/>
    <mergeCell ref="E86:F86"/>
    <mergeCell ref="A89:B89"/>
    <mergeCell ref="A90:B90"/>
    <mergeCell ref="A91:B91"/>
    <mergeCell ref="C69:D69"/>
    <mergeCell ref="C70:D70"/>
    <mergeCell ref="C71:D71"/>
    <mergeCell ref="C72:D72"/>
    <mergeCell ref="C73:D73"/>
    <mergeCell ref="C74:D74"/>
    <mergeCell ref="A101:H101"/>
    <mergeCell ref="A81:B81"/>
    <mergeCell ref="C12:H12"/>
    <mergeCell ref="A5:B5"/>
    <mergeCell ref="C27:E27"/>
    <mergeCell ref="A60:H60"/>
    <mergeCell ref="C47:H47"/>
    <mergeCell ref="E50:H50"/>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2:H52"/>
    <mergeCell ref="C34:D34"/>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A15:B15"/>
    <mergeCell ref="A16:B16"/>
    <mergeCell ref="A82:B82"/>
    <mergeCell ref="A83:B83"/>
    <mergeCell ref="C89:D89"/>
    <mergeCell ref="E349:F349"/>
    <mergeCell ref="G349:H349"/>
    <mergeCell ref="C77:H77"/>
    <mergeCell ref="A78:H78"/>
    <mergeCell ref="E79:F79"/>
    <mergeCell ref="E80:F80"/>
    <mergeCell ref="E87:F87"/>
    <mergeCell ref="A97:H97"/>
    <mergeCell ref="A255:H255"/>
    <mergeCell ref="A256:H256"/>
    <mergeCell ref="A257:H257"/>
    <mergeCell ref="A258:H258"/>
    <mergeCell ref="A259:H259"/>
    <mergeCell ref="A260:H260"/>
    <mergeCell ref="A261:H261"/>
    <mergeCell ref="A262:H262"/>
    <mergeCell ref="A263:H263"/>
    <mergeCell ref="A278:H278"/>
    <mergeCell ref="A279:H279"/>
    <mergeCell ref="C79:D79"/>
    <mergeCell ref="C80:D80"/>
    <mergeCell ref="C84:D84"/>
    <mergeCell ref="C85:D85"/>
    <mergeCell ref="C86:D86"/>
    <mergeCell ref="C87:D87"/>
    <mergeCell ref="A287:H287"/>
    <mergeCell ref="A288:H288"/>
    <mergeCell ref="E96:F96"/>
    <mergeCell ref="G96:H96"/>
    <mergeCell ref="A99:A100"/>
    <mergeCell ref="A105:B105"/>
    <mergeCell ref="A108:B108"/>
    <mergeCell ref="A109:B109"/>
    <mergeCell ref="A107:B107"/>
    <mergeCell ref="A128:A129"/>
    <mergeCell ref="C128:C129"/>
    <mergeCell ref="D128:D129"/>
    <mergeCell ref="A127:H127"/>
    <mergeCell ref="B128:B129"/>
    <mergeCell ref="E128:E129"/>
    <mergeCell ref="F128:F129"/>
    <mergeCell ref="A120:B120"/>
    <mergeCell ref="A208:H208"/>
    <mergeCell ref="A209:H209"/>
    <mergeCell ref="A210:H210"/>
    <mergeCell ref="A38:B38"/>
    <mergeCell ref="A40:B45"/>
    <mergeCell ref="A46:B46"/>
    <mergeCell ref="A47:B47"/>
    <mergeCell ref="A48:B48"/>
    <mergeCell ref="A50:B52"/>
    <mergeCell ref="C50:D50"/>
    <mergeCell ref="C51:D51"/>
    <mergeCell ref="C52:D52"/>
    <mergeCell ref="C43:F43"/>
    <mergeCell ref="A49:B49"/>
    <mergeCell ref="C49:F49"/>
    <mergeCell ref="G43:H43"/>
    <mergeCell ref="C45:F45"/>
    <mergeCell ref="G45:H45"/>
    <mergeCell ref="F18:H18"/>
    <mergeCell ref="A88:H88"/>
    <mergeCell ref="A35:B35"/>
    <mergeCell ref="A36:B36"/>
    <mergeCell ref="A73:B73"/>
    <mergeCell ref="A74:B74"/>
    <mergeCell ref="A75:B75"/>
    <mergeCell ref="A76:B76"/>
    <mergeCell ref="A77:B77"/>
    <mergeCell ref="A79:B79"/>
    <mergeCell ref="A80:B80"/>
    <mergeCell ref="A84:B84"/>
    <mergeCell ref="A85:B85"/>
    <mergeCell ref="A86:B86"/>
    <mergeCell ref="E61:F61"/>
    <mergeCell ref="E51:F51"/>
    <mergeCell ref="G66:H66"/>
    <mergeCell ref="C29:H29"/>
    <mergeCell ref="C30:H30"/>
    <mergeCell ref="A37:B37"/>
    <mergeCell ref="A62:H62"/>
    <mergeCell ref="G61:H61"/>
    <mergeCell ref="C61:D61"/>
    <mergeCell ref="C46:F46"/>
    <mergeCell ref="C48:F48"/>
    <mergeCell ref="C54:F54"/>
    <mergeCell ref="A63:D64"/>
    <mergeCell ref="A53:B53"/>
    <mergeCell ref="C53:H53"/>
    <mergeCell ref="C55:F55"/>
    <mergeCell ref="A55:B56"/>
    <mergeCell ref="C56:F56"/>
    <mergeCell ref="C59:F59"/>
    <mergeCell ref="A57:B59"/>
    <mergeCell ref="C57:F58"/>
    <mergeCell ref="A54:B54"/>
    <mergeCell ref="A61:B61"/>
    <mergeCell ref="A14:B14"/>
    <mergeCell ref="C33:D33"/>
    <mergeCell ref="A17:B17"/>
    <mergeCell ref="A18:B18"/>
    <mergeCell ref="A19:B19"/>
    <mergeCell ref="A20:B20"/>
    <mergeCell ref="A21:B21"/>
    <mergeCell ref="A22:B22"/>
    <mergeCell ref="A23:B23"/>
    <mergeCell ref="A24:B24"/>
    <mergeCell ref="A98:H98"/>
    <mergeCell ref="B99:B100"/>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93:H93"/>
    <mergeCell ref="E94:F94"/>
    <mergeCell ref="G94:H94"/>
    <mergeCell ref="C94:D94"/>
    <mergeCell ref="C95:D95"/>
    <mergeCell ref="C96:D96"/>
    <mergeCell ref="A94:B94"/>
    <mergeCell ref="A95:B95"/>
    <mergeCell ref="A96:B96"/>
    <mergeCell ref="C66:D66"/>
    <mergeCell ref="C67:D67"/>
    <mergeCell ref="C68:D68"/>
    <mergeCell ref="C65:H65"/>
    <mergeCell ref="A67:B67"/>
    <mergeCell ref="G89:H89"/>
    <mergeCell ref="E90:F90"/>
    <mergeCell ref="G90:H90"/>
    <mergeCell ref="E91:F91"/>
    <mergeCell ref="G91:H91"/>
    <mergeCell ref="A70:B70"/>
    <mergeCell ref="A71:B71"/>
    <mergeCell ref="C90:D90"/>
    <mergeCell ref="C91:D91"/>
    <mergeCell ref="G67:H76"/>
    <mergeCell ref="E82:F82"/>
    <mergeCell ref="A87:B87"/>
    <mergeCell ref="C75:D75"/>
    <mergeCell ref="C76:D76"/>
    <mergeCell ref="A72:B72"/>
    <mergeCell ref="A66:B66"/>
    <mergeCell ref="C81:D81"/>
    <mergeCell ref="C82:D82"/>
    <mergeCell ref="C83:D83"/>
    <mergeCell ref="A140:B140"/>
    <mergeCell ref="A121:B121"/>
    <mergeCell ref="A122:B122"/>
    <mergeCell ref="A123:B123"/>
    <mergeCell ref="A124:H124"/>
    <mergeCell ref="A125:B125"/>
    <mergeCell ref="A126:B126"/>
    <mergeCell ref="C99:C100"/>
    <mergeCell ref="E99:E100"/>
    <mergeCell ref="F99:F100"/>
    <mergeCell ref="D99:D100"/>
    <mergeCell ref="A102:H102"/>
    <mergeCell ref="A103:B103"/>
    <mergeCell ref="A104:B104"/>
    <mergeCell ref="A130:H130"/>
    <mergeCell ref="A106:B106"/>
    <mergeCell ref="A110:H110"/>
    <mergeCell ref="A111:B111"/>
    <mergeCell ref="A112:B112"/>
    <mergeCell ref="A113:B113"/>
    <mergeCell ref="A114:B114"/>
    <mergeCell ref="A115:B115"/>
    <mergeCell ref="A117:B117"/>
    <mergeCell ref="A116:H116"/>
    <mergeCell ref="A118:B118"/>
    <mergeCell ref="A119:B119"/>
    <mergeCell ref="A132:H132"/>
    <mergeCell ref="A133:B133"/>
    <mergeCell ref="A134:B134"/>
    <mergeCell ref="A135:B135"/>
    <mergeCell ref="A136:B136"/>
    <mergeCell ref="A137:B137"/>
    <mergeCell ref="A138:B138"/>
    <mergeCell ref="A139:B139"/>
    <mergeCell ref="I52:L52"/>
    <mergeCell ref="C252:H252"/>
    <mergeCell ref="A349:B349"/>
    <mergeCell ref="C349:D349"/>
    <mergeCell ref="A252:B252"/>
    <mergeCell ref="B190:H190"/>
    <mergeCell ref="A299:H299"/>
    <mergeCell ref="A300:H300"/>
    <mergeCell ref="A301:H301"/>
    <mergeCell ref="A302:H302"/>
    <mergeCell ref="A281:H281"/>
    <mergeCell ref="A282:H282"/>
    <mergeCell ref="A283:H283"/>
    <mergeCell ref="A188:E188"/>
    <mergeCell ref="F188:H188"/>
    <mergeCell ref="A202:H202"/>
    <mergeCell ref="F187:H187"/>
    <mergeCell ref="A187:E187"/>
    <mergeCell ref="B200:H200"/>
    <mergeCell ref="A284:H284"/>
    <mergeCell ref="A285:H285"/>
    <mergeCell ref="A272:H272"/>
    <mergeCell ref="A273:H273"/>
  </mergeCells>
  <dataValidations count="7">
    <dataValidation type="list" allowBlank="1" showInputMessage="1" showErrorMessage="1" sqref="A9:B9" xr:uid="{00000000-0002-0000-0000-000000000000}">
      <formula1>"CTS No,Survey No,Plot No,Gut No,FP No,"</formula1>
    </dataValidation>
    <dataValidation type="list" allowBlank="1" showInputMessage="1" showErrorMessage="1" sqref="B128" xr:uid="{00000000-0002-0000-0000-000001000000}">
      <formula1>"Flat No. (Sale Plan),Sale / Rehab,Sale / Mhada"</formula1>
    </dataValidation>
    <dataValidation type="list" allowBlank="1" showInputMessage="1" showErrorMessage="1" sqref="D99 D128" xr:uid="{00000000-0002-0000-0000-000002000000}">
      <formula1>"Carpet area,RERA Carpet area"</formula1>
    </dataValidation>
    <dataValidation type="list" allowBlank="1" showInputMessage="1" showErrorMessage="1" sqref="E128:E129" xr:uid="{00000000-0002-0000-0000-000003000000}">
      <formula1>"Fungible area,Balcony Area,Chajja Area,Cornice Area,AP Area,WS Area"</formula1>
    </dataValidation>
    <dataValidation type="list" allowBlank="1" showInputMessage="1" showErrorMessage="1" sqref="E99:E100" xr:uid="{00000000-0002-0000-0000-000004000000}">
      <formula1>"Attached Loft area,Attached Otla area+ Balcony Area,Attached Mezzanine area"</formula1>
    </dataValidation>
    <dataValidation type="list" allowBlank="1" showInputMessage="1" showErrorMessage="1" sqref="B99" xr:uid="{00000000-0002-0000-0000-000005000000}">
      <formula1>"Shop No. (Sale Plan),Sale / Rehab,Sale / Mhada"</formula1>
    </dataValidation>
    <dataValidation type="list" allowBlank="1" showInputMessage="1" showErrorMessage="1" sqref="H129 H100" xr:uid="{00000000-0002-0000-0000-000006000000}">
      <formula1>".45,.50,.55,.60"</formula1>
    </dataValidation>
  </dataValidations>
  <hyperlinks>
    <hyperlink ref="C19" r:id="rId1" xr:uid="{BD8F6325-CF20-4F55-B2D7-062718B37BED}"/>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5" manualBreakCount="5">
    <brk id="30" max="7" man="1"/>
    <brk id="61" max="16383" man="1"/>
    <brk id="200" max="7" man="1"/>
    <brk id="251" max="7" man="1"/>
    <brk id="302"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
  <sheetViews>
    <sheetView zoomScale="115" zoomScaleNormal="115" workbookViewId="0">
      <selection activeCell="C1" sqref="A1:XFD13"/>
    </sheetView>
  </sheetViews>
  <sheetFormatPr defaultRowHeight="14.4" x14ac:dyDescent="0.3"/>
  <cols>
    <col min="1" max="1" width="24.109375" customWidth="1"/>
    <col min="2" max="6" width="17.5546875" customWidth="1"/>
    <col min="7" max="7" width="10.44140625" customWidth="1"/>
  </cols>
  <sheetData>
    <row r="1" spans="1:8" x14ac:dyDescent="0.3">
      <c r="A1" s="235" t="s">
        <v>112</v>
      </c>
      <c r="B1" s="236"/>
      <c r="C1" s="8" t="s">
        <v>58</v>
      </c>
      <c r="D1" s="8" t="s">
        <v>59</v>
      </c>
      <c r="E1" s="8" t="s">
        <v>60</v>
      </c>
      <c r="F1" s="9" t="s">
        <v>46</v>
      </c>
    </row>
    <row r="2" spans="1:8" x14ac:dyDescent="0.3">
      <c r="A2" s="237"/>
      <c r="B2" s="238"/>
      <c r="C2" s="6">
        <v>0</v>
      </c>
      <c r="D2" s="12">
        <v>1</v>
      </c>
      <c r="E2" s="6">
        <v>0</v>
      </c>
      <c r="F2" s="7">
        <f ca="1">--TRIM(RIGHT(SUBSTITUTE(LEFT(A1,_xlfn.AGGREGATE(16,6,FIND({0,1,2,3,4,5,6,7,8,9},A1,ROW(INDIRECT("1:"&amp;LEN(A1)))),1))," ",REPT(" ",LEN(A1))),LEN(A1)))</f>
        <v>3</v>
      </c>
    </row>
    <row r="3" spans="1:8" x14ac:dyDescent="0.3">
      <c r="A3" s="2" t="s">
        <v>61</v>
      </c>
      <c r="B3" s="3" t="s">
        <v>62</v>
      </c>
      <c r="C3" s="10" t="s">
        <v>63</v>
      </c>
      <c r="D3" s="13" t="s">
        <v>56</v>
      </c>
      <c r="E3" s="239" t="s">
        <v>130</v>
      </c>
      <c r="F3" s="240"/>
      <c r="G3" s="22" t="s">
        <v>64</v>
      </c>
      <c r="H3" s="17">
        <f ca="1">F2*25%</f>
        <v>0.75</v>
      </c>
    </row>
    <row r="4" spans="1:8" x14ac:dyDescent="0.3">
      <c r="A4" s="2" t="s">
        <v>65</v>
      </c>
      <c r="B4" s="4">
        <f ca="1">H5</f>
        <v>3</v>
      </c>
      <c r="C4" s="11">
        <f ca="1">((100/F2)*B4)/100</f>
        <v>1</v>
      </c>
      <c r="D4" s="15" t="str">
        <f ca="1">IF(C13=100%,"All work Completed. Possession granted to the Building.",IF(C12=100%,"All work Completed, Waiting for OC",D10&amp;""&amp;D11&amp;""&amp;D9&amp;""&amp;D12&amp;" "&amp;D13))</f>
        <v xml:space="preserve">Excavation, Plinth, RCC Slab, Brickwork Completed </v>
      </c>
      <c r="E4" s="241" t="str">
        <f ca="1">D4</f>
        <v xml:space="preserve">Excavation, Plinth, RCC Slab, Brickwork Completed </v>
      </c>
      <c r="F4" s="242"/>
      <c r="G4" s="1" t="s">
        <v>66</v>
      </c>
      <c r="H4" s="18">
        <f ca="1">F2*50%</f>
        <v>1.5</v>
      </c>
    </row>
    <row r="5" spans="1:8" x14ac:dyDescent="0.3">
      <c r="A5" s="2" t="s">
        <v>67</v>
      </c>
      <c r="B5" s="5">
        <f ca="1">H13</f>
        <v>3</v>
      </c>
      <c r="C5" s="11">
        <f ca="1">((100/F2)*B5)/100</f>
        <v>1</v>
      </c>
      <c r="D5" s="16"/>
      <c r="E5" s="243"/>
      <c r="F5" s="244"/>
      <c r="G5" s="1" t="s">
        <v>68</v>
      </c>
      <c r="H5" s="18">
        <f ca="1">F2</f>
        <v>3</v>
      </c>
    </row>
    <row r="6" spans="1:8" x14ac:dyDescent="0.3">
      <c r="A6" s="2" t="s">
        <v>69</v>
      </c>
      <c r="B6" s="5">
        <v>4</v>
      </c>
      <c r="C6" s="11">
        <f ca="1">((100/(D2+E2+F2))*B6)/100</f>
        <v>1</v>
      </c>
      <c r="D6" s="16"/>
      <c r="E6" s="243"/>
      <c r="F6" s="244"/>
      <c r="G6" s="1" t="s">
        <v>70</v>
      </c>
      <c r="H6" s="19">
        <f ca="1">(IF(C2&gt;1,(F2/(C2+2)),F2/4))</f>
        <v>0.75</v>
      </c>
    </row>
    <row r="7" spans="1:8" x14ac:dyDescent="0.3">
      <c r="A7" s="2" t="s">
        <v>71</v>
      </c>
      <c r="B7" s="4">
        <v>3</v>
      </c>
      <c r="C7" s="11">
        <f ca="1">((100/F2)*B7)/100</f>
        <v>1</v>
      </c>
      <c r="D7" s="16"/>
      <c r="E7" s="243"/>
      <c r="F7" s="244"/>
      <c r="G7" s="1" t="s">
        <v>72</v>
      </c>
      <c r="H7" s="19">
        <f ca="1">(IF(C2&gt;1,(F2/(C2+2)+H6),F2/4+H6))</f>
        <v>1.5</v>
      </c>
    </row>
    <row r="8" spans="1:8" x14ac:dyDescent="0.3">
      <c r="A8" s="2" t="s">
        <v>73</v>
      </c>
      <c r="B8" s="4">
        <v>0</v>
      </c>
      <c r="C8" s="11">
        <f ca="1">((100/F2)*B8)/100</f>
        <v>0</v>
      </c>
      <c r="D8" s="14">
        <f ca="1">(((B5/F2*10)+(40/(D2+E2+F2)*B6)+(15/(F2)*B7)+(5/(F2)*B8)+(5/F2*B9)+(10/F2*B10)+(5/F2*B11)+(5/F2*B12)+(5/F2*B13))/100)</f>
        <v>0.65</v>
      </c>
      <c r="E8" s="243"/>
      <c r="F8" s="244"/>
      <c r="G8" s="1" t="s">
        <v>74</v>
      </c>
      <c r="H8" s="19">
        <f>(IF(C2&gt;1,(F2/(C2+2)+H7),0))</f>
        <v>0</v>
      </c>
    </row>
    <row r="9" spans="1:8" x14ac:dyDescent="0.3">
      <c r="A9" s="2" t="s">
        <v>75</v>
      </c>
      <c r="B9" s="4">
        <v>0</v>
      </c>
      <c r="C9" s="11">
        <f ca="1">((100/(F2))*B9)/100</f>
        <v>0</v>
      </c>
      <c r="D9" s="16"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43"/>
      <c r="F9" s="244"/>
      <c r="G9" s="1" t="s">
        <v>76</v>
      </c>
      <c r="H9" s="19">
        <f>(IF(C2&gt;2,(F2/(C2+2)+H8),0))</f>
        <v>0</v>
      </c>
    </row>
    <row r="10" spans="1:8" x14ac:dyDescent="0.3">
      <c r="A10" s="2" t="s">
        <v>77</v>
      </c>
      <c r="B10" s="4">
        <v>0</v>
      </c>
      <c r="C10" s="11">
        <f ca="1">((100/F2)*B10)/100</f>
        <v>0</v>
      </c>
      <c r="D10" s="16" t="str">
        <f ca="1">IF(C4=100%,"Excavation","")&amp;IF(C5=100%,", Plinth","")&amp;IF(C6=100%,", RCC Slab","")&amp;IF(C7=100%,", Brickwork","")&amp;IF(C8=100%,", Internal Plaster","")&amp;IF(C9=100%,", External Plaster","")&amp;IF(C10=100%,", Flooring","")&amp;IF(C11=100%,", Painting","")&amp;IF(C12=100%,", Building common Amenities","")</f>
        <v>Excavation, Plinth, RCC Slab, Brickwork</v>
      </c>
      <c r="E10" s="243"/>
      <c r="F10" s="244"/>
      <c r="G10" s="1" t="s">
        <v>78</v>
      </c>
      <c r="H10" s="20">
        <f>(IF(C2&gt;3,(F2/(C2+2)+H9),0))</f>
        <v>0</v>
      </c>
    </row>
    <row r="11" spans="1:8" x14ac:dyDescent="0.3">
      <c r="A11" s="2" t="s">
        <v>79</v>
      </c>
      <c r="B11" s="4">
        <v>0</v>
      </c>
      <c r="C11" s="11">
        <f ca="1">((100/F2)*B11)/100</f>
        <v>0</v>
      </c>
      <c r="D11" s="16" t="str">
        <f ca="1">IF(D10&lt;&gt;""," Completed","")</f>
        <v xml:space="preserve"> Completed</v>
      </c>
      <c r="E11" s="243"/>
      <c r="F11" s="244"/>
      <c r="G11" s="1" t="s">
        <v>80</v>
      </c>
      <c r="H11" s="19">
        <f>(IF(C2&gt;4,(F2/(C2+2)+H10),0))</f>
        <v>0</v>
      </c>
    </row>
    <row r="12" spans="1:8" x14ac:dyDescent="0.3">
      <c r="A12" s="2" t="s">
        <v>81</v>
      </c>
      <c r="B12" s="4">
        <v>0</v>
      </c>
      <c r="C12" s="11">
        <f ca="1">((100/(F2))*B12)/100</f>
        <v>0</v>
      </c>
      <c r="D12" s="16"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43"/>
      <c r="F12" s="244"/>
      <c r="G12" s="1" t="s">
        <v>82</v>
      </c>
      <c r="H12" s="19">
        <f ca="1">(IF(C2=1,(F2/(C2+3)+H7),IF(C2=0,(F2/4+H7),IF(C2&gt;1,0))))</f>
        <v>2.25</v>
      </c>
    </row>
    <row r="13" spans="1:8" ht="15" thickBot="1" x14ac:dyDescent="0.35">
      <c r="A13" s="24" t="s">
        <v>83</v>
      </c>
      <c r="B13" s="25">
        <v>0</v>
      </c>
      <c r="C13" s="26">
        <f ca="1">((100/(F2))*B13)/100</f>
        <v>0</v>
      </c>
      <c r="D13" s="27" t="str">
        <f ca="1">IF(D12&lt;&gt;"","Completed","")</f>
        <v/>
      </c>
      <c r="E13" s="245"/>
      <c r="F13" s="246"/>
      <c r="G13" s="23" t="s">
        <v>84</v>
      </c>
      <c r="H13" s="21">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USER</cp:lastModifiedBy>
  <cp:lastPrinted>2025-09-29T09:57:16Z</cp:lastPrinted>
  <dcterms:created xsi:type="dcterms:W3CDTF">2019-01-21T04:29:02Z</dcterms:created>
  <dcterms:modified xsi:type="dcterms:W3CDTF">2025-09-29T09:59:24Z</dcterms:modified>
</cp:coreProperties>
</file>