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5-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8" i="1" l="1"/>
  <c r="D148" i="1"/>
  <c r="E149" i="1"/>
  <c r="D149" i="1"/>
  <c r="D146" i="1"/>
  <c r="D145" i="1"/>
  <c r="D144" i="1"/>
  <c r="D143" i="1"/>
  <c r="D142" i="1"/>
  <c r="E196" i="1" l="1"/>
  <c r="D196" i="1"/>
  <c r="E195" i="1"/>
  <c r="D195" i="1"/>
  <c r="E194" i="1"/>
  <c r="D194" i="1"/>
  <c r="E191" i="1"/>
  <c r="D191" i="1"/>
  <c r="E190" i="1"/>
  <c r="D190" i="1"/>
  <c r="E188" i="1"/>
  <c r="E187" i="1"/>
  <c r="D187" i="1"/>
  <c r="E186" i="1"/>
  <c r="D186" i="1"/>
  <c r="E185" i="1"/>
  <c r="D185" i="1"/>
  <c r="E184" i="1"/>
  <c r="D184" i="1"/>
  <c r="E183" i="1"/>
  <c r="D183" i="1"/>
  <c r="E182" i="1"/>
  <c r="D182" i="1"/>
  <c r="E178" i="1"/>
  <c r="D178" i="1"/>
  <c r="E177" i="1"/>
  <c r="D177" i="1"/>
  <c r="E176" i="1"/>
  <c r="D176" i="1"/>
  <c r="E175" i="1"/>
  <c r="D175" i="1"/>
  <c r="E174" i="1"/>
  <c r="D174" i="1"/>
  <c r="E173" i="1"/>
  <c r="K182" i="1"/>
  <c r="J182" i="1"/>
  <c r="L182" i="1" s="1"/>
  <c r="E161" i="1"/>
  <c r="E170" i="1"/>
  <c r="E169" i="1"/>
  <c r="E168" i="1"/>
  <c r="E171" i="1"/>
  <c r="D171" i="1"/>
  <c r="D170" i="1"/>
  <c r="E164" i="1"/>
  <c r="D164" i="1"/>
  <c r="E167" i="1"/>
  <c r="D167" i="1"/>
  <c r="E166" i="1"/>
  <c r="D166" i="1"/>
  <c r="E165" i="1"/>
  <c r="D165" i="1"/>
  <c r="C129" i="1"/>
  <c r="E162" i="1"/>
  <c r="I160" i="1"/>
  <c r="I159" i="1"/>
  <c r="E158" i="1"/>
  <c r="E157" i="1"/>
  <c r="E156" i="1"/>
  <c r="E155" i="1"/>
  <c r="I164" i="1"/>
  <c r="I148" i="1" l="1"/>
  <c r="I183" i="1" l="1"/>
  <c r="I182" i="1"/>
  <c r="I169" i="1" l="1"/>
  <c r="I168" i="1"/>
  <c r="I161" i="1"/>
  <c r="I156" i="1"/>
  <c r="I155" i="1"/>
  <c r="F194" i="1"/>
  <c r="H194" i="1" s="1"/>
  <c r="E192" i="1"/>
  <c r="D192" i="1"/>
  <c r="D188" i="1"/>
  <c r="F188" i="1" s="1"/>
  <c r="H188" i="1" s="1"/>
  <c r="F174" i="1"/>
  <c r="H174" i="1" s="1"/>
  <c r="D173" i="1"/>
  <c r="F173" i="1" s="1"/>
  <c r="H173" i="1" s="1"/>
  <c r="F178" i="1"/>
  <c r="H178" i="1" s="1"/>
  <c r="A174" i="1"/>
  <c r="A175" i="1" s="1"/>
  <c r="A176" i="1" s="1"/>
  <c r="A177" i="1" s="1"/>
  <c r="A178" i="1" s="1"/>
  <c r="A179" i="1" s="1"/>
  <c r="A180" i="1" s="1"/>
  <c r="F186" i="1"/>
  <c r="H186" i="1" s="1"/>
  <c r="F185" i="1"/>
  <c r="H185" i="1" s="1"/>
  <c r="F184" i="1"/>
  <c r="H184" i="1" s="1"/>
  <c r="F187" i="1"/>
  <c r="H187" i="1" s="1"/>
  <c r="F196" i="1"/>
  <c r="H196" i="1" s="1"/>
  <c r="F191" i="1"/>
  <c r="H191" i="1" s="1"/>
  <c r="A191" i="1"/>
  <c r="A192" i="1" s="1"/>
  <c r="A193" i="1" s="1"/>
  <c r="A194" i="1" s="1"/>
  <c r="A195" i="1" s="1"/>
  <c r="A196" i="1" s="1"/>
  <c r="F190" i="1"/>
  <c r="H190" i="1" s="1"/>
  <c r="D169" i="1"/>
  <c r="D168" i="1"/>
  <c r="D162" i="1"/>
  <c r="F162" i="1" s="1"/>
  <c r="H162" i="1" s="1"/>
  <c r="D161" i="1"/>
  <c r="D158" i="1"/>
  <c r="F158" i="1" s="1"/>
  <c r="H158" i="1" s="1"/>
  <c r="D157" i="1"/>
  <c r="D156" i="1"/>
  <c r="D155" i="1"/>
  <c r="A156" i="1"/>
  <c r="A157" i="1" s="1"/>
  <c r="A158" i="1" s="1"/>
  <c r="F171" i="1"/>
  <c r="H171" i="1" s="1"/>
  <c r="F170" i="1"/>
  <c r="H170" i="1" s="1"/>
  <c r="F183" i="1"/>
  <c r="H183" i="1" s="1"/>
  <c r="A183" i="1"/>
  <c r="A184" i="1" s="1"/>
  <c r="A185" i="1" s="1"/>
  <c r="A186" i="1" s="1"/>
  <c r="A187" i="1" s="1"/>
  <c r="A188" i="1" s="1"/>
  <c r="F182" i="1"/>
  <c r="H182" i="1" s="1"/>
  <c r="F146" i="1"/>
  <c r="H146" i="1" s="1"/>
  <c r="F149" i="1"/>
  <c r="H149" i="1" s="1"/>
  <c r="A149" i="1"/>
  <c r="F148" i="1"/>
  <c r="E43" i="1"/>
  <c r="F192" i="1" l="1"/>
  <c r="H192" i="1" s="1"/>
  <c r="C133" i="1"/>
  <c r="H148" i="1"/>
  <c r="G129" i="1" s="1"/>
  <c r="E129" i="1"/>
  <c r="C128" i="1"/>
  <c r="C130" i="1" s="1"/>
  <c r="C136" i="1" s="1"/>
  <c r="F195" i="1"/>
  <c r="H195" i="1" s="1"/>
  <c r="F169" i="1"/>
  <c r="H169" i="1" s="1"/>
  <c r="F176" i="1"/>
  <c r="H176" i="1" s="1"/>
  <c r="F155" i="1"/>
  <c r="H155" i="1" s="1"/>
  <c r="F156" i="1"/>
  <c r="H156" i="1" s="1"/>
  <c r="F157" i="1"/>
  <c r="H157" i="1" s="1"/>
  <c r="F161" i="1"/>
  <c r="H161" i="1" s="1"/>
  <c r="F168" i="1"/>
  <c r="H168" i="1" s="1"/>
  <c r="F177" i="1"/>
  <c r="H177" i="1" s="1"/>
  <c r="F175" i="1"/>
  <c r="H175" i="1" s="1"/>
  <c r="A162" i="1"/>
  <c r="C99" i="1"/>
  <c r="C85" i="1"/>
  <c r="F142" i="1" l="1"/>
  <c r="H142" i="1" l="1"/>
  <c r="E31" i="1"/>
  <c r="E26" i="1"/>
  <c r="F164" i="1" l="1"/>
  <c r="H164"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I42" i="7"/>
  <c r="H42" i="7" s="1"/>
  <c r="E42" i="7"/>
  <c r="D42" i="7" s="1"/>
  <c r="D44" i="7" s="1"/>
  <c r="E44" i="7" l="1"/>
  <c r="B223" i="1"/>
  <c r="F143" i="1" l="1"/>
  <c r="F144" i="1"/>
  <c r="H144" i="1" s="1"/>
  <c r="F145" i="1"/>
  <c r="H145" i="1" s="1"/>
  <c r="E128" i="1" l="1"/>
  <c r="E130" i="1" s="1"/>
  <c r="H143" i="1"/>
  <c r="G128" i="1" s="1"/>
  <c r="G130" i="1" s="1"/>
  <c r="S33" i="1" l="1"/>
  <c r="F11" i="5" l="1"/>
  <c r="G11" i="5" s="1"/>
  <c r="F10" i="5"/>
  <c r="G10" i="5" s="1"/>
  <c r="F9" i="5"/>
  <c r="G9" i="5" s="1"/>
  <c r="F8" i="5"/>
  <c r="G8" i="5" s="1"/>
  <c r="F7" i="5"/>
  <c r="G7" i="5" s="1"/>
  <c r="F6" i="5"/>
  <c r="G6" i="5" s="1"/>
  <c r="F5" i="5"/>
  <c r="G5" i="5" s="1"/>
  <c r="D246" i="1"/>
  <c r="B224" i="1"/>
  <c r="F220" i="1"/>
  <c r="H220" i="1" s="1"/>
  <c r="F219" i="1"/>
  <c r="H219" i="1" s="1"/>
  <c r="F218" i="1"/>
  <c r="H218" i="1" s="1"/>
  <c r="F217" i="1"/>
  <c r="H217" i="1" s="1"/>
  <c r="F216" i="1"/>
  <c r="H216" i="1" s="1"/>
  <c r="F214" i="1"/>
  <c r="H214" i="1" s="1"/>
  <c r="F213" i="1"/>
  <c r="H213" i="1" s="1"/>
  <c r="F212" i="1"/>
  <c r="H212" i="1" s="1"/>
  <c r="F211" i="1"/>
  <c r="H211" i="1" s="1"/>
  <c r="F210" i="1"/>
  <c r="H210" i="1" s="1"/>
  <c r="F208" i="1"/>
  <c r="H208" i="1" s="1"/>
  <c r="F207" i="1"/>
  <c r="H207" i="1" s="1"/>
  <c r="F206" i="1"/>
  <c r="H206" i="1" s="1"/>
  <c r="F205" i="1"/>
  <c r="H205" i="1" s="1"/>
  <c r="F204" i="1"/>
  <c r="H204" i="1" s="1"/>
  <c r="F202" i="1"/>
  <c r="H202" i="1" s="1"/>
  <c r="F201" i="1"/>
  <c r="H201" i="1" s="1"/>
  <c r="F200" i="1"/>
  <c r="H200" i="1" s="1"/>
  <c r="F199" i="1"/>
  <c r="H199" i="1" s="1"/>
  <c r="F198" i="1"/>
  <c r="H198" i="1" s="1"/>
  <c r="A198" i="1"/>
  <c r="A199" i="1" s="1"/>
  <c r="A200" i="1" s="1"/>
  <c r="A201" i="1" s="1"/>
  <c r="A202" i="1" s="1"/>
  <c r="F167" i="1"/>
  <c r="H167" i="1" s="1"/>
  <c r="F166" i="1"/>
  <c r="H166" i="1" s="1"/>
  <c r="F165" i="1"/>
  <c r="A165" i="1"/>
  <c r="A166" i="1" s="1"/>
  <c r="A167" i="1" s="1"/>
  <c r="A168" i="1" s="1"/>
  <c r="A169" i="1" s="1"/>
  <c r="A170" i="1" s="1"/>
  <c r="A171" i="1" s="1"/>
  <c r="A143" i="1"/>
  <c r="A144" i="1" s="1"/>
  <c r="A145" i="1" s="1"/>
  <c r="A146" i="1" s="1"/>
  <c r="F125" i="1"/>
  <c r="C71" i="1"/>
  <c r="B72" i="1" s="1"/>
  <c r="D58" i="1"/>
  <c r="G51" i="1"/>
  <c r="G52" i="1" s="1"/>
  <c r="C51" i="1"/>
  <c r="C52" i="1" s="1"/>
  <c r="E44" i="1"/>
  <c r="E45" i="1" s="1"/>
  <c r="E28" i="1"/>
  <c r="C16" i="1"/>
  <c r="I15" i="1"/>
  <c r="Z13" i="1"/>
  <c r="E8" i="1"/>
  <c r="E3" i="1"/>
  <c r="D65" i="1" s="1"/>
  <c r="A216" i="1"/>
  <c r="A210" i="1"/>
  <c r="A204" i="1"/>
  <c r="G12" i="5" l="1"/>
  <c r="H165" i="1"/>
  <c r="G133" i="1" s="1"/>
  <c r="G136" i="1" s="1"/>
  <c r="E133" i="1"/>
  <c r="E136" i="1" s="1"/>
  <c r="A217" i="1"/>
  <c r="A211" i="1"/>
  <c r="A205" i="1"/>
  <c r="H72" i="1"/>
  <c r="D81" i="1" l="1"/>
  <c r="D80" i="1"/>
  <c r="J71" i="1"/>
  <c r="J73" i="1" s="1"/>
  <c r="D78" i="1"/>
  <c r="J74" i="1"/>
  <c r="D83" i="1"/>
  <c r="J75" i="1"/>
  <c r="D77" i="1"/>
  <c r="D84" i="1"/>
  <c r="J76" i="1"/>
  <c r="C75" i="1" s="1"/>
  <c r="D75" i="1" s="1"/>
  <c r="D82" i="1"/>
  <c r="D79" i="1"/>
  <c r="J77" i="1"/>
  <c r="J78" i="1" s="1"/>
  <c r="J83" i="1" s="1"/>
  <c r="J84" i="1" s="1"/>
  <c r="C76" i="1" s="1"/>
  <c r="J81" i="1"/>
  <c r="J79" i="1"/>
  <c r="J80" i="1"/>
  <c r="J82" i="1"/>
  <c r="A212" i="1"/>
  <c r="A206" i="1"/>
  <c r="A218" i="1"/>
  <c r="B86" i="1" l="1"/>
  <c r="J72" i="1"/>
  <c r="E75" i="1"/>
  <c r="D76" i="1"/>
  <c r="G75" i="1"/>
  <c r="D69" i="1" s="1"/>
  <c r="A219" i="1"/>
  <c r="H86" i="1"/>
  <c r="A213" i="1"/>
  <c r="A207" i="1"/>
  <c r="I72" i="1" l="1"/>
  <c r="I73" i="1" s="1"/>
  <c r="I71" i="1" s="1"/>
  <c r="C73" i="1" s="1"/>
  <c r="J88" i="1"/>
  <c r="D98" i="1"/>
  <c r="D92" i="1"/>
  <c r="J90" i="1"/>
  <c r="C89" i="1" s="1"/>
  <c r="D96" i="1"/>
  <c r="J85" i="1"/>
  <c r="J87" i="1" s="1"/>
  <c r="D93" i="1"/>
  <c r="D97" i="1"/>
  <c r="D91" i="1"/>
  <c r="D95" i="1"/>
  <c r="J89" i="1"/>
  <c r="D94" i="1"/>
  <c r="J91" i="1"/>
  <c r="J92" i="1" s="1"/>
  <c r="J97" i="1" s="1"/>
  <c r="J98" i="1" s="1"/>
  <c r="C90" i="1" s="1"/>
  <c r="J96" i="1"/>
  <c r="J95" i="1"/>
  <c r="J94" i="1"/>
  <c r="J93" i="1"/>
  <c r="F70" i="1"/>
  <c r="D70" i="1"/>
  <c r="A214" i="1"/>
  <c r="A208" i="1"/>
  <c r="A220" i="1"/>
  <c r="B100" i="1" l="1"/>
  <c r="E89" i="1"/>
  <c r="D90" i="1"/>
  <c r="G89" i="1"/>
  <c r="D89" i="1"/>
  <c r="H100" i="1"/>
  <c r="J102" i="1" l="1"/>
  <c r="D111" i="1"/>
  <c r="J104" i="1"/>
  <c r="C103" i="1" s="1"/>
  <c r="D103" i="1" s="1"/>
  <c r="D110" i="1"/>
  <c r="D109" i="1"/>
  <c r="J103" i="1"/>
  <c r="J99" i="1"/>
  <c r="J101" i="1" s="1"/>
  <c r="D107" i="1"/>
  <c r="D112" i="1"/>
  <c r="D106" i="1"/>
  <c r="D105" i="1"/>
  <c r="D108" i="1"/>
  <c r="I86" i="1"/>
  <c r="I87" i="1" s="1"/>
  <c r="J109" i="1"/>
  <c r="J107" i="1"/>
  <c r="J105" i="1"/>
  <c r="J106" i="1" s="1"/>
  <c r="J111" i="1" s="1"/>
  <c r="J112" i="1" s="1"/>
  <c r="C104" i="1" s="1"/>
  <c r="J110" i="1"/>
  <c r="J108" i="1"/>
  <c r="J86" i="1"/>
  <c r="I85" i="1" l="1"/>
  <c r="C87" i="1" s="1"/>
  <c r="E103" i="1"/>
  <c r="D104" i="1"/>
  <c r="I100" i="1" s="1"/>
  <c r="I101" i="1" s="1"/>
  <c r="J100" i="1"/>
  <c r="G103" i="1"/>
  <c r="I99" i="1" l="1"/>
  <c r="C10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D58"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1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<sst xmlns="http://schemas.openxmlformats.org/spreadsheetml/2006/main" count="720" uniqueCount="416">
  <si>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</si>
  <si>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</si>
  <si>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</si>
  <si>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</si>
  <si>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</si>
  <si>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</si>
  <si>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</si>
  <si>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</si>
  <si>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</si>
  <si>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</si>
  <si>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</si>
  <si>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</si>
  <si>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</si>
  <si>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</si>
  <si>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</si>
  <si>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</si>
  <si>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</si>
  <si>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</si>
  <si>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</si>
  <si>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</si>
  <si>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</si>
  <si>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</si>
  <si>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</si>
  <si>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</si>
  <si>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</si>
  <si>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</si>
  <si>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</si>
  <si>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</si>
  <si>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</si>
  <si>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</si>
  <si>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</si>
  <si>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</si>
  <si>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</si>
  <si>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</si>
  <si>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</si>
  <si>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</si>
  <si>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</si>
  <si>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</si>
  <si>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</si>
  <si>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</si>
  <si>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</si>
  <si>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</si>
  <si>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</si>
  <si>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</si>
  <si>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</si>
  <si>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</si>
  <si>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</si>
  <si>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</si>
  <si>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</si>
  <si>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</si>
  <si>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</si>
  <si>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</si>
  <si>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</si>
  <si>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</si>
  <si>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</si>
  <si>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</si>
  <si>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</si>
  <si>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</si>
  <si>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</si>
  <si>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</si>
  <si>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</si>
  <si>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</si>
  <si>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</si>
  <si>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</si>
  <si>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</si>
  <si>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</si>
  <si>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</si>
  <si>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</si>
  <si>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</si>
  <si>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</si>
  <si>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</si>
  <si>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</si>
  <si>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</si>
  <si>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</si>
  <si>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</si>
  <si>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</si>
  <si>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</si>
  <si>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</si>
  <si>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</si>
  <si>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</si>
  <si>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</si>
  <si>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</si>
  <si>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</si>
  <si>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</si>
  <si>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</si>
  <si>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</si>
  <si>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</si>
  <si>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</si>
  <si>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</si>
  <si>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</si>
  <si>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</si>
  <si>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</si>
  <si>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</si>
  <si>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</si>
  <si>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</si>
  <si>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</si>
  <si>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</si>
  <si>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</si>
  <si>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</si>
  <si>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</si>
  <si>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</si>
  <si>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</si>
  <si>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</si>
  <si>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</si>
  <si>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</si>
  <si>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</si>
  <si>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</si>
  <si>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</si>
  <si>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</si>
  <si>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</si>
  <si>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</si>
  <si>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</si>
  <si>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</si>
  <si>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</si>
  <si>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</si>
  <si>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</si>
  <si>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</si>
  <si>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</si>
  <si>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</si>
  <si>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</si>
  <si>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</si>
  <si>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</si>
  <si>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</si>
  <si>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</si>
  <si>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</si>
  <si>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</si>
  <si>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</si>
  <si>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</si>
  <si>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</si>
  <si>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</si>
  <si>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</si>
  <si>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</si>
  <si>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</si>
  <si>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</si>
  <si>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</si>
  <si>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</si>
  <si>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</si>
  <si>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</si>
  <si>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</si>
  <si>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</si>
  <si>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</si>
  <si>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</si>
  <si>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</si>
  <si>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</si>
  <si>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</si>
  <si>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</si>
  <si>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</si>
  <si>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</si>
  <si>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</si>
  <si>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</si>
  <si>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</si>
  <si>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</si>
  <si>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</si>
  <si>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</si>
  <si>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</si>
  <si>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</si>
  <si>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</si>
  <si>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</si>
  <si>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</si>
  <si>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</si>
  <si>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</si>
  <si>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</si>
  <si>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</si>
  <si>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</si>
  <si>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</si>
  <si>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</si>
  <si>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</si>
  <si>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</si>
  <si>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</si>
  <si>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</si>
  <si>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</si>
  <si>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</si>
  <si>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</si>
  <si>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</si>
  <si>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</si>
  <si>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</si>
  <si>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</si>
  <si>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</si>
  <si>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</si>
  <si>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</si>
  <si>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</si>
  <si>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</si>
  <si>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</si>
  <si>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</si>
  <si>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</si>
  <si>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</si>
  <si>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</si>
  <si>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</si>
  <si>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</si>
  <si>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</si>
  <si>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</si>
  <si>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</si>
  <si>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</si>
  <si>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</si>
  <si>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</si>
  <si>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</si>
  <si>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</si>
  <si>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</si>
  <si>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</si>
  <si>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</si>
  <si>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</si>
  <si>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</si>
  <si>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</si>
  <si>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</si>
  <si>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</si>
  <si>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</si>
  <si>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</si>
  <si>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</si>
  <si>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</si>
  <si>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</si>
  <si>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</si>
  <si>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</si>
  <si>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</si>
  <si>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</si>
  <si>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</si>
  <si>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</si>
  <si>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</si>
  <si>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</si>
  <si>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</si>
  <si>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</si>
  <si>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</si>
  <si>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</si>
  <si>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</si>
  <si>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</si>
  <si>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</si>
  <si>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</si>
  <si>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</si>
  <si>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</si>
  <si>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</si>
  <si>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</si>
  <si>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</si>
  <si>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</si>
  <si>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</si>
  <si>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</si>
  <si>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</si>
  <si>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</si>
  <si>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</si>
  <si>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</si>
  <si>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</si>
  <si>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</si>
  <si>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</si>
  <si>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</si>
  <si>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</si>
  <si>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</si>
  <si>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</si>
  <si>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</si>
  <si>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</si>
  <si>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</si>
  <si>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</si>
  <si>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</si>
  <si>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</si>
  <si>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</si>
  <si>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</si>
  <si>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</si>
  <si>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</si>
  <si>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</si>
  <si>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</si>
  <si>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</si>
  <si>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</si>
  <si>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</si>
  <si>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</si>
  <si>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</si>
  <si>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</si>
  <si>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</si>
  <si>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</si>
  <si>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</si>
  <si>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</si>
  <si>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</si>
  <si>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</si>
  <si>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</si>
  <si>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</si>
  <si>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</si>
  <si>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</si>
  <si>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</si>
  <si>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</si>
  <si>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</si>
  <si>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</si>
  <si>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</si>
  <si>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</si>
  <si>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</si>
  <si>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</si>
  <si>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</si>
  <si>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</si>
  <si>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</si>
  <si>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</si>
  <si>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</si>
  <si>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</si>
  <si>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</si>
  <si>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</si>
  <si>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</si>
  <si>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</si>
  <si>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</si>
  <si>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</si>
  <si>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</si>
  <si>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</si>
  <si>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</si>
  <si>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</si>
  <si>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</si>
  <si>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</si>
  <si>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</si>
  <si>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</si>
  <si>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</si>
  <si>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</si>
  <si>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</si>
  <si>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</si>
  <si>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</si>
  <si>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</si>
  <si>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</si>
  <si>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</si>
  <si>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</si>
  <si>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</si>
  <si>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</si>
  <si>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</si>
  <si>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</si>
  <si>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</si>
  <si>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</si>
  <si>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</si>
  <si>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</si>
  <si>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</si>
  <si>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</si>
  <si>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</si>
  <si>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</si>
  <si>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</si>
  <si>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</si>
  <si>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</si>
  <si>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</si>
  <si>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</si>
  <si>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</si>
  <si>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</si>
  <si>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</si>
  <si>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</si>
  <si>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</si>
  <si>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</si>
  <si>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</si>
  <si>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</si>
  <si>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</si>
  <si>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</si>
  <si>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</si>
  <si>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</si>
  <si>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</si>
  <si>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</si>
  <si>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</si>
  <si>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</si>
  <si>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</si>
  <si>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</si>
  <si>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</si>
  <si>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</si>
  <si>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</si>
  <si>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P51700051148</t>
  </si>
  <si>
    <t>Pawshe Group Builders And Developers</t>
  </si>
  <si>
    <t>Pawshe Pride</t>
  </si>
  <si>
    <t>Survey No</t>
  </si>
  <si>
    <t>12, Hissa No. 3/3</t>
  </si>
  <si>
    <t>KDMC/TPD/BP/KD/2023-24/08</t>
  </si>
  <si>
    <t>As per RERA - 30/04/2028</t>
  </si>
  <si>
    <t>Hanuman Nagar</t>
  </si>
  <si>
    <t>Internal Road</t>
  </si>
  <si>
    <t>Kalyan East</t>
  </si>
  <si>
    <t>Sai Kunj Co-operative Housing Society</t>
  </si>
  <si>
    <t>1.5KM from Vithalwadi Railway Station</t>
  </si>
  <si>
    <t>Shop</t>
  </si>
  <si>
    <t>Office</t>
  </si>
  <si>
    <t>1st Floor For Commercial &amp; Residential</t>
  </si>
  <si>
    <t>1BHK</t>
  </si>
  <si>
    <t>1RK</t>
  </si>
  <si>
    <t>2BHK</t>
  </si>
  <si>
    <t>2nd to 4th Floor</t>
  </si>
  <si>
    <t>5th Floor For Society Office, Fitness Centre</t>
  </si>
  <si>
    <t>Society Office</t>
  </si>
  <si>
    <t>Fitness Centre</t>
  </si>
  <si>
    <t>8th &amp; 13th Floor (Part Refuge Area)</t>
  </si>
  <si>
    <t>-</t>
  </si>
  <si>
    <t>Refuge Area</t>
  </si>
  <si>
    <t>Flats</t>
  </si>
  <si>
    <t>6th, 7th, 9th, 10th, 11th, 12th, 14th, 15th &amp; 16th Floor</t>
  </si>
  <si>
    <t>Ground Floor For Commercial, Entrance Lobby, Creche, Driver Room &amp; Parking</t>
  </si>
  <si>
    <t>19.221605,73.146928</t>
  </si>
  <si>
    <t>https://maps.app.goo.gl/kr4cjMUZCJJ3jXmX9</t>
  </si>
  <si>
    <t>Open Plot</t>
  </si>
  <si>
    <t>15.00 M Wide Road</t>
  </si>
  <si>
    <t>Shankar Pawshe Road</t>
  </si>
  <si>
    <t>Flats - 111, Shops - 05, Offices - 02</t>
  </si>
  <si>
    <t>Mr.Girish Pawshe 8692879194</t>
  </si>
  <si>
    <t>Vitrified tiles flooring, Granite Kitchen Platform, Decorative Entrance, etc.</t>
  </si>
  <si>
    <t>Construction work is in process at the time of Visit.</t>
  </si>
  <si>
    <t>Gangaram Parshuram Lambore</t>
  </si>
  <si>
    <t>Katemanivali</t>
  </si>
  <si>
    <t>Other Plot</t>
  </si>
  <si>
    <t>Building</t>
  </si>
  <si>
    <t>Gr.(Pt)/ Stilt (Pt) + 1st to 16th Floor (Total B.U.A = 5183.14 Sq.M)</t>
  </si>
  <si>
    <t>Gr + 1st to 16th Floor</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</si>
  <si>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</si>
  <si>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</si>
  <si>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1st Floor For Residential &amp; Commercial</t>
  </si>
  <si>
    <t>Enclosed Balcony + Chajja Area</t>
  </si>
  <si>
    <t>Commercial</t>
  </si>
  <si>
    <t>Attached Chajja area + Encl Balcony</t>
  </si>
  <si>
    <t>We considered Gross carpet area = Net carpet + Enclose balcony + Chajja Area.</t>
  </si>
  <si>
    <t>Kalyan Dombivli Municipal Corporation (KDMC)</t>
  </si>
  <si>
    <r>
      <t xml:space="preserve">Flat No.
</t>
    </r>
    <r>
      <rPr>
        <b/>
        <sz val="11"/>
        <rFont val="Times New Roman"/>
        <family val="1"/>
      </rPr>
      <t>(Approved Plan)</t>
    </r>
  </si>
  <si>
    <t>Mahsul/T-2/Jaminbab-1/Rupantkaran/
SR-75</t>
  </si>
  <si>
    <t>Sai Altezza</t>
  </si>
  <si>
    <t>3L</t>
  </si>
  <si>
    <t>Vasant Vatika</t>
  </si>
  <si>
    <t>1.5L</t>
  </si>
  <si>
    <t>11K</t>
  </si>
  <si>
    <t>10K</t>
  </si>
  <si>
    <t>Housing</t>
  </si>
  <si>
    <t>Square yard</t>
  </si>
  <si>
    <t>Survey No. 12, Hissa No. 3/3</t>
  </si>
  <si>
    <t>NA Certificate No
Valid for</t>
  </si>
  <si>
    <t>Carpet area</t>
  </si>
  <si>
    <t>Approved Plans, CC, NA Certificate, Sale plan.</t>
  </si>
  <si>
    <t>We have considered unit numbering from sale plan.</t>
  </si>
  <si>
    <t>2 to 3L</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</si>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</sst>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4" fillId="0" borderId="0"/>
    <xf numFmtId="0" fontId="5" fillId="0" borderId="0"/>
    <xf numFmtId="0" fontId="3" fillId="0" borderId="0"/>
    <xf numFmtId="0" fontId="5" fillId="0" borderId="0"/>
    <xf numFmtId="0" fontId="2"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56">
    <xf numFmtId="0" fontId="0" fillId="0" borderId="0" xfId="0"/>
    <xf numFmtId="0" fontId="5" fillId="0" borderId="0" xfId="4"/>
    <xf numFmtId="0" fontId="2" fillId="0" borderId="0" xfId="5"/>
    <xf numFmtId="0" fontId="9"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left" vertical="center"/>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 fillId="0" borderId="1" xfId="5" applyFont="1" applyBorder="1" applyAlignment="1">
      <alignment horizontal="center" vertical="center"/>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8" fillId="0" borderId="16" xfId="1" applyFont="1" applyBorder="1" applyAlignment="1" applyProtection="1">
      <alignment horizontal="center" vertical="top"/>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14" fontId="6" fillId="0" borderId="9"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4" fillId="2" borderId="15" xfId="0" applyFont="1" applyFill="1" applyBorder="1"/>
    <xf numFmtId="0" fontId="25" fillId="0" borderId="9" xfId="0" applyFont="1" applyBorder="1"/>
    <xf numFmtId="0" fontId="15"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793211</xdr:colOff>
      <xdr:row>332</xdr:row>
      <xdr:rowOff>66674</xdr:rowOff>
    </xdr:from>
    <xdr:to>
      <xdr:col>6</xdr:col>
      <xdr:colOff>19049</xdr:colOff>
      <xdr:row>350</xdr:row>
      <xdr:rowOff>16281</xdr:rowOff>
    </xdr:to>
    <xdr:pic>
      <xdr:nvPicPr>
        <xdr:cNvPr id="2" name="Picture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555211" y="57607199"/>
          <a:ext cx="3312063" cy="3550057"/>
        </a:xfrm>
        <a:prstGeom prst="rect">
          <a:avLst/>
        </a:prstGeom>
        <a:ln>
          <a:solidFill>
            <a:schemeClr val="tx1"/>
          </a:solidFill>
        </a:ln>
      </xdr:spPr>
    </xdr:pic>
    <xdr:clientData/>
  </xdr:twoCellAnchor>
  <xdr:twoCellAnchor>
    <xdr:from>
      <xdr:col>1</xdr:col>
      <xdr:colOff>123824</xdr:colOff>
      <xdr:row>351</xdr:row>
      <xdr:rowOff>107950</xdr:rowOff>
    </xdr:from>
    <xdr:to>
      <xdr:col>7</xdr:col>
      <xdr:colOff>95249</xdr:colOff>
      <xdr:row>371</xdr:row>
      <xdr:rowOff>95250</xdr:rowOff>
    </xdr:to>
    <xdr:grpSp>
      <xdr:nvGrpSpPr>
        <xdr:cNvPr id="3" name="Group 2"/>
        <xdr:cNvGrpSpPr/>
      </xdr:nvGrpSpPr>
      <xdr:grpSpPr>
        <a:xfrm>
          <a:off x="923924" y="59721750"/>
          <a:ext cx="5026025" cy="3924300"/>
          <a:chOff x="1803400" y="4368799"/>
          <a:chExt cx="3708400" cy="2616201"/>
        </a:xfrm>
      </xdr:grpSpPr>
      <xdr:pic>
        <xdr:nvPicPr>
          <xdr:cNvPr id="4" name="Picture 3"/>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3400" y="4368799"/>
            <a:ext cx="3708400" cy="2616201"/>
          </a:xfrm>
          <a:prstGeom prst="rect">
            <a:avLst/>
          </a:prstGeom>
          <a:ln>
            <a:solidFill>
              <a:schemeClr val="tx1"/>
            </a:solidFill>
          </a:ln>
        </xdr:spPr>
      </xdr:pic>
      <xdr:sp macro="" textlink="">
        <xdr:nvSpPr>
          <xdr:cNvPr id="5" name="Rectangle 4"/>
          <xdr:cNvSpPr/>
        </xdr:nvSpPr>
        <xdr:spPr>
          <a:xfrm rot="20590281">
            <a:off x="3171076" y="5161913"/>
            <a:ext cx="1044730" cy="60824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714374</xdr:colOff>
      <xdr:row>309</xdr:row>
      <xdr:rowOff>193447</xdr:rowOff>
    </xdr:from>
    <xdr:to>
      <xdr:col>7</xdr:col>
      <xdr:colOff>400049</xdr:colOff>
      <xdr:row>328</xdr:row>
      <xdr:rowOff>76200</xdr:rowOff>
    </xdr:to>
    <xdr:grpSp>
      <xdr:nvGrpSpPr>
        <xdr:cNvPr id="7" name="Group 6"/>
        <xdr:cNvGrpSpPr/>
      </xdr:nvGrpSpPr>
      <xdr:grpSpPr>
        <a:xfrm>
          <a:off x="714374" y="51539547"/>
          <a:ext cx="5540375" cy="3622903"/>
          <a:chOff x="1654175" y="3143250"/>
          <a:chExt cx="3600000" cy="2459627"/>
        </a:xfrm>
      </xdr:grpSpPr>
      <xdr:pic>
        <xdr:nvPicPr>
          <xdr:cNvPr id="11" name="Picture 10"/>
          <xdr:cNvPicPr>
            <a:picLocks noChangeAspect="1"/>
          </xdr:cNvPicPr>
        </xdr:nvPicPr>
        <xdr:blipFill>
          <a:blip xmlns:r="http://schemas.openxmlformats.org/officeDocument/2006/relationships" r:embed="rId3"/>
          <a:stretch>
            <a:fillRect/>
          </a:stretch>
        </xdr:blipFill>
        <xdr:spPr>
          <a:xfrm>
            <a:off x="1654175" y="3143250"/>
            <a:ext cx="3600000" cy="2459627"/>
          </a:xfrm>
          <a:prstGeom prst="rect">
            <a:avLst/>
          </a:prstGeom>
          <a:ln>
            <a:solidFill>
              <a:schemeClr val="tx1"/>
            </a:solidFill>
          </a:ln>
        </xdr:spPr>
      </xdr:pic>
      <xdr:sp macro="" textlink="">
        <xdr:nvSpPr>
          <xdr:cNvPr id="12" name="Freeform 11"/>
          <xdr:cNvSpPr/>
        </xdr:nvSpPr>
        <xdr:spPr>
          <a:xfrm>
            <a:off x="1784350" y="3257550"/>
            <a:ext cx="3390900" cy="1797050"/>
          </a:xfrm>
          <a:custGeom>
            <a:avLst/>
            <a:gdLst>
              <a:gd name="connsiteX0" fmla="*/ 0 w 3390900"/>
              <a:gd name="connsiteY0" fmla="*/ 234950 h 1797050"/>
              <a:gd name="connsiteX1" fmla="*/ 641350 w 3390900"/>
              <a:gd name="connsiteY1" fmla="*/ 0 h 1797050"/>
              <a:gd name="connsiteX2" fmla="*/ 1733550 w 3390900"/>
              <a:gd name="connsiteY2" fmla="*/ 234950 h 1797050"/>
              <a:gd name="connsiteX3" fmla="*/ 2012950 w 3390900"/>
              <a:gd name="connsiteY3" fmla="*/ 406400 h 1797050"/>
              <a:gd name="connsiteX4" fmla="*/ 3003550 w 3390900"/>
              <a:gd name="connsiteY4" fmla="*/ 203200 h 1797050"/>
              <a:gd name="connsiteX5" fmla="*/ 3136900 w 3390900"/>
              <a:gd name="connsiteY5" fmla="*/ 273050 h 1797050"/>
              <a:gd name="connsiteX6" fmla="*/ 3390900 w 3390900"/>
              <a:gd name="connsiteY6" fmla="*/ 1473200 h 1797050"/>
              <a:gd name="connsiteX7" fmla="*/ 2527300 w 3390900"/>
              <a:gd name="connsiteY7" fmla="*/ 1790700 h 1797050"/>
              <a:gd name="connsiteX8" fmla="*/ 533400 w 3390900"/>
              <a:gd name="connsiteY8" fmla="*/ 1797050 h 1797050"/>
              <a:gd name="connsiteX9" fmla="*/ 0 w 3390900"/>
              <a:gd name="connsiteY9" fmla="*/ 234950 h 1797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390900" h="1797050">
                <a:moveTo>
                  <a:pt x="0" y="234950"/>
                </a:moveTo>
                <a:lnTo>
                  <a:pt x="641350" y="0"/>
                </a:lnTo>
                <a:lnTo>
                  <a:pt x="1733550" y="234950"/>
                </a:lnTo>
                <a:lnTo>
                  <a:pt x="2012950" y="406400"/>
                </a:lnTo>
                <a:lnTo>
                  <a:pt x="3003550" y="203200"/>
                </a:lnTo>
                <a:lnTo>
                  <a:pt x="3136900" y="273050"/>
                </a:lnTo>
                <a:lnTo>
                  <a:pt x="3390900" y="1473200"/>
                </a:lnTo>
                <a:lnTo>
                  <a:pt x="2527300" y="1790700"/>
                </a:lnTo>
                <a:lnTo>
                  <a:pt x="533400" y="1797050"/>
                </a:lnTo>
                <a:lnTo>
                  <a:pt x="0" y="23495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582374</xdr:colOff>
      <xdr:row>290</xdr:row>
      <xdr:rowOff>19050</xdr:rowOff>
    </xdr:from>
    <xdr:to>
      <xdr:col>6</xdr:col>
      <xdr:colOff>333374</xdr:colOff>
      <xdr:row>309</xdr:row>
      <xdr:rowOff>28575</xdr:rowOff>
    </xdr:to>
    <xdr:grpSp>
      <xdr:nvGrpSpPr>
        <xdr:cNvPr id="8" name="Group 7"/>
        <xdr:cNvGrpSpPr/>
      </xdr:nvGrpSpPr>
      <xdr:grpSpPr>
        <a:xfrm>
          <a:off x="1382474" y="47625000"/>
          <a:ext cx="4037250" cy="3749675"/>
          <a:chOff x="1645904" y="619805"/>
          <a:chExt cx="3420000" cy="3557074"/>
        </a:xfrm>
      </xdr:grpSpPr>
      <xdr:pic>
        <xdr:nvPicPr>
          <xdr:cNvPr id="9" name="Picture 8"/>
          <xdr:cNvPicPr>
            <a:picLocks noChangeAspect="1"/>
          </xdr:cNvPicPr>
        </xdr:nvPicPr>
        <xdr:blipFill>
          <a:blip xmlns:r="http://schemas.openxmlformats.org/officeDocument/2006/relationships" r:embed="rId4"/>
          <a:stretch>
            <a:fillRect/>
          </a:stretch>
        </xdr:blipFill>
        <xdr:spPr>
          <a:xfrm>
            <a:off x="1645904" y="619805"/>
            <a:ext cx="3420000" cy="3557074"/>
          </a:xfrm>
          <a:prstGeom prst="rect">
            <a:avLst/>
          </a:prstGeom>
          <a:ln>
            <a:solidFill>
              <a:schemeClr val="tx1"/>
            </a:solidFill>
          </a:ln>
        </xdr:spPr>
      </xdr:pic>
      <xdr:pic>
        <xdr:nvPicPr>
          <xdr:cNvPr id="10" name="Picture 9"/>
          <xdr:cNvPicPr>
            <a:picLocks noChangeAspect="1"/>
          </xdr:cNvPicPr>
        </xdr:nvPicPr>
        <xdr:blipFill rotWithShape="1">
          <a:blip xmlns:r="http://schemas.openxmlformats.org/officeDocument/2006/relationships" r:embed="rId5"/>
          <a:srcRect l="10085"/>
          <a:stretch/>
        </xdr:blipFill>
        <xdr:spPr>
          <a:xfrm>
            <a:off x="4600575" y="3611670"/>
            <a:ext cx="453919" cy="457200"/>
          </a:xfrm>
          <a:prstGeom prst="rect">
            <a:avLst/>
          </a:prstGeom>
        </xdr:spPr>
      </xdr:pic>
    </xdr:grpSp>
    <xdr:clientData/>
  </xdr:twoCellAnchor>
  <xdr:twoCellAnchor editAs="oneCell">
    <xdr:from>
      <xdr:col>8</xdr:col>
      <xdr:colOff>466725</xdr:colOff>
      <xdr:row>38</xdr:row>
      <xdr:rowOff>114300</xdr:rowOff>
    </xdr:from>
    <xdr:to>
      <xdr:col>11</xdr:col>
      <xdr:colOff>571158</xdr:colOff>
      <xdr:row>46</xdr:row>
      <xdr:rowOff>66481</xdr:rowOff>
    </xdr:to>
    <xdr:pic>
      <xdr:nvPicPr>
        <xdr:cNvPr id="13" name="Picture 12"/>
        <xdr:cNvPicPr>
          <a:picLocks noChangeAspect="1"/>
        </xdr:cNvPicPr>
      </xdr:nvPicPr>
      <xdr:blipFill>
        <a:blip xmlns:r="http://schemas.openxmlformats.org/officeDocument/2006/relationships" r:embed="rId6"/>
        <a:stretch>
          <a:fillRect/>
        </a:stretch>
      </xdr:blipFill>
      <xdr:spPr>
        <a:xfrm>
          <a:off x="6781800" y="8724900"/>
          <a:ext cx="2733333" cy="1552381"/>
        </a:xfrm>
        <a:prstGeom prst="rect">
          <a:avLst/>
        </a:prstGeom>
        <a:ln>
          <a:solidFill>
            <a:schemeClr val="tx1"/>
          </a:solidFill>
        </a:ln>
      </xdr:spPr>
    </xdr:pic>
    <xdr:clientData/>
  </xdr:twoCellAnchor>
  <xdr:twoCellAnchor editAs="oneCell">
    <xdr:from>
      <xdr:col>8</xdr:col>
      <xdr:colOff>368990</xdr:colOff>
      <xdr:row>46</xdr:row>
      <xdr:rowOff>198783</xdr:rowOff>
    </xdr:from>
    <xdr:to>
      <xdr:col>15</xdr:col>
      <xdr:colOff>120622</xdr:colOff>
      <xdr:row>48</xdr:row>
      <xdr:rowOff>322543</xdr:rowOff>
    </xdr:to>
    <xdr:pic>
      <xdr:nvPicPr>
        <xdr:cNvPr id="14" name="Picture 13"/>
        <xdr:cNvPicPr>
          <a:picLocks noChangeAspect="1"/>
        </xdr:cNvPicPr>
      </xdr:nvPicPr>
      <xdr:blipFill>
        <a:blip xmlns:r="http://schemas.openxmlformats.org/officeDocument/2006/relationships" r:embed="rId7"/>
        <a:stretch>
          <a:fillRect/>
        </a:stretch>
      </xdr:blipFill>
      <xdr:spPr>
        <a:xfrm>
          <a:off x="6684065" y="10409583"/>
          <a:ext cx="5742857" cy="523810"/>
        </a:xfrm>
        <a:prstGeom prst="rect">
          <a:avLst/>
        </a:prstGeom>
        <a:ln>
          <a:solidFill>
            <a:schemeClr val="tx1"/>
          </a:solidFill>
        </a:ln>
      </xdr:spPr>
    </xdr:pic>
    <xdr:clientData/>
  </xdr:twoCellAnchor>
  <xdr:twoCellAnchor editAs="oneCell">
    <xdr:from>
      <xdr:col>8</xdr:col>
      <xdr:colOff>409575</xdr:colOff>
      <xdr:row>48</xdr:row>
      <xdr:rowOff>390525</xdr:rowOff>
    </xdr:from>
    <xdr:to>
      <xdr:col>14</xdr:col>
      <xdr:colOff>685118</xdr:colOff>
      <xdr:row>51</xdr:row>
      <xdr:rowOff>152326</xdr:rowOff>
    </xdr:to>
    <xdr:pic>
      <xdr:nvPicPr>
        <xdr:cNvPr id="15" name="Picture 14"/>
        <xdr:cNvPicPr>
          <a:picLocks noChangeAspect="1"/>
        </xdr:cNvPicPr>
      </xdr:nvPicPr>
      <xdr:blipFill>
        <a:blip xmlns:r="http://schemas.openxmlformats.org/officeDocument/2006/relationships" r:embed="rId8"/>
        <a:stretch>
          <a:fillRect/>
        </a:stretch>
      </xdr:blipFill>
      <xdr:spPr>
        <a:xfrm>
          <a:off x="6724650" y="11001375"/>
          <a:ext cx="5457143" cy="590476"/>
        </a:xfrm>
        <a:prstGeom prst="rect">
          <a:avLst/>
        </a:prstGeom>
        <a:ln>
          <a:solidFill>
            <a:schemeClr val="tx1"/>
          </a:solidFill>
        </a:ln>
      </xdr:spPr>
    </xdr:pic>
    <xdr:clientData/>
  </xdr:twoCellAnchor>
  <xdr:twoCellAnchor editAs="oneCell">
    <xdr:from>
      <xdr:col>8</xdr:col>
      <xdr:colOff>166066</xdr:colOff>
      <xdr:row>16</xdr:row>
      <xdr:rowOff>138733</xdr:rowOff>
    </xdr:from>
    <xdr:to>
      <xdr:col>12</xdr:col>
      <xdr:colOff>247608</xdr:colOff>
      <xdr:row>20</xdr:row>
      <xdr:rowOff>49193</xdr:rowOff>
    </xdr:to>
    <xdr:pic>
      <xdr:nvPicPr>
        <xdr:cNvPr id="16" name="Picture 15"/>
        <xdr:cNvPicPr>
          <a:picLocks noChangeAspect="1"/>
        </xdr:cNvPicPr>
      </xdr:nvPicPr>
      <xdr:blipFill>
        <a:blip xmlns:r="http://schemas.openxmlformats.org/officeDocument/2006/relationships" r:embed="rId9"/>
        <a:stretch>
          <a:fillRect/>
        </a:stretch>
      </xdr:blipFill>
      <xdr:spPr>
        <a:xfrm>
          <a:off x="6485696" y="4122668"/>
          <a:ext cx="3634782" cy="705590"/>
        </a:xfrm>
        <a:prstGeom prst="rect">
          <a:avLst/>
        </a:prstGeom>
        <a:ln>
          <a:solidFill>
            <a:schemeClr val="tx1"/>
          </a:solidFill>
        </a:ln>
      </xdr:spPr>
    </xdr:pic>
    <xdr:clientData/>
  </xdr:twoCellAnchor>
  <xdr:twoCellAnchor>
    <xdr:from>
      <xdr:col>9</xdr:col>
      <xdr:colOff>512990</xdr:colOff>
      <xdr:row>164</xdr:row>
      <xdr:rowOff>46264</xdr:rowOff>
    </xdr:from>
    <xdr:to>
      <xdr:col>18</xdr:col>
      <xdr:colOff>145597</xdr:colOff>
      <xdr:row>179</xdr:row>
      <xdr:rowOff>118382</xdr:rowOff>
    </xdr:to>
    <xdr:grpSp>
      <xdr:nvGrpSpPr>
        <xdr:cNvPr id="49" name="Group 48"/>
        <xdr:cNvGrpSpPr/>
      </xdr:nvGrpSpPr>
      <xdr:grpSpPr>
        <a:xfrm>
          <a:off x="8355240" y="27497314"/>
          <a:ext cx="6789057" cy="3024868"/>
          <a:chOff x="0" y="2566987"/>
          <a:chExt cx="6477000" cy="3133725"/>
        </a:xfrm>
      </xdr:grpSpPr>
      <xdr:pic>
        <xdr:nvPicPr>
          <xdr:cNvPr id="50" name="Picture 49"/>
          <xdr:cNvPicPr>
            <a:picLocks noChangeAspect="1"/>
          </xdr:cNvPicPr>
        </xdr:nvPicPr>
        <xdr:blipFill>
          <a:blip xmlns:r="http://schemas.openxmlformats.org/officeDocument/2006/relationships" r:embed="rId10"/>
          <a:stretch>
            <a:fillRect/>
          </a:stretch>
        </xdr:blipFill>
        <xdr:spPr>
          <a:xfrm>
            <a:off x="0" y="2566987"/>
            <a:ext cx="6477000" cy="3133725"/>
          </a:xfrm>
          <a:prstGeom prst="rect">
            <a:avLst/>
          </a:prstGeom>
          <a:ln>
            <a:solidFill>
              <a:schemeClr val="tx1"/>
            </a:solidFill>
          </a:ln>
        </xdr:spPr>
      </xdr:pic>
      <xdr:sp macro="" textlink="">
        <xdr:nvSpPr>
          <xdr:cNvPr id="51" name="TextBox 10"/>
          <xdr:cNvSpPr txBox="1"/>
        </xdr:nvSpPr>
        <xdr:spPr>
          <a:xfrm>
            <a:off x="5466677" y="4165600"/>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52" name="TextBox 13"/>
          <xdr:cNvSpPr txBox="1"/>
        </xdr:nvSpPr>
        <xdr:spPr>
          <a:xfrm>
            <a:off x="5045501" y="4178816"/>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sp macro="" textlink="">
        <xdr:nvSpPr>
          <xdr:cNvPr id="53" name="TextBox 14"/>
          <xdr:cNvSpPr txBox="1"/>
        </xdr:nvSpPr>
        <xdr:spPr>
          <a:xfrm>
            <a:off x="3087657" y="4147065"/>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3</a:t>
            </a:r>
            <a:endParaRPr lang="en-IN" b="1">
              <a:solidFill>
                <a:srgbClr val="FF0000"/>
              </a:solidFill>
            </a:endParaRPr>
          </a:p>
        </xdr:txBody>
      </xdr:sp>
      <xdr:sp macro="" textlink="">
        <xdr:nvSpPr>
          <xdr:cNvPr id="54" name="TextBox 15"/>
          <xdr:cNvSpPr txBox="1"/>
        </xdr:nvSpPr>
        <xdr:spPr>
          <a:xfrm>
            <a:off x="2666481" y="4147065"/>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4</a:t>
            </a:r>
            <a:endParaRPr lang="en-IN" b="1">
              <a:solidFill>
                <a:srgbClr val="FF0000"/>
              </a:solidFill>
            </a:endParaRPr>
          </a:p>
        </xdr:txBody>
      </xdr:sp>
      <xdr:sp macro="" textlink="">
        <xdr:nvSpPr>
          <xdr:cNvPr id="55" name="TextBox 18"/>
          <xdr:cNvSpPr txBox="1"/>
        </xdr:nvSpPr>
        <xdr:spPr>
          <a:xfrm>
            <a:off x="4180068" y="3681968"/>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7</a:t>
            </a:r>
            <a:endParaRPr lang="en-IN" b="1">
              <a:solidFill>
                <a:srgbClr val="FF0000"/>
              </a:solidFill>
            </a:endParaRPr>
          </a:p>
        </xdr:txBody>
      </xdr:sp>
      <xdr:sp macro="" textlink="">
        <xdr:nvSpPr>
          <xdr:cNvPr id="56" name="TextBox 19"/>
          <xdr:cNvSpPr txBox="1"/>
        </xdr:nvSpPr>
        <xdr:spPr>
          <a:xfrm>
            <a:off x="1534121" y="3557513"/>
            <a:ext cx="30168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6</a:t>
            </a:r>
            <a:endParaRPr lang="en-IN" b="1">
              <a:solidFill>
                <a:srgbClr val="FF0000"/>
              </a:solidFill>
            </a:endParaRPr>
          </a:p>
        </xdr:txBody>
      </xdr:sp>
      <xdr:sp macro="" textlink="">
        <xdr:nvSpPr>
          <xdr:cNvPr id="57" name="TextBox 19"/>
          <xdr:cNvSpPr txBox="1"/>
        </xdr:nvSpPr>
        <xdr:spPr>
          <a:xfrm>
            <a:off x="1326128" y="3866634"/>
            <a:ext cx="30168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5</a:t>
            </a:r>
            <a:endParaRPr lang="en-IN" b="1">
              <a:solidFill>
                <a:srgbClr val="FF0000"/>
              </a:solidFill>
            </a:endParaRPr>
          </a:p>
        </xdr:txBody>
      </xdr:sp>
    </xdr:grpSp>
    <xdr:clientData/>
  </xdr:twoCellAnchor>
  <xdr:twoCellAnchor editAs="oneCell">
    <xdr:from>
      <xdr:col>8</xdr:col>
      <xdr:colOff>400050</xdr:colOff>
      <xdr:row>52</xdr:row>
      <xdr:rowOff>19051</xdr:rowOff>
    </xdr:from>
    <xdr:to>
      <xdr:col>12</xdr:col>
      <xdr:colOff>447225</xdr:colOff>
      <xdr:row>58</xdr:row>
      <xdr:rowOff>65725</xdr:rowOff>
    </xdr:to>
    <xdr:pic>
      <xdr:nvPicPr>
        <xdr:cNvPr id="25" name="Picture 24"/>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715125" y="11658601"/>
          <a:ext cx="3600000" cy="1465899"/>
        </a:xfrm>
        <a:prstGeom prst="rect">
          <a:avLst/>
        </a:prstGeom>
        <a:ln>
          <a:solidFill>
            <a:sysClr val="windowText" lastClr="000000"/>
          </a:solidFill>
        </a:ln>
      </xdr:spPr>
    </xdr:pic>
    <xdr:clientData/>
  </xdr:twoCellAnchor>
  <xdr:twoCellAnchor editAs="oneCell">
    <xdr:from>
      <xdr:col>11</xdr:col>
      <xdr:colOff>432954</xdr:colOff>
      <xdr:row>224</xdr:row>
      <xdr:rowOff>86592</xdr:rowOff>
    </xdr:from>
    <xdr:to>
      <xdr:col>15</xdr:col>
      <xdr:colOff>673227</xdr:colOff>
      <xdr:row>238</xdr:row>
      <xdr:rowOff>162014</xdr:rowOff>
    </xdr:to>
    <xdr:pic>
      <xdr:nvPicPr>
        <xdr:cNvPr id="6" name="Picture 5"/>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369136" y="37476547"/>
          <a:ext cx="3600000" cy="2775326"/>
        </a:xfrm>
        <a:prstGeom prst="rect">
          <a:avLst/>
        </a:prstGeom>
        <a:ln>
          <a:solidFill>
            <a:sysClr val="windowText" lastClr="000000"/>
          </a:solidFill>
        </a:ln>
      </xdr:spPr>
    </xdr:pic>
    <xdr:clientData/>
  </xdr:twoCellAnchor>
  <xdr:twoCellAnchor editAs="oneCell">
    <xdr:from>
      <xdr:col>11</xdr:col>
      <xdr:colOff>710046</xdr:colOff>
      <xdr:row>186</xdr:row>
      <xdr:rowOff>51954</xdr:rowOff>
    </xdr:from>
    <xdr:to>
      <xdr:col>16</xdr:col>
      <xdr:colOff>171001</xdr:colOff>
      <xdr:row>223</xdr:row>
      <xdr:rowOff>51662</xdr:rowOff>
    </xdr:to>
    <xdr:pic>
      <xdr:nvPicPr>
        <xdr:cNvPr id="17" name="Picture 16"/>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9646228" y="34532454"/>
          <a:ext cx="3600000" cy="2701344"/>
        </a:xfrm>
        <a:prstGeom prst="rect">
          <a:avLst/>
        </a:prstGeom>
        <a:ln>
          <a:solidFill>
            <a:sysClr val="windowText" lastClr="000000"/>
          </a:solidFill>
        </a:ln>
      </xdr:spPr>
    </xdr:pic>
    <xdr:clientData/>
  </xdr:twoCellAnchor>
  <xdr:twoCellAnchor>
    <xdr:from>
      <xdr:col>0</xdr:col>
      <xdr:colOff>63500</xdr:colOff>
      <xdr:row>246</xdr:row>
      <xdr:rowOff>76200</xdr:rowOff>
    </xdr:from>
    <xdr:to>
      <xdr:col>7</xdr:col>
      <xdr:colOff>709899</xdr:colOff>
      <xdr:row>282</xdr:row>
      <xdr:rowOff>8818</xdr:rowOff>
    </xdr:to>
    <xdr:grpSp>
      <xdr:nvGrpSpPr>
        <xdr:cNvPr id="18" name="Group 17"/>
        <xdr:cNvGrpSpPr/>
      </xdr:nvGrpSpPr>
      <xdr:grpSpPr>
        <a:xfrm>
          <a:off x="63500" y="39027100"/>
          <a:ext cx="6501099" cy="7012868"/>
          <a:chOff x="63500" y="39027100"/>
          <a:chExt cx="6501099" cy="7012868"/>
        </a:xfrm>
      </xdr:grpSpPr>
      <xdr:pic>
        <xdr:nvPicPr>
          <xdr:cNvPr id="37" name="Picture 3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809506" y="44023968"/>
            <a:ext cx="1510425" cy="201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01210" y="39050739"/>
            <a:ext cx="2049863" cy="273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970506" y="44023968"/>
            <a:ext cx="2685866" cy="201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63500" y="41885534"/>
            <a:ext cx="1510425" cy="201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054174" y="41885534"/>
            <a:ext cx="1510425" cy="201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464632" y="39027100"/>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727058" y="41885534"/>
            <a:ext cx="1510425" cy="201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390616" y="41885534"/>
            <a:ext cx="1510425" cy="201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282921" y="39050739"/>
            <a:ext cx="2049863"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06947" y="44023968"/>
            <a:ext cx="1510425" cy="201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466725</xdr:colOff>
      <xdr:row>16</xdr:row>
      <xdr:rowOff>57150</xdr:rowOff>
    </xdr:from>
    <xdr:to>
      <xdr:col>2</xdr:col>
      <xdr:colOff>2009325</xdr:colOff>
      <xdr:row>27</xdr:row>
      <xdr:rowOff>94792</xdr:rowOff>
    </xdr:to>
    <xdr:pic>
      <xdr:nvPicPr>
        <xdr:cNvPr id="3" name="Picture 2"/>
        <xdr:cNvPicPr>
          <a:picLocks noChangeAspect="1"/>
        </xdr:cNvPicPr>
      </xdr:nvPicPr>
      <xdr:blipFill>
        <a:blip xmlns:r="http://schemas.openxmlformats.org/officeDocument/2006/relationships" r:embed="rId2"/>
        <a:stretch>
          <a:fillRect/>
        </a:stretch>
      </xdr:blipFill>
      <xdr:spPr>
        <a:xfrm>
          <a:off x="466725" y="3114675"/>
          <a:ext cx="3600000" cy="2133142"/>
        </a:xfrm>
        <a:prstGeom prst="rect">
          <a:avLst/>
        </a:prstGeom>
        <a:ln>
          <a:solidFill>
            <a:sysClr val="windowText" lastClr="000000"/>
          </a:solidFill>
        </a:ln>
      </xdr:spPr>
    </xdr:pic>
    <xdr:clientData/>
  </xdr:twoCellAnchor>
  <xdr:twoCellAnchor editAs="oneCell">
    <xdr:from>
      <xdr:col>3</xdr:col>
      <xdr:colOff>666750</xdr:colOff>
      <xdr:row>15</xdr:row>
      <xdr:rowOff>95250</xdr:rowOff>
    </xdr:from>
    <xdr:to>
      <xdr:col>7</xdr:col>
      <xdr:colOff>475800</xdr:colOff>
      <xdr:row>26</xdr:row>
      <xdr:rowOff>158841</xdr:rowOff>
    </xdr:to>
    <xdr:pic>
      <xdr:nvPicPr>
        <xdr:cNvPr id="5" name="Picture 4"/>
        <xdr:cNvPicPr>
          <a:picLocks noChangeAspect="1"/>
        </xdr:cNvPicPr>
      </xdr:nvPicPr>
      <xdr:blipFill>
        <a:blip xmlns:r="http://schemas.openxmlformats.org/officeDocument/2006/relationships" r:embed="rId3"/>
        <a:stretch>
          <a:fillRect/>
        </a:stretch>
      </xdr:blipFill>
      <xdr:spPr>
        <a:xfrm>
          <a:off x="5191125" y="2962275"/>
          <a:ext cx="3600000" cy="2159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r4cjMUZCJJ3jXmX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32"/>
  <sheetViews>
    <sheetView tabSelected="1" view="pageBreakPreview" topLeftCell="A55" zoomScaleNormal="100" zoomScaleSheetLayoutView="100" zoomScalePageLayoutView="85" workbookViewId="0">
      <selection activeCell="A59" sqref="A59:H72"/>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97" t="s">
        <v>164</v>
      </c>
      <c r="B1" s="197"/>
      <c r="C1" s="197"/>
      <c r="D1" s="197"/>
      <c r="E1" s="197"/>
      <c r="F1" s="197"/>
      <c r="G1" s="197"/>
      <c r="H1" s="197"/>
    </row>
    <row r="2" spans="1:26" ht="16.5" customHeight="1" x14ac:dyDescent="0.35">
      <c r="A2" s="198" t="s">
        <v>0</v>
      </c>
      <c r="B2" s="198"/>
      <c r="C2" s="198"/>
      <c r="D2" s="198"/>
      <c r="E2" s="198"/>
      <c r="F2" s="198"/>
      <c r="G2" s="198"/>
      <c r="H2" s="198"/>
    </row>
    <row r="3" spans="1:26" x14ac:dyDescent="0.35">
      <c r="A3" s="163" t="s">
        <v>1</v>
      </c>
      <c r="B3" s="163"/>
      <c r="C3" s="163"/>
      <c r="D3" s="163"/>
      <c r="E3" s="163" t="str">
        <f ca="1">TEXT(TODAY(),"DD/MM/YYYY")</f>
        <v>26/09/2025</v>
      </c>
      <c r="F3" s="163"/>
      <c r="G3" s="163"/>
      <c r="H3" s="163"/>
      <c r="K3" s="56" t="s">
        <v>237</v>
      </c>
      <c r="L3" s="53" t="s">
        <v>235</v>
      </c>
      <c r="M3" s="53" t="s">
        <v>240</v>
      </c>
      <c r="N3" s="53" t="s">
        <v>238</v>
      </c>
      <c r="O3" s="53" t="s">
        <v>340</v>
      </c>
      <c r="P3" s="53" t="s">
        <v>241</v>
      </c>
    </row>
    <row r="4" spans="1:26" ht="15" customHeight="1" x14ac:dyDescent="0.35">
      <c r="A4" s="163" t="s">
        <v>234</v>
      </c>
      <c r="B4" s="163"/>
      <c r="C4" s="163"/>
      <c r="D4" s="163"/>
      <c r="E4" s="137" t="s">
        <v>235</v>
      </c>
      <c r="F4" s="137"/>
      <c r="G4" s="137"/>
      <c r="H4" s="137"/>
      <c r="K4" s="52" t="s">
        <v>236</v>
      </c>
      <c r="L4" s="53" t="s">
        <v>171</v>
      </c>
      <c r="M4" s="53" t="s">
        <v>245</v>
      </c>
      <c r="N4" s="53" t="s">
        <v>247</v>
      </c>
      <c r="O4" s="53" t="s">
        <v>341</v>
      </c>
      <c r="P4" s="53"/>
    </row>
    <row r="5" spans="1:26" ht="15" customHeight="1" x14ac:dyDescent="0.35">
      <c r="A5" s="163" t="s">
        <v>2</v>
      </c>
      <c r="B5" s="163"/>
      <c r="C5" s="163"/>
      <c r="D5" s="163"/>
      <c r="E5" s="137" t="s">
        <v>244</v>
      </c>
      <c r="F5" s="137"/>
      <c r="G5" s="137"/>
      <c r="H5" s="137"/>
      <c r="K5" s="52"/>
      <c r="L5" s="53" t="s">
        <v>242</v>
      </c>
      <c r="M5" s="53" t="s">
        <v>246</v>
      </c>
      <c r="N5" s="53" t="s">
        <v>248</v>
      </c>
      <c r="O5" s="53" t="s">
        <v>342</v>
      </c>
      <c r="P5" s="53"/>
    </row>
    <row r="6" spans="1:26" x14ac:dyDescent="0.35">
      <c r="A6" s="163" t="s">
        <v>3</v>
      </c>
      <c r="B6" s="163"/>
      <c r="C6" s="163"/>
      <c r="D6" s="163"/>
      <c r="E6" s="199">
        <v>45926</v>
      </c>
      <c r="F6" s="163"/>
      <c r="G6" s="163"/>
      <c r="H6" s="163"/>
      <c r="K6" s="52"/>
      <c r="L6" s="53" t="s">
        <v>243</v>
      </c>
      <c r="M6" s="53"/>
      <c r="N6" s="53"/>
      <c r="O6" s="53" t="s">
        <v>343</v>
      </c>
      <c r="P6" s="53"/>
    </row>
    <row r="7" spans="1:26" ht="16.5" customHeight="1" x14ac:dyDescent="0.35">
      <c r="A7" s="163" t="s">
        <v>4</v>
      </c>
      <c r="B7" s="163"/>
      <c r="C7" s="163"/>
      <c r="D7" s="163"/>
      <c r="E7" s="163" t="s">
        <v>349</v>
      </c>
      <c r="F7" s="163"/>
      <c r="G7" s="163"/>
      <c r="H7" s="163"/>
      <c r="K7" s="52"/>
      <c r="L7" s="53" t="s">
        <v>244</v>
      </c>
      <c r="M7" s="53"/>
      <c r="N7" s="53"/>
      <c r="O7" s="53" t="s">
        <v>343</v>
      </c>
      <c r="P7" s="53"/>
    </row>
    <row r="8" spans="1:26" ht="15" customHeight="1" x14ac:dyDescent="0.35">
      <c r="A8" s="163" t="s">
        <v>5</v>
      </c>
      <c r="B8" s="163"/>
      <c r="C8" s="163"/>
      <c r="D8" s="163"/>
      <c r="E8" s="163" t="str">
        <f>E7</f>
        <v>Pawshe Group Builders And Developers</v>
      </c>
      <c r="F8" s="163"/>
      <c r="G8" s="163"/>
      <c r="H8" s="163"/>
      <c r="K8" s="52"/>
      <c r="L8" s="53"/>
      <c r="M8" s="53"/>
      <c r="N8" s="53"/>
      <c r="O8" s="53" t="s">
        <v>344</v>
      </c>
      <c r="P8" s="53"/>
    </row>
    <row r="9" spans="1:26" x14ac:dyDescent="0.35">
      <c r="A9" s="163" t="s">
        <v>6</v>
      </c>
      <c r="B9" s="163"/>
      <c r="C9" s="163"/>
      <c r="D9" s="163"/>
      <c r="E9" s="152" t="s">
        <v>350</v>
      </c>
      <c r="F9" s="152"/>
      <c r="G9" s="152"/>
      <c r="H9" s="152"/>
      <c r="K9" s="52"/>
      <c r="L9" s="53"/>
      <c r="M9" s="53"/>
      <c r="N9" s="53"/>
      <c r="O9" s="53" t="s">
        <v>345</v>
      </c>
      <c r="P9" s="53"/>
    </row>
    <row r="10" spans="1:26" x14ac:dyDescent="0.35">
      <c r="A10" s="163" t="s">
        <v>167</v>
      </c>
      <c r="B10" s="163"/>
      <c r="C10" s="163"/>
      <c r="D10" s="163"/>
      <c r="E10" s="163" t="s">
        <v>382</v>
      </c>
      <c r="F10" s="163"/>
      <c r="G10" s="163"/>
      <c r="H10" s="163"/>
      <c r="K10" s="52"/>
      <c r="L10" s="53"/>
      <c r="M10" s="53"/>
      <c r="N10" s="53"/>
      <c r="O10" s="53" t="s">
        <v>346</v>
      </c>
      <c r="P10" s="53"/>
    </row>
    <row r="11" spans="1:26" x14ac:dyDescent="0.35">
      <c r="A11" s="163" t="s">
        <v>168</v>
      </c>
      <c r="B11" s="163"/>
      <c r="C11" s="163"/>
      <c r="D11" s="163"/>
      <c r="E11" s="163">
        <v>9324588460</v>
      </c>
      <c r="F11" s="163"/>
      <c r="G11" s="163"/>
      <c r="H11" s="163"/>
      <c r="O11" s="53" t="s">
        <v>347</v>
      </c>
    </row>
    <row r="12" spans="1:26" x14ac:dyDescent="0.35">
      <c r="A12" s="163" t="s">
        <v>7</v>
      </c>
      <c r="B12" s="163"/>
      <c r="C12" s="163"/>
      <c r="D12" s="163"/>
      <c r="E12" s="163" t="s">
        <v>118</v>
      </c>
      <c r="F12" s="163"/>
      <c r="G12" s="163"/>
      <c r="H12" s="163"/>
    </row>
    <row r="13" spans="1:26" x14ac:dyDescent="0.35">
      <c r="A13" s="163" t="s">
        <v>172</v>
      </c>
      <c r="B13" s="163"/>
      <c r="C13" s="163"/>
      <c r="D13" s="163"/>
      <c r="E13" s="163" t="s">
        <v>28</v>
      </c>
      <c r="F13" s="163"/>
      <c r="G13" s="163"/>
      <c r="H13" s="163"/>
      <c r="S13" s="53" t="s">
        <v>181</v>
      </c>
      <c r="T13" s="53" t="s">
        <v>190</v>
      </c>
      <c r="U13" s="53" t="s">
        <v>173</v>
      </c>
      <c r="V13" s="53" t="s">
        <v>195</v>
      </c>
      <c r="W13" s="53" t="s">
        <v>213</v>
      </c>
      <c r="X13"/>
      <c r="Y13" t="s">
        <v>195</v>
      </c>
      <c r="Z13" t="e">
        <f ca="1">OFFSET($S$13,1,MATCH($G20,$S$13:$W$13,0)-1,15,1)</f>
        <v>#VALUE!</v>
      </c>
    </row>
    <row r="14" spans="1:26" x14ac:dyDescent="0.35">
      <c r="A14" s="133" t="s">
        <v>280</v>
      </c>
      <c r="B14" s="133"/>
      <c r="C14" s="133"/>
      <c r="D14" s="133"/>
      <c r="E14" s="200" t="s">
        <v>412</v>
      </c>
      <c r="F14" s="200"/>
      <c r="G14" s="200"/>
      <c r="H14" s="200"/>
      <c r="S14" s="53" t="s">
        <v>181</v>
      </c>
      <c r="T14" s="53" t="s">
        <v>188</v>
      </c>
      <c r="U14" s="53" t="s">
        <v>210</v>
      </c>
      <c r="V14" s="53" t="s">
        <v>196</v>
      </c>
      <c r="W14" s="53" t="s">
        <v>214</v>
      </c>
      <c r="X14"/>
      <c r="Y14"/>
      <c r="Z14"/>
    </row>
    <row r="15" spans="1:26" x14ac:dyDescent="0.35">
      <c r="A15" s="133" t="s">
        <v>8</v>
      </c>
      <c r="B15" s="133"/>
      <c r="C15" s="133"/>
      <c r="D15" s="133"/>
      <c r="E15" s="200" t="s">
        <v>348</v>
      </c>
      <c r="F15" s="137"/>
      <c r="G15" s="137"/>
      <c r="H15" s="137"/>
      <c r="I15" s="153" t="e">
        <f ca="1">OFFSET($D$5,1,MATCH($J13,$D$5:$H$5,0)-1,15,1)</f>
        <v>#N/A</v>
      </c>
      <c r="J15" s="154"/>
      <c r="K15" s="154"/>
      <c r="L15" s="154"/>
      <c r="M15" s="154"/>
      <c r="N15" s="154"/>
      <c r="O15" s="154"/>
      <c r="P15" s="154"/>
      <c r="S15" s="53" t="s">
        <v>182</v>
      </c>
      <c r="T15" s="53" t="s">
        <v>189</v>
      </c>
      <c r="U15" s="53" t="s">
        <v>211</v>
      </c>
      <c r="V15" s="53" t="s">
        <v>197</v>
      </c>
      <c r="W15" s="53" t="s">
        <v>227</v>
      </c>
      <c r="X15"/>
      <c r="Y15"/>
      <c r="Z15"/>
    </row>
    <row r="16" spans="1:26" ht="48.75" customHeight="1" x14ac:dyDescent="0.35">
      <c r="A16" s="134" t="s">
        <v>9</v>
      </c>
      <c r="B16" s="134"/>
      <c r="C16" s="134" t="str">
        <f>CONCATENATE((IF(OR(E9="",E9="NA"),"",E9)),", ",(IF(OR(A17="",A17="NA"),"",A17)),".",(IF(OR(C17="",C17="NA"),"",C17)),", near ",(IF(OR(C22="",C22="NA"),"",C22)),", ",(IF(OR(C19="",C19="NA"),"",C19)),", ",(IF(OR(C18="",C18="NA"),"",C18)),", ",(IF(OR(G19="",G19="NA"),"",G19)),", ",(IF(OR(C20="",C20="NA"),"",C20)),", ",(IF(OR(C21="",C21="NA"),"",C21)),", ",(IF(OR(G20="",G20="NA"),"",G20))," - ",(IF(OR(G21="",G21="NA"),"",G21)),".")</f>
        <v>Pawshe Pride, Survey No.12, Hissa No. 3/3, near Sai Kunj Co-operative Housing Society, Shankar Pawshe Road, Hanuman Nagar, Katemanivali, Kalyan East, Kalyan, Thane - 421306.</v>
      </c>
      <c r="D16" s="134"/>
      <c r="E16" s="134"/>
      <c r="F16" s="134"/>
      <c r="G16" s="134"/>
      <c r="H16" s="134"/>
      <c r="S16" s="53" t="s">
        <v>183</v>
      </c>
      <c r="T16" s="53" t="s">
        <v>191</v>
      </c>
      <c r="U16" s="53" t="s">
        <v>212</v>
      </c>
      <c r="V16" s="53" t="s">
        <v>198</v>
      </c>
      <c r="W16" s="53" t="s">
        <v>215</v>
      </c>
      <c r="X16"/>
      <c r="Y16"/>
      <c r="Z16"/>
    </row>
    <row r="17" spans="1:26" x14ac:dyDescent="0.35">
      <c r="A17" s="200" t="s">
        <v>351</v>
      </c>
      <c r="B17" s="200"/>
      <c r="C17" s="200" t="s">
        <v>352</v>
      </c>
      <c r="D17" s="200"/>
      <c r="E17" s="200"/>
      <c r="F17" s="200"/>
      <c r="G17" s="200"/>
      <c r="H17" s="200"/>
      <c r="S17" s="53" t="s">
        <v>184</v>
      </c>
      <c r="T17" s="53" t="s">
        <v>192</v>
      </c>
      <c r="U17" s="53" t="s">
        <v>173</v>
      </c>
      <c r="V17" s="53" t="s">
        <v>199</v>
      </c>
      <c r="W17" s="53" t="s">
        <v>216</v>
      </c>
      <c r="X17"/>
      <c r="Y17"/>
      <c r="Z17"/>
    </row>
    <row r="18" spans="1:26" ht="15.75" customHeight="1" x14ac:dyDescent="0.35">
      <c r="A18" s="138" t="s">
        <v>162</v>
      </c>
      <c r="B18" s="138"/>
      <c r="C18" s="138" t="s">
        <v>355</v>
      </c>
      <c r="D18" s="138"/>
      <c r="E18" s="138"/>
      <c r="F18" s="138"/>
      <c r="G18" s="138"/>
      <c r="H18" s="138"/>
      <c r="S18" s="53" t="s">
        <v>185</v>
      </c>
      <c r="T18" s="53" t="s">
        <v>190</v>
      </c>
      <c r="U18" s="53"/>
      <c r="V18" s="53" t="s">
        <v>200</v>
      </c>
      <c r="W18" s="53" t="s">
        <v>217</v>
      </c>
      <c r="X18"/>
      <c r="Y18"/>
      <c r="Z18"/>
    </row>
    <row r="19" spans="1:26" ht="15.75" customHeight="1" x14ac:dyDescent="0.35">
      <c r="A19" s="134" t="s">
        <v>10</v>
      </c>
      <c r="B19" s="134"/>
      <c r="C19" s="163" t="s">
        <v>380</v>
      </c>
      <c r="D19" s="163"/>
      <c r="E19" s="134" t="s">
        <v>70</v>
      </c>
      <c r="F19" s="134"/>
      <c r="G19" s="138" t="s">
        <v>386</v>
      </c>
      <c r="H19" s="138"/>
      <c r="S19" s="53" t="s">
        <v>186</v>
      </c>
      <c r="T19" s="53" t="s">
        <v>193</v>
      </c>
      <c r="U19" s="53"/>
      <c r="V19" s="53" t="s">
        <v>201</v>
      </c>
      <c r="W19" s="53" t="s">
        <v>218</v>
      </c>
      <c r="X19"/>
      <c r="Y19"/>
      <c r="Z19"/>
    </row>
    <row r="20" spans="1:26" x14ac:dyDescent="0.35">
      <c r="A20" s="133" t="s">
        <v>12</v>
      </c>
      <c r="B20" s="133"/>
      <c r="C20" s="138" t="s">
        <v>357</v>
      </c>
      <c r="D20" s="138"/>
      <c r="E20" s="134" t="s">
        <v>11</v>
      </c>
      <c r="F20" s="134"/>
      <c r="G20" s="201" t="s">
        <v>181</v>
      </c>
      <c r="H20" s="201"/>
      <c r="S20" s="53" t="s">
        <v>187</v>
      </c>
      <c r="T20" s="53" t="s">
        <v>194</v>
      </c>
      <c r="U20" s="53"/>
      <c r="V20" s="53" t="s">
        <v>202</v>
      </c>
      <c r="W20" s="53" t="s">
        <v>219</v>
      </c>
      <c r="X20"/>
      <c r="Y20"/>
      <c r="Z20"/>
    </row>
    <row r="21" spans="1:26" x14ac:dyDescent="0.35">
      <c r="A21" s="133" t="s">
        <v>71</v>
      </c>
      <c r="B21" s="133"/>
      <c r="C21" s="200" t="s">
        <v>183</v>
      </c>
      <c r="D21" s="200"/>
      <c r="E21" s="134" t="s">
        <v>13</v>
      </c>
      <c r="F21" s="134"/>
      <c r="G21" s="138">
        <v>421306</v>
      </c>
      <c r="H21" s="138"/>
      <c r="S21" s="53"/>
      <c r="T21" s="53"/>
      <c r="U21" s="53"/>
      <c r="V21" s="53" t="s">
        <v>203</v>
      </c>
      <c r="W21" s="53" t="s">
        <v>220</v>
      </c>
      <c r="X21"/>
      <c r="Y21"/>
      <c r="Z21"/>
    </row>
    <row r="22" spans="1:26" ht="32.25" customHeight="1" x14ac:dyDescent="0.35">
      <c r="A22" s="133" t="s">
        <v>119</v>
      </c>
      <c r="B22" s="133"/>
      <c r="C22" s="138" t="s">
        <v>358</v>
      </c>
      <c r="D22" s="138"/>
      <c r="E22" s="134" t="s">
        <v>14</v>
      </c>
      <c r="F22" s="134"/>
      <c r="G22" s="200" t="s">
        <v>359</v>
      </c>
      <c r="H22" s="200"/>
      <c r="S22" s="53"/>
      <c r="T22" s="53"/>
      <c r="U22" s="53"/>
      <c r="V22" s="53" t="s">
        <v>204</v>
      </c>
      <c r="W22" s="53" t="s">
        <v>221</v>
      </c>
      <c r="X22"/>
      <c r="Y22"/>
      <c r="Z22"/>
    </row>
    <row r="23" spans="1:26" ht="15" customHeight="1" x14ac:dyDescent="0.35">
      <c r="A23" s="134" t="s">
        <v>73</v>
      </c>
      <c r="B23" s="134"/>
      <c r="C23" s="134"/>
      <c r="D23" s="134"/>
      <c r="E23" s="163" t="s">
        <v>15</v>
      </c>
      <c r="F23" s="163"/>
      <c r="G23" s="163"/>
      <c r="H23" s="163"/>
      <c r="S23" s="53"/>
      <c r="T23" s="53"/>
      <c r="U23" s="53"/>
      <c r="V23" s="53" t="s">
        <v>205</v>
      </c>
      <c r="W23" s="53" t="s">
        <v>222</v>
      </c>
      <c r="X23"/>
      <c r="Y23"/>
      <c r="Z23"/>
    </row>
    <row r="24" spans="1:26" ht="18.75" customHeight="1" x14ac:dyDescent="0.35">
      <c r="A24" s="134"/>
      <c r="B24" s="134"/>
      <c r="C24" s="134"/>
      <c r="D24" s="134"/>
      <c r="E24" s="163"/>
      <c r="F24" s="163"/>
      <c r="G24" s="163"/>
      <c r="H24" s="163"/>
      <c r="S24" s="53"/>
      <c r="T24" s="53"/>
      <c r="U24" s="53"/>
      <c r="V24" s="53" t="s">
        <v>206</v>
      </c>
      <c r="W24" s="53" t="s">
        <v>223</v>
      </c>
      <c r="X24"/>
      <c r="Y24"/>
      <c r="Z24"/>
    </row>
    <row r="25" spans="1:26" ht="15" customHeight="1" x14ac:dyDescent="0.35">
      <c r="A25" s="134" t="s">
        <v>16</v>
      </c>
      <c r="B25" s="134"/>
      <c r="C25" s="134"/>
      <c r="D25" s="134"/>
      <c r="E25" s="138" t="s">
        <v>17</v>
      </c>
      <c r="F25" s="138"/>
      <c r="G25" s="138"/>
      <c r="H25" s="138"/>
      <c r="S25" s="53"/>
      <c r="T25" s="53"/>
      <c r="U25" s="53"/>
      <c r="V25" s="53" t="s">
        <v>207</v>
      </c>
      <c r="W25" s="53" t="s">
        <v>224</v>
      </c>
      <c r="X25"/>
      <c r="Y25"/>
      <c r="Z25"/>
    </row>
    <row r="26" spans="1:26" ht="15" customHeight="1" x14ac:dyDescent="0.35">
      <c r="A26" s="133" t="s">
        <v>18</v>
      </c>
      <c r="B26" s="133"/>
      <c r="C26" s="133"/>
      <c r="D26" s="133"/>
      <c r="E26" s="138" t="str">
        <f>IF(AND(G20="Mumbai"),"Upper Class","Middle Class")</f>
        <v>Middle Class</v>
      </c>
      <c r="F26" s="138"/>
      <c r="G26" s="138"/>
      <c r="H26" s="138"/>
      <c r="S26" s="53"/>
      <c r="T26" s="53"/>
      <c r="U26" s="53"/>
      <c r="V26" s="53" t="s">
        <v>208</v>
      </c>
      <c r="W26" s="53" t="s">
        <v>225</v>
      </c>
      <c r="X26"/>
      <c r="Y26"/>
      <c r="Z26"/>
    </row>
    <row r="27" spans="1:26" x14ac:dyDescent="0.35">
      <c r="A27" s="133" t="s">
        <v>19</v>
      </c>
      <c r="B27" s="133"/>
      <c r="C27" s="133"/>
      <c r="D27" s="133"/>
      <c r="E27" s="138" t="s">
        <v>20</v>
      </c>
      <c r="F27" s="138"/>
      <c r="G27" s="138"/>
      <c r="H27" s="138"/>
      <c r="S27" s="53"/>
      <c r="T27" s="53"/>
      <c r="U27" s="53"/>
      <c r="V27" s="53" t="s">
        <v>209</v>
      </c>
      <c r="W27" s="53" t="s">
        <v>226</v>
      </c>
      <c r="X27"/>
      <c r="Y27"/>
      <c r="Z27"/>
    </row>
    <row r="28" spans="1:26" ht="15.75" customHeight="1" x14ac:dyDescent="0.35">
      <c r="A28" s="133" t="s">
        <v>21</v>
      </c>
      <c r="B28" s="133"/>
      <c r="C28" s="133"/>
      <c r="D28" s="133"/>
      <c r="E28" s="138" t="str">
        <f>IF(AND(G20="Mumbai"),"Developed","Developing")</f>
        <v>Developing</v>
      </c>
      <c r="F28" s="138"/>
      <c r="G28" s="138"/>
      <c r="H28" s="138"/>
    </row>
    <row r="29" spans="1:26" x14ac:dyDescent="0.35">
      <c r="A29" s="133" t="s">
        <v>22</v>
      </c>
      <c r="B29" s="133"/>
      <c r="C29" s="133"/>
      <c r="D29" s="133"/>
      <c r="E29" s="138" t="s">
        <v>23</v>
      </c>
      <c r="F29" s="138"/>
      <c r="G29" s="138"/>
      <c r="H29" s="138"/>
    </row>
    <row r="30" spans="1:26" ht="15.75" customHeight="1" x14ac:dyDescent="0.35">
      <c r="A30" s="133" t="s">
        <v>78</v>
      </c>
      <c r="B30" s="133"/>
      <c r="C30" s="133"/>
      <c r="D30" s="133"/>
      <c r="E30" s="138" t="s">
        <v>79</v>
      </c>
      <c r="F30" s="138"/>
      <c r="G30" s="138"/>
      <c r="H30" s="138"/>
    </row>
    <row r="31" spans="1:26" ht="15" customHeight="1" x14ac:dyDescent="0.35">
      <c r="A31" s="133" t="s">
        <v>30</v>
      </c>
      <c r="B31" s="133"/>
      <c r="C31" s="133"/>
      <c r="D31" s="133"/>
      <c r="E31" s="138"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 + Commercial</v>
      </c>
      <c r="F31" s="138"/>
      <c r="G31" s="138"/>
      <c r="H31" s="138"/>
    </row>
    <row r="32" spans="1:26" ht="15.75" customHeight="1" x14ac:dyDescent="0.35">
      <c r="A32" s="133" t="s">
        <v>90</v>
      </c>
      <c r="B32" s="133"/>
      <c r="C32" s="133"/>
      <c r="D32" s="133"/>
      <c r="E32" s="138" t="s">
        <v>31</v>
      </c>
      <c r="F32" s="138"/>
      <c r="G32" s="138"/>
      <c r="H32" s="138"/>
    </row>
    <row r="33" spans="1:19" s="22" customFormat="1" x14ac:dyDescent="0.35">
      <c r="A33" s="209" t="s">
        <v>91</v>
      </c>
      <c r="B33" s="209"/>
      <c r="C33" s="206" t="s">
        <v>174</v>
      </c>
      <c r="D33" s="207"/>
      <c r="E33" s="208"/>
      <c r="F33" s="206" t="s">
        <v>29</v>
      </c>
      <c r="G33" s="207"/>
      <c r="H33" s="208"/>
      <c r="S33" s="22" t="e">
        <f ca="1">OFFSET($S$13,1,MATCH($G20,$S$13:$W$13,0)-1,15,1)</f>
        <v>#VALUE!</v>
      </c>
    </row>
    <row r="34" spans="1:19" s="22" customFormat="1" x14ac:dyDescent="0.35">
      <c r="A34" s="202" t="s">
        <v>24</v>
      </c>
      <c r="B34" s="202" t="s">
        <v>28</v>
      </c>
      <c r="C34" s="203" t="s">
        <v>387</v>
      </c>
      <c r="D34" s="204"/>
      <c r="E34" s="205"/>
      <c r="F34" s="203" t="s">
        <v>378</v>
      </c>
      <c r="G34" s="204"/>
      <c r="H34" s="205"/>
    </row>
    <row r="35" spans="1:19" x14ac:dyDescent="0.35">
      <c r="A35" s="202" t="s">
        <v>25</v>
      </c>
      <c r="B35" s="202" t="s">
        <v>28</v>
      </c>
      <c r="C35" s="203" t="s">
        <v>379</v>
      </c>
      <c r="D35" s="204"/>
      <c r="E35" s="205"/>
      <c r="F35" s="203" t="s">
        <v>356</v>
      </c>
      <c r="G35" s="204"/>
      <c r="H35" s="205"/>
    </row>
    <row r="36" spans="1:19" s="22" customFormat="1" x14ac:dyDescent="0.35">
      <c r="A36" s="202" t="s">
        <v>27</v>
      </c>
      <c r="B36" s="202" t="s">
        <v>28</v>
      </c>
      <c r="C36" s="203" t="s">
        <v>387</v>
      </c>
      <c r="D36" s="204"/>
      <c r="E36" s="205"/>
      <c r="F36" s="203" t="s">
        <v>378</v>
      </c>
      <c r="G36" s="204"/>
      <c r="H36" s="205"/>
    </row>
    <row r="37" spans="1:19" x14ac:dyDescent="0.35">
      <c r="A37" s="202" t="s">
        <v>26</v>
      </c>
      <c r="B37" s="202" t="s">
        <v>28</v>
      </c>
      <c r="C37" s="203" t="s">
        <v>387</v>
      </c>
      <c r="D37" s="204"/>
      <c r="E37" s="205"/>
      <c r="F37" s="203" t="s">
        <v>388</v>
      </c>
      <c r="G37" s="204"/>
      <c r="H37" s="205"/>
    </row>
    <row r="38" spans="1:19" x14ac:dyDescent="0.35">
      <c r="A38" s="133" t="s">
        <v>281</v>
      </c>
      <c r="B38" s="133"/>
      <c r="C38" s="133"/>
      <c r="D38" s="133"/>
      <c r="E38" s="133"/>
      <c r="F38" s="133"/>
      <c r="G38" s="133"/>
      <c r="H38" s="133"/>
    </row>
    <row r="39" spans="1:19" ht="15.75" customHeight="1" x14ac:dyDescent="0.35">
      <c r="A39" s="133" t="s">
        <v>165</v>
      </c>
      <c r="B39" s="133"/>
      <c r="C39" s="194" t="s">
        <v>376</v>
      </c>
      <c r="D39" s="194"/>
      <c r="E39" s="194"/>
      <c r="F39" s="194"/>
      <c r="G39" s="194"/>
      <c r="H39" s="194"/>
    </row>
    <row r="40" spans="1:19" x14ac:dyDescent="0.35">
      <c r="A40" s="133" t="s">
        <v>161</v>
      </c>
      <c r="B40" s="133"/>
      <c r="C40" s="235" t="s">
        <v>377</v>
      </c>
      <c r="D40" s="138"/>
      <c r="E40" s="138"/>
      <c r="F40" s="138"/>
      <c r="G40" s="138"/>
      <c r="H40" s="138"/>
    </row>
    <row r="41" spans="1:19" x14ac:dyDescent="0.35">
      <c r="A41" s="194" t="s">
        <v>32</v>
      </c>
      <c r="B41" s="194"/>
      <c r="C41" s="194"/>
      <c r="D41" s="194"/>
      <c r="E41" s="194"/>
      <c r="F41" s="194"/>
      <c r="G41" s="194"/>
      <c r="H41" s="194"/>
    </row>
    <row r="42" spans="1:19" x14ac:dyDescent="0.35">
      <c r="A42" s="133" t="s">
        <v>33</v>
      </c>
      <c r="B42" s="133"/>
      <c r="C42" s="133"/>
      <c r="D42" s="133"/>
      <c r="E42" s="215">
        <v>1280</v>
      </c>
      <c r="F42" s="215"/>
      <c r="G42" s="215"/>
      <c r="H42" s="215"/>
    </row>
    <row r="43" spans="1:19" x14ac:dyDescent="0.35">
      <c r="A43" s="133" t="s">
        <v>34</v>
      </c>
      <c r="B43" s="133"/>
      <c r="C43" s="133"/>
      <c r="D43" s="133"/>
      <c r="E43" s="171">
        <f>1408/E42</f>
        <v>1.1000000000000001</v>
      </c>
      <c r="F43" s="171"/>
      <c r="G43" s="171"/>
      <c r="H43" s="171"/>
    </row>
    <row r="44" spans="1:19" x14ac:dyDescent="0.35">
      <c r="A44" s="133" t="s">
        <v>35</v>
      </c>
      <c r="B44" s="133"/>
      <c r="C44" s="133"/>
      <c r="D44" s="133"/>
      <c r="E44" s="171">
        <f>E46/E42-E43</f>
        <v>2.9493281250000005</v>
      </c>
      <c r="F44" s="171"/>
      <c r="G44" s="171"/>
      <c r="H44" s="171"/>
    </row>
    <row r="45" spans="1:19" x14ac:dyDescent="0.35">
      <c r="A45" s="133" t="s">
        <v>36</v>
      </c>
      <c r="B45" s="133"/>
      <c r="C45" s="133"/>
      <c r="D45" s="133"/>
      <c r="E45" s="171">
        <f>E43+E44</f>
        <v>4.0493281250000006</v>
      </c>
      <c r="F45" s="171"/>
      <c r="G45" s="171"/>
      <c r="H45" s="171"/>
    </row>
    <row r="46" spans="1:19" x14ac:dyDescent="0.35">
      <c r="A46" s="133" t="s">
        <v>89</v>
      </c>
      <c r="B46" s="133"/>
      <c r="C46" s="133"/>
      <c r="D46" s="133"/>
      <c r="E46" s="210">
        <v>5183.1400000000003</v>
      </c>
      <c r="F46" s="210"/>
      <c r="G46" s="210"/>
      <c r="H46" s="210"/>
    </row>
    <row r="47" spans="1:19" x14ac:dyDescent="0.35">
      <c r="A47" s="163" t="s">
        <v>37</v>
      </c>
      <c r="B47" s="163"/>
      <c r="C47" s="163"/>
      <c r="D47" s="163"/>
      <c r="E47" s="137" t="s">
        <v>118</v>
      </c>
      <c r="F47" s="137"/>
      <c r="G47" s="137"/>
      <c r="H47" s="137"/>
    </row>
    <row r="48" spans="1:19" x14ac:dyDescent="0.35">
      <c r="A48" s="194" t="s">
        <v>38</v>
      </c>
      <c r="B48" s="194"/>
      <c r="C48" s="194"/>
      <c r="D48" s="194"/>
      <c r="E48" s="194"/>
      <c r="F48" s="194"/>
      <c r="G48" s="194"/>
      <c r="H48" s="194"/>
    </row>
    <row r="49" spans="1:24" ht="33.75" customHeight="1" x14ac:dyDescent="0.35">
      <c r="A49" s="144" t="s">
        <v>151</v>
      </c>
      <c r="B49" s="145"/>
      <c r="C49" s="211" t="s">
        <v>398</v>
      </c>
      <c r="D49" s="212"/>
      <c r="E49" s="212"/>
      <c r="F49" s="212"/>
      <c r="G49" s="212"/>
      <c r="H49" s="213"/>
      <c r="R49" t="s">
        <v>254</v>
      </c>
      <c r="S49" s="57" t="s">
        <v>173</v>
      </c>
      <c r="T49" s="57" t="s">
        <v>181</v>
      </c>
      <c r="U49" s="57" t="s">
        <v>195</v>
      </c>
      <c r="V49" s="57" t="s">
        <v>190</v>
      </c>
    </row>
    <row r="50" spans="1:24" ht="15.75" customHeight="1" x14ac:dyDescent="0.35">
      <c r="A50" s="144" t="s">
        <v>39</v>
      </c>
      <c r="B50" s="145"/>
      <c r="C50" s="144" t="s">
        <v>353</v>
      </c>
      <c r="D50" s="146"/>
      <c r="E50" s="145"/>
      <c r="F50" s="18" t="s">
        <v>40</v>
      </c>
      <c r="G50" s="170">
        <v>45029</v>
      </c>
      <c r="H50" s="145"/>
      <c r="R50"/>
      <c r="S50" s="57" t="s">
        <v>255</v>
      </c>
      <c r="T50" s="57" t="s">
        <v>260</v>
      </c>
      <c r="U50" s="57" t="s">
        <v>271</v>
      </c>
      <c r="V50" s="57" t="s">
        <v>276</v>
      </c>
    </row>
    <row r="51" spans="1:24" x14ac:dyDescent="0.35">
      <c r="A51" s="144" t="s">
        <v>41</v>
      </c>
      <c r="B51" s="145"/>
      <c r="C51" s="144" t="str">
        <f>C50</f>
        <v>KDMC/TPD/BP/KD/2023-24/08</v>
      </c>
      <c r="D51" s="146"/>
      <c r="E51" s="145"/>
      <c r="F51" s="18" t="s">
        <v>40</v>
      </c>
      <c r="G51" s="170">
        <f>G50</f>
        <v>45029</v>
      </c>
      <c r="H51" s="214"/>
      <c r="R51"/>
      <c r="S51" s="57" t="s">
        <v>256</v>
      </c>
      <c r="T51" s="57" t="s">
        <v>261</v>
      </c>
      <c r="U51" s="57" t="s">
        <v>269</v>
      </c>
      <c r="V51" s="57" t="s">
        <v>277</v>
      </c>
    </row>
    <row r="52" spans="1:24" s="23" customFormat="1" ht="15.75" customHeight="1" x14ac:dyDescent="0.35">
      <c r="A52" s="216" t="s">
        <v>155</v>
      </c>
      <c r="B52" s="217"/>
      <c r="C52" s="144" t="str">
        <f>C51</f>
        <v>KDMC/TPD/BP/KD/2023-24/08</v>
      </c>
      <c r="D52" s="146"/>
      <c r="E52" s="145"/>
      <c r="F52" s="18" t="s">
        <v>40</v>
      </c>
      <c r="G52" s="170">
        <f>G51</f>
        <v>45029</v>
      </c>
      <c r="H52" s="214"/>
      <c r="R52"/>
      <c r="S52" s="57" t="s">
        <v>257</v>
      </c>
      <c r="T52" s="57" t="s">
        <v>398</v>
      </c>
      <c r="U52" s="57" t="s">
        <v>259</v>
      </c>
      <c r="V52" s="57" t="s">
        <v>278</v>
      </c>
    </row>
    <row r="53" spans="1:24" s="23" customFormat="1" x14ac:dyDescent="0.35">
      <c r="A53" s="218"/>
      <c r="B53" s="219"/>
      <c r="C53" s="144" t="s">
        <v>389</v>
      </c>
      <c r="D53" s="146"/>
      <c r="E53" s="146"/>
      <c r="F53" s="146"/>
      <c r="G53" s="146"/>
      <c r="H53" s="145"/>
      <c r="R53"/>
      <c r="S53" s="57" t="s">
        <v>258</v>
      </c>
      <c r="T53" s="57" t="s">
        <v>265</v>
      </c>
      <c r="U53" s="57" t="s">
        <v>272</v>
      </c>
      <c r="V53" s="78"/>
    </row>
    <row r="54" spans="1:24" s="23" customFormat="1" ht="33" customHeight="1" x14ac:dyDescent="0.35">
      <c r="A54" s="166" t="s">
        <v>410</v>
      </c>
      <c r="B54" s="167"/>
      <c r="C54" s="144" t="s">
        <v>400</v>
      </c>
      <c r="D54" s="146"/>
      <c r="E54" s="145"/>
      <c r="F54" s="18" t="s">
        <v>40</v>
      </c>
      <c r="G54" s="170">
        <v>44643</v>
      </c>
      <c r="H54" s="145"/>
      <c r="R54"/>
      <c r="S54" s="57" t="s">
        <v>257</v>
      </c>
      <c r="T54" s="57" t="s">
        <v>262</v>
      </c>
      <c r="U54" s="57" t="s">
        <v>259</v>
      </c>
      <c r="V54" s="57" t="s">
        <v>278</v>
      </c>
    </row>
    <row r="55" spans="1:24" s="23" customFormat="1" x14ac:dyDescent="0.35">
      <c r="A55" s="168"/>
      <c r="B55" s="169"/>
      <c r="C55" s="238" t="s">
        <v>409</v>
      </c>
      <c r="D55" s="239"/>
      <c r="E55" s="239"/>
      <c r="F55" s="239"/>
      <c r="G55" s="239"/>
      <c r="H55" s="240"/>
      <c r="R55"/>
      <c r="S55" s="57" t="s">
        <v>259</v>
      </c>
      <c r="T55" s="57" t="s">
        <v>263</v>
      </c>
      <c r="U55" s="57" t="s">
        <v>273</v>
      </c>
      <c r="V55" s="79"/>
      <c r="W55" s="21"/>
      <c r="X55" s="21"/>
    </row>
    <row r="56" spans="1:24" x14ac:dyDescent="0.35">
      <c r="A56" s="157" t="s">
        <v>42</v>
      </c>
      <c r="B56" s="158"/>
      <c r="C56" s="157" t="s">
        <v>103</v>
      </c>
      <c r="D56" s="159"/>
      <c r="E56" s="158"/>
      <c r="F56" s="43" t="s">
        <v>40</v>
      </c>
      <c r="G56" s="164" t="s">
        <v>28</v>
      </c>
      <c r="H56" s="165"/>
      <c r="R56"/>
      <c r="S56" s="79"/>
      <c r="T56" s="57" t="s">
        <v>270</v>
      </c>
      <c r="U56" s="79"/>
      <c r="V56" s="79"/>
    </row>
    <row r="57" spans="1:24" x14ac:dyDescent="0.35">
      <c r="A57" s="196" t="s">
        <v>44</v>
      </c>
      <c r="B57" s="196"/>
      <c r="C57" s="196"/>
      <c r="D57" s="196"/>
      <c r="E57" s="196"/>
      <c r="F57" s="196"/>
      <c r="G57" s="196"/>
      <c r="H57" s="196"/>
      <c r="S57" s="79"/>
      <c r="T57" s="57" t="s">
        <v>279</v>
      </c>
      <c r="U57" s="79"/>
      <c r="V57" s="79"/>
    </row>
    <row r="58" spans="1:24" x14ac:dyDescent="0.35">
      <c r="A58" s="134" t="s">
        <v>88</v>
      </c>
      <c r="B58" s="134"/>
      <c r="C58" s="134"/>
      <c r="D58" s="133">
        <f>E46</f>
        <v>5183.1400000000003</v>
      </c>
      <c r="E58" s="133"/>
      <c r="F58" s="133"/>
      <c r="G58" s="133"/>
      <c r="H58" s="133"/>
      <c r="R58"/>
    </row>
    <row r="59" spans="1:24" x14ac:dyDescent="0.35">
      <c r="A59" s="138" t="s">
        <v>45</v>
      </c>
      <c r="B59" s="163"/>
      <c r="C59" s="163"/>
      <c r="D59" s="163" t="s">
        <v>381</v>
      </c>
      <c r="E59" s="163"/>
      <c r="F59" s="163"/>
      <c r="G59" s="163"/>
      <c r="H59" s="163"/>
      <c r="I59" s="24"/>
      <c r="R59"/>
    </row>
    <row r="60" spans="1:24" x14ac:dyDescent="0.35">
      <c r="A60" s="138" t="s">
        <v>46</v>
      </c>
      <c r="B60" s="138"/>
      <c r="C60" s="138"/>
      <c r="D60" s="200" t="s">
        <v>390</v>
      </c>
      <c r="E60" s="137"/>
      <c r="F60" s="137"/>
      <c r="G60" s="137"/>
      <c r="H60" s="137"/>
      <c r="R60"/>
    </row>
    <row r="61" spans="1:24" ht="15.75" customHeight="1" x14ac:dyDescent="0.35">
      <c r="A61" s="138" t="s">
        <v>86</v>
      </c>
      <c r="B61" s="138"/>
      <c r="C61" s="138"/>
      <c r="D61" s="200" t="s">
        <v>390</v>
      </c>
      <c r="E61" s="137"/>
      <c r="F61" s="137"/>
      <c r="G61" s="137"/>
      <c r="H61" s="137"/>
      <c r="R61"/>
    </row>
    <row r="62" spans="1:24" ht="15.75" hidden="1" customHeight="1" x14ac:dyDescent="0.35">
      <c r="A62" s="138"/>
      <c r="B62" s="138"/>
      <c r="C62" s="138"/>
      <c r="D62" s="254" t="s">
        <v>295</v>
      </c>
      <c r="E62" s="254"/>
      <c r="F62" s="254"/>
      <c r="G62" s="254"/>
      <c r="H62" s="254"/>
      <c r="R62"/>
    </row>
    <row r="63" spans="1:24" ht="15.75" hidden="1" customHeight="1" x14ac:dyDescent="0.35">
      <c r="A63" s="138"/>
      <c r="B63" s="138"/>
      <c r="C63" s="138"/>
      <c r="D63" s="254" t="s">
        <v>169</v>
      </c>
      <c r="E63" s="254"/>
      <c r="F63" s="254"/>
      <c r="G63" s="254"/>
      <c r="H63" s="254"/>
      <c r="S63"/>
    </row>
    <row r="64" spans="1:24" ht="15.75" customHeight="1" x14ac:dyDescent="0.35">
      <c r="A64" s="133" t="s">
        <v>43</v>
      </c>
      <c r="B64" s="133"/>
      <c r="C64" s="133"/>
      <c r="D64" s="134" t="s">
        <v>354</v>
      </c>
      <c r="E64" s="134"/>
      <c r="F64" s="134"/>
      <c r="G64" s="134"/>
      <c r="H64" s="134"/>
      <c r="J64" s="25"/>
      <c r="K64" s="24"/>
      <c r="N64" s="24"/>
      <c r="S64"/>
    </row>
    <row r="65" spans="1:19" ht="15.75" customHeight="1" x14ac:dyDescent="0.35">
      <c r="A65" s="133" t="s">
        <v>84</v>
      </c>
      <c r="B65" s="133"/>
      <c r="C65" s="133"/>
      <c r="D65" s="220" t="str">
        <f>(IF(G56="NA","60 Years After Completion",IF(G56&lt;&gt;"NA",""&amp;60-ROUNDDOWN((E3-G56)/360,0)&amp;" Years"," ")))</f>
        <v>60 Years After Completion</v>
      </c>
      <c r="E65" s="220"/>
      <c r="F65" s="220"/>
      <c r="G65" s="220"/>
      <c r="H65" s="220"/>
      <c r="N65" s="24"/>
      <c r="S65"/>
    </row>
    <row r="66" spans="1:19" ht="15.75" customHeight="1" x14ac:dyDescent="0.35">
      <c r="A66" s="133" t="s">
        <v>85</v>
      </c>
      <c r="B66" s="133"/>
      <c r="C66" s="133"/>
      <c r="D66" s="134" t="s">
        <v>23</v>
      </c>
      <c r="E66" s="134"/>
      <c r="F66" s="134"/>
      <c r="G66" s="134"/>
      <c r="H66" s="134"/>
      <c r="J66" s="26"/>
      <c r="K66" s="26"/>
      <c r="S66"/>
    </row>
    <row r="67" spans="1:19" ht="38.5" customHeight="1" x14ac:dyDescent="0.35">
      <c r="A67" s="137" t="s">
        <v>391</v>
      </c>
      <c r="B67" s="137"/>
      <c r="C67" s="137"/>
      <c r="D67" s="138" t="s">
        <v>383</v>
      </c>
      <c r="E67" s="134"/>
      <c r="F67" s="134"/>
      <c r="G67" s="134"/>
      <c r="H67" s="134"/>
      <c r="S67"/>
    </row>
    <row r="68" spans="1:19" x14ac:dyDescent="0.35">
      <c r="A68" s="134" t="s">
        <v>147</v>
      </c>
      <c r="B68" s="134"/>
      <c r="C68" s="134"/>
      <c r="D68" s="134" t="s">
        <v>28</v>
      </c>
      <c r="E68" s="134"/>
      <c r="F68" s="134"/>
      <c r="G68" s="134"/>
      <c r="H68" s="134"/>
      <c r="I68" s="27"/>
      <c r="J68" s="27"/>
      <c r="K68" s="27"/>
      <c r="L68" s="27"/>
      <c r="M68" s="27"/>
      <c r="N68" s="27"/>
    </row>
    <row r="69" spans="1:19" ht="15.75" customHeight="1" x14ac:dyDescent="0.35">
      <c r="A69" s="133" t="s">
        <v>83</v>
      </c>
      <c r="B69" s="133"/>
      <c r="C69" s="133"/>
      <c r="D69" s="138" t="str">
        <f ca="1">(IF(G75&gt;95%,"Nothing",IF(G75&gt;0%,"Cement, Aggregate, Steel, etc",IF(G75=0%,"Work not yet Started"))))</f>
        <v>Cement, Aggregate, Steel, etc</v>
      </c>
      <c r="E69" s="138"/>
      <c r="F69" s="138"/>
      <c r="G69" s="138"/>
      <c r="H69" s="138"/>
      <c r="J69" s="26"/>
      <c r="S69"/>
    </row>
    <row r="70" spans="1:19" ht="33.75" customHeight="1" thickBot="1" x14ac:dyDescent="0.4">
      <c r="A70" s="134" t="s">
        <v>116</v>
      </c>
      <c r="B70" s="134"/>
      <c r="C70" s="134"/>
      <c r="D70" s="138" t="str">
        <f ca="1">(IF(D69="Nothing","Yes",IF(D69="Cement, Aggregate, Steel, etc","Under Construction",IF(D69="Work not yet Started","Work not yet Started"))))</f>
        <v>Under Construction</v>
      </c>
      <c r="E70" s="138"/>
      <c r="F70" s="138" t="str">
        <f ca="1">(IF(D69="Nothing","Yes",IF(D69="Cement, Aggregate, Steel, etc","Under Construction",IF(D69="Work not yet Started","Work not yet Started"))))</f>
        <v>Under Construction</v>
      </c>
      <c r="G70" s="138"/>
      <c r="H70" s="138"/>
      <c r="S70"/>
    </row>
    <row r="71" spans="1:19" ht="15.75" customHeight="1" x14ac:dyDescent="0.35">
      <c r="A71" s="255" t="s">
        <v>137</v>
      </c>
      <c r="B71" s="255"/>
      <c r="C71" s="255" t="str">
        <f>D61</f>
        <v>Gr + 1st to 16th Floor</v>
      </c>
      <c r="D71" s="255"/>
      <c r="E71" s="255"/>
      <c r="F71" s="255"/>
      <c r="G71" s="255"/>
      <c r="H71" s="255"/>
      <c r="I71" s="252" t="str">
        <f ca="1">IF(D84=100%,"All work Completed. Possession granted to the Building.",IF(D83=100%,"All work Completed, Waiting for OC",I72&amp;""&amp;I73&amp;""&amp;J72&amp;""&amp;J71&amp;" "&amp;J73))</f>
        <v>Excavation, Plinth, RCC Slab, Brickwork Completed, Internal Plaster upto 11 Floor, External Plaster upto 6 Floor Completed</v>
      </c>
      <c r="J71" s="47" t="str">
        <f ca="1">(IF(C77=(D72+F72+H72),"",IF(C77&gt;0,", RCC upto "&amp;C77&amp;" Slab","")))&amp;(IF(C78=H72,"",IF(C78&gt;0,", Brickwork upto "&amp;C78&amp;" Floor","")))&amp;(IF(C79=H72,"",IF(C79&gt;0,", Internal Plaster upto "&amp;C79&amp;" Floor","")))&amp;(IF(C80=H72,"",IF(C80&gt;0,", External Plaster upto "&amp;C80&amp;" Floor","")))&amp;(IF(C81=H72,"",IF(C81&gt;0,", Flooring upto "&amp;C81&amp;" Floor","")))&amp;(IF(C82=H72,"",IF(C82&gt;0,", Painting upto "&amp;C82&amp;" Floor","")))&amp;(IF(C83=H72,"",IF(C83&gt;0,", Finishing upto "&amp;C83&amp;" Floor","")))&amp;(IF(C84=H72,"",IF(C84&gt;0,", Possession upto "&amp;C84&amp;" Floor","")))</f>
        <v>, Internal Plaster upto 11 Floor, External Plaster upto 6 Floor</v>
      </c>
      <c r="S71"/>
    </row>
    <row r="72" spans="1:19" x14ac:dyDescent="0.35">
      <c r="A72" s="50" t="s">
        <v>139</v>
      </c>
      <c r="B72" s="50">
        <f>IF(AND(ISNUMBER(SEARCH("1B",C71))),1,IF(AND(ISNUMBER(SEARCH("2B",C71))),2,IF(AND(ISNUMBER(SEARCH("3B",C71))),3,IF(AND(ISNUMBER(SEARCH("4B",C71))),4,IF(ISNUMBER(SEARCH("5B",C71)),5,0)))))</f>
        <v>0</v>
      </c>
      <c r="C72" s="97" t="s">
        <v>69</v>
      </c>
      <c r="D72" s="97">
        <v>1</v>
      </c>
      <c r="E72" s="97" t="s">
        <v>68</v>
      </c>
      <c r="F72" s="97">
        <v>0</v>
      </c>
      <c r="G72" s="97" t="s">
        <v>77</v>
      </c>
      <c r="H72" s="97">
        <f ca="1">--TRIM(RIGHT(SUBSTITUTE(LEFT(C71,_xlfn.AGGREGATE(16,6,FIND({0,1,2,3,4,5,6,7,8,9},C71,ROW(INDIRECT("1:"&amp;LEN(C71)))),1))," ",REPT(" ",LEN(C71))),LEN(C71)))</f>
        <v>16</v>
      </c>
      <c r="I72" s="253" t="str">
        <f ca="1">IF(D75=100%,"Excavation","")&amp;IF(D76=100%,", Plinth","")&amp;IF(D77=100%,", RCC Slab","")&amp;IF(D78=100%,", Brickwork","")&amp;IF(D79=100%,", Internal Plaster","")&amp;IF(D80=100%,", External Plaster","")&amp;IF(D81=100%,", Flooring","")&amp;IF(D82=100%,", Painting","")&amp;IF(D83=100%,", Building common Amenities","")</f>
        <v>Excavation, Plinth, RCC Slab, Brickwork</v>
      </c>
      <c r="J72" s="49" t="str">
        <f ca="1">(IF(C75=0,"Work not yet Started.",IF(D75=25%,"Piling work in process",IF(D75=50%,"Excavation work in process",IF(D75=100%,"","0")))))&amp;(IF(C76=0%,"",IF(C76=J77,", Footing work is process",IF(C76=J78,", Footing work Completed",IF(C76=J79,", 1st Basement Completed",IF(C76=J80,", 1st &amp; 2nd Basement Completed",IF(C76=J81,", 1st to 3rd Basement Completed",IF(C76=J82,", 1st to 4th Basement Completed",IF(C76=J83,", Plinth work is process",IF(C76=J84,"","0"))))))))))</f>
        <v/>
      </c>
      <c r="S72"/>
    </row>
    <row r="73" spans="1:19" ht="32.5" customHeight="1" x14ac:dyDescent="0.35">
      <c r="A73" s="151" t="s">
        <v>87</v>
      </c>
      <c r="B73" s="152"/>
      <c r="C73" s="135" t="str">
        <f ca="1">I71</f>
        <v>Excavation, Plinth, RCC Slab, Brickwork Completed, Internal Plaster upto 11 Floor, External Plaster upto 6 Floor Completed</v>
      </c>
      <c r="D73" s="135"/>
      <c r="E73" s="135"/>
      <c r="F73" s="135"/>
      <c r="G73" s="135"/>
      <c r="H73" s="136"/>
      <c r="I73" s="48" t="str">
        <f ca="1">IF(I72&lt;&gt;""," Completed","")</f>
        <v xml:space="preserve"> Completed</v>
      </c>
      <c r="J73" s="49" t="str">
        <f ca="1">IF(J71&lt;&gt;"","Completed","")</f>
        <v>Completed</v>
      </c>
      <c r="S73"/>
    </row>
    <row r="74" spans="1:19" ht="15.75" customHeight="1" x14ac:dyDescent="0.35">
      <c r="A74" s="126" t="s">
        <v>47</v>
      </c>
      <c r="B74" s="127"/>
      <c r="C74" s="93" t="s">
        <v>136</v>
      </c>
      <c r="D74" s="93" t="s">
        <v>80</v>
      </c>
      <c r="E74" s="127" t="s">
        <v>82</v>
      </c>
      <c r="F74" s="127"/>
      <c r="G74" s="127" t="s">
        <v>81</v>
      </c>
      <c r="H74" s="148"/>
      <c r="I74" s="13" t="s">
        <v>138</v>
      </c>
      <c r="J74" s="28">
        <f ca="1">H72*25%</f>
        <v>4</v>
      </c>
      <c r="S74"/>
    </row>
    <row r="75" spans="1:19" x14ac:dyDescent="0.35">
      <c r="A75" s="126" t="s">
        <v>125</v>
      </c>
      <c r="B75" s="127"/>
      <c r="C75" s="93">
        <f ca="1">J76</f>
        <v>16</v>
      </c>
      <c r="D75" s="19">
        <f ca="1">((100/H72)*C75)/100</f>
        <v>1</v>
      </c>
      <c r="E75" s="223">
        <f ca="1">(((C76/H72*10)+(40/(D72+F72+H72)*C77)+(7.5/(H72)*C78)+(7.5/(H72)*C79)+(10/H72*C80)+(10/H72*C81)+(5/H72*C82)+(5/H72*C83)+(5/H72*C84))/100)</f>
        <v>0.6640625</v>
      </c>
      <c r="F75" s="241"/>
      <c r="G75" s="223">
        <f ca="1">((((C75/H72)*20)+((C76/H72)*25)+(30/(H72+F72+D72)*C77)+(5/H72*C78)+(5/H72*C79)+(5/H72*C80)+(5/H72*C81)+(0/H72*C82)+(0/H72*C83)+(5/H72*C84))/100)</f>
        <v>0.85312500000000002</v>
      </c>
      <c r="H75" s="224"/>
      <c r="I75" s="13" t="s">
        <v>98</v>
      </c>
      <c r="J75" s="29">
        <f ca="1">H72*50%</f>
        <v>8</v>
      </c>
    </row>
    <row r="76" spans="1:19" x14ac:dyDescent="0.35">
      <c r="A76" s="126" t="s">
        <v>48</v>
      </c>
      <c r="B76" s="127"/>
      <c r="C76" s="93">
        <f ca="1">J84</f>
        <v>16</v>
      </c>
      <c r="D76" s="19">
        <f ca="1">((100/H72)*C76)/100</f>
        <v>1</v>
      </c>
      <c r="E76" s="225"/>
      <c r="F76" s="242"/>
      <c r="G76" s="225"/>
      <c r="H76" s="226"/>
      <c r="I76" s="13" t="s">
        <v>99</v>
      </c>
      <c r="J76" s="29">
        <f ca="1">H72</f>
        <v>16</v>
      </c>
      <c r="S76"/>
    </row>
    <row r="77" spans="1:19" ht="15.75" customHeight="1" x14ac:dyDescent="0.35">
      <c r="A77" s="126" t="s">
        <v>126</v>
      </c>
      <c r="B77" s="127"/>
      <c r="C77" s="93">
        <v>17</v>
      </c>
      <c r="D77" s="19">
        <f ca="1">((100/(D72+F72+H72))*C77)/100</f>
        <v>1</v>
      </c>
      <c r="E77" s="225"/>
      <c r="F77" s="242"/>
      <c r="G77" s="225"/>
      <c r="H77" s="226"/>
      <c r="I77" s="13" t="s">
        <v>100</v>
      </c>
      <c r="J77" s="30">
        <f ca="1">(IF(B72&gt;1,(H72/(B72+2)),H72/4))</f>
        <v>4</v>
      </c>
      <c r="S77"/>
    </row>
    <row r="78" spans="1:19" ht="15.75" customHeight="1" x14ac:dyDescent="0.35">
      <c r="A78" s="126" t="s">
        <v>133</v>
      </c>
      <c r="B78" s="127" t="s">
        <v>127</v>
      </c>
      <c r="C78" s="93">
        <v>16</v>
      </c>
      <c r="D78" s="19">
        <f ca="1">((100/H72)*C78)/100</f>
        <v>1</v>
      </c>
      <c r="E78" s="225"/>
      <c r="F78" s="242"/>
      <c r="G78" s="225"/>
      <c r="H78" s="226"/>
      <c r="I78" s="13" t="s">
        <v>101</v>
      </c>
      <c r="J78" s="30">
        <f ca="1">(IF(B72&gt;1,(H72/(B72+2)+J77),H72/4+J77))</f>
        <v>8</v>
      </c>
    </row>
    <row r="79" spans="1:19" ht="15.75" customHeight="1" x14ac:dyDescent="0.35">
      <c r="A79" s="126" t="s">
        <v>134</v>
      </c>
      <c r="B79" s="127" t="s">
        <v>127</v>
      </c>
      <c r="C79" s="93">
        <v>11</v>
      </c>
      <c r="D79" s="19">
        <f ca="1">((100/H72)*C79)/100</f>
        <v>0.6875</v>
      </c>
      <c r="E79" s="225"/>
      <c r="F79" s="242"/>
      <c r="G79" s="225"/>
      <c r="H79" s="226"/>
      <c r="I79" s="13" t="s">
        <v>145</v>
      </c>
      <c r="J79" s="30">
        <f>(IF(B72&gt;1,(H72/(B72+2)+J78),0))</f>
        <v>0</v>
      </c>
    </row>
    <row r="80" spans="1:19" ht="15" customHeight="1" x14ac:dyDescent="0.35">
      <c r="A80" s="126" t="s">
        <v>132</v>
      </c>
      <c r="B80" s="127" t="s">
        <v>129</v>
      </c>
      <c r="C80" s="93">
        <v>6</v>
      </c>
      <c r="D80" s="19">
        <f ca="1">((100/(H72))*C80)/100</f>
        <v>0.375</v>
      </c>
      <c r="E80" s="225"/>
      <c r="F80" s="242"/>
      <c r="G80" s="225"/>
      <c r="H80" s="226"/>
      <c r="I80" s="13" t="s">
        <v>140</v>
      </c>
      <c r="J80" s="30">
        <f>(IF(B72&gt;2,(H72/(B72+2)+J79),0))</f>
        <v>0</v>
      </c>
    </row>
    <row r="81" spans="1:19" ht="15.75" customHeight="1" x14ac:dyDescent="0.35">
      <c r="A81" s="126" t="s">
        <v>128</v>
      </c>
      <c r="B81" s="127" t="s">
        <v>128</v>
      </c>
      <c r="C81" s="93">
        <v>0</v>
      </c>
      <c r="D81" s="19">
        <f ca="1">((100/H72)*C81)/100</f>
        <v>0</v>
      </c>
      <c r="E81" s="225"/>
      <c r="F81" s="242"/>
      <c r="G81" s="225"/>
      <c r="H81" s="226"/>
      <c r="I81" s="13" t="s">
        <v>141</v>
      </c>
      <c r="J81" s="31">
        <f>(IF(B72&gt;3,(H72/(B72+2)+J80),0))</f>
        <v>0</v>
      </c>
    </row>
    <row r="82" spans="1:19" ht="15.75" customHeight="1" x14ac:dyDescent="0.35">
      <c r="A82" s="126" t="s">
        <v>135</v>
      </c>
      <c r="B82" s="127"/>
      <c r="C82" s="93">
        <v>0</v>
      </c>
      <c r="D82" s="19">
        <f ca="1">((100/H72)*C82)/100</f>
        <v>0</v>
      </c>
      <c r="E82" s="225"/>
      <c r="F82" s="242"/>
      <c r="G82" s="225"/>
      <c r="H82" s="226"/>
      <c r="I82" s="13" t="s">
        <v>142</v>
      </c>
      <c r="J82" s="30">
        <f>(IF(B72&gt;4,(H72/(B72+2)+J81),0))</f>
        <v>0</v>
      </c>
    </row>
    <row r="83" spans="1:19" ht="15.75" customHeight="1" x14ac:dyDescent="0.35">
      <c r="A83" s="126" t="s">
        <v>130</v>
      </c>
      <c r="B83" s="127" t="s">
        <v>130</v>
      </c>
      <c r="C83" s="93">
        <v>0</v>
      </c>
      <c r="D83" s="19">
        <f ca="1">((100/(H72))*C83)/100</f>
        <v>0</v>
      </c>
      <c r="E83" s="225"/>
      <c r="F83" s="242"/>
      <c r="G83" s="225"/>
      <c r="H83" s="226"/>
      <c r="I83" s="13" t="s">
        <v>146</v>
      </c>
      <c r="J83" s="30">
        <f ca="1">(IF(B72=1,(H72/(B72+3)+J78),IF(B72=0,(H72/4+J78),IF(B72&gt;1,0))))</f>
        <v>12</v>
      </c>
    </row>
    <row r="84" spans="1:19" ht="16" thickBot="1" x14ac:dyDescent="0.4">
      <c r="A84" s="149" t="s">
        <v>131</v>
      </c>
      <c r="B84" s="150"/>
      <c r="C84" s="94">
        <v>0</v>
      </c>
      <c r="D84" s="20">
        <f ca="1">((100/(H72))*C84)/100</f>
        <v>0</v>
      </c>
      <c r="E84" s="227"/>
      <c r="F84" s="243"/>
      <c r="G84" s="227"/>
      <c r="H84" s="228"/>
      <c r="I84" s="15" t="s">
        <v>102</v>
      </c>
      <c r="J84" s="32">
        <f ca="1">(IF(B72&gt;1.5,(H72/(B72+2)+J78+MAX(0,J79-J78)+MAX(0,J80-J79)+MAX(0,J81-J80)+MAX(0,J82-J81)+MAX(0,J83-J82)),IF(B72=1,(H72/(B72+3)+J83),IF(B72=0,H72/4+J83))))</f>
        <v>16</v>
      </c>
    </row>
    <row r="85" spans="1:19" ht="15.75" hidden="1" customHeight="1" x14ac:dyDescent="0.35">
      <c r="A85" s="128" t="s">
        <v>137</v>
      </c>
      <c r="B85" s="129"/>
      <c r="C85" s="130" t="str">
        <f>D62</f>
        <v>B Wing = 1B + G + 1st to 19th Floor</v>
      </c>
      <c r="D85" s="131"/>
      <c r="E85" s="131"/>
      <c r="F85" s="131"/>
      <c r="G85" s="131"/>
      <c r="H85" s="132"/>
      <c r="I85" s="46" t="str">
        <f ca="1">IF(D98=100%,"All work Completed. Possession granted to the Building.",IF(D97=100%,"All work Completed, Waiting for OC",I86&amp;""&amp;I87&amp;""&amp;J86&amp;""&amp;J85&amp;" "&amp;J87))</f>
        <v xml:space="preserve">Excavation, Plinth Completed </v>
      </c>
      <c r="J85" s="47" t="str">
        <f ca="1">(IF(C91=(D86+F86+H86),"",IF(C91&gt;0,", RCC upto "&amp;C91&amp;" Slab","")))&amp;(IF(C92=H86,"",IF(C92&gt;0,", Brickwork upto "&amp;C92&amp;" Floor","")))&amp;(IF(C93=H86,"",IF(C93&gt;0,", Internal Plaster upto "&amp;C93&amp;" Floor","")))&amp;(IF(C94=H86,"",IF(C94&gt;0,", External Plaster upto "&amp;C94&amp;" Floor","")))&amp;(IF(C95=H86,"",IF(C95&gt;0,", Flooring upto "&amp;C95&amp;" Floor","")))&amp;(IF(C96=H86,"",IF(C96&gt;0,", Painting upto "&amp;C96&amp;" Floor","")))&amp;(IF(C97=H86,"",IF(C97&gt;0,", Finishing upto "&amp;C97&amp;" Floor","")))&amp;(IF(C98=H86,"",IF(C98&gt;0,", Possession upto "&amp;C98&amp;" Floor","")))</f>
        <v/>
      </c>
      <c r="L85" s="33" t="s">
        <v>405</v>
      </c>
      <c r="M85" s="33" t="s">
        <v>406</v>
      </c>
      <c r="S85"/>
    </row>
    <row r="86" spans="1:19" hidden="1" x14ac:dyDescent="0.35">
      <c r="A86" s="16" t="s">
        <v>139</v>
      </c>
      <c r="B86" s="50">
        <f>IF(AND(ISNUMBER(SEARCH("1B",C85))),1,IF(AND(ISNUMBER(SEARCH("2B",C85))),2,IF(AND(ISNUMBER(SEARCH("3B",C85))),3,IF(AND(ISNUMBER(SEARCH("4B",C85))),4,IF(ISNUMBER(SEARCH("5B",C85)),5,0)))))</f>
        <v>1</v>
      </c>
      <c r="C86" s="50" t="s">
        <v>69</v>
      </c>
      <c r="D86" s="50">
        <v>1</v>
      </c>
      <c r="E86" s="50" t="s">
        <v>68</v>
      </c>
      <c r="F86" s="14">
        <v>0</v>
      </c>
      <c r="G86" s="45" t="s">
        <v>77</v>
      </c>
      <c r="H86" s="17">
        <f ca="1">--TRIM(RIGHT(SUBSTITUTE(LEFT(C85,_xlfn.AGGREGATE(16,6,FIND({0,1,2,3,4,5,6,7,8,9},C85,ROW(INDIRECT("1:"&amp;LEN(C85)))),1))," ",REPT(" ",LEN(C85))),LEN(C85)))</f>
        <v>19</v>
      </c>
      <c r="I86" s="48" t="str">
        <f ca="1">IF(D89=100%,"Excavation","")&amp;IF(D90=100%,", Plinth","")&amp;IF(D91=100%,", RCC Slab","")&amp;IF(D92=100%,", Brickwork","")&amp;IF(D93=100%,", Internal Plaster","")&amp;IF(D94=100%,", External Plaster","")&amp;IF(D95=100%,", Flooring","")&amp;IF(D96=100%,", Painting","")&amp;IF(D97=100%,", Building common Amenities","")</f>
        <v>Excavation, Plinth</v>
      </c>
      <c r="J86" s="49" t="str">
        <f ca="1">(IF(C89=0,"Work not yet Started.",IF(D89=25%,"Piling work in process",IF(D89=50%,"Excavation work in process",IF(D89=100%,"","0")))))&amp;(IF(C90=0%,"",IF(C90=J91,", Footing work is process",IF(C90=J92,", Footing work Completed",IF(C90=J93,", 1st Basement Completed",IF(C90=J94,", 1st &amp; 2nd Basement Completed",IF(C90=J95,", 1st to 3rd Basement Completed",IF(C90=J96,", 1st to 4th Basement Completed",IF(C90=J97,", Plinth work is process",IF(C90=J98,"","0"))))))))))</f>
        <v/>
      </c>
      <c r="S86"/>
    </row>
    <row r="87" spans="1:19" ht="36.75" hidden="1" customHeight="1" x14ac:dyDescent="0.35">
      <c r="A87" s="151" t="s">
        <v>87</v>
      </c>
      <c r="B87" s="152"/>
      <c r="C87" s="221" t="str">
        <f ca="1">I85</f>
        <v xml:space="preserve">Excavation, Plinth Completed </v>
      </c>
      <c r="D87" s="221"/>
      <c r="E87" s="221"/>
      <c r="F87" s="221"/>
      <c r="G87" s="221"/>
      <c r="H87" s="222"/>
      <c r="I87" s="48" t="str">
        <f ca="1">IF(I86&lt;&gt;""," Completed","")</f>
        <v xml:space="preserve"> Completed</v>
      </c>
      <c r="J87" s="49" t="str">
        <f ca="1">IF(J85&lt;&gt;"","Completed","")</f>
        <v/>
      </c>
      <c r="S87"/>
    </row>
    <row r="88" spans="1:19" ht="15.75" hidden="1" customHeight="1" x14ac:dyDescent="0.35">
      <c r="A88" s="126" t="s">
        <v>47</v>
      </c>
      <c r="B88" s="127"/>
      <c r="C88" s="81" t="s">
        <v>136</v>
      </c>
      <c r="D88" s="81" t="s">
        <v>80</v>
      </c>
      <c r="E88" s="127" t="s">
        <v>82</v>
      </c>
      <c r="F88" s="127"/>
      <c r="G88" s="127" t="s">
        <v>81</v>
      </c>
      <c r="H88" s="148"/>
      <c r="I88" s="13" t="s">
        <v>138</v>
      </c>
      <c r="J88" s="28">
        <f ca="1">H86*25%</f>
        <v>4.75</v>
      </c>
      <c r="S88"/>
    </row>
    <row r="89" spans="1:19" hidden="1" x14ac:dyDescent="0.35">
      <c r="A89" s="126" t="s">
        <v>125</v>
      </c>
      <c r="B89" s="127"/>
      <c r="C89" s="61">
        <f ca="1">J90</f>
        <v>19</v>
      </c>
      <c r="D89" s="19">
        <f ca="1">((100/H86)*C89)/100</f>
        <v>1</v>
      </c>
      <c r="E89" s="223">
        <f ca="1">(((C90/H86*10)+(40/(D86+F86+H86)*C91)+(7.5/(H86)*C92)+(7.5/(H86)*C93)+(10/H86*C94)+(10/H86*C95)+(5/H86*C96)+(5/H86*C97)+(5/H86*C98))/100)</f>
        <v>0.1</v>
      </c>
      <c r="F89" s="241"/>
      <c r="G89" s="223">
        <f ca="1">((((C89/H86)*20)+((C90/H86)*25)+(30/(H86+F86+D86)*C91)+(5/H86*C92)+(5/H86*C93)+(5/H86*C94)+(5/H86*C95)+(0/H86*C96)+(0/H86*C97)+(5/H86*C98))/100)</f>
        <v>0.45</v>
      </c>
      <c r="H89" s="224"/>
      <c r="I89" s="13" t="s">
        <v>98</v>
      </c>
      <c r="J89" s="29">
        <f ca="1">H86*50%</f>
        <v>9.5</v>
      </c>
    </row>
    <row r="90" spans="1:19" hidden="1" x14ac:dyDescent="0.35">
      <c r="A90" s="126" t="s">
        <v>48</v>
      </c>
      <c r="B90" s="127"/>
      <c r="C90" s="81">
        <f ca="1">J98</f>
        <v>19</v>
      </c>
      <c r="D90" s="19">
        <f ca="1">((100/H86)*C90)/100</f>
        <v>1</v>
      </c>
      <c r="E90" s="225"/>
      <c r="F90" s="242"/>
      <c r="G90" s="225"/>
      <c r="H90" s="226"/>
      <c r="I90" s="13" t="s">
        <v>99</v>
      </c>
      <c r="J90" s="29">
        <f ca="1">H86</f>
        <v>19</v>
      </c>
      <c r="S90"/>
    </row>
    <row r="91" spans="1:19" ht="15.75" hidden="1" customHeight="1" x14ac:dyDescent="0.35">
      <c r="A91" s="126" t="s">
        <v>126</v>
      </c>
      <c r="B91" s="127"/>
      <c r="C91" s="81">
        <v>0</v>
      </c>
      <c r="D91" s="19">
        <f ca="1">((100/(D86+F86+H86))*C91)/100</f>
        <v>0</v>
      </c>
      <c r="E91" s="225"/>
      <c r="F91" s="242"/>
      <c r="G91" s="225"/>
      <c r="H91" s="226"/>
      <c r="I91" s="13" t="s">
        <v>100</v>
      </c>
      <c r="J91" s="30">
        <f ca="1">(IF(B86&gt;1,(H86/(B86+2)),H86/4))</f>
        <v>4.75</v>
      </c>
      <c r="S91"/>
    </row>
    <row r="92" spans="1:19" ht="15.75" hidden="1" customHeight="1" x14ac:dyDescent="0.35">
      <c r="A92" s="126" t="s">
        <v>133</v>
      </c>
      <c r="B92" s="127" t="s">
        <v>127</v>
      </c>
      <c r="C92" s="81">
        <v>0</v>
      </c>
      <c r="D92" s="19">
        <f ca="1">((100/H86)*C92)/100</f>
        <v>0</v>
      </c>
      <c r="E92" s="225"/>
      <c r="F92" s="242"/>
      <c r="G92" s="225"/>
      <c r="H92" s="226"/>
      <c r="I92" s="13" t="s">
        <v>101</v>
      </c>
      <c r="J92" s="30">
        <f ca="1">(IF(B86&gt;1,(H86/(B86+2)+J91),H86/4+J91))</f>
        <v>9.5</v>
      </c>
    </row>
    <row r="93" spans="1:19" ht="15.75" hidden="1" customHeight="1" x14ac:dyDescent="0.35">
      <c r="A93" s="126" t="s">
        <v>134</v>
      </c>
      <c r="B93" s="127" t="s">
        <v>127</v>
      </c>
      <c r="C93" s="81">
        <v>0</v>
      </c>
      <c r="D93" s="19">
        <f ca="1">((100/H86)*C93)/100</f>
        <v>0</v>
      </c>
      <c r="E93" s="225"/>
      <c r="F93" s="242"/>
      <c r="G93" s="225"/>
      <c r="H93" s="226"/>
      <c r="I93" s="13" t="s">
        <v>145</v>
      </c>
      <c r="J93" s="30">
        <f>(IF(B86&gt;1,(H86/(B86+2)+J92),0))</f>
        <v>0</v>
      </c>
    </row>
    <row r="94" spans="1:19" ht="15" hidden="1" customHeight="1" x14ac:dyDescent="0.35">
      <c r="A94" s="126" t="s">
        <v>132</v>
      </c>
      <c r="B94" s="127" t="s">
        <v>129</v>
      </c>
      <c r="C94" s="81">
        <v>0</v>
      </c>
      <c r="D94" s="19">
        <f ca="1">((100/(H86))*C94)/100</f>
        <v>0</v>
      </c>
      <c r="E94" s="225"/>
      <c r="F94" s="242"/>
      <c r="G94" s="225"/>
      <c r="H94" s="226"/>
      <c r="I94" s="13" t="s">
        <v>140</v>
      </c>
      <c r="J94" s="30">
        <f>(IF(B86&gt;2,(H86/(B86+2)+J93),0))</f>
        <v>0</v>
      </c>
    </row>
    <row r="95" spans="1:19" ht="15.75" hidden="1" customHeight="1" x14ac:dyDescent="0.35">
      <c r="A95" s="126" t="s">
        <v>128</v>
      </c>
      <c r="B95" s="127" t="s">
        <v>128</v>
      </c>
      <c r="C95" s="81">
        <v>0</v>
      </c>
      <c r="D95" s="19">
        <f ca="1">((100/H86)*C95)/100</f>
        <v>0</v>
      </c>
      <c r="E95" s="225"/>
      <c r="F95" s="242"/>
      <c r="G95" s="225"/>
      <c r="H95" s="226"/>
      <c r="I95" s="13" t="s">
        <v>141</v>
      </c>
      <c r="J95" s="31">
        <f>(IF(B86&gt;3,(H86/(B86+2)+J94),0))</f>
        <v>0</v>
      </c>
    </row>
    <row r="96" spans="1:19" ht="15.75" hidden="1" customHeight="1" x14ac:dyDescent="0.35">
      <c r="A96" s="126" t="s">
        <v>135</v>
      </c>
      <c r="B96" s="127"/>
      <c r="C96" s="81">
        <v>0</v>
      </c>
      <c r="D96" s="19">
        <f ca="1">((100/H86)*C96)/100</f>
        <v>0</v>
      </c>
      <c r="E96" s="225"/>
      <c r="F96" s="242"/>
      <c r="G96" s="225"/>
      <c r="H96" s="226"/>
      <c r="I96" s="13" t="s">
        <v>142</v>
      </c>
      <c r="J96" s="30">
        <f>(IF(B86&gt;4,(H86/(B86+2)+J95),0))</f>
        <v>0</v>
      </c>
    </row>
    <row r="97" spans="1:19" ht="15.75" hidden="1" customHeight="1" x14ac:dyDescent="0.35">
      <c r="A97" s="126" t="s">
        <v>130</v>
      </c>
      <c r="B97" s="127" t="s">
        <v>130</v>
      </c>
      <c r="C97" s="81">
        <v>0</v>
      </c>
      <c r="D97" s="19">
        <f ca="1">((100/(H86))*C97)/100</f>
        <v>0</v>
      </c>
      <c r="E97" s="225"/>
      <c r="F97" s="242"/>
      <c r="G97" s="225"/>
      <c r="H97" s="226"/>
      <c r="I97" s="13" t="s">
        <v>146</v>
      </c>
      <c r="J97" s="30">
        <f ca="1">(IF(B86=1,(H86/(B86+3)+J92),IF(B86=0,(H86/4+J92),IF(B86&gt;1,0))))</f>
        <v>14.25</v>
      </c>
    </row>
    <row r="98" spans="1:19" ht="16" hidden="1" thickBot="1" x14ac:dyDescent="0.4">
      <c r="A98" s="149" t="s">
        <v>131</v>
      </c>
      <c r="B98" s="150"/>
      <c r="C98" s="80">
        <v>0</v>
      </c>
      <c r="D98" s="20">
        <f ca="1">((100/(H86))*C98)/100</f>
        <v>0</v>
      </c>
      <c r="E98" s="227"/>
      <c r="F98" s="243"/>
      <c r="G98" s="227"/>
      <c r="H98" s="228"/>
      <c r="I98" s="15" t="s">
        <v>102</v>
      </c>
      <c r="J98" s="32">
        <f ca="1">(IF(B86&gt;1.5,(H86/(B86+2)+J92+MAX(0,J93-J92)+MAX(0,J94-J93)+MAX(0,J95-J94)+MAX(0,J96-J95)+MAX(0,J97-J96)),IF(B86=1,(H86/(B86+3)+J97),IF(B86=0,H86/4+J97))))</f>
        <v>19</v>
      </c>
    </row>
    <row r="99" spans="1:19" ht="15.75" hidden="1" customHeight="1" x14ac:dyDescent="0.35">
      <c r="A99" s="128" t="s">
        <v>137</v>
      </c>
      <c r="B99" s="129"/>
      <c r="C99" s="130" t="str">
        <f>D63</f>
        <v>C Wing = 1B + G + 1st to 20th Floor</v>
      </c>
      <c r="D99" s="131"/>
      <c r="E99" s="131"/>
      <c r="F99" s="131"/>
      <c r="G99" s="131"/>
      <c r="H99" s="132"/>
      <c r="I99" s="46" t="str">
        <f ca="1">IF(D112=100%,"All work Completed. Possession granted to the Building.",IF(D111=100%,"All work Completed, Waiting for OC",I100&amp;""&amp;I101&amp;""&amp;J100&amp;""&amp;J99&amp;" "&amp;J101))</f>
        <v xml:space="preserve">Excavation, Plinth Completed </v>
      </c>
      <c r="J99" s="47" t="str">
        <f ca="1">(IF(C105=(D100+F100+H100),"",IF(C105&gt;0,", RCC upto "&amp;C105&amp;" Slab","")))&amp;(IF(C106=H100,"",IF(C106&gt;0,", Brickwork upto "&amp;C106&amp;" Floor","")))&amp;(IF(C107=H100,"",IF(C107&gt;0,", Internal Plaster upto "&amp;C107&amp;" Floor","")))&amp;(IF(C108=H100,"",IF(C108&gt;0,", External Plaster upto "&amp;C108&amp;" Floor","")))&amp;(IF(C109=H100,"",IF(C109&gt;0,", Flooring upto "&amp;C109&amp;" Floor","")))&amp;(IF(C110=H100,"",IF(C110&gt;0,", Painting upto "&amp;C110&amp;" Floor","")))&amp;(IF(C111=H100,"",IF(C111&gt;0,", Finishing upto "&amp;C111&amp;" Floor","")))&amp;(IF(C112=H100,"",IF(C112&gt;0,", Possession upto "&amp;C112&amp;" Floor","")))</f>
        <v/>
      </c>
      <c r="S99"/>
    </row>
    <row r="100" spans="1:19" hidden="1" x14ac:dyDescent="0.35">
      <c r="A100" s="16" t="s">
        <v>139</v>
      </c>
      <c r="B100" s="50">
        <f>IF(AND(ISNUMBER(SEARCH("1B",C99))),1,IF(AND(ISNUMBER(SEARCH("2B",C99))),2,IF(AND(ISNUMBER(SEARCH("3B",C99))),3,IF(AND(ISNUMBER(SEARCH("4B",C99))),4,IF(ISNUMBER(SEARCH("5B",C99)),5,0)))))</f>
        <v>1</v>
      </c>
      <c r="C100" s="50" t="s">
        <v>69</v>
      </c>
      <c r="D100" s="50">
        <v>1</v>
      </c>
      <c r="E100" s="50" t="s">
        <v>68</v>
      </c>
      <c r="F100" s="14">
        <v>0</v>
      </c>
      <c r="G100" s="45" t="s">
        <v>77</v>
      </c>
      <c r="H100" s="17">
        <f ca="1">--TRIM(RIGHT(SUBSTITUTE(LEFT(C99,_xlfn.AGGREGATE(16,6,FIND({0,1,2,3,4,5,6,7,8,9},C99,ROW(INDIRECT("1:"&amp;LEN(C99)))),1))," ",REPT(" ",LEN(C99))),LEN(C99)))</f>
        <v>20</v>
      </c>
      <c r="I100" s="48" t="str">
        <f ca="1">IF(D103=100%,"Excavation","")&amp;IF(D104=100%,", Plinth","")&amp;IF(D105=100%,", RCC Slab","")&amp;IF(D106=100%,", Brickwork","")&amp;IF(D107=100%,", Internal Plaster","")&amp;IF(D108=100%,", External Plaster","")&amp;IF(D109=100%,", Flooring","")&amp;IF(D110=100%,", Painting","")&amp;IF(D111=100%,", Building common Amenities","")</f>
        <v>Excavation, Plinth</v>
      </c>
      <c r="J100" s="49" t="str">
        <f ca="1">(IF(C103=0,"Work not yet Started.",IF(D103=25%,"Piling work in process",IF(D103=50%,"Excavation work in process",IF(D103=100%,"","0")))))&amp;(IF(C104=0%,"",IF(C104=J105,", Footing work is process",IF(C104=J106,", Footing work Completed",IF(C104=J107,", 1st Basement Completed",IF(C104=J108,", 1st &amp; 2nd Basement Completed",IF(C104=J109,", 1st to 3rd Basement Completed",IF(C104=J110,", 1st to 4th Basement Completed",IF(C104=J111,", Plinth work is process",IF(C104=J112,"","0"))))))))))</f>
        <v/>
      </c>
      <c r="S100"/>
    </row>
    <row r="101" spans="1:19" ht="36.75" hidden="1" customHeight="1" x14ac:dyDescent="0.35">
      <c r="A101" s="151" t="s">
        <v>87</v>
      </c>
      <c r="B101" s="152"/>
      <c r="C101" s="221" t="str">
        <f ca="1">I99</f>
        <v xml:space="preserve">Excavation, Plinth Completed </v>
      </c>
      <c r="D101" s="221"/>
      <c r="E101" s="221"/>
      <c r="F101" s="221"/>
      <c r="G101" s="221"/>
      <c r="H101" s="222"/>
      <c r="I101" s="48" t="str">
        <f ca="1">IF(I100&lt;&gt;""," Completed","")</f>
        <v xml:space="preserve"> Completed</v>
      </c>
      <c r="J101" s="49" t="str">
        <f ca="1">IF(J99&lt;&gt;"","Completed","")</f>
        <v/>
      </c>
      <c r="S101"/>
    </row>
    <row r="102" spans="1:19" ht="15.75" hidden="1" customHeight="1" x14ac:dyDescent="0.35">
      <c r="A102" s="126" t="s">
        <v>47</v>
      </c>
      <c r="B102" s="127"/>
      <c r="C102" s="81" t="s">
        <v>136</v>
      </c>
      <c r="D102" s="81" t="s">
        <v>80</v>
      </c>
      <c r="E102" s="127" t="s">
        <v>82</v>
      </c>
      <c r="F102" s="127"/>
      <c r="G102" s="127" t="s">
        <v>81</v>
      </c>
      <c r="H102" s="148"/>
      <c r="I102" s="13" t="s">
        <v>138</v>
      </c>
      <c r="J102" s="28">
        <f ca="1">H100*25%</f>
        <v>5</v>
      </c>
      <c r="S102"/>
    </row>
    <row r="103" spans="1:19" hidden="1" x14ac:dyDescent="0.35">
      <c r="A103" s="126" t="s">
        <v>125</v>
      </c>
      <c r="B103" s="127"/>
      <c r="C103" s="61">
        <f ca="1">J104</f>
        <v>20</v>
      </c>
      <c r="D103" s="19">
        <f ca="1">((100/H100)*C103)/100</f>
        <v>1</v>
      </c>
      <c r="E103" s="223">
        <f ca="1">(((C104/H100*10)+(40/(D100+F100+H100)*C105)+(7.5/(H100)*C106)+(7.5/(H100)*C107)+(10/H100*C108)+(10/H100*C109)+(5/H100*C110)+(5/H100*C111)+(5/H100*C112))/100)</f>
        <v>0.1</v>
      </c>
      <c r="F103" s="241"/>
      <c r="G103" s="223">
        <f ca="1">((((C103/H100)*20)+((C104/H100)*25)+(30/(H100+F100+D100)*C105)+(5/H100*C106)+(5/H100*C107)+(5/H100*C108)+(5/H100*C109)+(0/H100*C110)+(0/H100*C111)+(5/H100*C112))/100)</f>
        <v>0.45</v>
      </c>
      <c r="H103" s="224"/>
      <c r="I103" s="13" t="s">
        <v>98</v>
      </c>
      <c r="J103" s="29">
        <f ca="1">H100*50%</f>
        <v>10</v>
      </c>
    </row>
    <row r="104" spans="1:19" hidden="1" x14ac:dyDescent="0.35">
      <c r="A104" s="126" t="s">
        <v>48</v>
      </c>
      <c r="B104" s="127"/>
      <c r="C104" s="81">
        <f ca="1">J112</f>
        <v>20</v>
      </c>
      <c r="D104" s="19">
        <f ca="1">((100/H100)*C104)/100</f>
        <v>1</v>
      </c>
      <c r="E104" s="225"/>
      <c r="F104" s="242"/>
      <c r="G104" s="225"/>
      <c r="H104" s="226"/>
      <c r="I104" s="13" t="s">
        <v>99</v>
      </c>
      <c r="J104" s="29">
        <f ca="1">H100</f>
        <v>20</v>
      </c>
      <c r="S104"/>
    </row>
    <row r="105" spans="1:19" ht="15.75" hidden="1" customHeight="1" x14ac:dyDescent="0.35">
      <c r="A105" s="126" t="s">
        <v>126</v>
      </c>
      <c r="B105" s="127"/>
      <c r="C105" s="81">
        <v>0</v>
      </c>
      <c r="D105" s="19">
        <f ca="1">((100/(D100+F100+H100))*C105)/100</f>
        <v>0</v>
      </c>
      <c r="E105" s="225"/>
      <c r="F105" s="242"/>
      <c r="G105" s="225"/>
      <c r="H105" s="226"/>
      <c r="I105" s="13" t="s">
        <v>100</v>
      </c>
      <c r="J105" s="30">
        <f ca="1">(IF(B100&gt;1,(H100/(B100+2)),H100/4))</f>
        <v>5</v>
      </c>
      <c r="S105"/>
    </row>
    <row r="106" spans="1:19" ht="15.75" hidden="1" customHeight="1" x14ac:dyDescent="0.35">
      <c r="A106" s="126" t="s">
        <v>133</v>
      </c>
      <c r="B106" s="127" t="s">
        <v>127</v>
      </c>
      <c r="C106" s="81">
        <v>0</v>
      </c>
      <c r="D106" s="19">
        <f ca="1">((100/H100)*C106)/100</f>
        <v>0</v>
      </c>
      <c r="E106" s="225"/>
      <c r="F106" s="242"/>
      <c r="G106" s="225"/>
      <c r="H106" s="226"/>
      <c r="I106" s="13" t="s">
        <v>101</v>
      </c>
      <c r="J106" s="30">
        <f ca="1">(IF(B100&gt;1,(H100/(B100+2)+J105),H100/4+J105))</f>
        <v>10</v>
      </c>
    </row>
    <row r="107" spans="1:19" ht="15.75" hidden="1" customHeight="1" x14ac:dyDescent="0.35">
      <c r="A107" s="126" t="s">
        <v>134</v>
      </c>
      <c r="B107" s="127" t="s">
        <v>127</v>
      </c>
      <c r="C107" s="81">
        <v>0</v>
      </c>
      <c r="D107" s="19">
        <f ca="1">((100/H100)*C107)/100</f>
        <v>0</v>
      </c>
      <c r="E107" s="225"/>
      <c r="F107" s="242"/>
      <c r="G107" s="225"/>
      <c r="H107" s="226"/>
      <c r="I107" s="13" t="s">
        <v>145</v>
      </c>
      <c r="J107" s="30">
        <f>(IF(B100&gt;1,(H100/(B100+2)+J106),0))</f>
        <v>0</v>
      </c>
    </row>
    <row r="108" spans="1:19" ht="15" hidden="1" customHeight="1" x14ac:dyDescent="0.35">
      <c r="A108" s="126" t="s">
        <v>132</v>
      </c>
      <c r="B108" s="127" t="s">
        <v>129</v>
      </c>
      <c r="C108" s="81">
        <v>0</v>
      </c>
      <c r="D108" s="19">
        <f ca="1">((100/(H100))*C108)/100</f>
        <v>0</v>
      </c>
      <c r="E108" s="225"/>
      <c r="F108" s="242"/>
      <c r="G108" s="225"/>
      <c r="H108" s="226"/>
      <c r="I108" s="13" t="s">
        <v>140</v>
      </c>
      <c r="J108" s="30">
        <f>(IF(B100&gt;2,(H100/(B100+2)+J107),0))</f>
        <v>0</v>
      </c>
    </row>
    <row r="109" spans="1:19" ht="15.75" hidden="1" customHeight="1" x14ac:dyDescent="0.35">
      <c r="A109" s="126" t="s">
        <v>128</v>
      </c>
      <c r="B109" s="127" t="s">
        <v>128</v>
      </c>
      <c r="C109" s="81">
        <v>0</v>
      </c>
      <c r="D109" s="19">
        <f ca="1">((100/H100)*C109)/100</f>
        <v>0</v>
      </c>
      <c r="E109" s="225"/>
      <c r="F109" s="242"/>
      <c r="G109" s="225"/>
      <c r="H109" s="226"/>
      <c r="I109" s="13" t="s">
        <v>141</v>
      </c>
      <c r="J109" s="31">
        <f>(IF(B100&gt;3,(H100/(B100+2)+J108),0))</f>
        <v>0</v>
      </c>
    </row>
    <row r="110" spans="1:19" ht="15.75" hidden="1" customHeight="1" x14ac:dyDescent="0.35">
      <c r="A110" s="126" t="s">
        <v>135</v>
      </c>
      <c r="B110" s="127"/>
      <c r="C110" s="81">
        <v>0</v>
      </c>
      <c r="D110" s="19">
        <f ca="1">((100/H100)*C110)/100</f>
        <v>0</v>
      </c>
      <c r="E110" s="225"/>
      <c r="F110" s="242"/>
      <c r="G110" s="225"/>
      <c r="H110" s="226"/>
      <c r="I110" s="13" t="s">
        <v>142</v>
      </c>
      <c r="J110" s="30">
        <f>(IF(B100&gt;4,(H100/(B100+2)+J109),0))</f>
        <v>0</v>
      </c>
    </row>
    <row r="111" spans="1:19" ht="15.75" hidden="1" customHeight="1" x14ac:dyDescent="0.35">
      <c r="A111" s="126" t="s">
        <v>130</v>
      </c>
      <c r="B111" s="127" t="s">
        <v>130</v>
      </c>
      <c r="C111" s="81">
        <v>0</v>
      </c>
      <c r="D111" s="19">
        <f ca="1">((100/(H100))*C111)/100</f>
        <v>0</v>
      </c>
      <c r="E111" s="225"/>
      <c r="F111" s="242"/>
      <c r="G111" s="225"/>
      <c r="H111" s="226"/>
      <c r="I111" s="13" t="s">
        <v>146</v>
      </c>
      <c r="J111" s="30">
        <f ca="1">(IF(B100=1,(H100/(B100+3)+J106),IF(B100=0,(H100/4+J106),IF(B100&gt;1,0))))</f>
        <v>15</v>
      </c>
    </row>
    <row r="112" spans="1:19" ht="16" hidden="1" thickBot="1" x14ac:dyDescent="0.4">
      <c r="A112" s="149" t="s">
        <v>131</v>
      </c>
      <c r="B112" s="150"/>
      <c r="C112" s="80">
        <v>0</v>
      </c>
      <c r="D112" s="20">
        <f ca="1">((100/(H100))*C112)/100</f>
        <v>0</v>
      </c>
      <c r="E112" s="227"/>
      <c r="F112" s="243"/>
      <c r="G112" s="227"/>
      <c r="H112" s="228"/>
      <c r="I112" s="15" t="s">
        <v>102</v>
      </c>
      <c r="J112" s="32">
        <f ca="1">(IF(B100&gt;1.5,(H100/(B100+2)+J106+MAX(0,J107-J106)+MAX(0,J108-J107)+MAX(0,J109-J108)+MAX(0,J110-J109)+MAX(0,J111-J110)),IF(B100=1,(H100/(B100+3)+J111),IF(B100=0,H100/4+J111))))</f>
        <v>20</v>
      </c>
    </row>
    <row r="113" spans="1:22" x14ac:dyDescent="0.35">
      <c r="A113" s="139" t="s">
        <v>156</v>
      </c>
      <c r="B113" s="139"/>
      <c r="C113" s="139"/>
      <c r="D113" s="139"/>
      <c r="E113" s="139"/>
      <c r="F113" s="180" t="s">
        <v>160</v>
      </c>
      <c r="G113" s="180"/>
      <c r="H113" s="180"/>
      <c r="R113" t="s">
        <v>254</v>
      </c>
      <c r="S113" t="s">
        <v>173</v>
      </c>
      <c r="T113" t="s">
        <v>181</v>
      </c>
      <c r="U113" t="s">
        <v>195</v>
      </c>
      <c r="V113" t="s">
        <v>190</v>
      </c>
    </row>
    <row r="114" spans="1:22" x14ac:dyDescent="0.35">
      <c r="A114" s="133" t="s">
        <v>158</v>
      </c>
      <c r="B114" s="133"/>
      <c r="C114" s="133"/>
      <c r="D114" s="133"/>
      <c r="E114" s="133"/>
      <c r="F114" s="140">
        <v>5550</v>
      </c>
      <c r="G114" s="140"/>
      <c r="H114" s="140"/>
      <c r="J114" s="21" t="s">
        <v>414</v>
      </c>
      <c r="R114"/>
      <c r="S114">
        <v>800000</v>
      </c>
      <c r="T114">
        <v>150000</v>
      </c>
      <c r="U114">
        <v>100000</v>
      </c>
      <c r="V114">
        <v>100000</v>
      </c>
    </row>
    <row r="115" spans="1:22" x14ac:dyDescent="0.35">
      <c r="A115" s="133" t="s">
        <v>157</v>
      </c>
      <c r="B115" s="133"/>
      <c r="C115" s="133"/>
      <c r="D115" s="133"/>
      <c r="E115" s="133"/>
      <c r="F115" s="140">
        <v>10000</v>
      </c>
      <c r="G115" s="140"/>
      <c r="H115" s="140"/>
      <c r="R115"/>
      <c r="S115">
        <v>900000</v>
      </c>
      <c r="T115">
        <v>200000</v>
      </c>
      <c r="U115">
        <v>150000</v>
      </c>
      <c r="V115">
        <v>150000</v>
      </c>
    </row>
    <row r="116" spans="1:22" x14ac:dyDescent="0.35">
      <c r="A116" s="133" t="s">
        <v>159</v>
      </c>
      <c r="B116" s="133"/>
      <c r="C116" s="133"/>
      <c r="D116" s="133"/>
      <c r="E116" s="133"/>
      <c r="F116" s="140">
        <v>6000</v>
      </c>
      <c r="G116" s="140"/>
      <c r="H116" s="140"/>
      <c r="R116"/>
      <c r="S116">
        <v>1000000</v>
      </c>
      <c r="T116">
        <v>250000</v>
      </c>
      <c r="U116">
        <v>200000</v>
      </c>
      <c r="V116">
        <v>200000</v>
      </c>
    </row>
    <row r="117" spans="1:22" s="33" customFormat="1" hidden="1" x14ac:dyDescent="0.35">
      <c r="A117" s="133" t="s">
        <v>176</v>
      </c>
      <c r="B117" s="133"/>
      <c r="C117" s="133"/>
      <c r="D117" s="133"/>
      <c r="E117" s="133"/>
      <c r="F117" s="140"/>
      <c r="G117" s="140"/>
      <c r="H117" s="140"/>
      <c r="R117"/>
      <c r="S117">
        <v>1100000</v>
      </c>
      <c r="T117">
        <v>300000</v>
      </c>
      <c r="U117">
        <v>250000</v>
      </c>
      <c r="V117" s="23">
        <v>250000</v>
      </c>
    </row>
    <row r="118" spans="1:22" s="33" customFormat="1" hidden="1" x14ac:dyDescent="0.35">
      <c r="A118" s="133" t="s">
        <v>92</v>
      </c>
      <c r="B118" s="133"/>
      <c r="C118" s="133"/>
      <c r="D118" s="133"/>
      <c r="E118" s="133"/>
      <c r="F118" s="140"/>
      <c r="G118" s="140"/>
      <c r="H118" s="140"/>
      <c r="R118"/>
      <c r="S118">
        <v>1200000</v>
      </c>
      <c r="T118">
        <v>350000</v>
      </c>
      <c r="U118">
        <v>300000</v>
      </c>
      <c r="V118">
        <v>300000</v>
      </c>
    </row>
    <row r="119" spans="1:22" s="33" customFormat="1" hidden="1" x14ac:dyDescent="0.35">
      <c r="A119" s="133" t="s">
        <v>93</v>
      </c>
      <c r="B119" s="133"/>
      <c r="C119" s="133"/>
      <c r="D119" s="133"/>
      <c r="E119" s="133"/>
      <c r="F119" s="140"/>
      <c r="G119" s="140"/>
      <c r="H119" s="140"/>
      <c r="R119"/>
      <c r="S119">
        <v>1300000</v>
      </c>
      <c r="T119">
        <v>400000</v>
      </c>
      <c r="U119">
        <v>350000</v>
      </c>
      <c r="V119" s="23">
        <v>400000</v>
      </c>
    </row>
    <row r="120" spans="1:22" s="33" customFormat="1" hidden="1" x14ac:dyDescent="0.35">
      <c r="A120" s="133" t="s">
        <v>94</v>
      </c>
      <c r="B120" s="133"/>
      <c r="C120" s="133"/>
      <c r="D120" s="133"/>
      <c r="E120" s="133"/>
      <c r="F120" s="140"/>
      <c r="G120" s="140"/>
      <c r="H120" s="140"/>
      <c r="R120"/>
      <c r="S120">
        <v>1400000</v>
      </c>
      <c r="T120">
        <v>500000</v>
      </c>
      <c r="U120">
        <v>400000</v>
      </c>
      <c r="V120"/>
    </row>
    <row r="121" spans="1:22" s="33" customFormat="1" hidden="1" x14ac:dyDescent="0.35">
      <c r="A121" s="133" t="s">
        <v>95</v>
      </c>
      <c r="B121" s="133"/>
      <c r="C121" s="133"/>
      <c r="D121" s="133"/>
      <c r="E121" s="133"/>
      <c r="F121" s="140"/>
      <c r="G121" s="140"/>
      <c r="H121" s="140"/>
      <c r="R121"/>
      <c r="S121">
        <v>1500000</v>
      </c>
      <c r="T121">
        <v>600000</v>
      </c>
      <c r="U121">
        <v>500000</v>
      </c>
      <c r="V121" s="23"/>
    </row>
    <row r="122" spans="1:22" s="33" customFormat="1" hidden="1" x14ac:dyDescent="0.35">
      <c r="A122" s="133" t="s">
        <v>96</v>
      </c>
      <c r="B122" s="133"/>
      <c r="C122" s="133"/>
      <c r="D122" s="133"/>
      <c r="E122" s="133"/>
      <c r="F122" s="140"/>
      <c r="G122" s="140"/>
      <c r="H122" s="140"/>
      <c r="R122"/>
      <c r="S122">
        <v>1600000</v>
      </c>
      <c r="T122">
        <v>700000</v>
      </c>
      <c r="U122">
        <v>600000</v>
      </c>
      <c r="V122"/>
    </row>
    <row r="123" spans="1:22" s="33" customFormat="1" hidden="1" x14ac:dyDescent="0.35">
      <c r="A123" s="133" t="s">
        <v>97</v>
      </c>
      <c r="B123" s="133"/>
      <c r="C123" s="133"/>
      <c r="D123" s="133"/>
      <c r="E123" s="133"/>
      <c r="F123" s="140"/>
      <c r="G123" s="140"/>
      <c r="H123" s="140"/>
      <c r="R123"/>
      <c r="S123">
        <v>1700000</v>
      </c>
      <c r="T123">
        <v>800000</v>
      </c>
      <c r="U123"/>
      <c r="V123" s="23"/>
    </row>
    <row r="124" spans="1:22" x14ac:dyDescent="0.35">
      <c r="A124" s="133" t="s">
        <v>49</v>
      </c>
      <c r="B124" s="133"/>
      <c r="C124" s="133"/>
      <c r="D124" s="133"/>
      <c r="E124" s="133"/>
      <c r="F124" s="140">
        <v>300000</v>
      </c>
      <c r="G124" s="140"/>
      <c r="H124" s="140"/>
      <c r="J124" s="21" t="s">
        <v>401</v>
      </c>
      <c r="K124" s="21" t="s">
        <v>403</v>
      </c>
      <c r="R124"/>
      <c r="S124">
        <v>1800000</v>
      </c>
      <c r="T124">
        <v>900000</v>
      </c>
      <c r="U124"/>
    </row>
    <row r="125" spans="1:22" s="34" customFormat="1" x14ac:dyDescent="0.35">
      <c r="A125" s="194" t="s">
        <v>50</v>
      </c>
      <c r="B125" s="194"/>
      <c r="C125" s="194"/>
      <c r="D125" s="194"/>
      <c r="E125" s="194"/>
      <c r="F125" s="140">
        <f>F114*0.8</f>
        <v>4440</v>
      </c>
      <c r="G125" s="140"/>
      <c r="H125" s="140"/>
      <c r="J125" s="21">
        <v>5800</v>
      </c>
      <c r="K125" s="21">
        <v>5300</v>
      </c>
      <c r="L125" s="21"/>
      <c r="R125" s="21"/>
      <c r="S125" s="21"/>
      <c r="T125">
        <v>1000000</v>
      </c>
      <c r="U125"/>
      <c r="V125" s="21"/>
    </row>
    <row r="126" spans="1:22" s="35" customFormat="1" ht="15.75" customHeight="1" x14ac:dyDescent="0.35">
      <c r="A126" s="193" t="s">
        <v>72</v>
      </c>
      <c r="B126" s="193"/>
      <c r="C126" s="193"/>
      <c r="D126" s="193"/>
      <c r="E126" s="193"/>
      <c r="F126" s="193"/>
      <c r="G126" s="193"/>
      <c r="H126" s="193"/>
      <c r="J126" s="33" t="s">
        <v>402</v>
      </c>
      <c r="K126" s="33" t="s">
        <v>404</v>
      </c>
      <c r="L126" s="21"/>
      <c r="R126"/>
      <c r="S126" s="21"/>
      <c r="T126"/>
      <c r="U126"/>
      <c r="V126" s="21"/>
    </row>
    <row r="127" spans="1:22" s="35" customFormat="1" ht="15.75" customHeight="1" x14ac:dyDescent="0.35">
      <c r="A127" s="156" t="s">
        <v>51</v>
      </c>
      <c r="B127" s="156"/>
      <c r="C127" s="162" t="s">
        <v>75</v>
      </c>
      <c r="D127" s="162"/>
      <c r="E127" s="160" t="s">
        <v>52</v>
      </c>
      <c r="F127" s="160"/>
      <c r="G127" s="156" t="s">
        <v>53</v>
      </c>
      <c r="H127" s="156"/>
      <c r="R127"/>
      <c r="S127" s="21"/>
      <c r="T127"/>
      <c r="U127" s="21"/>
      <c r="V127" s="21"/>
    </row>
    <row r="128" spans="1:22" s="35" customFormat="1" x14ac:dyDescent="0.35">
      <c r="A128" s="161" t="s">
        <v>360</v>
      </c>
      <c r="B128" s="161"/>
      <c r="C128" s="141">
        <f>COUNT(D142:D146)</f>
        <v>5</v>
      </c>
      <c r="D128" s="175"/>
      <c r="E128" s="141">
        <f>SUM(F142:F146)</f>
        <v>827.73007200000006</v>
      </c>
      <c r="F128" s="175"/>
      <c r="G128" s="141">
        <f>SUM(H142:H146)</f>
        <v>1282.9816116000002</v>
      </c>
      <c r="H128" s="175"/>
      <c r="R128"/>
      <c r="S128" s="21"/>
      <c r="T128"/>
      <c r="U128" s="21"/>
      <c r="V128" s="21"/>
    </row>
    <row r="129" spans="1:22" s="35" customFormat="1" x14ac:dyDescent="0.35">
      <c r="A129" s="161" t="s">
        <v>361</v>
      </c>
      <c r="B129" s="161"/>
      <c r="C129" s="141">
        <f>COUNT(D148:D149)</f>
        <v>2</v>
      </c>
      <c r="D129" s="175"/>
      <c r="E129" s="141">
        <f>SUM(F148:F149)</f>
        <v>1204.0879500000001</v>
      </c>
      <c r="F129" s="175"/>
      <c r="G129" s="141">
        <f>SUM(H148:H149)</f>
        <v>1866.3363224999998</v>
      </c>
      <c r="H129" s="175"/>
      <c r="R129"/>
      <c r="S129" s="21"/>
      <c r="T129"/>
      <c r="U129" s="21"/>
      <c r="V129" s="21"/>
    </row>
    <row r="130" spans="1:22" s="35" customFormat="1" x14ac:dyDescent="0.35">
      <c r="A130" s="193" t="s">
        <v>150</v>
      </c>
      <c r="B130" s="193"/>
      <c r="C130" s="231">
        <f t="shared" ref="C130:G130" si="0">SUM(C128:D129)</f>
        <v>7</v>
      </c>
      <c r="D130" s="162"/>
      <c r="E130" s="232">
        <f t="shared" si="0"/>
        <v>2031.8180220000002</v>
      </c>
      <c r="F130" s="160"/>
      <c r="G130" s="156">
        <f t="shared" si="0"/>
        <v>3149.3179341</v>
      </c>
      <c r="H130" s="156"/>
      <c r="R130"/>
      <c r="S130" s="21"/>
      <c r="T130"/>
      <c r="U130" s="21"/>
      <c r="V130" s="21"/>
    </row>
    <row r="131" spans="1:22" s="35" customFormat="1" x14ac:dyDescent="0.35">
      <c r="A131" s="193" t="s">
        <v>67</v>
      </c>
      <c r="B131" s="193"/>
      <c r="C131" s="193"/>
      <c r="D131" s="193"/>
      <c r="E131" s="193"/>
      <c r="F131" s="193"/>
      <c r="G131" s="193"/>
      <c r="H131" s="193"/>
      <c r="T131"/>
    </row>
    <row r="132" spans="1:22" s="35" customFormat="1" ht="15.75" customHeight="1" x14ac:dyDescent="0.35">
      <c r="A132" s="156" t="s">
        <v>51</v>
      </c>
      <c r="B132" s="156"/>
      <c r="C132" s="162" t="s">
        <v>75</v>
      </c>
      <c r="D132" s="162"/>
      <c r="E132" s="160" t="s">
        <v>52</v>
      </c>
      <c r="F132" s="160"/>
      <c r="G132" s="156" t="s">
        <v>53</v>
      </c>
      <c r="H132" s="156"/>
      <c r="T132"/>
    </row>
    <row r="133" spans="1:22" s="35" customFormat="1" ht="16" thickBot="1" x14ac:dyDescent="0.4">
      <c r="A133" s="161" t="s">
        <v>373</v>
      </c>
      <c r="B133" s="161"/>
      <c r="C133" s="141">
        <f>COUNT(D155:D158,D161:D162)+COUNT(D164:D171)*3+COUNT(D173:D178)+COUNT(D182:D188)*9+COUNT(D190:D192,D194:D196)*2</f>
        <v>111</v>
      </c>
      <c r="D133" s="141"/>
      <c r="E133" s="141">
        <f>SUM(F155:F162)+SUM(F164:F171)*3+SUM(F173:F178)+SUM(F182:F188)*9+SUM(F190:F192,F194:F196)*2</f>
        <v>55555.183709999998</v>
      </c>
      <c r="F133" s="141"/>
      <c r="G133" s="141">
        <f>SUM(H155:H162)+SUM(H164:H171)*3+SUM(H173:H178)+SUM(H182:H188)*9+SUM(H190:H192,H194:H196)*2</f>
        <v>83332.775564999989</v>
      </c>
      <c r="H133" s="141"/>
      <c r="T133"/>
    </row>
    <row r="134" spans="1:22" s="35" customFormat="1" hidden="1" x14ac:dyDescent="0.35">
      <c r="A134" s="161"/>
      <c r="B134" s="161"/>
      <c r="C134" s="175"/>
      <c r="D134" s="175"/>
      <c r="E134" s="233"/>
      <c r="F134" s="233"/>
      <c r="G134" s="234"/>
      <c r="H134" s="234"/>
      <c r="T134"/>
    </row>
    <row r="135" spans="1:22" s="35" customFormat="1" ht="16" hidden="1" thickBot="1" x14ac:dyDescent="0.4">
      <c r="A135" s="244" t="s">
        <v>150</v>
      </c>
      <c r="B135" s="244"/>
      <c r="C135" s="176"/>
      <c r="D135" s="176"/>
      <c r="E135" s="245"/>
      <c r="F135" s="245"/>
      <c r="G135" s="246"/>
      <c r="H135" s="246"/>
      <c r="T135"/>
    </row>
    <row r="136" spans="1:22" s="35" customFormat="1" ht="16" thickBot="1" x14ac:dyDescent="0.4">
      <c r="A136" s="186" t="s">
        <v>166</v>
      </c>
      <c r="B136" s="187"/>
      <c r="C136" s="188">
        <f>C130+C133</f>
        <v>118</v>
      </c>
      <c r="D136" s="189"/>
      <c r="E136" s="188">
        <f>E130+E133</f>
        <v>57587.001731999997</v>
      </c>
      <c r="F136" s="189"/>
      <c r="G136" s="188">
        <f>G130+G133</f>
        <v>86482.093499099996</v>
      </c>
      <c r="H136" s="189"/>
      <c r="T136"/>
    </row>
    <row r="137" spans="1:22" s="34" customFormat="1" x14ac:dyDescent="0.35">
      <c r="A137" s="180" t="s">
        <v>54</v>
      </c>
      <c r="B137" s="180"/>
      <c r="C137" s="180"/>
      <c r="D137" s="180"/>
      <c r="E137" s="180"/>
      <c r="F137" s="180"/>
      <c r="G137" s="180"/>
      <c r="H137" s="180"/>
      <c r="T137" s="35"/>
    </row>
    <row r="138" spans="1:22" x14ac:dyDescent="0.35">
      <c r="A138" s="155" t="s">
        <v>175</v>
      </c>
      <c r="B138" s="155"/>
      <c r="C138" s="155"/>
      <c r="D138" s="155"/>
      <c r="E138" s="155"/>
      <c r="F138" s="155"/>
      <c r="G138" s="155"/>
      <c r="H138" s="155"/>
      <c r="T138" s="35"/>
    </row>
    <row r="139" spans="1:22" ht="47.25" customHeight="1" x14ac:dyDescent="0.35">
      <c r="A139" s="229" t="s">
        <v>392</v>
      </c>
      <c r="B139" s="229" t="s">
        <v>177</v>
      </c>
      <c r="C139" s="229" t="s">
        <v>55</v>
      </c>
      <c r="D139" s="229" t="s">
        <v>411</v>
      </c>
      <c r="E139" s="142" t="s">
        <v>396</v>
      </c>
      <c r="F139" s="229" t="s">
        <v>56</v>
      </c>
      <c r="G139" s="142" t="s">
        <v>57</v>
      </c>
      <c r="H139" s="98" t="s">
        <v>148</v>
      </c>
      <c r="I139" s="87">
        <v>10.763999999999999</v>
      </c>
      <c r="T139" s="35"/>
    </row>
    <row r="140" spans="1:22" s="37" customFormat="1" x14ac:dyDescent="0.35">
      <c r="A140" s="230"/>
      <c r="B140" s="230"/>
      <c r="C140" s="230"/>
      <c r="D140" s="230"/>
      <c r="E140" s="143"/>
      <c r="F140" s="230"/>
      <c r="G140" s="143"/>
      <c r="H140" s="99">
        <v>0.55000000000000004</v>
      </c>
      <c r="T140" s="35"/>
    </row>
    <row r="141" spans="1:22" s="37" customFormat="1" x14ac:dyDescent="0.35">
      <c r="A141" s="123" t="s">
        <v>375</v>
      </c>
      <c r="B141" s="124"/>
      <c r="C141" s="124"/>
      <c r="D141" s="124"/>
      <c r="E141" s="124"/>
      <c r="F141" s="124"/>
      <c r="G141" s="124"/>
      <c r="H141" s="125"/>
      <c r="J141" s="36"/>
      <c r="T141" s="35"/>
    </row>
    <row r="142" spans="1:22" s="37" customFormat="1" ht="15.75" customHeight="1" x14ac:dyDescent="0.35">
      <c r="A142" s="108">
        <v>1</v>
      </c>
      <c r="B142" s="109"/>
      <c r="C142" s="42" t="s">
        <v>360</v>
      </c>
      <c r="D142" s="87">
        <f>(6.25*2.75)*10.764</f>
        <v>185.00624999999999</v>
      </c>
      <c r="E142" s="42">
        <v>0</v>
      </c>
      <c r="F142" s="62">
        <f>D142+(IF(E142&lt;201,E142,IF(E142&lt;301,E142/2,E142/3)))</f>
        <v>185.00624999999999</v>
      </c>
      <c r="G142" s="63">
        <v>0</v>
      </c>
      <c r="H142" s="62">
        <f>(F142+(IF(G142&lt;101,G142,IF(G142&lt;201,G142/2,IF(G142&lt;=301,G142/3,G142/4)))))*(($H$140)+1)</f>
        <v>286.75968749999998</v>
      </c>
      <c r="I142" s="36"/>
      <c r="L142" s="106"/>
      <c r="M142" s="106"/>
      <c r="N142" s="36"/>
      <c r="T142" s="35"/>
    </row>
    <row r="143" spans="1:22" s="37" customFormat="1" ht="15.75" customHeight="1" x14ac:dyDescent="0.35">
      <c r="A143" s="108">
        <f>A142+1</f>
        <v>2</v>
      </c>
      <c r="B143" s="109"/>
      <c r="C143" s="87" t="s">
        <v>360</v>
      </c>
      <c r="D143" s="87">
        <f>(5.5*2.35+0.75*0.9)*10.764</f>
        <v>146.3904</v>
      </c>
      <c r="E143" s="42">
        <v>0</v>
      </c>
      <c r="F143" s="62">
        <f t="shared" ref="F143:F145" si="1">D143+(IF(E143&lt;201,E143,IF(E143&lt;301,E143/2,E143/3)))</f>
        <v>146.3904</v>
      </c>
      <c r="G143" s="54">
        <v>0</v>
      </c>
      <c r="H143" s="62">
        <f t="shared" ref="H143:H145" si="2">(F143+(IF(G143&lt;101,G143,IF(G143&lt;201,G143/2,IF(G143&lt;=301,G143/3,G143/4)))))*(($H$140)+1)</f>
        <v>226.90512000000001</v>
      </c>
      <c r="I143" s="36"/>
      <c r="L143" s="106"/>
      <c r="M143" s="106"/>
      <c r="N143" s="36"/>
      <c r="T143" s="34"/>
    </row>
    <row r="144" spans="1:22" s="37" customFormat="1" ht="15.75" customHeight="1" x14ac:dyDescent="0.35">
      <c r="A144" s="108">
        <f>A143+1</f>
        <v>3</v>
      </c>
      <c r="B144" s="109"/>
      <c r="C144" s="87" t="s">
        <v>360</v>
      </c>
      <c r="D144" s="87">
        <f>(5.5*2.75)*10.764</f>
        <v>162.80549999999999</v>
      </c>
      <c r="E144" s="42">
        <v>0</v>
      </c>
      <c r="F144" s="62">
        <f t="shared" si="1"/>
        <v>162.80549999999999</v>
      </c>
      <c r="G144" s="54">
        <v>0</v>
      </c>
      <c r="H144" s="62">
        <f t="shared" si="2"/>
        <v>252.348525</v>
      </c>
      <c r="I144" s="36"/>
      <c r="L144" s="106"/>
      <c r="M144" s="106"/>
      <c r="N144" s="36"/>
      <c r="T144" s="21"/>
    </row>
    <row r="145" spans="1:20" s="37" customFormat="1" ht="15.75" customHeight="1" x14ac:dyDescent="0.35">
      <c r="A145" s="108">
        <f>A144+1</f>
        <v>4</v>
      </c>
      <c r="B145" s="109"/>
      <c r="C145" s="87" t="s">
        <v>360</v>
      </c>
      <c r="D145" s="87">
        <f>(3.95*2.9)*10.764</f>
        <v>123.30162</v>
      </c>
      <c r="E145" s="42">
        <v>0</v>
      </c>
      <c r="F145" s="62">
        <f t="shared" si="1"/>
        <v>123.30162</v>
      </c>
      <c r="G145" s="54">
        <v>0</v>
      </c>
      <c r="H145" s="62">
        <f t="shared" si="2"/>
        <v>191.11751100000001</v>
      </c>
      <c r="I145" s="36"/>
      <c r="L145" s="106"/>
      <c r="M145" s="106"/>
      <c r="N145" s="36"/>
      <c r="T145" s="21"/>
    </row>
    <row r="146" spans="1:20" s="88" customFormat="1" ht="15.75" customHeight="1" x14ac:dyDescent="0.35">
      <c r="A146" s="108">
        <f>A145+1</f>
        <v>5</v>
      </c>
      <c r="B146" s="109"/>
      <c r="C146" s="87" t="s">
        <v>360</v>
      </c>
      <c r="D146" s="87">
        <f>(5.83*3.35)*10.764</f>
        <v>210.22630199999998</v>
      </c>
      <c r="E146" s="87">
        <v>0</v>
      </c>
      <c r="F146" s="87">
        <f t="shared" ref="F146" si="3">D146+(IF(E146&lt;201,E146,IF(E146&lt;301,E146/2,E146/3)))</f>
        <v>210.22630199999998</v>
      </c>
      <c r="G146" s="87">
        <v>0</v>
      </c>
      <c r="H146" s="87">
        <f t="shared" ref="H146" si="4">(F146+(IF(G146&lt;101,G146,IF(G146&lt;201,G146/2,IF(G146&lt;=301,G146/3,G146/4)))))*(($H$140)+1)</f>
        <v>325.85076809999998</v>
      </c>
      <c r="I146" s="36"/>
      <c r="L146" s="106"/>
      <c r="M146" s="106"/>
      <c r="N146" s="36"/>
      <c r="T146" s="21"/>
    </row>
    <row r="147" spans="1:20" s="88" customFormat="1" x14ac:dyDescent="0.35">
      <c r="A147" s="123" t="s">
        <v>362</v>
      </c>
      <c r="B147" s="124"/>
      <c r="C147" s="124"/>
      <c r="D147" s="124"/>
      <c r="E147" s="124"/>
      <c r="F147" s="124"/>
      <c r="G147" s="124"/>
      <c r="H147" s="125"/>
      <c r="J147" s="36"/>
      <c r="T147" s="35"/>
    </row>
    <row r="148" spans="1:20" s="88" customFormat="1" ht="15.75" customHeight="1" x14ac:dyDescent="0.35">
      <c r="A148" s="108">
        <v>5</v>
      </c>
      <c r="B148" s="109"/>
      <c r="C148" s="87" t="s">
        <v>361</v>
      </c>
      <c r="D148" s="87">
        <f>(36)*10.764</f>
        <v>387.50399999999996</v>
      </c>
      <c r="E148" s="87">
        <f>(1.1*(2.75+2.35+2.75)+0.75*(2.75+2.35+2.75+2.75))*10.764</f>
        <v>178.52094</v>
      </c>
      <c r="F148" s="87">
        <f>D148+(IF(E148&lt;201,E148,IF(E148&lt;301,E148/2,E148/3)))</f>
        <v>566.02494000000002</v>
      </c>
      <c r="G148" s="63">
        <v>0</v>
      </c>
      <c r="H148" s="87">
        <f>(F148+(IF(G148&lt;101,G148,IF(G148&lt;201,G148/2,IF(G148&lt;=301,G148/3,G148/4)))))*(($H$140)+1)</f>
        <v>877.33865700000001</v>
      </c>
      <c r="I148" s="36">
        <f>4.68*2.94+2.3*3.35+3.05*3.35+3.05*2.9+1.2*(2+2)+3.05*0.95</f>
        <v>48.224199999999996</v>
      </c>
      <c r="L148" s="106"/>
      <c r="M148" s="106"/>
      <c r="N148" s="36"/>
      <c r="T148" s="35"/>
    </row>
    <row r="149" spans="1:20" s="88" customFormat="1" ht="15.75" customHeight="1" x14ac:dyDescent="0.35">
      <c r="A149" s="108">
        <f>A148+1</f>
        <v>6</v>
      </c>
      <c r="B149" s="109"/>
      <c r="C149" s="87" t="s">
        <v>361</v>
      </c>
      <c r="D149" s="87">
        <f>(46.69)*10.764</f>
        <v>502.57115999999996</v>
      </c>
      <c r="E149" s="87">
        <f>(1*(3.35+2.9)+0.75*(3.35+2.9+2.2))*10.764</f>
        <v>135.49184999999997</v>
      </c>
      <c r="F149" s="87">
        <f t="shared" ref="F149" si="5">D149+(IF(E149&lt;201,E149,IF(E149&lt;301,E149/2,E149/3)))</f>
        <v>638.06300999999996</v>
      </c>
      <c r="G149" s="87">
        <v>0</v>
      </c>
      <c r="H149" s="87">
        <f t="shared" ref="H149" si="6">(F149+(IF(G149&lt;101,G149,IF(G149&lt;201,G149/2,IF(G149&lt;=301,G149/3,G149/4)))))*(($H$140)+1)</f>
        <v>988.99766549999993</v>
      </c>
      <c r="I149" s="36"/>
      <c r="L149" s="106"/>
      <c r="M149" s="106"/>
      <c r="N149" s="36"/>
      <c r="T149" s="34"/>
    </row>
    <row r="150" spans="1:20" s="37" customFormat="1" x14ac:dyDescent="0.35">
      <c r="A150" s="181"/>
      <c r="B150" s="182"/>
      <c r="C150" s="182"/>
      <c r="D150" s="182"/>
      <c r="E150" s="182"/>
      <c r="F150" s="182"/>
      <c r="G150" s="182"/>
      <c r="H150" s="183"/>
      <c r="I150" s="36"/>
      <c r="N150" s="36"/>
    </row>
    <row r="151" spans="1:20" ht="47.25" customHeight="1" x14ac:dyDescent="0.35">
      <c r="A151" s="184" t="s">
        <v>399</v>
      </c>
      <c r="B151" s="173" t="s">
        <v>178</v>
      </c>
      <c r="C151" s="173" t="s">
        <v>55</v>
      </c>
      <c r="D151" s="173" t="s">
        <v>411</v>
      </c>
      <c r="E151" s="173" t="s">
        <v>394</v>
      </c>
      <c r="F151" s="173" t="s">
        <v>56</v>
      </c>
      <c r="G151" s="236" t="s">
        <v>57</v>
      </c>
      <c r="H151" s="100" t="s">
        <v>148</v>
      </c>
      <c r="I151" s="36"/>
      <c r="T151" s="37"/>
    </row>
    <row r="152" spans="1:20" s="37" customFormat="1" x14ac:dyDescent="0.35">
      <c r="A152" s="185"/>
      <c r="B152" s="174"/>
      <c r="C152" s="174"/>
      <c r="D152" s="174"/>
      <c r="E152" s="174"/>
      <c r="F152" s="174"/>
      <c r="G152" s="237"/>
      <c r="H152" s="101">
        <v>0.5</v>
      </c>
      <c r="I152" s="36"/>
    </row>
    <row r="153" spans="1:20" s="88" customFormat="1" hidden="1" x14ac:dyDescent="0.35">
      <c r="A153" s="123" t="s">
        <v>375</v>
      </c>
      <c r="B153" s="124"/>
      <c r="C153" s="124"/>
      <c r="D153" s="124"/>
      <c r="E153" s="124"/>
      <c r="F153" s="124"/>
      <c r="G153" s="124"/>
      <c r="H153" s="125"/>
      <c r="J153" s="36"/>
      <c r="T153" s="35"/>
    </row>
    <row r="154" spans="1:20" s="37" customFormat="1" x14ac:dyDescent="0.35">
      <c r="A154" s="123" t="s">
        <v>393</v>
      </c>
      <c r="B154" s="124"/>
      <c r="C154" s="124"/>
      <c r="D154" s="124"/>
      <c r="E154" s="124"/>
      <c r="F154" s="124"/>
      <c r="G154" s="124"/>
      <c r="H154" s="125"/>
      <c r="I154" s="92">
        <v>1</v>
      </c>
      <c r="J154" s="36"/>
    </row>
    <row r="155" spans="1:20" s="88" customFormat="1" ht="15.75" customHeight="1" x14ac:dyDescent="0.35">
      <c r="A155" s="108">
        <v>1</v>
      </c>
      <c r="B155" s="109"/>
      <c r="C155" s="87" t="s">
        <v>364</v>
      </c>
      <c r="D155" s="87">
        <f>(23.28)*10.764</f>
        <v>250.58591999999999</v>
      </c>
      <c r="E155" s="87">
        <f>((1+1.1)*2.75+0.75*(2.75+2.75))*10.764</f>
        <v>106.56359999999999</v>
      </c>
      <c r="F155" s="87">
        <f t="shared" ref="F155:F162" si="7">D155+E155</f>
        <v>357.14952</v>
      </c>
      <c r="G155" s="87">
        <v>0</v>
      </c>
      <c r="H155" s="87">
        <f t="shared" ref="H155:H162" si="8">F155*(($H$152)+1)+(IF(G155&lt;101,G155,IF(G155&lt;201,G155/2,IF(G155&lt;=301,G155/3,G155/4))))</f>
        <v>535.72428000000002</v>
      </c>
      <c r="I155" s="36">
        <f>2.75*(4.3+3)+1.2*(1.5+0.95+1.2+1.5)-1*2.75-1.1*2.75</f>
        <v>20.479999999999997</v>
      </c>
      <c r="L155" s="106"/>
      <c r="M155" s="106"/>
      <c r="N155" s="36"/>
    </row>
    <row r="156" spans="1:20" s="88" customFormat="1" ht="15.75" customHeight="1" x14ac:dyDescent="0.35">
      <c r="A156" s="108">
        <f>A155+1</f>
        <v>2</v>
      </c>
      <c r="B156" s="109"/>
      <c r="C156" s="87" t="s">
        <v>363</v>
      </c>
      <c r="D156" s="87">
        <f>(29.93)*10.764</f>
        <v>322.16651999999999</v>
      </c>
      <c r="E156" s="87">
        <f>(2.75+1.1*(2.3+2.75)+0.75*(2.75+2.3+2.75))*10.764</f>
        <v>152.36442</v>
      </c>
      <c r="F156" s="87">
        <f t="shared" si="7"/>
        <v>474.53093999999999</v>
      </c>
      <c r="G156" s="87">
        <v>0</v>
      </c>
      <c r="H156" s="87">
        <f t="shared" si="8"/>
        <v>711.79640999999992</v>
      </c>
      <c r="I156" s="36">
        <f>2.75*4.3+(2.3+2.75)*3.35+1.2*(1.9+2.25)+0.65*1.75-1*2.75-1.1*(2.3+2.75)</f>
        <v>26.555</v>
      </c>
      <c r="L156" s="106"/>
      <c r="M156" s="106"/>
      <c r="N156" s="36"/>
    </row>
    <row r="157" spans="1:20" s="88" customFormat="1" ht="15.75" customHeight="1" x14ac:dyDescent="0.35">
      <c r="A157" s="108">
        <f>A156+1</f>
        <v>3</v>
      </c>
      <c r="B157" s="109"/>
      <c r="C157" s="87" t="s">
        <v>363</v>
      </c>
      <c r="D157" s="87">
        <f>(29.93)*10.764</f>
        <v>322.16651999999999</v>
      </c>
      <c r="E157" s="96">
        <f>(2.75+1.1*(2.3+2.75)+0.75*(2.75+2.3+2.75))*10.764</f>
        <v>152.36442</v>
      </c>
      <c r="F157" s="87">
        <f t="shared" si="7"/>
        <v>474.53093999999999</v>
      </c>
      <c r="G157" s="87">
        <v>0</v>
      </c>
      <c r="H157" s="87">
        <f t="shared" si="8"/>
        <v>711.79640999999992</v>
      </c>
      <c r="I157" s="36"/>
      <c r="L157" s="106"/>
      <c r="M157" s="106"/>
      <c r="N157" s="36"/>
    </row>
    <row r="158" spans="1:20" s="88" customFormat="1" ht="15.75" customHeight="1" x14ac:dyDescent="0.35">
      <c r="A158" s="108">
        <f>A157+1</f>
        <v>4</v>
      </c>
      <c r="B158" s="109"/>
      <c r="C158" s="87" t="s">
        <v>363</v>
      </c>
      <c r="D158" s="87">
        <f>(29.93)*10.764</f>
        <v>322.16651999999999</v>
      </c>
      <c r="E158" s="96">
        <f>(2.75+1.1*(2.3+2.75)+0.75*(2.75+2.3+2.75))*10.764</f>
        <v>152.36442</v>
      </c>
      <c r="F158" s="87">
        <f t="shared" si="7"/>
        <v>474.53093999999999</v>
      </c>
      <c r="G158" s="87">
        <v>0</v>
      </c>
      <c r="H158" s="87">
        <f t="shared" si="8"/>
        <v>711.79640999999992</v>
      </c>
      <c r="I158" s="36"/>
      <c r="L158" s="106"/>
      <c r="M158" s="106"/>
      <c r="N158" s="36"/>
      <c r="T158" s="21"/>
    </row>
    <row r="159" spans="1:20" s="95" customFormat="1" ht="15.75" customHeight="1" x14ac:dyDescent="0.35">
      <c r="A159" s="108" t="s">
        <v>371</v>
      </c>
      <c r="B159" s="109"/>
      <c r="C159" s="113" t="s">
        <v>395</v>
      </c>
      <c r="D159" s="114"/>
      <c r="E159" s="114"/>
      <c r="F159" s="114"/>
      <c r="G159" s="114"/>
      <c r="H159" s="115"/>
      <c r="I159" s="36">
        <f t="shared" ref="I159:I160" si="9">(4.25+2.3)*3.25+1.2*(0.95+1.5)+0.95*1.65+1.2*1.25-1*(4.25+2.3)</f>
        <v>20.744999999999997</v>
      </c>
      <c r="L159" s="106"/>
      <c r="M159" s="106"/>
      <c r="N159" s="36"/>
      <c r="T159" s="21"/>
    </row>
    <row r="160" spans="1:20" s="95" customFormat="1" ht="15.75" customHeight="1" x14ac:dyDescent="0.35">
      <c r="A160" s="108" t="s">
        <v>371</v>
      </c>
      <c r="B160" s="109"/>
      <c r="C160" s="116"/>
      <c r="D160" s="117"/>
      <c r="E160" s="117"/>
      <c r="F160" s="117"/>
      <c r="G160" s="117"/>
      <c r="H160" s="118"/>
      <c r="I160" s="36">
        <f t="shared" si="9"/>
        <v>20.744999999999997</v>
      </c>
      <c r="L160" s="106"/>
      <c r="M160" s="106"/>
      <c r="N160" s="36"/>
      <c r="T160" s="21"/>
    </row>
    <row r="161" spans="1:20" s="88" customFormat="1" ht="15.75" customHeight="1" x14ac:dyDescent="0.35">
      <c r="A161" s="108">
        <v>7</v>
      </c>
      <c r="B161" s="109"/>
      <c r="C161" s="87" t="s">
        <v>364</v>
      </c>
      <c r="D161" s="87">
        <f>(20.99)*10.764</f>
        <v>225.93635999999998</v>
      </c>
      <c r="E161" s="87">
        <f>(1*(4.25+2.3)+0.75*(4.25+2.3))*10.764</f>
        <v>123.38234999999997</v>
      </c>
      <c r="F161" s="87">
        <f t="shared" si="7"/>
        <v>349.31870999999995</v>
      </c>
      <c r="G161" s="87">
        <v>0</v>
      </c>
      <c r="H161" s="87">
        <f t="shared" si="8"/>
        <v>523.9780649999999</v>
      </c>
      <c r="I161" s="36">
        <f>(4.25+2.3)*3.25+1.2*(0.95+1.5)+0.95*1.65+1.2*1.25-1*(4.25+2.3)</f>
        <v>20.744999999999997</v>
      </c>
      <c r="L161" s="106"/>
      <c r="M161" s="106"/>
      <c r="N161" s="36"/>
      <c r="T161" s="21"/>
    </row>
    <row r="162" spans="1:20" s="88" customFormat="1" ht="15.75" customHeight="1" x14ac:dyDescent="0.35">
      <c r="A162" s="108">
        <f>A161+1</f>
        <v>8</v>
      </c>
      <c r="B162" s="109"/>
      <c r="C162" s="87" t="s">
        <v>364</v>
      </c>
      <c r="D162" s="87">
        <f>(27.68)*10.764</f>
        <v>297.94752</v>
      </c>
      <c r="E162" s="87">
        <f>(0.75*2.75)*10.764</f>
        <v>22.200749999999999</v>
      </c>
      <c r="F162" s="87">
        <f t="shared" si="7"/>
        <v>320.14827000000002</v>
      </c>
      <c r="G162" s="87">
        <v>0</v>
      </c>
      <c r="H162" s="87">
        <f t="shared" si="8"/>
        <v>480.22240500000004</v>
      </c>
      <c r="L162" s="106"/>
      <c r="M162" s="106"/>
      <c r="N162" s="36"/>
      <c r="T162" s="21"/>
    </row>
    <row r="163" spans="1:20" s="88" customFormat="1" x14ac:dyDescent="0.35">
      <c r="A163" s="123" t="s">
        <v>366</v>
      </c>
      <c r="B163" s="124"/>
      <c r="C163" s="124"/>
      <c r="D163" s="124"/>
      <c r="E163" s="124"/>
      <c r="F163" s="124"/>
      <c r="G163" s="124"/>
      <c r="H163" s="125"/>
      <c r="I163" s="92">
        <v>3</v>
      </c>
      <c r="J163" s="36"/>
    </row>
    <row r="164" spans="1:20" s="37" customFormat="1" ht="15.75" customHeight="1" x14ac:dyDescent="0.35">
      <c r="A164" s="108">
        <v>1</v>
      </c>
      <c r="B164" s="109"/>
      <c r="C164" s="87" t="s">
        <v>364</v>
      </c>
      <c r="D164" s="96">
        <f>(23.28)*10.764</f>
        <v>250.58591999999999</v>
      </c>
      <c r="E164" s="96">
        <f>((1+1.1)*2.75+0.75*(2.75+2.75))*10.764</f>
        <v>106.56359999999999</v>
      </c>
      <c r="F164" s="42">
        <f t="shared" ref="F164:F171" si="10">D164+E164</f>
        <v>357.14952</v>
      </c>
      <c r="G164" s="54">
        <v>0</v>
      </c>
      <c r="H164" s="54">
        <f t="shared" ref="H164:H171" si="11">F164*(($H$152)+1)+(IF(G164&lt;101,G164,IF(G164&lt;201,G164/2,IF(G164&lt;=301,G164/3,G164/4))))</f>
        <v>535.72428000000002</v>
      </c>
      <c r="I164" s="36">
        <f>2.75*4.3+2.75*3+1.5*1.2+1.2*0.95+0.9*1.2+1.4*0.95</f>
        <v>25.424999999999997</v>
      </c>
      <c r="L164" s="106"/>
      <c r="M164" s="106"/>
      <c r="N164" s="36"/>
    </row>
    <row r="165" spans="1:20" s="37" customFormat="1" ht="15.75" customHeight="1" x14ac:dyDescent="0.35">
      <c r="A165" s="108">
        <f t="shared" ref="A165:A171" si="12">A164+1</f>
        <v>2</v>
      </c>
      <c r="B165" s="109"/>
      <c r="C165" s="87" t="s">
        <v>363</v>
      </c>
      <c r="D165" s="96">
        <f>(29.93)*10.764</f>
        <v>322.16651999999999</v>
      </c>
      <c r="E165" s="96">
        <f>(2.75+1.1*(2.3+2.75)+0.75*(2.75+2.3+2.75))*10.764</f>
        <v>152.36442</v>
      </c>
      <c r="F165" s="54">
        <f t="shared" si="10"/>
        <v>474.53093999999999</v>
      </c>
      <c r="G165" s="54">
        <v>0</v>
      </c>
      <c r="H165" s="54">
        <f t="shared" si="11"/>
        <v>711.79640999999992</v>
      </c>
      <c r="I165" s="36"/>
      <c r="L165" s="106"/>
      <c r="M165" s="106"/>
      <c r="N165" s="36"/>
    </row>
    <row r="166" spans="1:20" s="37" customFormat="1" ht="15.75" customHeight="1" x14ac:dyDescent="0.35">
      <c r="A166" s="108">
        <f t="shared" si="12"/>
        <v>3</v>
      </c>
      <c r="B166" s="109"/>
      <c r="C166" s="87" t="s">
        <v>363</v>
      </c>
      <c r="D166" s="96">
        <f>(29.93)*10.764</f>
        <v>322.16651999999999</v>
      </c>
      <c r="E166" s="96">
        <f>(2.75+1.1*(2.3+2.75)+0.75*(2.75+2.3+2.75))*10.764</f>
        <v>152.36442</v>
      </c>
      <c r="F166" s="54">
        <f t="shared" si="10"/>
        <v>474.53093999999999</v>
      </c>
      <c r="G166" s="54">
        <v>0</v>
      </c>
      <c r="H166" s="54">
        <f t="shared" si="11"/>
        <v>711.79640999999992</v>
      </c>
      <c r="I166" s="36"/>
      <c r="L166" s="106"/>
      <c r="M166" s="106"/>
      <c r="N166" s="36"/>
    </row>
    <row r="167" spans="1:20" s="37" customFormat="1" ht="15.75" customHeight="1" x14ac:dyDescent="0.35">
      <c r="A167" s="108">
        <f t="shared" si="12"/>
        <v>4</v>
      </c>
      <c r="B167" s="109"/>
      <c r="C167" s="87" t="s">
        <v>363</v>
      </c>
      <c r="D167" s="96">
        <f>(29.93)*10.764</f>
        <v>322.16651999999999</v>
      </c>
      <c r="E167" s="96">
        <f>(2.75+1.1*(2.3+2.75)+0.75*(2.75+2.3+2.75))*10.764</f>
        <v>152.36442</v>
      </c>
      <c r="F167" s="54">
        <f t="shared" si="10"/>
        <v>474.53093999999999</v>
      </c>
      <c r="G167" s="54">
        <v>0</v>
      </c>
      <c r="H167" s="54">
        <f t="shared" si="11"/>
        <v>711.79640999999992</v>
      </c>
      <c r="I167" s="36"/>
      <c r="L167" s="106"/>
      <c r="M167" s="106"/>
      <c r="N167" s="36"/>
      <c r="T167" s="21"/>
    </row>
    <row r="168" spans="1:20" s="88" customFormat="1" ht="15.75" customHeight="1" x14ac:dyDescent="0.35">
      <c r="A168" s="108">
        <f t="shared" si="12"/>
        <v>5</v>
      </c>
      <c r="B168" s="109"/>
      <c r="C168" s="87" t="s">
        <v>365</v>
      </c>
      <c r="D168" s="87">
        <f>(36)*10.764</f>
        <v>387.50399999999996</v>
      </c>
      <c r="E168" s="87">
        <f>(1.1*(2.75+2.35+2.75+2.75)+0.75*(2.35+2.75+2.75+2.75))*10.764</f>
        <v>211.08203999999998</v>
      </c>
      <c r="F168" s="87">
        <f t="shared" si="10"/>
        <v>598.58603999999991</v>
      </c>
      <c r="G168" s="87">
        <v>0</v>
      </c>
      <c r="H168" s="87">
        <f t="shared" si="11"/>
        <v>897.87905999999987</v>
      </c>
      <c r="I168" s="36">
        <f>4.3*2.75+3.35*2.35+2.75*(3.35+3.35)+1.2*(2.25+2.25)-1.1*(2.75+2.35+2.75+2.75)</f>
        <v>31.862500000000001</v>
      </c>
      <c r="L168" s="106"/>
      <c r="M168" s="106"/>
      <c r="N168" s="36"/>
    </row>
    <row r="169" spans="1:20" s="88" customFormat="1" ht="15.75" customHeight="1" x14ac:dyDescent="0.35">
      <c r="A169" s="108">
        <f t="shared" si="12"/>
        <v>6</v>
      </c>
      <c r="B169" s="109"/>
      <c r="C169" s="87" t="s">
        <v>365</v>
      </c>
      <c r="D169" s="87">
        <f>(46.49)*10.764</f>
        <v>500.41836000000001</v>
      </c>
      <c r="E169" s="87">
        <f>(1*(3.35+2.9)+0.75*(3.35+2.9+2.2))*10.764</f>
        <v>135.49184999999997</v>
      </c>
      <c r="F169" s="87">
        <f t="shared" si="10"/>
        <v>635.91021000000001</v>
      </c>
      <c r="G169" s="87">
        <v>0</v>
      </c>
      <c r="H169" s="87">
        <f t="shared" si="11"/>
        <v>953.86531500000001</v>
      </c>
      <c r="I169" s="36">
        <f>4.68*2.94+2.3*3.35+3.05*(3.35+2.9)+1.2*(2+2)+3.05*0.95-1*(3.35+2.9)</f>
        <v>41.974199999999996</v>
      </c>
      <c r="L169" s="106"/>
      <c r="M169" s="106"/>
      <c r="N169" s="36"/>
      <c r="T169" s="21"/>
    </row>
    <row r="170" spans="1:20" s="88" customFormat="1" ht="15.75" customHeight="1" x14ac:dyDescent="0.35">
      <c r="A170" s="108">
        <f t="shared" si="12"/>
        <v>7</v>
      </c>
      <c r="B170" s="109"/>
      <c r="C170" s="87" t="s">
        <v>364</v>
      </c>
      <c r="D170" s="96">
        <f>(20.99)*10.764</f>
        <v>225.93635999999998</v>
      </c>
      <c r="E170" s="96">
        <f>(1*(4.25+2.3)+0.75*(4.25+2.3))*10.764</f>
        <v>123.38234999999997</v>
      </c>
      <c r="F170" s="87">
        <f t="shared" si="10"/>
        <v>349.31870999999995</v>
      </c>
      <c r="G170" s="87">
        <v>0</v>
      </c>
      <c r="H170" s="87">
        <f t="shared" si="11"/>
        <v>523.9780649999999</v>
      </c>
      <c r="I170" s="36"/>
      <c r="L170" s="106"/>
      <c r="M170" s="106"/>
      <c r="N170" s="36"/>
      <c r="T170" s="21"/>
    </row>
    <row r="171" spans="1:20" s="88" customFormat="1" ht="15.75" customHeight="1" x14ac:dyDescent="0.35">
      <c r="A171" s="108">
        <f t="shared" si="12"/>
        <v>8</v>
      </c>
      <c r="B171" s="109"/>
      <c r="C171" s="87" t="s">
        <v>364</v>
      </c>
      <c r="D171" s="96">
        <f>(27.68)*10.764</f>
        <v>297.94752</v>
      </c>
      <c r="E171" s="96">
        <f>(0.75*2.75)*10.764</f>
        <v>22.200749999999999</v>
      </c>
      <c r="F171" s="87">
        <f t="shared" si="10"/>
        <v>320.14827000000002</v>
      </c>
      <c r="G171" s="87">
        <v>0</v>
      </c>
      <c r="H171" s="87">
        <f t="shared" si="11"/>
        <v>480.22240500000004</v>
      </c>
      <c r="I171" s="36"/>
      <c r="L171" s="106"/>
      <c r="M171" s="106"/>
      <c r="N171" s="36"/>
      <c r="T171" s="21"/>
    </row>
    <row r="172" spans="1:20" s="88" customFormat="1" x14ac:dyDescent="0.35">
      <c r="A172" s="123" t="s">
        <v>367</v>
      </c>
      <c r="B172" s="124"/>
      <c r="C172" s="124"/>
      <c r="D172" s="124"/>
      <c r="E172" s="124"/>
      <c r="F172" s="124"/>
      <c r="G172" s="124"/>
      <c r="H172" s="125"/>
      <c r="I172" s="92">
        <v>1</v>
      </c>
      <c r="J172" s="36"/>
    </row>
    <row r="173" spans="1:20" s="88" customFormat="1" ht="15.75" customHeight="1" x14ac:dyDescent="0.35">
      <c r="A173" s="108">
        <v>1</v>
      </c>
      <c r="B173" s="109"/>
      <c r="C173" s="87" t="s">
        <v>363</v>
      </c>
      <c r="D173" s="87">
        <f>(32.91)*10.764</f>
        <v>354.24323999999996</v>
      </c>
      <c r="E173" s="89">
        <f>(2.75+1.1*2.75+0.75*(2.75+2.75+2.7))*10.764</f>
        <v>128.36070000000001</v>
      </c>
      <c r="F173" s="87">
        <f t="shared" ref="F173:F178" si="13">D173+E173</f>
        <v>482.60393999999997</v>
      </c>
      <c r="G173" s="90">
        <v>0</v>
      </c>
      <c r="H173" s="87">
        <f t="shared" ref="H173:H178" si="14">F173*(($H$152)+1)+(IF(G173&lt;101,G173,IF(G173&lt;201,G173/2,IF(G173&lt;=301,G173/3,G173/4))))</f>
        <v>723.90590999999995</v>
      </c>
      <c r="I173" s="36"/>
      <c r="L173" s="106"/>
      <c r="M173" s="106"/>
      <c r="N173" s="36"/>
    </row>
    <row r="174" spans="1:20" s="88" customFormat="1" ht="15.75" customHeight="1" x14ac:dyDescent="0.35">
      <c r="A174" s="108">
        <f>A173+1</f>
        <v>2</v>
      </c>
      <c r="B174" s="109"/>
      <c r="C174" s="87" t="s">
        <v>363</v>
      </c>
      <c r="D174" s="96">
        <f>(29.93)*10.764</f>
        <v>322.16651999999999</v>
      </c>
      <c r="E174" s="96">
        <f>(2.75+1.1*(2.3+2.75)+0.75*(2.75+2.3+2.75))*10.764</f>
        <v>152.36442</v>
      </c>
      <c r="F174" s="87">
        <f t="shared" si="13"/>
        <v>474.53093999999999</v>
      </c>
      <c r="G174" s="87">
        <v>0</v>
      </c>
      <c r="H174" s="87">
        <f t="shared" si="14"/>
        <v>711.79640999999992</v>
      </c>
      <c r="I174" s="36"/>
      <c r="L174" s="106"/>
      <c r="M174" s="106"/>
      <c r="N174" s="36"/>
    </row>
    <row r="175" spans="1:20" s="88" customFormat="1" ht="15.75" customHeight="1" x14ac:dyDescent="0.35">
      <c r="A175" s="108">
        <f>A174+1</f>
        <v>3</v>
      </c>
      <c r="B175" s="109"/>
      <c r="C175" s="87" t="s">
        <v>363</v>
      </c>
      <c r="D175" s="96">
        <f>(29.93)*10.764</f>
        <v>322.16651999999999</v>
      </c>
      <c r="E175" s="96">
        <f>(2.75+1.1*(2.3+2.75)+0.75*(2.75+2.3+2.75))*10.764</f>
        <v>152.36442</v>
      </c>
      <c r="F175" s="87">
        <f t="shared" si="13"/>
        <v>474.53093999999999</v>
      </c>
      <c r="G175" s="87">
        <v>0</v>
      </c>
      <c r="H175" s="87">
        <f t="shared" si="14"/>
        <v>711.79640999999992</v>
      </c>
      <c r="I175" s="36"/>
      <c r="L175" s="106"/>
      <c r="M175" s="106"/>
      <c r="N175" s="36"/>
    </row>
    <row r="176" spans="1:20" s="88" customFormat="1" ht="15.75" customHeight="1" x14ac:dyDescent="0.35">
      <c r="A176" s="108">
        <f>A175+1</f>
        <v>4</v>
      </c>
      <c r="B176" s="109"/>
      <c r="C176" s="87" t="s">
        <v>363</v>
      </c>
      <c r="D176" s="96">
        <f>(29.93)*10.764</f>
        <v>322.16651999999999</v>
      </c>
      <c r="E176" s="96">
        <f>(2.75+1.1*(2.3+2.75)+0.75*(2.75+2.3+2.75))*10.764</f>
        <v>152.36442</v>
      </c>
      <c r="F176" s="87">
        <f t="shared" si="13"/>
        <v>474.53093999999999</v>
      </c>
      <c r="G176" s="87">
        <v>0</v>
      </c>
      <c r="H176" s="87">
        <f t="shared" si="14"/>
        <v>711.79640999999992</v>
      </c>
      <c r="I176" s="36"/>
      <c r="L176" s="106"/>
      <c r="M176" s="106"/>
      <c r="N176" s="36"/>
      <c r="T176" s="21"/>
    </row>
    <row r="177" spans="1:20" s="88" customFormat="1" ht="15.75" customHeight="1" x14ac:dyDescent="0.35">
      <c r="A177" s="108">
        <f t="shared" ref="A177:A180" si="15">A176+1</f>
        <v>5</v>
      </c>
      <c r="B177" s="109"/>
      <c r="C177" s="87" t="s">
        <v>365</v>
      </c>
      <c r="D177" s="96">
        <f>(36)*10.764</f>
        <v>387.50399999999996</v>
      </c>
      <c r="E177" s="96">
        <f>(1.1*(2.75+2.35+2.75+2.75)+0.75*(2.35+2.75+2.75+2.75))*10.764</f>
        <v>211.08203999999998</v>
      </c>
      <c r="F177" s="87">
        <f t="shared" si="13"/>
        <v>598.58603999999991</v>
      </c>
      <c r="G177" s="87">
        <v>0</v>
      </c>
      <c r="H177" s="87">
        <f t="shared" si="14"/>
        <v>897.87905999999987</v>
      </c>
      <c r="I177" s="36"/>
      <c r="L177" s="106"/>
      <c r="M177" s="106"/>
      <c r="N177" s="36"/>
    </row>
    <row r="178" spans="1:20" s="88" customFormat="1" ht="15.75" customHeight="1" x14ac:dyDescent="0.35">
      <c r="A178" s="108">
        <f t="shared" si="15"/>
        <v>6</v>
      </c>
      <c r="B178" s="109"/>
      <c r="C178" s="87" t="s">
        <v>365</v>
      </c>
      <c r="D178" s="96">
        <f>(46.49)*10.764</f>
        <v>500.41836000000001</v>
      </c>
      <c r="E178" s="96">
        <f>(1*(3.35+2.9)+0.75*(3.35+2.9+2.2))*10.764</f>
        <v>135.49184999999997</v>
      </c>
      <c r="F178" s="87">
        <f t="shared" si="13"/>
        <v>635.91021000000001</v>
      </c>
      <c r="G178" s="87">
        <v>0</v>
      </c>
      <c r="H178" s="87">
        <f t="shared" si="14"/>
        <v>953.86531500000001</v>
      </c>
      <c r="I178" s="36"/>
      <c r="L178" s="106"/>
      <c r="M178" s="106"/>
      <c r="N178" s="36"/>
    </row>
    <row r="179" spans="1:20" s="88" customFormat="1" ht="15.75" customHeight="1" x14ac:dyDescent="0.35">
      <c r="A179" s="108">
        <f t="shared" si="15"/>
        <v>7</v>
      </c>
      <c r="B179" s="109"/>
      <c r="C179" s="87" t="s">
        <v>371</v>
      </c>
      <c r="D179" s="107" t="s">
        <v>368</v>
      </c>
      <c r="E179" s="107"/>
      <c r="F179" s="107"/>
      <c r="G179" s="107"/>
      <c r="H179" s="86" t="s">
        <v>371</v>
      </c>
      <c r="I179" s="36"/>
      <c r="L179" s="106"/>
      <c r="M179" s="106"/>
      <c r="N179" s="36"/>
    </row>
    <row r="180" spans="1:20" s="88" customFormat="1" ht="15.75" customHeight="1" x14ac:dyDescent="0.35">
      <c r="A180" s="108">
        <f t="shared" si="15"/>
        <v>8</v>
      </c>
      <c r="B180" s="109"/>
      <c r="C180" s="85" t="s">
        <v>371</v>
      </c>
      <c r="D180" s="107" t="s">
        <v>369</v>
      </c>
      <c r="E180" s="107"/>
      <c r="F180" s="107"/>
      <c r="G180" s="107"/>
      <c r="H180" s="86" t="s">
        <v>371</v>
      </c>
      <c r="I180" s="36"/>
      <c r="L180" s="106"/>
      <c r="M180" s="106"/>
      <c r="N180" s="36"/>
      <c r="T180" s="21"/>
    </row>
    <row r="181" spans="1:20" s="88" customFormat="1" x14ac:dyDescent="0.35">
      <c r="A181" s="123" t="s">
        <v>374</v>
      </c>
      <c r="B181" s="124"/>
      <c r="C181" s="124"/>
      <c r="D181" s="124"/>
      <c r="E181" s="124"/>
      <c r="F181" s="124"/>
      <c r="G181" s="124"/>
      <c r="H181" s="125"/>
      <c r="I181" s="92">
        <v>9</v>
      </c>
      <c r="J181" s="36"/>
    </row>
    <row r="182" spans="1:20" s="88" customFormat="1" ht="15.75" customHeight="1" x14ac:dyDescent="0.35">
      <c r="A182" s="108">
        <v>1</v>
      </c>
      <c r="B182" s="109"/>
      <c r="C182" s="87" t="s">
        <v>363</v>
      </c>
      <c r="D182" s="96">
        <f>(32.91)*10.764</f>
        <v>354.24323999999996</v>
      </c>
      <c r="E182" s="96">
        <f>(2.75+1.1*2.75+0.75*(2.75+2.75+2.7))*10.764</f>
        <v>128.36070000000001</v>
      </c>
      <c r="F182" s="87">
        <f t="shared" ref="F182:F188" si="16">D182+E182</f>
        <v>482.60393999999997</v>
      </c>
      <c r="G182" s="87">
        <v>0</v>
      </c>
      <c r="H182" s="87">
        <f t="shared" ref="H182:H188" si="17">F182*(($H$152)+1)+(IF(G182&lt;101,G182,IF(G182&lt;201,G182/2,IF(G182&lt;=301,G182/3,G182/4))))</f>
        <v>723.90590999999995</v>
      </c>
      <c r="I182" s="36">
        <f>2.75*(4.3+3+3.35)+1.2*(1.5+0.95)+1.05*1.2+1.5*0.95-2.75*(1+1.1)</f>
        <v>29.137499999999996</v>
      </c>
      <c r="J182" s="88">
        <f>2.75*4.3+2.75*3+2.75*3.35+1.5*1.2+1.2*0.95+1.1*1.2+1.4*0.95</f>
        <v>34.877499999999998</v>
      </c>
      <c r="K182" s="88">
        <f>2.75+1.1*2.75</f>
        <v>5.7750000000000004</v>
      </c>
      <c r="L182" s="106">
        <f>J182-K182</f>
        <v>29.102499999999999</v>
      </c>
      <c r="M182" s="106"/>
      <c r="N182" s="36"/>
    </row>
    <row r="183" spans="1:20" s="88" customFormat="1" ht="15.75" customHeight="1" x14ac:dyDescent="0.35">
      <c r="A183" s="108">
        <f>A182+1</f>
        <v>2</v>
      </c>
      <c r="B183" s="109"/>
      <c r="C183" s="87" t="s">
        <v>363</v>
      </c>
      <c r="D183" s="96">
        <f>(29.93)*10.764</f>
        <v>322.16651999999999</v>
      </c>
      <c r="E183" s="96">
        <f>(2.75+1.1*(2.3+2.75)+0.75*(2.75+2.3+2.75))*10.764</f>
        <v>152.36442</v>
      </c>
      <c r="F183" s="87">
        <f t="shared" si="16"/>
        <v>474.53093999999999</v>
      </c>
      <c r="G183" s="87">
        <v>0</v>
      </c>
      <c r="H183" s="87">
        <f t="shared" si="17"/>
        <v>711.79640999999992</v>
      </c>
      <c r="I183" s="36">
        <f>2.75*(4.3+3.35)+2.3*3.35+1.2*(1.9+2.25)+1.8*0.6-(1+1.1)*2.75-1.1*2.3</f>
        <v>26.497499999999995</v>
      </c>
      <c r="L183" s="106"/>
      <c r="M183" s="106"/>
      <c r="N183" s="36"/>
    </row>
    <row r="184" spans="1:20" s="88" customFormat="1" ht="15.75" customHeight="1" x14ac:dyDescent="0.35">
      <c r="A184" s="108">
        <f>A183+1</f>
        <v>3</v>
      </c>
      <c r="B184" s="109"/>
      <c r="C184" s="87" t="s">
        <v>363</v>
      </c>
      <c r="D184" s="96">
        <f>(29.93)*10.764</f>
        <v>322.16651999999999</v>
      </c>
      <c r="E184" s="96">
        <f>(2.75+1.1*(2.3+2.75)+0.75*(2.75+2.3+2.75))*10.764</f>
        <v>152.36442</v>
      </c>
      <c r="F184" s="87">
        <f t="shared" si="16"/>
        <v>474.53093999999999</v>
      </c>
      <c r="G184" s="87">
        <v>0</v>
      </c>
      <c r="H184" s="87">
        <f t="shared" si="17"/>
        <v>711.79640999999992</v>
      </c>
      <c r="I184" s="36"/>
      <c r="L184" s="106"/>
      <c r="M184" s="106"/>
      <c r="N184" s="36"/>
    </row>
    <row r="185" spans="1:20" s="88" customFormat="1" ht="15.75" customHeight="1" x14ac:dyDescent="0.35">
      <c r="A185" s="108">
        <f>A184+1</f>
        <v>4</v>
      </c>
      <c r="B185" s="109"/>
      <c r="C185" s="87" t="s">
        <v>363</v>
      </c>
      <c r="D185" s="96">
        <f>(29.93)*10.764</f>
        <v>322.16651999999999</v>
      </c>
      <c r="E185" s="96">
        <f>(2.75+1.1*(2.3+2.75)+0.75*(2.75+2.3+2.75))*10.764</f>
        <v>152.36442</v>
      </c>
      <c r="F185" s="87">
        <f t="shared" si="16"/>
        <v>474.53093999999999</v>
      </c>
      <c r="G185" s="87">
        <v>0</v>
      </c>
      <c r="H185" s="87">
        <f t="shared" si="17"/>
        <v>711.79640999999992</v>
      </c>
      <c r="I185" s="36"/>
      <c r="L185" s="106"/>
      <c r="M185" s="106"/>
      <c r="N185" s="36"/>
      <c r="T185" s="21"/>
    </row>
    <row r="186" spans="1:20" s="88" customFormat="1" ht="15.75" customHeight="1" x14ac:dyDescent="0.35">
      <c r="A186" s="108">
        <f t="shared" ref="A186:A188" si="18">A185+1</f>
        <v>5</v>
      </c>
      <c r="B186" s="109"/>
      <c r="C186" s="87" t="s">
        <v>365</v>
      </c>
      <c r="D186" s="96">
        <f>(36)*10.764</f>
        <v>387.50399999999996</v>
      </c>
      <c r="E186" s="96">
        <f>(1.1*(2.75+2.35+2.75+2.75)+0.75*(2.35+2.75+2.75+2.75))*10.764</f>
        <v>211.08203999999998</v>
      </c>
      <c r="F186" s="87">
        <f t="shared" si="16"/>
        <v>598.58603999999991</v>
      </c>
      <c r="G186" s="87">
        <v>0</v>
      </c>
      <c r="H186" s="87">
        <f t="shared" si="17"/>
        <v>897.87905999999987</v>
      </c>
      <c r="I186" s="36"/>
      <c r="L186" s="106"/>
      <c r="M186" s="106"/>
      <c r="N186" s="36"/>
    </row>
    <row r="187" spans="1:20" s="88" customFormat="1" ht="15.75" customHeight="1" x14ac:dyDescent="0.35">
      <c r="A187" s="108">
        <f t="shared" si="18"/>
        <v>6</v>
      </c>
      <c r="B187" s="109"/>
      <c r="C187" s="87" t="s">
        <v>365</v>
      </c>
      <c r="D187" s="96">
        <f>(46.49)*10.764</f>
        <v>500.41836000000001</v>
      </c>
      <c r="E187" s="96">
        <f>(1*(3.35+2.9)+0.75*(3.35+2.9+2.2))*10.764</f>
        <v>135.49184999999997</v>
      </c>
      <c r="F187" s="87">
        <f t="shared" si="16"/>
        <v>635.91021000000001</v>
      </c>
      <c r="G187" s="87">
        <v>0</v>
      </c>
      <c r="H187" s="87">
        <f t="shared" si="17"/>
        <v>953.86531500000001</v>
      </c>
      <c r="I187" s="36"/>
      <c r="L187" s="106"/>
      <c r="M187" s="106"/>
      <c r="N187" s="36"/>
    </row>
    <row r="188" spans="1:20" s="88" customFormat="1" ht="15.75" customHeight="1" x14ac:dyDescent="0.35">
      <c r="A188" s="108">
        <f t="shared" si="18"/>
        <v>7</v>
      </c>
      <c r="B188" s="109"/>
      <c r="C188" s="87" t="s">
        <v>363</v>
      </c>
      <c r="D188" s="87">
        <f>(28.14)*10.764</f>
        <v>302.89895999999999</v>
      </c>
      <c r="E188" s="87">
        <f>(1*(3.25+2.3+2.75)+0.75*(3.25+2.3+2.75))*10.764</f>
        <v>156.34710000000001</v>
      </c>
      <c r="F188" s="87">
        <f t="shared" si="16"/>
        <v>459.24606</v>
      </c>
      <c r="G188" s="87">
        <v>0</v>
      </c>
      <c r="H188" s="87">
        <f t="shared" si="17"/>
        <v>688.86909000000003</v>
      </c>
      <c r="I188" s="36"/>
      <c r="L188" s="106"/>
      <c r="M188" s="106"/>
      <c r="N188" s="36"/>
    </row>
    <row r="189" spans="1:20" s="88" customFormat="1" x14ac:dyDescent="0.35">
      <c r="A189" s="123" t="s">
        <v>370</v>
      </c>
      <c r="B189" s="124"/>
      <c r="C189" s="124"/>
      <c r="D189" s="124"/>
      <c r="E189" s="124"/>
      <c r="F189" s="124"/>
      <c r="G189" s="124"/>
      <c r="H189" s="125"/>
      <c r="I189" s="92">
        <v>2</v>
      </c>
      <c r="J189" s="36"/>
    </row>
    <row r="190" spans="1:20" s="88" customFormat="1" ht="15.75" customHeight="1" x14ac:dyDescent="0.35">
      <c r="A190" s="108">
        <v>1</v>
      </c>
      <c r="B190" s="109"/>
      <c r="C190" s="87" t="s">
        <v>363</v>
      </c>
      <c r="D190" s="96">
        <f>(32.91)*10.764</f>
        <v>354.24323999999996</v>
      </c>
      <c r="E190" s="96">
        <f>(2.75+1.1*2.75+0.75*(2.75+2.75+2.7))*10.764</f>
        <v>128.36070000000001</v>
      </c>
      <c r="F190" s="87">
        <f>D190+E190</f>
        <v>482.60393999999997</v>
      </c>
      <c r="G190" s="87">
        <v>0</v>
      </c>
      <c r="H190" s="87">
        <f>F190*(($H$152)+1)+(IF(G190&lt;101,G190,IF(G190&lt;201,G190/2,IF(G190&lt;=301,G190/3,G190/4))))</f>
        <v>723.90590999999995</v>
      </c>
      <c r="I190" s="36"/>
      <c r="L190" s="106"/>
      <c r="M190" s="106"/>
      <c r="N190" s="36"/>
    </row>
    <row r="191" spans="1:20" s="88" customFormat="1" ht="15.75" customHeight="1" x14ac:dyDescent="0.35">
      <c r="A191" s="108">
        <f>A190+1</f>
        <v>2</v>
      </c>
      <c r="B191" s="109"/>
      <c r="C191" s="87" t="s">
        <v>363</v>
      </c>
      <c r="D191" s="96">
        <f>(29.93)*10.764</f>
        <v>322.16651999999999</v>
      </c>
      <c r="E191" s="96">
        <f>(2.75+1.1*(2.3+2.75)+0.75*(2.75+2.3+2.75))*10.764</f>
        <v>152.36442</v>
      </c>
      <c r="F191" s="87">
        <f>D191+E191</f>
        <v>474.53093999999999</v>
      </c>
      <c r="G191" s="87">
        <v>0</v>
      </c>
      <c r="H191" s="87">
        <f>F191*(($H$152)+1)+(IF(G191&lt;101,G191,IF(G191&lt;201,G191/2,IF(G191&lt;=301,G191/3,G191/4))))</f>
        <v>711.79640999999992</v>
      </c>
      <c r="I191" s="36"/>
      <c r="L191" s="106"/>
      <c r="M191" s="106"/>
      <c r="N191" s="36"/>
    </row>
    <row r="192" spans="1:20" s="88" customFormat="1" ht="15.75" customHeight="1" x14ac:dyDescent="0.35">
      <c r="A192" s="108">
        <f>A191+1</f>
        <v>3</v>
      </c>
      <c r="B192" s="109"/>
      <c r="C192" s="87" t="s">
        <v>365</v>
      </c>
      <c r="D192" s="87">
        <f>(36.64)*10.764</f>
        <v>394.39295999999996</v>
      </c>
      <c r="E192" s="87">
        <f>(1.1*(2.75+2.3+2.75+2.75)+0.75*(2.75+2.3+2.75+2.75))*10.764</f>
        <v>210.08637000000002</v>
      </c>
      <c r="F192" s="87">
        <f>D192+E192</f>
        <v>604.47933</v>
      </c>
      <c r="G192" s="87">
        <v>0</v>
      </c>
      <c r="H192" s="87">
        <f>F192*(($H$152)+1)+(IF(G192&lt;101,G192,IF(G192&lt;201,G192/2,IF(G192&lt;=301,G192/3,G192/4))))</f>
        <v>906.71899499999995</v>
      </c>
      <c r="I192" s="36"/>
      <c r="L192" s="106"/>
      <c r="M192" s="106"/>
      <c r="N192" s="36"/>
    </row>
    <row r="193" spans="1:20" s="88" customFormat="1" ht="15.75" customHeight="1" x14ac:dyDescent="0.35">
      <c r="A193" s="108">
        <f>A192+1</f>
        <v>4</v>
      </c>
      <c r="B193" s="109"/>
      <c r="C193" s="87" t="s">
        <v>371</v>
      </c>
      <c r="D193" s="108" t="s">
        <v>372</v>
      </c>
      <c r="E193" s="122"/>
      <c r="F193" s="122"/>
      <c r="G193" s="109"/>
      <c r="H193" s="87" t="s">
        <v>371</v>
      </c>
      <c r="I193" s="36"/>
      <c r="L193" s="106"/>
      <c r="M193" s="106"/>
      <c r="N193" s="36"/>
      <c r="T193" s="21"/>
    </row>
    <row r="194" spans="1:20" s="88" customFormat="1" ht="15.75" customHeight="1" x14ac:dyDescent="0.35">
      <c r="A194" s="108">
        <f t="shared" ref="A194:A196" si="19">A193+1</f>
        <v>5</v>
      </c>
      <c r="B194" s="109"/>
      <c r="C194" s="87" t="s">
        <v>365</v>
      </c>
      <c r="D194" s="96">
        <f>(36)*10.764</f>
        <v>387.50399999999996</v>
      </c>
      <c r="E194" s="96">
        <f>(1.1*(2.75+2.35+2.75+2.75)+0.75*(2.35+2.75+2.75+2.75))*10.764</f>
        <v>211.08203999999998</v>
      </c>
      <c r="F194" s="87">
        <f>D194+E194</f>
        <v>598.58603999999991</v>
      </c>
      <c r="G194" s="87">
        <v>0</v>
      </c>
      <c r="H194" s="87">
        <f>F194*(($H$152)+1)+(IF(G194&lt;101,G194,IF(G194&lt;201,G194/2,IF(G194&lt;=301,G194/3,G194/4))))</f>
        <v>897.87905999999987</v>
      </c>
      <c r="I194" s="36"/>
      <c r="L194" s="106"/>
      <c r="M194" s="106"/>
      <c r="N194" s="36"/>
    </row>
    <row r="195" spans="1:20" s="88" customFormat="1" ht="15.75" customHeight="1" x14ac:dyDescent="0.35">
      <c r="A195" s="108">
        <f t="shared" si="19"/>
        <v>6</v>
      </c>
      <c r="B195" s="109"/>
      <c r="C195" s="87" t="s">
        <v>365</v>
      </c>
      <c r="D195" s="96">
        <f>(46.49)*10.764</f>
        <v>500.41836000000001</v>
      </c>
      <c r="E195" s="96">
        <f>(1*(3.35+2.9)+0.75*(3.35+2.9+2.2))*10.764</f>
        <v>135.49184999999997</v>
      </c>
      <c r="F195" s="87">
        <f>D195+E195</f>
        <v>635.91021000000001</v>
      </c>
      <c r="G195" s="87">
        <v>0</v>
      </c>
      <c r="H195" s="87">
        <f>F195*(($H$152)+1)+(IF(G195&lt;101,G195,IF(G195&lt;201,G195/2,IF(G195&lt;=301,G195/3,G195/4))))</f>
        <v>953.86531500000001</v>
      </c>
      <c r="I195" s="36"/>
      <c r="L195" s="106"/>
      <c r="M195" s="106"/>
      <c r="N195" s="36"/>
    </row>
    <row r="196" spans="1:20" s="88" customFormat="1" ht="15.75" customHeight="1" x14ac:dyDescent="0.35">
      <c r="A196" s="108">
        <f t="shared" si="19"/>
        <v>7</v>
      </c>
      <c r="B196" s="109"/>
      <c r="C196" s="87" t="s">
        <v>363</v>
      </c>
      <c r="D196" s="96">
        <f>(28.14)*10.764</f>
        <v>302.89895999999999</v>
      </c>
      <c r="E196" s="96">
        <f>(1*(3.25+2.3+2.75)+0.75*(3.25+2.3+2.75))*10.764</f>
        <v>156.34710000000001</v>
      </c>
      <c r="F196" s="87">
        <f>D196+E196</f>
        <v>459.24606</v>
      </c>
      <c r="G196" s="87">
        <v>0</v>
      </c>
      <c r="H196" s="87">
        <f>F196*(($H$152)+1)+(IF(G196&lt;101,G196,IF(G196&lt;201,G196/2,IF(G196&lt;=301,G196/3,G196/4))))</f>
        <v>688.86909000000003</v>
      </c>
      <c r="I196" s="36"/>
      <c r="L196" s="106"/>
      <c r="M196" s="106"/>
      <c r="N196" s="36"/>
    </row>
    <row r="197" spans="1:20" s="37" customFormat="1" hidden="1" x14ac:dyDescent="0.35">
      <c r="A197" s="195" t="s">
        <v>117</v>
      </c>
      <c r="B197" s="195"/>
      <c r="C197" s="195"/>
      <c r="D197" s="195"/>
      <c r="E197" s="195"/>
      <c r="F197" s="195"/>
      <c r="G197" s="195"/>
      <c r="H197" s="195"/>
      <c r="I197" s="36"/>
      <c r="L197" s="106"/>
      <c r="M197" s="106"/>
    </row>
    <row r="198" spans="1:20" s="37" customFormat="1" hidden="1" x14ac:dyDescent="0.35">
      <c r="A198" s="107">
        <f>LEFT(A197,SUM(LEN(A197)-LEN(SUBSTITUTE(A197,{"0","1","2","3","4","5","6","7","8","9"},""))))*100+1</f>
        <v>201</v>
      </c>
      <c r="B198" s="107"/>
      <c r="C198" s="42"/>
      <c r="D198" s="42"/>
      <c r="E198" s="54">
        <v>0</v>
      </c>
      <c r="F198" s="54">
        <f>D198+E198</f>
        <v>0</v>
      </c>
      <c r="G198" s="54">
        <v>0</v>
      </c>
      <c r="H198" s="54">
        <f>F198*(($H$152)+1)+(IF(G198&lt;101,G198,IF(G198&lt;201,G198/2,IF(G198&lt;=301,G198/3,G198/4))))</f>
        <v>0</v>
      </c>
      <c r="I198" s="36"/>
      <c r="N198" s="36"/>
    </row>
    <row r="199" spans="1:20" s="37" customFormat="1" hidden="1" x14ac:dyDescent="0.35">
      <c r="A199" s="107">
        <f>A198+1</f>
        <v>202</v>
      </c>
      <c r="B199" s="107"/>
      <c r="C199" s="42"/>
      <c r="D199" s="42"/>
      <c r="E199" s="54">
        <v>0</v>
      </c>
      <c r="F199" s="54">
        <f>D199+E199</f>
        <v>0</v>
      </c>
      <c r="G199" s="54">
        <v>0</v>
      </c>
      <c r="H199" s="54">
        <f>F199*(($H$152)+1)+(IF(G199&lt;101,G199,IF(G199&lt;201,G199/2,IF(G199&lt;=301,G199/3,G199/4))))</f>
        <v>0</v>
      </c>
      <c r="I199" s="36"/>
      <c r="N199" s="36"/>
    </row>
    <row r="200" spans="1:20" s="37" customFormat="1" hidden="1" x14ac:dyDescent="0.35">
      <c r="A200" s="107">
        <f>A199+1</f>
        <v>203</v>
      </c>
      <c r="B200" s="107"/>
      <c r="C200" s="42"/>
      <c r="D200" s="42"/>
      <c r="E200" s="54">
        <v>0</v>
      </c>
      <c r="F200" s="54">
        <f>D200+E200</f>
        <v>0</v>
      </c>
      <c r="G200" s="54">
        <v>0</v>
      </c>
      <c r="H200" s="54">
        <f>F200*(($H$152)+1)+(IF(G200&lt;101,G200,IF(G200&lt;201,G200/2,IF(G200&lt;=301,G200/3,G200/4))))</f>
        <v>0</v>
      </c>
      <c r="I200" s="36"/>
      <c r="N200" s="36"/>
    </row>
    <row r="201" spans="1:20" s="37" customFormat="1" hidden="1" x14ac:dyDescent="0.35">
      <c r="A201" s="107">
        <f>A200+1</f>
        <v>204</v>
      </c>
      <c r="B201" s="107"/>
      <c r="C201" s="42"/>
      <c r="D201" s="42"/>
      <c r="E201" s="54">
        <v>0</v>
      </c>
      <c r="F201" s="54">
        <f>D201+E201</f>
        <v>0</v>
      </c>
      <c r="G201" s="54">
        <v>0</v>
      </c>
      <c r="H201" s="54">
        <f>F201*(($H$152)+1)+(IF(G201&lt;101,G201,IF(G201&lt;201,G201/2,IF(G201&lt;=301,G201/3,G201/4))))</f>
        <v>0</v>
      </c>
      <c r="I201" s="36"/>
      <c r="N201" s="36"/>
    </row>
    <row r="202" spans="1:20" s="37" customFormat="1" hidden="1" x14ac:dyDescent="0.35">
      <c r="A202" s="107">
        <f>A201+1</f>
        <v>205</v>
      </c>
      <c r="B202" s="107"/>
      <c r="C202" s="42"/>
      <c r="D202" s="42"/>
      <c r="E202" s="54">
        <v>0</v>
      </c>
      <c r="F202" s="54">
        <f>D202+E202</f>
        <v>0</v>
      </c>
      <c r="G202" s="54">
        <v>0</v>
      </c>
      <c r="H202" s="54">
        <f>F202*(($H$152)+1)+(IF(G202&lt;101,G202,IF(G202&lt;201,G202/2,IF(G202&lt;=301,G202/3,G202/4))))</f>
        <v>0</v>
      </c>
      <c r="I202" s="36"/>
      <c r="N202" s="36"/>
    </row>
    <row r="203" spans="1:20" s="37" customFormat="1" ht="15.75" hidden="1" customHeight="1" x14ac:dyDescent="0.35">
      <c r="A203" s="123" t="s">
        <v>149</v>
      </c>
      <c r="B203" s="124"/>
      <c r="C203" s="124"/>
      <c r="D203" s="124"/>
      <c r="E203" s="124"/>
      <c r="F203" s="124"/>
      <c r="G203" s="124"/>
      <c r="H203" s="125"/>
      <c r="I203" s="36"/>
    </row>
    <row r="204" spans="1:20" s="37" customFormat="1" ht="15.75" hidden="1" customHeight="1" x14ac:dyDescent="0.35">
      <c r="A204" s="108"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10^ROW(INDIRECT("1:"&amp;LEN((LEFT(A203,SUM(LEN(A203)-LEN(SUBSTITUTE(A203,{"0","1","2"},""))))))))/10))*100+1&amp;""&amp;"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",LEN(A203))),LEN(A203)))))))/10))*100+1</f>
        <v>301 ,.., 1501</v>
      </c>
      <c r="B204" s="109"/>
      <c r="C204" s="42"/>
      <c r="D204" s="42"/>
      <c r="E204" s="54">
        <v>0</v>
      </c>
      <c r="F204" s="54">
        <f>D204+E204</f>
        <v>0</v>
      </c>
      <c r="G204" s="54">
        <v>0</v>
      </c>
      <c r="H204" s="54">
        <f>F204*(($H$152)+1)+(IF(G204&lt;101,G204,IF(G204&lt;201,G204/2,IF(G204&lt;=301,G204/3,G204/4))))</f>
        <v>0</v>
      </c>
      <c r="I204" s="36"/>
    </row>
    <row r="205" spans="1:20" s="37" customFormat="1" ht="15.75" hidden="1" customHeight="1" x14ac:dyDescent="0.35">
      <c r="A205" s="108"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302 ,.., 1502</v>
      </c>
      <c r="B205" s="109"/>
      <c r="C205" s="42"/>
      <c r="D205" s="42"/>
      <c r="E205" s="54">
        <v>0</v>
      </c>
      <c r="F205" s="54">
        <f>D205+E205</f>
        <v>0</v>
      </c>
      <c r="G205" s="54">
        <v>0</v>
      </c>
      <c r="H205" s="54">
        <f>F205*(($H$152)+1)+(IF(G205&lt;101,G205,IF(G205&lt;201,G205/2,IF(G205&lt;=301,G205/3,G205/4))))</f>
        <v>0</v>
      </c>
      <c r="I205" s="36"/>
    </row>
    <row r="206" spans="1:20" s="37" customFormat="1" ht="15.75" hidden="1" customHeight="1" x14ac:dyDescent="0.35">
      <c r="A206" s="108"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303 ,.., 1503</v>
      </c>
      <c r="B206" s="109"/>
      <c r="C206" s="42"/>
      <c r="D206" s="42"/>
      <c r="E206" s="54">
        <v>0</v>
      </c>
      <c r="F206" s="54">
        <f>D206+E206</f>
        <v>0</v>
      </c>
      <c r="G206" s="54">
        <v>0</v>
      </c>
      <c r="H206" s="54">
        <f>F206*(($H$152)+1)+(IF(G206&lt;101,G206,IF(G206&lt;201,G206/2,IF(G206&lt;=301,G206/3,G206/4))))</f>
        <v>0</v>
      </c>
      <c r="I206" s="36"/>
    </row>
    <row r="207" spans="1:20" s="37" customFormat="1" ht="15.75" hidden="1" customHeight="1" x14ac:dyDescent="0.35">
      <c r="A207" s="108"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304 ,.., 1504</v>
      </c>
      <c r="B207" s="109"/>
      <c r="C207" s="42"/>
      <c r="D207" s="42"/>
      <c r="E207" s="54">
        <v>0</v>
      </c>
      <c r="F207" s="54">
        <f>D207+E207</f>
        <v>0</v>
      </c>
      <c r="G207" s="54">
        <v>0</v>
      </c>
      <c r="H207" s="54">
        <f>F207*(($H$152)+1)+(IF(G207&lt;101,G207,IF(G207&lt;201,G207/2,IF(G207&lt;=301,G207/3,G207/4))))</f>
        <v>0</v>
      </c>
      <c r="I207" s="36"/>
    </row>
    <row r="208" spans="1:20" s="37" customFormat="1" ht="15.75" hidden="1" customHeight="1" x14ac:dyDescent="0.35">
      <c r="A208" s="108"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305 ,.., 1505</v>
      </c>
      <c r="B208" s="109"/>
      <c r="C208" s="42"/>
      <c r="D208" s="42"/>
      <c r="E208" s="54">
        <v>0</v>
      </c>
      <c r="F208" s="54">
        <f>D208+E208</f>
        <v>0</v>
      </c>
      <c r="G208" s="54">
        <v>0</v>
      </c>
      <c r="H208" s="54">
        <f>F208*(($H$152)+1)+(IF(G208&lt;101,G208,IF(G208&lt;201,G208/2,IF(G208&lt;=301,G208/3,G208/4))))</f>
        <v>0</v>
      </c>
      <c r="I208" s="36"/>
    </row>
    <row r="209" spans="1:20" s="37" customFormat="1" hidden="1" x14ac:dyDescent="0.35">
      <c r="A209" s="123" t="s">
        <v>143</v>
      </c>
      <c r="B209" s="124"/>
      <c r="C209" s="124"/>
      <c r="D209" s="124"/>
      <c r="E209" s="124"/>
      <c r="F209" s="124"/>
      <c r="G209" s="124"/>
      <c r="H209" s="125"/>
      <c r="I209" s="36"/>
    </row>
    <row r="210" spans="1:20" s="37" customFormat="1" ht="15.75" hidden="1" customHeight="1" x14ac:dyDescent="0.35">
      <c r="A210" s="108"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10^ROW(INDIRECT("1:"&amp;LEN((LEFT(A209,SUM(LEN(A209)-LEN(SUBSTITUTE(A209,{"0","1","2"},""))))))))/10))*100+1&amp;""&amp;"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",LEN(A209))),LEN(A209)))))))/10))*100+1</f>
        <v>201 to 501</v>
      </c>
      <c r="B210" s="109"/>
      <c r="C210" s="42"/>
      <c r="D210" s="42"/>
      <c r="E210" s="54">
        <v>0</v>
      </c>
      <c r="F210" s="54">
        <f>D210+E210</f>
        <v>0</v>
      </c>
      <c r="G210" s="54">
        <v>0</v>
      </c>
      <c r="H210" s="54">
        <f>F210*(($H$152)+1)+(IF(G210&lt;101,G210,IF(G210&lt;201,G210/2,IF(G210&lt;=301,G210/3,G210/4))))</f>
        <v>0</v>
      </c>
      <c r="I210" s="36"/>
    </row>
    <row r="211" spans="1:20" s="37" customFormat="1" ht="15.75" hidden="1" customHeight="1" x14ac:dyDescent="0.35">
      <c r="A211" s="108"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202 to 502</v>
      </c>
      <c r="B211" s="109"/>
      <c r="C211" s="42"/>
      <c r="D211" s="42"/>
      <c r="E211" s="54">
        <v>0</v>
      </c>
      <c r="F211" s="54">
        <f>D211+E211</f>
        <v>0</v>
      </c>
      <c r="G211" s="54">
        <v>0</v>
      </c>
      <c r="H211" s="54">
        <f>F211*(($H$152)+1)+(IF(G211&lt;101,G211,IF(G211&lt;201,G211/2,IF(G211&lt;=301,G211/3,G211/4))))</f>
        <v>0</v>
      </c>
      <c r="I211" s="36"/>
    </row>
    <row r="212" spans="1:20" s="37" customFormat="1" ht="15.75" hidden="1" customHeight="1" x14ac:dyDescent="0.35">
      <c r="A212" s="108"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to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203 to 503</v>
      </c>
      <c r="B212" s="109"/>
      <c r="C212" s="42"/>
      <c r="D212" s="42"/>
      <c r="E212" s="54">
        <v>0</v>
      </c>
      <c r="F212" s="54">
        <f>D212+E212</f>
        <v>0</v>
      </c>
      <c r="G212" s="54">
        <v>0</v>
      </c>
      <c r="H212" s="54">
        <f>F212*(($H$152)+1)+(IF(G212&lt;101,G212,IF(G212&lt;201,G212/2,IF(G212&lt;=301,G212/3,G212/4))))</f>
        <v>0</v>
      </c>
      <c r="I212" s="36"/>
    </row>
    <row r="213" spans="1:20" s="37" customFormat="1" ht="15.75" hidden="1" customHeight="1" x14ac:dyDescent="0.35">
      <c r="A213" s="108"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to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204 to 504</v>
      </c>
      <c r="B213" s="109"/>
      <c r="C213" s="42"/>
      <c r="D213" s="42"/>
      <c r="E213" s="54">
        <v>0</v>
      </c>
      <c r="F213" s="54">
        <f>D213+E213</f>
        <v>0</v>
      </c>
      <c r="G213" s="54">
        <v>0</v>
      </c>
      <c r="H213" s="54">
        <f>F213*(($H$152)+1)+(IF(G213&lt;101,G213,IF(G213&lt;201,G213/2,IF(G213&lt;=301,G213/3,G213/4))))</f>
        <v>0</v>
      </c>
      <c r="I213" s="36"/>
    </row>
    <row r="214" spans="1:20" s="37" customFormat="1" ht="15.75" hidden="1" customHeight="1" x14ac:dyDescent="0.35">
      <c r="A214" s="108"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to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205 to 505</v>
      </c>
      <c r="B214" s="109"/>
      <c r="C214" s="42"/>
      <c r="D214" s="42"/>
      <c r="E214" s="54">
        <v>0</v>
      </c>
      <c r="F214" s="54">
        <f>D214+E214</f>
        <v>0</v>
      </c>
      <c r="G214" s="54">
        <v>0</v>
      </c>
      <c r="H214" s="54">
        <f>F214*(($H$152)+1)+(IF(G214&lt;101,G214,IF(G214&lt;201,G214/2,IF(G214&lt;=301,G214/3,G214/4))))</f>
        <v>0</v>
      </c>
      <c r="I214" s="36"/>
    </row>
    <row r="215" spans="1:20" s="37" customFormat="1" hidden="1" x14ac:dyDescent="0.35">
      <c r="A215" s="123" t="s">
        <v>144</v>
      </c>
      <c r="B215" s="124"/>
      <c r="C215" s="124"/>
      <c r="D215" s="124"/>
      <c r="E215" s="124"/>
      <c r="F215" s="124"/>
      <c r="G215" s="124"/>
      <c r="H215" s="125"/>
      <c r="I215" s="36"/>
    </row>
    <row r="216" spans="1:20" s="37" customFormat="1" ht="15.75" hidden="1" customHeight="1" x14ac:dyDescent="0.35">
      <c r="A216" s="108"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10^ROW(INDIRECT("1:"&amp;LEN((LEFT(A215,SUM(LEN(A215)-LEN(SUBSTITUTE(A215,{"0","1","2"},""))))))))/10))*100+1&amp;""&amp;"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",LEN(A215))),LEN(A215)))))))/10))*100+1</f>
        <v>201 &amp; 501</v>
      </c>
      <c r="B216" s="109"/>
      <c r="C216" s="42"/>
      <c r="D216" s="42"/>
      <c r="E216" s="54">
        <v>0</v>
      </c>
      <c r="F216" s="54">
        <f>D216+E216</f>
        <v>0</v>
      </c>
      <c r="G216" s="54">
        <v>0</v>
      </c>
      <c r="H216" s="54">
        <f>F216*(($H$152)+1)+(IF(G216&lt;101,G216,IF(G216&lt;201,G216/2,IF(G216&lt;=301,G216/3,G216/4))))</f>
        <v>0</v>
      </c>
      <c r="I216" s="36"/>
    </row>
    <row r="217" spans="1:20" s="37" customFormat="1" ht="15.75" hidden="1" customHeight="1" x14ac:dyDescent="0.35">
      <c r="A217" s="108"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202 &amp; 502</v>
      </c>
      <c r="B217" s="109"/>
      <c r="C217" s="42"/>
      <c r="D217" s="42"/>
      <c r="E217" s="54">
        <v>0</v>
      </c>
      <c r="F217" s="54">
        <f>D217+E217</f>
        <v>0</v>
      </c>
      <c r="G217" s="54">
        <v>0</v>
      </c>
      <c r="H217" s="54">
        <f>F217*(($H$152)+1)+(IF(G217&lt;101,G217,IF(G217&lt;201,G217/2,IF(G217&lt;=301,G217/3,G217/4))))</f>
        <v>0</v>
      </c>
      <c r="I217" s="36"/>
    </row>
    <row r="218" spans="1:20" s="37" customFormat="1" ht="15.75" hidden="1" customHeight="1" x14ac:dyDescent="0.35">
      <c r="A218" s="108"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&amp;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203 &amp; 503</v>
      </c>
      <c r="B218" s="109"/>
      <c r="C218" s="42"/>
      <c r="D218" s="42"/>
      <c r="E218" s="54">
        <v>0</v>
      </c>
      <c r="F218" s="54">
        <f>D218+E218</f>
        <v>0</v>
      </c>
      <c r="G218" s="54">
        <v>0</v>
      </c>
      <c r="H218" s="54">
        <f>F218*(($H$152)+1)+(IF(G218&lt;101,G218,IF(G218&lt;201,G218/2,IF(G218&lt;=301,G218/3,G218/4))))</f>
        <v>0</v>
      </c>
      <c r="I218" s="36"/>
    </row>
    <row r="219" spans="1:20" s="37" customFormat="1" ht="15.75" hidden="1" customHeight="1" x14ac:dyDescent="0.35">
      <c r="A219" s="108"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&amp;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204 &amp; 504</v>
      </c>
      <c r="B219" s="109"/>
      <c r="C219" s="42"/>
      <c r="D219" s="42"/>
      <c r="E219" s="54">
        <v>0</v>
      </c>
      <c r="F219" s="54">
        <f>D219+E219</f>
        <v>0</v>
      </c>
      <c r="G219" s="54">
        <v>0</v>
      </c>
      <c r="H219" s="54">
        <f>F219*(($H$152)+1)+(IF(G219&lt;101,G219,IF(G219&lt;201,G219/2,IF(G219&lt;=301,G219/3,G219/4))))</f>
        <v>0</v>
      </c>
      <c r="I219" s="36"/>
    </row>
    <row r="220" spans="1:20" s="37" customFormat="1" ht="15.75" hidden="1" customHeight="1" x14ac:dyDescent="0.35">
      <c r="A220" s="108"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&amp;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205 &amp; 505</v>
      </c>
      <c r="B220" s="109"/>
      <c r="C220" s="42"/>
      <c r="D220" s="42"/>
      <c r="E220" s="54">
        <v>0</v>
      </c>
      <c r="F220" s="54">
        <f>D220+E220</f>
        <v>0</v>
      </c>
      <c r="G220" s="54">
        <v>0</v>
      </c>
      <c r="H220" s="54">
        <f>F220*(($H$152)+1)+(IF(G220&lt;101,G220,IF(G220&lt;201,G220/2,IF(G220&lt;=301,G220/3,G220/4))))</f>
        <v>0</v>
      </c>
      <c r="I220" s="36"/>
    </row>
    <row r="221" spans="1:20" s="35" customFormat="1" x14ac:dyDescent="0.35">
      <c r="A221" s="147" t="s">
        <v>65</v>
      </c>
      <c r="B221" s="147"/>
      <c r="C221" s="147"/>
      <c r="D221" s="147"/>
      <c r="E221" s="147"/>
      <c r="F221" s="147"/>
      <c r="G221" s="147"/>
      <c r="H221" s="147"/>
      <c r="T221" s="37"/>
    </row>
    <row r="222" spans="1:20" s="35" customFormat="1" x14ac:dyDescent="0.35">
      <c r="A222" s="44" t="s">
        <v>153</v>
      </c>
      <c r="B222" s="177" t="s">
        <v>384</v>
      </c>
      <c r="C222" s="178"/>
      <c r="D222" s="178"/>
      <c r="E222" s="178"/>
      <c r="F222" s="178"/>
      <c r="G222" s="178"/>
      <c r="H222" s="179"/>
      <c r="T222" s="37"/>
    </row>
    <row r="223" spans="1:20" s="35" customFormat="1" x14ac:dyDescent="0.35">
      <c r="A223" s="44" t="s">
        <v>153</v>
      </c>
      <c r="B223" s="119" t="str">
        <f>(IF(H151="Saleable area Loading :","We have considered Saleable area of Flats as per our Calculation.","We considered Saleable area of Flat as per Builder area Sheet."))</f>
        <v>We have considered Saleable area of Flats as per our Calculation.</v>
      </c>
      <c r="C223" s="120"/>
      <c r="D223" s="120"/>
      <c r="E223" s="120"/>
      <c r="F223" s="120"/>
      <c r="G223" s="120"/>
      <c r="H223" s="121"/>
      <c r="T223" s="37"/>
    </row>
    <row r="224" spans="1:20" s="35" customFormat="1" x14ac:dyDescent="0.35">
      <c r="A224" s="44" t="s">
        <v>153</v>
      </c>
      <c r="B224" s="119" t="str">
        <f>(IF(H139="Saleable area Loading :","We have considered Saleable area of Commercial as per our Calculation.","We considered Saleable area of Commercial as per Builder area Sheet."))</f>
        <v>We have considered Saleable area of Commercial as per our Calculation.</v>
      </c>
      <c r="C224" s="120"/>
      <c r="D224" s="120"/>
      <c r="E224" s="120"/>
      <c r="F224" s="120"/>
      <c r="G224" s="120"/>
      <c r="H224" s="121"/>
      <c r="T224" s="37"/>
    </row>
    <row r="225" spans="1:20" s="35" customFormat="1" x14ac:dyDescent="0.35">
      <c r="A225" s="44" t="s">
        <v>153</v>
      </c>
      <c r="B225" s="103" t="s">
        <v>120</v>
      </c>
      <c r="C225" s="104"/>
      <c r="D225" s="104"/>
      <c r="E225" s="104"/>
      <c r="F225" s="104"/>
      <c r="G225" s="104"/>
      <c r="H225" s="105"/>
      <c r="T225" s="37"/>
    </row>
    <row r="226" spans="1:20" s="35" customFormat="1" x14ac:dyDescent="0.35">
      <c r="A226" s="44" t="s">
        <v>153</v>
      </c>
      <c r="B226" s="103" t="s">
        <v>397</v>
      </c>
      <c r="C226" s="104"/>
      <c r="D226" s="104"/>
      <c r="E226" s="104"/>
      <c r="F226" s="104"/>
      <c r="G226" s="104"/>
      <c r="H226" s="105"/>
      <c r="T226" s="37"/>
    </row>
    <row r="227" spans="1:20" s="35" customFormat="1" x14ac:dyDescent="0.35">
      <c r="A227" s="44" t="s">
        <v>153</v>
      </c>
      <c r="B227" s="103" t="s">
        <v>152</v>
      </c>
      <c r="C227" s="104"/>
      <c r="D227" s="104"/>
      <c r="E227" s="104"/>
      <c r="F227" s="104"/>
      <c r="G227" s="104"/>
      <c r="H227" s="105"/>
    </row>
    <row r="228" spans="1:20" s="35" customFormat="1" x14ac:dyDescent="0.35">
      <c r="A228" s="44" t="s">
        <v>153</v>
      </c>
      <c r="B228" s="103" t="s">
        <v>121</v>
      </c>
      <c r="C228" s="104"/>
      <c r="D228" s="104"/>
      <c r="E228" s="104"/>
      <c r="F228" s="104"/>
      <c r="G228" s="104"/>
      <c r="H228" s="105"/>
    </row>
    <row r="229" spans="1:20" s="35" customFormat="1" ht="34.5" customHeight="1" x14ac:dyDescent="0.35">
      <c r="A229" s="44" t="s">
        <v>153</v>
      </c>
      <c r="B229" s="103" t="s">
        <v>154</v>
      </c>
      <c r="C229" s="104"/>
      <c r="D229" s="104"/>
      <c r="E229" s="104"/>
      <c r="F229" s="104"/>
      <c r="G229" s="104"/>
      <c r="H229" s="105"/>
    </row>
    <row r="230" spans="1:20" s="35" customFormat="1" x14ac:dyDescent="0.35">
      <c r="A230" s="44" t="s">
        <v>153</v>
      </c>
      <c r="B230" s="103" t="s">
        <v>122</v>
      </c>
      <c r="C230" s="104"/>
      <c r="D230" s="104"/>
      <c r="E230" s="104"/>
      <c r="F230" s="104"/>
      <c r="G230" s="104"/>
      <c r="H230" s="105"/>
    </row>
    <row r="231" spans="1:20" s="35" customFormat="1" ht="32.25" hidden="1" customHeight="1" x14ac:dyDescent="0.35">
      <c r="A231" s="51" t="s">
        <v>153</v>
      </c>
      <c r="B231" s="110" t="s">
        <v>179</v>
      </c>
      <c r="C231" s="111"/>
      <c r="D231" s="111"/>
      <c r="E231" s="111"/>
      <c r="F231" s="111"/>
      <c r="G231" s="111"/>
      <c r="H231" s="112"/>
    </row>
    <row r="232" spans="1:20" s="35" customFormat="1" hidden="1" x14ac:dyDescent="0.35">
      <c r="A232" s="55" t="s">
        <v>153</v>
      </c>
      <c r="B232" s="110" t="s">
        <v>233</v>
      </c>
      <c r="C232" s="111"/>
      <c r="D232" s="111"/>
      <c r="E232" s="111"/>
      <c r="F232" s="111"/>
      <c r="G232" s="111"/>
      <c r="H232" s="112"/>
    </row>
    <row r="233" spans="1:20" s="35" customFormat="1" x14ac:dyDescent="0.35">
      <c r="A233" s="91" t="s">
        <v>153</v>
      </c>
      <c r="B233" s="119" t="s">
        <v>413</v>
      </c>
      <c r="C233" s="120"/>
      <c r="D233" s="120"/>
      <c r="E233" s="120"/>
      <c r="F233" s="120"/>
      <c r="G233" s="120"/>
      <c r="H233" s="121"/>
    </row>
    <row r="234" spans="1:20" x14ac:dyDescent="0.35">
      <c r="A234" s="196" t="s">
        <v>58</v>
      </c>
      <c r="B234" s="196"/>
      <c r="C234" s="196"/>
      <c r="D234" s="196"/>
      <c r="E234" s="196"/>
      <c r="F234" s="196"/>
      <c r="G234" s="196"/>
      <c r="H234" s="196"/>
      <c r="T234" s="35"/>
    </row>
    <row r="235" spans="1:20" x14ac:dyDescent="0.35">
      <c r="A235" s="133" t="s">
        <v>59</v>
      </c>
      <c r="B235" s="133"/>
      <c r="C235" s="133"/>
      <c r="D235" s="133"/>
      <c r="E235" s="133"/>
      <c r="F235" s="133"/>
      <c r="G235" s="133"/>
      <c r="H235" s="133"/>
      <c r="T235" s="35"/>
    </row>
    <row r="236" spans="1:20" ht="15.75" customHeight="1" x14ac:dyDescent="0.35">
      <c r="A236" s="172" t="s">
        <v>60</v>
      </c>
      <c r="B236" s="172"/>
      <c r="C236" s="172"/>
      <c r="D236" s="172"/>
      <c r="E236" s="172"/>
      <c r="F236" s="172"/>
      <c r="G236" s="172"/>
      <c r="H236" s="172"/>
      <c r="T236" s="35"/>
    </row>
    <row r="237" spans="1:20" x14ac:dyDescent="0.35">
      <c r="A237" s="133" t="s">
        <v>61</v>
      </c>
      <c r="B237" s="133"/>
      <c r="C237" s="133"/>
      <c r="D237" s="133"/>
      <c r="E237" s="133"/>
      <c r="F237" s="133"/>
      <c r="G237" s="133"/>
      <c r="H237" s="133"/>
      <c r="T237" s="35"/>
    </row>
    <row r="238" spans="1:20" x14ac:dyDescent="0.35">
      <c r="A238" s="133" t="s">
        <v>62</v>
      </c>
      <c r="B238" s="133"/>
      <c r="C238" s="133"/>
      <c r="D238" s="133"/>
      <c r="E238" s="133"/>
      <c r="F238" s="133"/>
      <c r="G238" s="133"/>
      <c r="H238" s="133"/>
      <c r="T238" s="35"/>
    </row>
    <row r="239" spans="1:20" x14ac:dyDescent="0.35">
      <c r="A239" s="133" t="s">
        <v>123</v>
      </c>
      <c r="B239" s="133"/>
      <c r="C239" s="133"/>
      <c r="D239" s="133"/>
      <c r="E239" s="133"/>
      <c r="F239" s="133"/>
      <c r="G239" s="133"/>
      <c r="H239" s="133"/>
      <c r="T239" s="35"/>
    </row>
    <row r="240" spans="1:20" ht="34" customHeight="1" x14ac:dyDescent="0.35">
      <c r="A240" s="134" t="s">
        <v>124</v>
      </c>
      <c r="B240" s="134"/>
      <c r="C240" s="134"/>
      <c r="D240" s="134"/>
      <c r="E240" s="134"/>
      <c r="F240" s="134"/>
      <c r="G240" s="134"/>
      <c r="H240" s="134"/>
    </row>
    <row r="241" spans="1:8" x14ac:dyDescent="0.35">
      <c r="A241" s="191" t="s">
        <v>74</v>
      </c>
      <c r="B241" s="191"/>
      <c r="C241" s="191" t="s">
        <v>385</v>
      </c>
      <c r="D241" s="191"/>
      <c r="E241" s="191" t="s">
        <v>104</v>
      </c>
      <c r="F241" s="191"/>
      <c r="G241" s="192" t="s">
        <v>415</v>
      </c>
      <c r="H241" s="192"/>
    </row>
    <row r="242" spans="1:8" x14ac:dyDescent="0.35">
      <c r="A242" s="190" t="s">
        <v>76</v>
      </c>
      <c r="B242" s="190"/>
      <c r="C242" s="190"/>
      <c r="D242" s="190"/>
      <c r="E242" s="190"/>
      <c r="F242" s="190"/>
      <c r="G242" s="190"/>
      <c r="H242" s="190"/>
    </row>
    <row r="243" spans="1:8" x14ac:dyDescent="0.35">
      <c r="A243" s="190"/>
      <c r="B243" s="190"/>
      <c r="C243" s="190"/>
      <c r="D243" s="190"/>
      <c r="E243" s="190"/>
      <c r="F243" s="190"/>
      <c r="G243" s="190"/>
      <c r="H243" s="190"/>
    </row>
    <row r="244" spans="1:8" x14ac:dyDescent="0.35">
      <c r="A244" s="190"/>
      <c r="B244" s="190"/>
      <c r="C244" s="190"/>
      <c r="D244" s="190"/>
      <c r="E244" s="190"/>
      <c r="F244" s="190"/>
      <c r="G244" s="190"/>
      <c r="H244" s="190"/>
    </row>
    <row r="245" spans="1:8" x14ac:dyDescent="0.35">
      <c r="A245" s="190"/>
      <c r="B245" s="190"/>
      <c r="C245" s="190"/>
      <c r="D245" s="190"/>
      <c r="E245" s="190"/>
      <c r="F245" s="190"/>
      <c r="G245" s="190"/>
      <c r="H245" s="190"/>
    </row>
    <row r="246" spans="1:8" x14ac:dyDescent="0.35">
      <c r="A246" s="38" t="s">
        <v>63</v>
      </c>
      <c r="B246" s="39"/>
      <c r="C246" s="39"/>
      <c r="D246" s="38" t="str">
        <f>E9</f>
        <v>Pawshe Pride</v>
      </c>
      <c r="F246" s="39"/>
      <c r="G246" s="39"/>
      <c r="H246" s="39"/>
    </row>
    <row r="247" spans="1:8" x14ac:dyDescent="0.35">
      <c r="A247" s="39"/>
      <c r="B247" s="39"/>
      <c r="C247" s="39"/>
      <c r="D247" s="39"/>
      <c r="E247" s="39"/>
      <c r="F247" s="39"/>
      <c r="G247" s="39"/>
      <c r="H247" s="39"/>
    </row>
    <row r="248" spans="1:8" x14ac:dyDescent="0.35">
      <c r="A248" s="39"/>
      <c r="B248" s="39"/>
      <c r="C248" s="39"/>
      <c r="D248" s="39"/>
      <c r="E248" s="39"/>
      <c r="F248" s="39"/>
      <c r="G248" s="39"/>
      <c r="H248" s="39"/>
    </row>
    <row r="249" spans="1:8" ht="15" customHeight="1" x14ac:dyDescent="0.35"/>
    <row r="289" spans="1:1" x14ac:dyDescent="0.35">
      <c r="A289" s="41" t="s">
        <v>163</v>
      </c>
    </row>
    <row r="332" spans="1:1" x14ac:dyDescent="0.35">
      <c r="A332" s="41" t="s">
        <v>64</v>
      </c>
    </row>
  </sheetData>
  <mergeCells count="437">
    <mergeCell ref="B151:B152"/>
    <mergeCell ref="B224:H224"/>
    <mergeCell ref="A174:B174"/>
    <mergeCell ref="A180:B180"/>
    <mergeCell ref="C101:H101"/>
    <mergeCell ref="A102:B102"/>
    <mergeCell ref="E102:F102"/>
    <mergeCell ref="G102:H102"/>
    <mergeCell ref="A103:B103"/>
    <mergeCell ref="E103:F112"/>
    <mergeCell ref="G103:H112"/>
    <mergeCell ref="A104:B104"/>
    <mergeCell ref="A105:B105"/>
    <mergeCell ref="A106:B106"/>
    <mergeCell ref="A107:B107"/>
    <mergeCell ref="A108:B108"/>
    <mergeCell ref="A109:B109"/>
    <mergeCell ref="A110:B110"/>
    <mergeCell ref="A118:E118"/>
    <mergeCell ref="A135:B135"/>
    <mergeCell ref="E135:F135"/>
    <mergeCell ref="A123:E123"/>
    <mergeCell ref="G135:H135"/>
    <mergeCell ref="A146:B146"/>
    <mergeCell ref="A40:B40"/>
    <mergeCell ref="C40:H40"/>
    <mergeCell ref="F139:F140"/>
    <mergeCell ref="C128:D128"/>
    <mergeCell ref="E128:F128"/>
    <mergeCell ref="B139:B140"/>
    <mergeCell ref="A139:A140"/>
    <mergeCell ref="C151:C152"/>
    <mergeCell ref="G151:G152"/>
    <mergeCell ref="G136:H136"/>
    <mergeCell ref="C55:H55"/>
    <mergeCell ref="A111:B111"/>
    <mergeCell ref="A87:B87"/>
    <mergeCell ref="G139:G140"/>
    <mergeCell ref="A77:B77"/>
    <mergeCell ref="E75:F84"/>
    <mergeCell ref="G75:H84"/>
    <mergeCell ref="A112:B112"/>
    <mergeCell ref="A88:B88"/>
    <mergeCell ref="E88:F88"/>
    <mergeCell ref="E89:F98"/>
    <mergeCell ref="A99:B99"/>
    <mergeCell ref="C99:H99"/>
    <mergeCell ref="A101:B101"/>
    <mergeCell ref="L166:M166"/>
    <mergeCell ref="A167:B167"/>
    <mergeCell ref="A211:B211"/>
    <mergeCell ref="A177:B177"/>
    <mergeCell ref="L177:M177"/>
    <mergeCell ref="A178:B178"/>
    <mergeCell ref="L178:M178"/>
    <mergeCell ref="A172:H172"/>
    <mergeCell ref="A173:B173"/>
    <mergeCell ref="L173:M173"/>
    <mergeCell ref="L174:M174"/>
    <mergeCell ref="A175:B175"/>
    <mergeCell ref="L175:M175"/>
    <mergeCell ref="A176:B176"/>
    <mergeCell ref="L176:M176"/>
    <mergeCell ref="A195:B195"/>
    <mergeCell ref="L195:M195"/>
    <mergeCell ref="A196:B196"/>
    <mergeCell ref="L196:M196"/>
    <mergeCell ref="A170:B170"/>
    <mergeCell ref="L170:M170"/>
    <mergeCell ref="A171:B171"/>
    <mergeCell ref="L171:M171"/>
    <mergeCell ref="A89:B89"/>
    <mergeCell ref="C87:H87"/>
    <mergeCell ref="A90:B90"/>
    <mergeCell ref="A91:B91"/>
    <mergeCell ref="G89:H98"/>
    <mergeCell ref="A92:B92"/>
    <mergeCell ref="F115:H115"/>
    <mergeCell ref="A115:E115"/>
    <mergeCell ref="D139:D140"/>
    <mergeCell ref="A117:E117"/>
    <mergeCell ref="C129:D129"/>
    <mergeCell ref="E129:F129"/>
    <mergeCell ref="G129:H129"/>
    <mergeCell ref="A130:B130"/>
    <mergeCell ref="C130:D130"/>
    <mergeCell ref="E130:F130"/>
    <mergeCell ref="G130:H130"/>
    <mergeCell ref="A134:B134"/>
    <mergeCell ref="C134:D134"/>
    <mergeCell ref="E134:F134"/>
    <mergeCell ref="G134:H134"/>
    <mergeCell ref="C139:C140"/>
    <mergeCell ref="A94:B94"/>
    <mergeCell ref="G88:H88"/>
    <mergeCell ref="A38:H38"/>
    <mergeCell ref="A37:B37"/>
    <mergeCell ref="C37:E37"/>
    <mergeCell ref="A42:D42"/>
    <mergeCell ref="E42:H42"/>
    <mergeCell ref="A41:H41"/>
    <mergeCell ref="A64:C64"/>
    <mergeCell ref="A65:C65"/>
    <mergeCell ref="D64:H64"/>
    <mergeCell ref="F37:H37"/>
    <mergeCell ref="C51:E51"/>
    <mergeCell ref="C50:E50"/>
    <mergeCell ref="G50:H50"/>
    <mergeCell ref="A51:B51"/>
    <mergeCell ref="G51:H51"/>
    <mergeCell ref="A52:B53"/>
    <mergeCell ref="A39:B39"/>
    <mergeCell ref="C39:H39"/>
    <mergeCell ref="A46:D46"/>
    <mergeCell ref="A47:D47"/>
    <mergeCell ref="D65:H65"/>
    <mergeCell ref="A44:D44"/>
    <mergeCell ref="E44:H44"/>
    <mergeCell ref="E45:H45"/>
    <mergeCell ref="E46:H46"/>
    <mergeCell ref="E47:H47"/>
    <mergeCell ref="A48:H48"/>
    <mergeCell ref="D60:H60"/>
    <mergeCell ref="A60:C60"/>
    <mergeCell ref="A45:D45"/>
    <mergeCell ref="A49:B49"/>
    <mergeCell ref="C49:H49"/>
    <mergeCell ref="A61:C63"/>
    <mergeCell ref="D61:H61"/>
    <mergeCell ref="D62:H62"/>
    <mergeCell ref="G52:H52"/>
    <mergeCell ref="A57:H57"/>
    <mergeCell ref="A58:C58"/>
    <mergeCell ref="A59:C59"/>
    <mergeCell ref="C53:H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42:H245"/>
    <mergeCell ref="A241:B241"/>
    <mergeCell ref="E241:F241"/>
    <mergeCell ref="C241:D241"/>
    <mergeCell ref="G241:H241"/>
    <mergeCell ref="A126:H126"/>
    <mergeCell ref="A124:E124"/>
    <mergeCell ref="F124:H124"/>
    <mergeCell ref="A125:E125"/>
    <mergeCell ref="F125:H125"/>
    <mergeCell ref="A197:H197"/>
    <mergeCell ref="A133:B133"/>
    <mergeCell ref="A206:B206"/>
    <mergeCell ref="A128:B128"/>
    <mergeCell ref="A237:H237"/>
    <mergeCell ref="A131:H131"/>
    <mergeCell ref="A240:H240"/>
    <mergeCell ref="A238:H238"/>
    <mergeCell ref="A234:H234"/>
    <mergeCell ref="G132:H132"/>
    <mergeCell ref="B227:H227"/>
    <mergeCell ref="A212:B212"/>
    <mergeCell ref="A201:B201"/>
    <mergeCell ref="A208:B208"/>
    <mergeCell ref="A235:H235"/>
    <mergeCell ref="F113:H113"/>
    <mergeCell ref="F118:H118"/>
    <mergeCell ref="A164:B164"/>
    <mergeCell ref="A145:B145"/>
    <mergeCell ref="A144:B144"/>
    <mergeCell ref="A119:E119"/>
    <mergeCell ref="F119:H119"/>
    <mergeCell ref="A121:E121"/>
    <mergeCell ref="F116:H116"/>
    <mergeCell ref="A120:E120"/>
    <mergeCell ref="A150:H150"/>
    <mergeCell ref="E132:F132"/>
    <mergeCell ref="A137:H137"/>
    <mergeCell ref="A151:A152"/>
    <mergeCell ref="F151:F152"/>
    <mergeCell ref="A204:B204"/>
    <mergeCell ref="A142:B142"/>
    <mergeCell ref="B231:H231"/>
    <mergeCell ref="A136:B136"/>
    <mergeCell ref="C136:D136"/>
    <mergeCell ref="E136:F136"/>
    <mergeCell ref="B230:H230"/>
    <mergeCell ref="B228:H228"/>
    <mergeCell ref="A239:H239"/>
    <mergeCell ref="A236:H236"/>
    <mergeCell ref="A198:B198"/>
    <mergeCell ref="A132:B132"/>
    <mergeCell ref="D151:D152"/>
    <mergeCell ref="E151:E152"/>
    <mergeCell ref="A93:B93"/>
    <mergeCell ref="A95:B95"/>
    <mergeCell ref="F114:H114"/>
    <mergeCell ref="G128:H128"/>
    <mergeCell ref="A98:B98"/>
    <mergeCell ref="F120:H120"/>
    <mergeCell ref="C127:D127"/>
    <mergeCell ref="C135:D135"/>
    <mergeCell ref="A154:H154"/>
    <mergeCell ref="A207:B207"/>
    <mergeCell ref="B226:H226"/>
    <mergeCell ref="A216:B216"/>
    <mergeCell ref="A217:B217"/>
    <mergeCell ref="A220:B220"/>
    <mergeCell ref="A219:B219"/>
    <mergeCell ref="B222:H222"/>
    <mergeCell ref="B223:H223"/>
    <mergeCell ref="B225:H225"/>
    <mergeCell ref="I15:P15"/>
    <mergeCell ref="F123:H123"/>
    <mergeCell ref="F121:H121"/>
    <mergeCell ref="A205:B205"/>
    <mergeCell ref="A138:H138"/>
    <mergeCell ref="G127:H127"/>
    <mergeCell ref="A122:E122"/>
    <mergeCell ref="A143:B143"/>
    <mergeCell ref="A56:B56"/>
    <mergeCell ref="C56:E56"/>
    <mergeCell ref="D58:H58"/>
    <mergeCell ref="F122:H122"/>
    <mergeCell ref="E127:F127"/>
    <mergeCell ref="A127:B127"/>
    <mergeCell ref="A129:B129"/>
    <mergeCell ref="C132:D132"/>
    <mergeCell ref="D68:H68"/>
    <mergeCell ref="D59:H59"/>
    <mergeCell ref="G56:H56"/>
    <mergeCell ref="A54:B55"/>
    <mergeCell ref="C54:E54"/>
    <mergeCell ref="G54:H54"/>
    <mergeCell ref="E43:H43"/>
    <mergeCell ref="A43:D43"/>
    <mergeCell ref="A80:B80"/>
    <mergeCell ref="A50:B50"/>
    <mergeCell ref="D63:H63"/>
    <mergeCell ref="C52:E52"/>
    <mergeCell ref="A221:H221"/>
    <mergeCell ref="A213:B213"/>
    <mergeCell ref="A214:B214"/>
    <mergeCell ref="A209:H209"/>
    <mergeCell ref="A203:H203"/>
    <mergeCell ref="A218:B218"/>
    <mergeCell ref="A215:H215"/>
    <mergeCell ref="A68:C68"/>
    <mergeCell ref="D69:H69"/>
    <mergeCell ref="A75:B75"/>
    <mergeCell ref="G74:H74"/>
    <mergeCell ref="A83:B83"/>
    <mergeCell ref="A84:B84"/>
    <mergeCell ref="A79:B79"/>
    <mergeCell ref="A76:B76"/>
    <mergeCell ref="A78:B78"/>
    <mergeCell ref="E74:F74"/>
    <mergeCell ref="A81:B81"/>
    <mergeCell ref="A73:B73"/>
    <mergeCell ref="A71:B71"/>
    <mergeCell ref="L146:M146"/>
    <mergeCell ref="A147:H147"/>
    <mergeCell ref="A148:B148"/>
    <mergeCell ref="L148:M148"/>
    <mergeCell ref="A149:B149"/>
    <mergeCell ref="L149:M149"/>
    <mergeCell ref="A96:B96"/>
    <mergeCell ref="A97:B97"/>
    <mergeCell ref="A116:E116"/>
    <mergeCell ref="A113:E113"/>
    <mergeCell ref="F117:H117"/>
    <mergeCell ref="L145:M145"/>
    <mergeCell ref="L144:M144"/>
    <mergeCell ref="L143:M143"/>
    <mergeCell ref="L142:M142"/>
    <mergeCell ref="C133:D133"/>
    <mergeCell ref="E133:F133"/>
    <mergeCell ref="G133:H133"/>
    <mergeCell ref="A114:E114"/>
    <mergeCell ref="A141:H141"/>
    <mergeCell ref="E139:E140"/>
    <mergeCell ref="C71:H71"/>
    <mergeCell ref="A66:C66"/>
    <mergeCell ref="D66:H66"/>
    <mergeCell ref="C73:H73"/>
    <mergeCell ref="A67:C67"/>
    <mergeCell ref="D67:H67"/>
    <mergeCell ref="A70:C70"/>
    <mergeCell ref="D70:H70"/>
    <mergeCell ref="A69:C69"/>
    <mergeCell ref="A74:B74"/>
    <mergeCell ref="A82:B82"/>
    <mergeCell ref="A85:B85"/>
    <mergeCell ref="C85:H85"/>
    <mergeCell ref="A153:H153"/>
    <mergeCell ref="A168:B168"/>
    <mergeCell ref="L168:M168"/>
    <mergeCell ref="A169:B169"/>
    <mergeCell ref="L169:M169"/>
    <mergeCell ref="A163:H163"/>
    <mergeCell ref="A156:B156"/>
    <mergeCell ref="L156:M156"/>
    <mergeCell ref="A157:B157"/>
    <mergeCell ref="L157:M157"/>
    <mergeCell ref="A158:B158"/>
    <mergeCell ref="L158:M158"/>
    <mergeCell ref="A161:B161"/>
    <mergeCell ref="L161:M161"/>
    <mergeCell ref="A155:B155"/>
    <mergeCell ref="L155:M155"/>
    <mergeCell ref="A162:B162"/>
    <mergeCell ref="L162:M162"/>
    <mergeCell ref="L167:M167"/>
    <mergeCell ref="L164:M164"/>
    <mergeCell ref="B233:H233"/>
    <mergeCell ref="L180:M180"/>
    <mergeCell ref="D179:G179"/>
    <mergeCell ref="D180:G180"/>
    <mergeCell ref="D193:G193"/>
    <mergeCell ref="A194:B194"/>
    <mergeCell ref="L194:M194"/>
    <mergeCell ref="A185:B185"/>
    <mergeCell ref="L185:M185"/>
    <mergeCell ref="A181:H181"/>
    <mergeCell ref="A182:B182"/>
    <mergeCell ref="L182:M182"/>
    <mergeCell ref="A183:B183"/>
    <mergeCell ref="L183:M183"/>
    <mergeCell ref="A184:B184"/>
    <mergeCell ref="L184:M184"/>
    <mergeCell ref="A186:B186"/>
    <mergeCell ref="L186:M186"/>
    <mergeCell ref="A187:B187"/>
    <mergeCell ref="L187:M187"/>
    <mergeCell ref="A188:B188"/>
    <mergeCell ref="L188:M188"/>
    <mergeCell ref="A189:H189"/>
    <mergeCell ref="A190:B190"/>
    <mergeCell ref="B229:H229"/>
    <mergeCell ref="L197:M197"/>
    <mergeCell ref="A202:B202"/>
    <mergeCell ref="A199:B199"/>
    <mergeCell ref="A200:B200"/>
    <mergeCell ref="A210:B210"/>
    <mergeCell ref="B232:H232"/>
    <mergeCell ref="A159:B159"/>
    <mergeCell ref="L159:M159"/>
    <mergeCell ref="A160:B160"/>
    <mergeCell ref="L160:M160"/>
    <mergeCell ref="C159:H160"/>
    <mergeCell ref="A191:B191"/>
    <mergeCell ref="L191:M191"/>
    <mergeCell ref="A192:B192"/>
    <mergeCell ref="L192:M192"/>
    <mergeCell ref="A193:B193"/>
    <mergeCell ref="L193:M193"/>
    <mergeCell ref="A179:B179"/>
    <mergeCell ref="L179:M179"/>
    <mergeCell ref="L190:M190"/>
    <mergeCell ref="A165:B165"/>
    <mergeCell ref="L165:M165"/>
    <mergeCell ref="A166:B166"/>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9:E140">
      <formula1>"Attached Loft area,Attached Chajja area + Encl Balcony,Attached Mezzanine area"</formula1>
    </dataValidation>
    <dataValidation type="list" allowBlank="1" showInputMessage="1" showErrorMessage="1" sqref="G241:H241">
      <formula1>"Kunal Kadam,Pranita Mhatre,Shruti Fule,Pooja Kawale,Gaurav Panchal,Shruti Tathare, Hitakshi Mhatre, Sachin Sawant"</formula1>
    </dataValidation>
    <dataValidation type="list" allowBlank="1" showInputMessage="1" showErrorMessage="1" sqref="F113:H113">
      <formula1>"On Saleable Area,On Builtup Area,On Carpet Area,On Plot Area"</formula1>
    </dataValidation>
    <dataValidation type="list" allowBlank="1" showInputMessage="1" showErrorMessage="1" sqref="B139:B140">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area,Enclosed Balcony + Chajja Area,Cornice Area,AP Area,WS Area"</formula1>
    </dataValidation>
    <dataValidation type="list" allowBlank="1" showInputMessage="1" showErrorMessage="1" sqref="H140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39 H151">
      <formula1>"Saleable area Loading :,Builder Saleable Area"</formula1>
    </dataValidation>
    <dataValidation type="list" allowBlank="1" showInputMessage="1" showErrorMessage="1" sqref="D151:D152 D139:D140">
      <formula1>"Carpet area,RERA Carpet area"</formula1>
    </dataValidation>
    <dataValidation type="list" allowBlank="1" showInputMessage="1" showErrorMessage="1" sqref="F124:H124">
      <formula1>OFFSET($S$113,1,MATCH($G20,$S$113:$W$113,0)-1,15,1)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0" max="16383" man="1"/>
    <brk id="245" max="16383" man="1"/>
    <brk id="288" max="16383" man="1"/>
    <brk id="33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Normal="100" workbookViewId="0">
      <selection activeCell="B6" sqref="B6:B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7" t="s">
        <v>105</v>
      </c>
      <c r="C3" s="247"/>
      <c r="D3" s="247"/>
      <c r="E3" s="247"/>
      <c r="F3" s="247"/>
      <c r="G3" s="247"/>
      <c r="H3" s="247"/>
    </row>
    <row r="4" spans="1:9" x14ac:dyDescent="0.35">
      <c r="A4" s="2"/>
      <c r="B4" s="3" t="s">
        <v>106</v>
      </c>
      <c r="C4" s="3" t="s">
        <v>107</v>
      </c>
      <c r="D4" s="3" t="s">
        <v>66</v>
      </c>
      <c r="E4" s="3" t="s">
        <v>108</v>
      </c>
      <c r="F4" s="3" t="s">
        <v>114</v>
      </c>
      <c r="G4" s="3" t="s">
        <v>115</v>
      </c>
      <c r="H4" s="3" t="s">
        <v>109</v>
      </c>
    </row>
    <row r="5" spans="1:9" ht="15" customHeight="1" x14ac:dyDescent="0.35">
      <c r="A5" s="2"/>
      <c r="B5" s="102" t="s">
        <v>407</v>
      </c>
      <c r="C5" s="6"/>
      <c r="D5" s="102" t="s">
        <v>363</v>
      </c>
      <c r="E5" s="5">
        <v>463</v>
      </c>
      <c r="F5" s="7">
        <f>E5*1.6</f>
        <v>740.80000000000007</v>
      </c>
      <c r="G5" s="7">
        <f>H5/F5</f>
        <v>6074.5140388768896</v>
      </c>
      <c r="H5" s="8">
        <v>4500000</v>
      </c>
    </row>
    <row r="6" spans="1:9" x14ac:dyDescent="0.35">
      <c r="A6" s="2"/>
      <c r="B6" s="102" t="s">
        <v>408</v>
      </c>
      <c r="C6" s="9"/>
      <c r="D6" s="5">
        <v>304</v>
      </c>
      <c r="E6" s="5">
        <v>459</v>
      </c>
      <c r="F6" s="7">
        <f t="shared" ref="F6:F11" si="0">E6*1.6</f>
        <v>734.40000000000009</v>
      </c>
      <c r="G6" s="7">
        <f t="shared" ref="G6:G11" si="1">H6/F6</f>
        <v>5718.9542483660125</v>
      </c>
      <c r="H6" s="8">
        <v>4200000</v>
      </c>
    </row>
    <row r="7" spans="1:9" ht="15" customHeight="1" x14ac:dyDescent="0.35">
      <c r="A7" s="2"/>
      <c r="B7" s="102" t="s">
        <v>408</v>
      </c>
      <c r="C7" s="6"/>
      <c r="D7" s="5">
        <v>354</v>
      </c>
      <c r="E7" s="5">
        <v>483</v>
      </c>
      <c r="F7" s="7">
        <f t="shared" si="0"/>
        <v>772.80000000000007</v>
      </c>
      <c r="G7" s="7">
        <f t="shared" si="1"/>
        <v>6327.6397515527942</v>
      </c>
      <c r="H7" s="8">
        <v>4890000</v>
      </c>
    </row>
    <row r="8" spans="1:9" x14ac:dyDescent="0.35">
      <c r="A8" s="2"/>
      <c r="B8" s="102" t="s">
        <v>408</v>
      </c>
      <c r="C8" s="9"/>
      <c r="D8" s="5">
        <v>388</v>
      </c>
      <c r="E8" s="5">
        <v>599</v>
      </c>
      <c r="F8" s="7">
        <f t="shared" si="0"/>
        <v>958.40000000000009</v>
      </c>
      <c r="G8" s="7">
        <f t="shared" si="1"/>
        <v>5592.6544240400663</v>
      </c>
      <c r="H8" s="8">
        <v>5360000</v>
      </c>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180</v>
      </c>
      <c r="E4" s="53" t="s">
        <v>190</v>
      </c>
      <c r="F4" s="53" t="s">
        <v>173</v>
      </c>
      <c r="G4" s="53" t="s">
        <v>195</v>
      </c>
      <c r="H4" s="53" t="s">
        <v>213</v>
      </c>
      <c r="J4" t="s">
        <v>195</v>
      </c>
      <c r="K4" t="s">
        <v>211</v>
      </c>
    </row>
    <row r="5" spans="2:11" x14ac:dyDescent="0.35">
      <c r="B5" s="52"/>
      <c r="C5" s="52"/>
      <c r="D5" s="53" t="s">
        <v>181</v>
      </c>
      <c r="E5" s="53" t="s">
        <v>188</v>
      </c>
      <c r="F5" s="53" t="s">
        <v>210</v>
      </c>
      <c r="G5" s="53" t="s">
        <v>196</v>
      </c>
      <c r="H5" s="53" t="s">
        <v>214</v>
      </c>
    </row>
    <row r="6" spans="2:11" x14ac:dyDescent="0.35">
      <c r="B6" s="52"/>
      <c r="C6" s="52"/>
      <c r="D6" s="53" t="s">
        <v>182</v>
      </c>
      <c r="E6" s="53" t="s">
        <v>189</v>
      </c>
      <c r="F6" s="53" t="s">
        <v>211</v>
      </c>
      <c r="G6" s="53" t="s">
        <v>197</v>
      </c>
      <c r="H6" s="53" t="s">
        <v>227</v>
      </c>
    </row>
    <row r="7" spans="2:11" x14ac:dyDescent="0.35">
      <c r="B7" s="52"/>
      <c r="C7" s="52"/>
      <c r="D7" s="53" t="s">
        <v>183</v>
      </c>
      <c r="E7" s="53" t="s">
        <v>191</v>
      </c>
      <c r="F7" s="53" t="s">
        <v>212</v>
      </c>
      <c r="G7" s="53" t="s">
        <v>198</v>
      </c>
      <c r="H7" s="53" t="s">
        <v>215</v>
      </c>
    </row>
    <row r="8" spans="2:11" x14ac:dyDescent="0.35">
      <c r="B8" s="52"/>
      <c r="C8" s="52"/>
      <c r="D8" s="53" t="s">
        <v>184</v>
      </c>
      <c r="E8" s="53" t="s">
        <v>192</v>
      </c>
      <c r="F8" s="53"/>
      <c r="G8" s="53" t="s">
        <v>199</v>
      </c>
      <c r="H8" s="53" t="s">
        <v>216</v>
      </c>
    </row>
    <row r="9" spans="2:11" x14ac:dyDescent="0.35">
      <c r="B9" s="52"/>
      <c r="C9" s="52"/>
      <c r="D9" s="53" t="s">
        <v>185</v>
      </c>
      <c r="E9" s="53" t="s">
        <v>190</v>
      </c>
      <c r="F9" s="53"/>
      <c r="G9" s="53" t="s">
        <v>200</v>
      </c>
      <c r="H9" s="53" t="s">
        <v>217</v>
      </c>
    </row>
    <row r="10" spans="2:11" x14ac:dyDescent="0.35">
      <c r="B10" s="52"/>
      <c r="C10" s="52"/>
      <c r="D10" s="53" t="s">
        <v>186</v>
      </c>
      <c r="E10" s="53" t="s">
        <v>193</v>
      </c>
      <c r="F10" s="53"/>
      <c r="G10" s="53" t="s">
        <v>201</v>
      </c>
      <c r="H10" s="53" t="s">
        <v>218</v>
      </c>
    </row>
    <row r="11" spans="2:11" x14ac:dyDescent="0.35">
      <c r="B11" s="52"/>
      <c r="C11" s="52"/>
      <c r="D11" s="53" t="s">
        <v>187</v>
      </c>
      <c r="E11" s="53" t="s">
        <v>194</v>
      </c>
      <c r="F11" s="53"/>
      <c r="G11" s="53" t="s">
        <v>202</v>
      </c>
      <c r="H11" s="53" t="s">
        <v>219</v>
      </c>
    </row>
    <row r="12" spans="2:11" x14ac:dyDescent="0.35">
      <c r="B12" s="52"/>
      <c r="C12" s="52"/>
      <c r="D12" s="53"/>
      <c r="E12" s="53"/>
      <c r="F12" s="53"/>
      <c r="G12" s="53" t="s">
        <v>203</v>
      </c>
      <c r="H12" s="53" t="s">
        <v>220</v>
      </c>
    </row>
    <row r="13" spans="2:11" x14ac:dyDescent="0.35">
      <c r="B13" s="52"/>
      <c r="C13" s="52"/>
      <c r="D13" s="53"/>
      <c r="E13" s="53"/>
      <c r="F13" s="53"/>
      <c r="G13" s="53" t="s">
        <v>204</v>
      </c>
      <c r="H13" s="53" t="s">
        <v>221</v>
      </c>
    </row>
    <row r="14" spans="2:11" x14ac:dyDescent="0.35">
      <c r="B14" s="52"/>
      <c r="C14" s="52"/>
      <c r="D14" s="53"/>
      <c r="E14" s="53"/>
      <c r="F14" s="53"/>
      <c r="G14" s="53" t="s">
        <v>205</v>
      </c>
      <c r="H14" s="53" t="s">
        <v>222</v>
      </c>
    </row>
    <row r="15" spans="2:11" x14ac:dyDescent="0.35">
      <c r="B15" s="52"/>
      <c r="C15" s="52"/>
      <c r="D15" s="53"/>
      <c r="E15" s="53"/>
      <c r="F15" s="53"/>
      <c r="G15" s="53" t="s">
        <v>206</v>
      </c>
      <c r="H15" s="53" t="s">
        <v>223</v>
      </c>
    </row>
    <row r="16" spans="2:11" x14ac:dyDescent="0.35">
      <c r="B16" s="52"/>
      <c r="C16" s="52"/>
      <c r="D16" s="53"/>
      <c r="E16" s="53"/>
      <c r="F16" s="53"/>
      <c r="G16" s="53" t="s">
        <v>207</v>
      </c>
      <c r="H16" s="53" t="s">
        <v>224</v>
      </c>
    </row>
    <row r="17" spans="2:8" x14ac:dyDescent="0.35">
      <c r="B17" s="52"/>
      <c r="C17" s="52"/>
      <c r="D17" s="53"/>
      <c r="E17" s="53"/>
      <c r="F17" s="53"/>
      <c r="G17" s="53" t="s">
        <v>208</v>
      </c>
      <c r="H17" s="53" t="s">
        <v>225</v>
      </c>
    </row>
    <row r="18" spans="2:8" x14ac:dyDescent="0.35">
      <c r="B18" s="52"/>
      <c r="C18" s="52"/>
      <c r="D18" s="53"/>
      <c r="E18" s="53"/>
      <c r="F18" s="53"/>
      <c r="G18" s="53" t="s">
        <v>209</v>
      </c>
      <c r="H18" s="53" t="s">
        <v>226</v>
      </c>
    </row>
    <row r="24" spans="2:8" x14ac:dyDescent="0.35">
      <c r="C24" t="s">
        <v>170</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170</v>
      </c>
    </row>
    <row r="33" spans="3:11" x14ac:dyDescent="0.35">
      <c r="J33">
        <v>1</v>
      </c>
      <c r="K33">
        <v>2</v>
      </c>
    </row>
    <row r="34" spans="3:11" x14ac:dyDescent="0.35">
      <c r="C34" s="56" t="s">
        <v>237</v>
      </c>
      <c r="D34" s="53" t="s">
        <v>235</v>
      </c>
      <c r="E34" s="53" t="s">
        <v>240</v>
      </c>
      <c r="F34" s="53" t="s">
        <v>238</v>
      </c>
      <c r="G34" s="53" t="s">
        <v>239</v>
      </c>
      <c r="H34" s="53" t="s">
        <v>241</v>
      </c>
      <c r="J34" t="s">
        <v>195</v>
      </c>
      <c r="K34" t="s">
        <v>211</v>
      </c>
    </row>
    <row r="35" spans="3:11" x14ac:dyDescent="0.35">
      <c r="C35" s="52" t="s">
        <v>236</v>
      </c>
      <c r="D35" s="53" t="s">
        <v>171</v>
      </c>
      <c r="E35" s="53" t="s">
        <v>245</v>
      </c>
      <c r="F35" s="53" t="s">
        <v>247</v>
      </c>
      <c r="G35" s="53" t="s">
        <v>249</v>
      </c>
      <c r="H35" s="53"/>
    </row>
    <row r="36" spans="3:11" x14ac:dyDescent="0.35">
      <c r="C36" s="52"/>
      <c r="D36" s="53" t="s">
        <v>242</v>
      </c>
      <c r="E36" s="53" t="s">
        <v>246</v>
      </c>
      <c r="F36" s="53" t="s">
        <v>248</v>
      </c>
      <c r="G36" s="53" t="s">
        <v>250</v>
      </c>
      <c r="H36" s="53"/>
    </row>
    <row r="37" spans="3:11" x14ac:dyDescent="0.35">
      <c r="C37" s="52"/>
      <c r="D37" s="53" t="s">
        <v>243</v>
      </c>
      <c r="E37" s="53"/>
      <c r="F37" s="53"/>
      <c r="G37" s="53" t="s">
        <v>251</v>
      </c>
      <c r="H37" s="53"/>
    </row>
    <row r="38" spans="3:11" x14ac:dyDescent="0.35">
      <c r="C38" s="52"/>
      <c r="D38" s="53" t="s">
        <v>244</v>
      </c>
      <c r="E38" s="53"/>
      <c r="F38" s="53"/>
      <c r="G38" s="53" t="s">
        <v>251</v>
      </c>
      <c r="H38" s="53"/>
    </row>
    <row r="39" spans="3:11" x14ac:dyDescent="0.35">
      <c r="C39" s="52"/>
      <c r="D39" s="53"/>
      <c r="E39" s="53"/>
      <c r="F39" s="53"/>
      <c r="G39" s="53" t="s">
        <v>252</v>
      </c>
      <c r="H39" s="53"/>
    </row>
    <row r="40" spans="3:11" x14ac:dyDescent="0.35">
      <c r="C40" s="52"/>
      <c r="D40" s="53"/>
      <c r="E40" s="53"/>
      <c r="F40" s="53"/>
      <c r="G40" s="53" t="s">
        <v>253</v>
      </c>
      <c r="H40" s="53"/>
    </row>
    <row r="41" spans="3:11" x14ac:dyDescent="0.35">
      <c r="C41" s="52"/>
      <c r="D41" s="53"/>
      <c r="E41" s="53"/>
      <c r="F41" s="53"/>
      <c r="G41" s="53"/>
      <c r="H41" s="53"/>
    </row>
    <row r="43" spans="3:11" x14ac:dyDescent="0.35">
      <c r="C43" t="s">
        <v>254</v>
      </c>
    </row>
    <row r="44" spans="3:11" x14ac:dyDescent="0.35">
      <c r="C44" t="s">
        <v>173</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180</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195</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190</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7">
        <v>1</v>
      </c>
      <c r="C2" s="60" t="s">
        <v>282</v>
      </c>
    </row>
    <row r="3" spans="2:3" x14ac:dyDescent="0.35">
      <c r="B3" s="57">
        <v>2</v>
      </c>
      <c r="C3" s="58" t="s">
        <v>283</v>
      </c>
    </row>
    <row r="4" spans="2:3" x14ac:dyDescent="0.35">
      <c r="B4" s="57">
        <v>3</v>
      </c>
      <c r="C4" s="59" t="s">
        <v>284</v>
      </c>
    </row>
    <row r="5" spans="2:3" x14ac:dyDescent="0.35">
      <c r="B5" s="57">
        <v>4</v>
      </c>
      <c r="C5" s="58" t="s">
        <v>285</v>
      </c>
    </row>
    <row r="6" spans="2:3" x14ac:dyDescent="0.35">
      <c r="B6" s="57">
        <v>5</v>
      </c>
      <c r="C6" s="59" t="s">
        <v>286</v>
      </c>
    </row>
    <row r="7" spans="2:3" ht="29" x14ac:dyDescent="0.35">
      <c r="B7" s="57">
        <v>6</v>
      </c>
      <c r="C7" s="58" t="s">
        <v>287</v>
      </c>
    </row>
    <row r="8" spans="2:3" ht="72.5" x14ac:dyDescent="0.35">
      <c r="B8" s="57">
        <v>7</v>
      </c>
      <c r="C8" s="58" t="s">
        <v>288</v>
      </c>
    </row>
    <row r="9" spans="2:3" x14ac:dyDescent="0.35">
      <c r="B9" s="57">
        <v>8</v>
      </c>
      <c r="C9" s="59" t="s">
        <v>289</v>
      </c>
    </row>
    <row r="10" spans="2:3" x14ac:dyDescent="0.35">
      <c r="B10" s="57">
        <v>9</v>
      </c>
      <c r="C10" s="59" t="s">
        <v>290</v>
      </c>
    </row>
    <row r="11" spans="2:3" x14ac:dyDescent="0.35">
      <c r="B11" s="57">
        <v>10</v>
      </c>
      <c r="C11" s="59" t="s">
        <v>291</v>
      </c>
    </row>
    <row r="12" spans="2:3" x14ac:dyDescent="0.35">
      <c r="B12" s="57">
        <v>11</v>
      </c>
      <c r="C12" s="59" t="s">
        <v>292</v>
      </c>
    </row>
    <row r="13" spans="2:3" x14ac:dyDescent="0.35">
      <c r="B13" s="57">
        <v>12</v>
      </c>
      <c r="C13" s="59" t="s">
        <v>293</v>
      </c>
    </row>
    <row r="14" spans="2:3" x14ac:dyDescent="0.35">
      <c r="B14" s="57">
        <v>13</v>
      </c>
      <c r="C14" s="59" t="s">
        <v>294</v>
      </c>
    </row>
    <row r="15" spans="2:3" x14ac:dyDescent="0.35">
      <c r="B15" s="57">
        <v>14</v>
      </c>
      <c r="C15" s="59" t="s">
        <v>284</v>
      </c>
    </row>
    <row r="16" spans="2:3" x14ac:dyDescent="0.35">
      <c r="B16" s="57">
        <v>15</v>
      </c>
      <c r="C16" s="59" t="s">
        <v>296</v>
      </c>
    </row>
    <row r="17" spans="2:3" x14ac:dyDescent="0.35">
      <c r="B17" s="83">
        <v>16</v>
      </c>
      <c r="C17" s="66" t="s">
        <v>297</v>
      </c>
    </row>
    <row r="18" spans="2:3" x14ac:dyDescent="0.35">
      <c r="B18" s="65">
        <v>17</v>
      </c>
      <c r="C18" s="66" t="s">
        <v>298</v>
      </c>
    </row>
    <row r="19" spans="2:3" x14ac:dyDescent="0.35">
      <c r="B19" s="64">
        <v>18</v>
      </c>
      <c r="C19" s="57" t="s">
        <v>299</v>
      </c>
    </row>
    <row r="20" spans="2:3" x14ac:dyDescent="0.35">
      <c r="B20" s="65">
        <v>19</v>
      </c>
      <c r="C20" s="57" t="s">
        <v>335</v>
      </c>
    </row>
    <row r="21" spans="2:3" x14ac:dyDescent="0.35">
      <c r="B21" s="67">
        <v>20</v>
      </c>
      <c r="C21" s="57" t="s">
        <v>300</v>
      </c>
    </row>
    <row r="22" spans="2:3" x14ac:dyDescent="0.35">
      <c r="B22" s="65">
        <v>21</v>
      </c>
      <c r="C22" s="57" t="s">
        <v>299</v>
      </c>
    </row>
    <row r="23" spans="2:3" s="75" customFormat="1" ht="29.25" customHeight="1" x14ac:dyDescent="0.35">
      <c r="B23" s="74">
        <v>22</v>
      </c>
      <c r="C23" s="60" t="s">
        <v>327</v>
      </c>
    </row>
    <row r="24" spans="2:3" s="75" customFormat="1" ht="30.75" customHeight="1" x14ac:dyDescent="0.35">
      <c r="B24" s="76">
        <v>23</v>
      </c>
      <c r="C24" s="60" t="s">
        <v>328</v>
      </c>
    </row>
    <row r="25" spans="2:3" x14ac:dyDescent="0.35">
      <c r="B25" s="67">
        <v>24</v>
      </c>
      <c r="C25" s="57" t="s">
        <v>331</v>
      </c>
    </row>
    <row r="26" spans="2:3" x14ac:dyDescent="0.35">
      <c r="B26" s="65">
        <v>25</v>
      </c>
      <c r="C26" s="57" t="s">
        <v>329</v>
      </c>
    </row>
    <row r="27" spans="2:3" x14ac:dyDescent="0.35">
      <c r="B27" s="76">
        <v>26</v>
      </c>
      <c r="C27" s="67" t="s">
        <v>330</v>
      </c>
    </row>
    <row r="28" spans="2:3" x14ac:dyDescent="0.35">
      <c r="B28" s="77">
        <v>27</v>
      </c>
      <c r="C28" s="57" t="s">
        <v>332</v>
      </c>
    </row>
    <row r="29" spans="2:3" ht="43.5" x14ac:dyDescent="0.35">
      <c r="B29" s="82">
        <v>28</v>
      </c>
      <c r="C29" s="58" t="s">
        <v>333</v>
      </c>
    </row>
    <row r="30" spans="2:3" x14ac:dyDescent="0.35">
      <c r="B30" s="76">
        <v>29</v>
      </c>
      <c r="C30" s="57" t="s">
        <v>334</v>
      </c>
    </row>
    <row r="31" spans="2:3" ht="29" x14ac:dyDescent="0.35">
      <c r="B31" s="84">
        <v>30</v>
      </c>
      <c r="C31" s="58" t="s">
        <v>336</v>
      </c>
    </row>
    <row r="32" spans="2:3" x14ac:dyDescent="0.35">
      <c r="B32" s="76">
        <v>31</v>
      </c>
      <c r="C32" s="57" t="s">
        <v>337</v>
      </c>
    </row>
    <row r="33" spans="2:3" x14ac:dyDescent="0.35">
      <c r="B33" s="76">
        <v>32</v>
      </c>
      <c r="C33" s="57" t="s">
        <v>338</v>
      </c>
    </row>
    <row r="34" spans="2:3" ht="36.75" customHeight="1" x14ac:dyDescent="0.35">
      <c r="B34" s="84">
        <v>33</v>
      </c>
      <c r="C34" s="66" t="s">
        <v>339</v>
      </c>
    </row>
    <row r="35" spans="2:3" x14ac:dyDescent="0.35">
      <c r="B35" s="76">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8" t="s">
        <v>301</v>
      </c>
      <c r="C2" s="248"/>
      <c r="D2" s="248"/>
    </row>
    <row r="3" spans="1:12" x14ac:dyDescent="0.35">
      <c r="D3" s="69"/>
      <c r="E3" s="69"/>
      <c r="F3" s="69"/>
      <c r="G3" s="69"/>
      <c r="H3" s="69"/>
      <c r="I3" s="69"/>
    </row>
    <row r="4" spans="1:12" x14ac:dyDescent="0.35">
      <c r="A4" s="68" t="s">
        <v>66</v>
      </c>
      <c r="B4" s="70" t="s">
        <v>302</v>
      </c>
      <c r="C4" s="249" t="s">
        <v>303</v>
      </c>
      <c r="D4" s="249"/>
      <c r="E4" s="249"/>
      <c r="F4" s="70"/>
      <c r="G4" s="250" t="s">
        <v>304</v>
      </c>
      <c r="H4" s="250"/>
      <c r="I4" s="250"/>
      <c r="J4" s="251" t="s">
        <v>305</v>
      </c>
      <c r="K4" s="251"/>
      <c r="L4" s="251"/>
    </row>
    <row r="5" spans="1:12" x14ac:dyDescent="0.35">
      <c r="A5" s="68"/>
      <c r="B5" s="70"/>
      <c r="C5" s="70" t="s">
        <v>306</v>
      </c>
      <c r="D5" s="70" t="s">
        <v>307</v>
      </c>
      <c r="E5" s="70" t="s">
        <v>308</v>
      </c>
      <c r="F5" s="70"/>
      <c r="G5" s="70" t="s">
        <v>306</v>
      </c>
      <c r="H5" s="70" t="s">
        <v>307</v>
      </c>
      <c r="I5" s="70" t="s">
        <v>308</v>
      </c>
      <c r="J5" s="70" t="s">
        <v>306</v>
      </c>
      <c r="K5" s="70" t="s">
        <v>307</v>
      </c>
      <c r="L5" s="70" t="s">
        <v>308</v>
      </c>
    </row>
    <row r="6" spans="1:12" x14ac:dyDescent="0.35">
      <c r="B6" s="53" t="s">
        <v>309</v>
      </c>
      <c r="C6" s="53"/>
      <c r="D6" s="53"/>
      <c r="E6" s="53">
        <f>C6*D6</f>
        <v>0</v>
      </c>
      <c r="F6" s="53" t="s">
        <v>326</v>
      </c>
      <c r="G6" s="53"/>
      <c r="H6" s="53"/>
      <c r="I6" s="53">
        <f>G6*H6</f>
        <v>0</v>
      </c>
      <c r="J6" s="53"/>
      <c r="K6" s="53"/>
      <c r="L6" s="53">
        <f>J6*K6</f>
        <v>0</v>
      </c>
    </row>
    <row r="7" spans="1:12" x14ac:dyDescent="0.35">
      <c r="B7" s="53"/>
      <c r="C7" s="53"/>
      <c r="D7" s="53"/>
      <c r="E7" s="53">
        <f t="shared" ref="E7:E41" si="0">C7*D7</f>
        <v>0</v>
      </c>
      <c r="F7" s="53" t="s">
        <v>326</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310</v>
      </c>
      <c r="G9" s="53"/>
      <c r="H9" s="53"/>
      <c r="I9" s="53">
        <f t="shared" si="1"/>
        <v>0</v>
      </c>
      <c r="J9" s="53"/>
      <c r="K9" s="53"/>
      <c r="L9" s="53">
        <f t="shared" si="2"/>
        <v>0</v>
      </c>
    </row>
    <row r="10" spans="1:12" x14ac:dyDescent="0.35">
      <c r="B10" s="53" t="s">
        <v>311</v>
      </c>
      <c r="C10" s="53"/>
      <c r="D10" s="53"/>
      <c r="E10" s="53">
        <f t="shared" si="0"/>
        <v>0</v>
      </c>
      <c r="F10" s="53" t="s">
        <v>310</v>
      </c>
      <c r="G10" s="53"/>
      <c r="H10" s="53"/>
      <c r="I10" s="53">
        <f t="shared" si="1"/>
        <v>0</v>
      </c>
      <c r="J10" s="53"/>
      <c r="K10" s="53"/>
      <c r="L10" s="53">
        <f t="shared" si="2"/>
        <v>0</v>
      </c>
    </row>
    <row r="11" spans="1:12" x14ac:dyDescent="0.35">
      <c r="B11" s="53"/>
      <c r="C11" s="53"/>
      <c r="D11" s="53"/>
      <c r="E11" s="53">
        <f t="shared" si="0"/>
        <v>0</v>
      </c>
      <c r="F11" s="53" t="s">
        <v>312</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313</v>
      </c>
      <c r="C14" s="53"/>
      <c r="D14" s="53"/>
      <c r="E14" s="53">
        <f t="shared" si="0"/>
        <v>0</v>
      </c>
      <c r="F14" s="53" t="s">
        <v>310</v>
      </c>
      <c r="G14" s="53"/>
      <c r="H14" s="53"/>
      <c r="I14" s="53">
        <f t="shared" si="1"/>
        <v>0</v>
      </c>
      <c r="J14" s="53"/>
      <c r="K14" s="53"/>
      <c r="L14" s="53">
        <f t="shared" si="2"/>
        <v>0</v>
      </c>
    </row>
    <row r="15" spans="1:12" x14ac:dyDescent="0.35">
      <c r="B15" s="53"/>
      <c r="C15" s="53"/>
      <c r="D15" s="53"/>
      <c r="E15" s="53">
        <f t="shared" si="0"/>
        <v>0</v>
      </c>
      <c r="F15" s="53" t="s">
        <v>312</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314</v>
      </c>
      <c r="C18" s="53"/>
      <c r="D18" s="53"/>
      <c r="E18" s="53">
        <f t="shared" si="0"/>
        <v>0</v>
      </c>
      <c r="F18" s="53" t="s">
        <v>310</v>
      </c>
      <c r="G18" s="53"/>
      <c r="H18" s="53"/>
      <c r="I18" s="53">
        <f t="shared" si="1"/>
        <v>0</v>
      </c>
      <c r="J18" s="53"/>
      <c r="K18" s="53"/>
      <c r="L18" s="53">
        <f t="shared" si="2"/>
        <v>0</v>
      </c>
    </row>
    <row r="19" spans="2:12" x14ac:dyDescent="0.35">
      <c r="B19" s="53"/>
      <c r="C19" s="53"/>
      <c r="D19" s="53"/>
      <c r="E19" s="53">
        <f t="shared" si="0"/>
        <v>0</v>
      </c>
      <c r="F19" s="53" t="s">
        <v>312</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315</v>
      </c>
      <c r="C21" s="53"/>
      <c r="D21" s="53"/>
      <c r="E21" s="53">
        <f t="shared" si="0"/>
        <v>0</v>
      </c>
      <c r="F21" s="53" t="s">
        <v>310</v>
      </c>
      <c r="G21" s="53"/>
      <c r="H21" s="53"/>
      <c r="I21" s="53">
        <f t="shared" si="1"/>
        <v>0</v>
      </c>
      <c r="J21" s="53"/>
      <c r="K21" s="53"/>
      <c r="L21" s="53">
        <f t="shared" si="2"/>
        <v>0</v>
      </c>
    </row>
    <row r="22" spans="2:12" x14ac:dyDescent="0.35">
      <c r="B22" s="53"/>
      <c r="C22" s="53"/>
      <c r="D22" s="53"/>
      <c r="E22" s="53">
        <f t="shared" si="0"/>
        <v>0</v>
      </c>
      <c r="F22" s="53" t="s">
        <v>312</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316</v>
      </c>
      <c r="C24" s="53"/>
      <c r="D24" s="53"/>
      <c r="E24" s="53">
        <f t="shared" si="0"/>
        <v>0</v>
      </c>
      <c r="F24" s="53" t="s">
        <v>317</v>
      </c>
      <c r="G24" s="53"/>
      <c r="H24" s="53"/>
      <c r="I24" s="53">
        <f t="shared" si="1"/>
        <v>0</v>
      </c>
      <c r="J24" s="53"/>
      <c r="K24" s="53"/>
      <c r="L24" s="53">
        <f t="shared" si="2"/>
        <v>0</v>
      </c>
    </row>
    <row r="25" spans="2:12" x14ac:dyDescent="0.35">
      <c r="B25" s="53"/>
      <c r="C25" s="53"/>
      <c r="D25" s="53"/>
      <c r="E25" s="53">
        <f t="shared" ref="E25:E27" si="3">C25*D25</f>
        <v>0</v>
      </c>
      <c r="F25" s="53" t="s">
        <v>317</v>
      </c>
      <c r="G25" s="53"/>
      <c r="H25" s="53"/>
      <c r="I25" s="53">
        <f t="shared" ref="I25:I27" si="4">G25*H25</f>
        <v>0</v>
      </c>
      <c r="J25" s="53"/>
      <c r="K25" s="53"/>
      <c r="L25" s="53">
        <f t="shared" ref="L25:L27" si="5">J25*K25</f>
        <v>0</v>
      </c>
    </row>
    <row r="26" spans="2:12" x14ac:dyDescent="0.35">
      <c r="B26" s="53"/>
      <c r="C26" s="53"/>
      <c r="D26" s="53"/>
      <c r="E26" s="53">
        <f t="shared" si="3"/>
        <v>0</v>
      </c>
      <c r="F26" s="53" t="s">
        <v>317</v>
      </c>
      <c r="G26" s="53"/>
      <c r="H26" s="53"/>
      <c r="I26" s="53">
        <f t="shared" si="4"/>
        <v>0</v>
      </c>
      <c r="J26" s="53"/>
      <c r="K26" s="53"/>
      <c r="L26" s="53">
        <f t="shared" si="5"/>
        <v>0</v>
      </c>
    </row>
    <row r="27" spans="2:12" x14ac:dyDescent="0.35">
      <c r="B27" s="53"/>
      <c r="C27" s="53"/>
      <c r="D27" s="53"/>
      <c r="E27" s="53">
        <f t="shared" si="3"/>
        <v>0</v>
      </c>
      <c r="F27" s="53" t="s">
        <v>317</v>
      </c>
      <c r="G27" s="53"/>
      <c r="H27" s="53"/>
      <c r="I27" s="53">
        <f t="shared" si="4"/>
        <v>0</v>
      </c>
      <c r="J27" s="53"/>
      <c r="K27" s="53"/>
      <c r="L27" s="53">
        <f t="shared" si="5"/>
        <v>0</v>
      </c>
    </row>
    <row r="28" spans="2:12" x14ac:dyDescent="0.35">
      <c r="B28" s="53" t="s">
        <v>318</v>
      </c>
      <c r="C28" s="53"/>
      <c r="D28" s="53"/>
      <c r="E28" s="53">
        <f t="shared" si="0"/>
        <v>0</v>
      </c>
      <c r="F28" s="53" t="s">
        <v>317</v>
      </c>
      <c r="G28" s="53"/>
      <c r="H28" s="53"/>
      <c r="I28" s="53">
        <f t="shared" si="1"/>
        <v>0</v>
      </c>
      <c r="J28" s="53"/>
      <c r="K28" s="53"/>
      <c r="L28" s="53">
        <f t="shared" si="2"/>
        <v>0</v>
      </c>
    </row>
    <row r="29" spans="2:12" x14ac:dyDescent="0.35">
      <c r="B29" s="53" t="s">
        <v>319</v>
      </c>
      <c r="C29" s="53"/>
      <c r="D29" s="53"/>
      <c r="E29" s="53">
        <f t="shared" si="0"/>
        <v>0</v>
      </c>
      <c r="F29" s="53" t="s">
        <v>317</v>
      </c>
      <c r="G29" s="53"/>
      <c r="H29" s="53"/>
      <c r="I29" s="53">
        <f t="shared" si="1"/>
        <v>0</v>
      </c>
      <c r="J29" s="53"/>
      <c r="K29" s="53"/>
      <c r="L29" s="53">
        <f t="shared" si="2"/>
        <v>0</v>
      </c>
    </row>
    <row r="30" spans="2:12" x14ac:dyDescent="0.35">
      <c r="B30" s="53" t="s">
        <v>323</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320</v>
      </c>
      <c r="C33" s="53"/>
      <c r="D33" s="53"/>
      <c r="E33" s="53">
        <f t="shared" si="0"/>
        <v>0</v>
      </c>
      <c r="F33" s="53"/>
      <c r="G33" s="53"/>
      <c r="H33" s="53"/>
      <c r="I33" s="53">
        <f t="shared" si="1"/>
        <v>0</v>
      </c>
      <c r="J33" s="53"/>
      <c r="K33" s="53"/>
      <c r="L33" s="53">
        <f t="shared" si="2"/>
        <v>0</v>
      </c>
    </row>
    <row r="34" spans="2:12" x14ac:dyDescent="0.35">
      <c r="B34" s="53" t="s">
        <v>324</v>
      </c>
      <c r="C34" s="53"/>
      <c r="D34" s="53"/>
      <c r="E34" s="53">
        <f t="shared" si="0"/>
        <v>0</v>
      </c>
      <c r="F34" s="53"/>
      <c r="G34" s="53"/>
      <c r="H34" s="53"/>
      <c r="I34" s="53">
        <f t="shared" si="1"/>
        <v>0</v>
      </c>
      <c r="J34" s="53"/>
      <c r="K34" s="53"/>
      <c r="L34" s="53">
        <f t="shared" si="2"/>
        <v>0</v>
      </c>
    </row>
    <row r="35" spans="2:12" x14ac:dyDescent="0.35">
      <c r="B35" s="53" t="s">
        <v>321</v>
      </c>
      <c r="C35" s="53"/>
      <c r="D35" s="53"/>
      <c r="E35" s="53">
        <f t="shared" si="0"/>
        <v>0</v>
      </c>
      <c r="F35" s="53"/>
      <c r="G35" s="53"/>
      <c r="H35" s="53"/>
      <c r="I35" s="53">
        <f t="shared" si="1"/>
        <v>0</v>
      </c>
      <c r="J35" s="53"/>
      <c r="K35" s="53"/>
      <c r="L35" s="53">
        <f t="shared" si="2"/>
        <v>0</v>
      </c>
    </row>
    <row r="36" spans="2:12" x14ac:dyDescent="0.35">
      <c r="B36" s="53" t="s">
        <v>322</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325</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150</v>
      </c>
      <c r="C42" s="53"/>
      <c r="D42" s="53">
        <f>E42*10.764</f>
        <v>0</v>
      </c>
      <c r="E42" s="73">
        <f>SUM(E6:E41)</f>
        <v>0</v>
      </c>
      <c r="F42" s="53"/>
      <c r="G42" s="53"/>
      <c r="H42" s="53">
        <f>I42*10.764</f>
        <v>0</v>
      </c>
      <c r="I42" s="72">
        <f>SUM(I6:I41)</f>
        <v>0</v>
      </c>
      <c r="J42" s="53"/>
      <c r="K42" s="53">
        <f>L42*10.764</f>
        <v>0</v>
      </c>
      <c r="L42" s="71">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2025-09-26T07:20:08Z</cp:lastPrinted>
  <dcterms:created xsi:type="dcterms:W3CDTF">2019-07-16T09:29:46Z</dcterms:created>
  <dcterms:modified xsi:type="dcterms:W3CDTF">2025-09-26T07:20:19Z</dcterms:modified>
</cp:coreProperties>
</file>