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New\22940 - The Park Phase 1\"/>
    </mc:Choice>
  </mc:AlternateContent>
  <xr:revisionPtr revIDLastSave="0" documentId="13_ncr:1_{B176AF72-3084-4E3E-AF0B-E4077E05E78C}"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 name="Construction Table" sheetId="8" r:id="rId6"/>
  </sheets>
  <definedNames>
    <definedName name="_xlnm.Print_Area" localSheetId="0">Report!$A$1:$H$346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4" i="1" l="1"/>
  <c r="M177" i="1"/>
  <c r="M178" i="1"/>
  <c r="M167" i="1"/>
  <c r="M168" i="1"/>
  <c r="M169" i="1"/>
  <c r="M170" i="1"/>
  <c r="M171" i="1"/>
  <c r="M166" i="1"/>
  <c r="L169" i="1"/>
  <c r="L166" i="1"/>
  <c r="L167" i="1"/>
  <c r="J167" i="1"/>
  <c r="J168" i="1"/>
  <c r="J169" i="1"/>
  <c r="J170" i="1"/>
  <c r="J171" i="1"/>
  <c r="J166" i="1"/>
  <c r="C76" i="1"/>
  <c r="D194" i="1"/>
  <c r="F194" i="1" s="1"/>
  <c r="H194" i="1" s="1"/>
  <c r="D193" i="1"/>
  <c r="F193" i="1" s="1"/>
  <c r="H193" i="1" s="1"/>
  <c r="D192" i="1"/>
  <c r="D191" i="1"/>
  <c r="D190" i="1"/>
  <c r="F190" i="1" s="1"/>
  <c r="H190" i="1" s="1"/>
  <c r="D189" i="1"/>
  <c r="F189" i="1" s="1"/>
  <c r="H189" i="1" s="1"/>
  <c r="D187" i="1"/>
  <c r="F187" i="1" s="1"/>
  <c r="H187" i="1" s="1"/>
  <c r="D186" i="1"/>
  <c r="F186" i="1" s="1"/>
  <c r="H186" i="1" s="1"/>
  <c r="D185" i="1"/>
  <c r="F185" i="1" s="1"/>
  <c r="D184" i="1"/>
  <c r="F184" i="1" s="1"/>
  <c r="H184" i="1" s="1"/>
  <c r="D183" i="1"/>
  <c r="D182" i="1"/>
  <c r="F182" i="1" s="1"/>
  <c r="H182" i="1" s="1"/>
  <c r="D178" i="1"/>
  <c r="F178" i="1" s="1"/>
  <c r="H178" i="1" s="1"/>
  <c r="D177" i="1"/>
  <c r="F177" i="1" s="1"/>
  <c r="H177" i="1" s="1"/>
  <c r="D176" i="1"/>
  <c r="F176" i="1" s="1"/>
  <c r="H176" i="1" s="1"/>
  <c r="D175" i="1"/>
  <c r="F175" i="1" s="1"/>
  <c r="H175" i="1" s="1"/>
  <c r="D174" i="1"/>
  <c r="F174" i="1" s="1"/>
  <c r="H174" i="1" s="1"/>
  <c r="D171" i="1"/>
  <c r="D170" i="1"/>
  <c r="D169" i="1"/>
  <c r="F169" i="1" s="1"/>
  <c r="H169" i="1" s="1"/>
  <c r="D168" i="1"/>
  <c r="F168" i="1" s="1"/>
  <c r="H168" i="1" s="1"/>
  <c r="D167" i="1"/>
  <c r="F167" i="1" s="1"/>
  <c r="H167" i="1" s="1"/>
  <c r="D166" i="1"/>
  <c r="F166" i="1" s="1"/>
  <c r="H166" i="1" s="1"/>
  <c r="D164" i="1"/>
  <c r="F164" i="1" s="1"/>
  <c r="H164" i="1" s="1"/>
  <c r="D163" i="1"/>
  <c r="F163" i="1" s="1"/>
  <c r="H163" i="1" s="1"/>
  <c r="D162" i="1"/>
  <c r="D161" i="1"/>
  <c r="D160" i="1"/>
  <c r="D159" i="1"/>
  <c r="F192" i="1"/>
  <c r="H192" i="1" s="1"/>
  <c r="F191" i="1"/>
  <c r="H191" i="1" s="1"/>
  <c r="A190" i="1"/>
  <c r="A191" i="1" s="1"/>
  <c r="A192" i="1" s="1"/>
  <c r="A193" i="1" s="1"/>
  <c r="A194" i="1" s="1"/>
  <c r="J185" i="1"/>
  <c r="K183" i="1"/>
  <c r="J183" i="1"/>
  <c r="F183" i="1"/>
  <c r="H183" i="1" s="1"/>
  <c r="A183" i="1"/>
  <c r="A184" i="1" s="1"/>
  <c r="A185" i="1" s="1"/>
  <c r="A186" i="1" s="1"/>
  <c r="A187" i="1" s="1"/>
  <c r="J182" i="1"/>
  <c r="A175" i="1"/>
  <c r="A176" i="1" s="1"/>
  <c r="A177" i="1" s="1"/>
  <c r="A178" i="1" s="1"/>
  <c r="F170" i="1"/>
  <c r="H170" i="1" s="1"/>
  <c r="F171" i="1"/>
  <c r="H171" i="1" s="1"/>
  <c r="A167" i="1"/>
  <c r="A168" i="1" s="1"/>
  <c r="A169" i="1" s="1"/>
  <c r="A170" i="1" s="1"/>
  <c r="A171" i="1" s="1"/>
  <c r="J162" i="1"/>
  <c r="K160" i="1"/>
  <c r="J160" i="1"/>
  <c r="J159" i="1"/>
  <c r="E43" i="1"/>
  <c r="H4" i="8"/>
  <c r="C140" i="1" l="1"/>
  <c r="C142" i="1" s="1"/>
  <c r="C141" i="1"/>
  <c r="H185" i="1"/>
  <c r="G141" i="1" s="1"/>
  <c r="E141" i="1"/>
  <c r="J6" i="8"/>
  <c r="D16" i="8"/>
  <c r="D10" i="8"/>
  <c r="D11" i="8"/>
  <c r="D15" i="8"/>
  <c r="D9" i="8"/>
  <c r="J8" i="8"/>
  <c r="C7" i="8" s="1"/>
  <c r="D14" i="8"/>
  <c r="D13" i="8"/>
  <c r="J7" i="8"/>
  <c r="J3" i="8"/>
  <c r="J5" i="8" s="1"/>
  <c r="D12" i="8"/>
  <c r="B4" i="8"/>
  <c r="F149" i="1"/>
  <c r="B38" i="6"/>
  <c r="B39" i="6" s="1"/>
  <c r="B40" i="6" s="1"/>
  <c r="B41" i="6" s="1"/>
  <c r="B42" i="6" s="1"/>
  <c r="B43" i="6" s="1"/>
  <c r="B44" i="6" s="1"/>
  <c r="B45" i="6" s="1"/>
  <c r="B46" i="6" s="1"/>
  <c r="B47" i="6" s="1"/>
  <c r="B48" i="6" s="1"/>
  <c r="B49" i="6" s="1"/>
  <c r="B50" i="6" s="1"/>
  <c r="B51" i="6" s="1"/>
  <c r="B52" i="6" s="1"/>
  <c r="B53" i="6" s="1"/>
  <c r="B54" i="6" s="1"/>
  <c r="D7" i="8" l="1"/>
  <c r="J9" i="8"/>
  <c r="J10" i="8" s="1"/>
  <c r="J15" i="8" s="1"/>
  <c r="J16" i="8" s="1"/>
  <c r="E7" i="8" s="1"/>
  <c r="J14" i="8"/>
  <c r="J13" i="8"/>
  <c r="J11" i="8"/>
  <c r="J12" i="8"/>
  <c r="H149" i="1"/>
  <c r="G7" i="8" l="1"/>
  <c r="D8" i="8"/>
  <c r="I4" i="8" s="1"/>
  <c r="J4" i="8"/>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22" i="1"/>
  <c r="B198" i="1"/>
  <c r="B197" i="1"/>
  <c r="F162" i="1"/>
  <c r="H162" i="1" s="1"/>
  <c r="F161" i="1"/>
  <c r="H161" i="1" s="1"/>
  <c r="F160" i="1"/>
  <c r="H160" i="1" s="1"/>
  <c r="A160" i="1"/>
  <c r="A161" i="1" s="1"/>
  <c r="A162" i="1" s="1"/>
  <c r="A163" i="1" s="1"/>
  <c r="A164" i="1" s="1"/>
  <c r="F159" i="1"/>
  <c r="F152" i="1"/>
  <c r="H152" i="1" s="1"/>
  <c r="F151" i="1"/>
  <c r="H151" i="1" s="1"/>
  <c r="F150" i="1"/>
  <c r="H150" i="1" s="1"/>
  <c r="A150" i="1"/>
  <c r="A151" i="1" s="1"/>
  <c r="A152" i="1" s="1"/>
  <c r="C143" i="1"/>
  <c r="F132" i="1"/>
  <c r="C106" i="1"/>
  <c r="B77" i="1"/>
  <c r="D70" i="1"/>
  <c r="D64" i="1"/>
  <c r="G57" i="1"/>
  <c r="C57" i="1"/>
  <c r="K55" i="1"/>
  <c r="C55" i="1"/>
  <c r="G51" i="1"/>
  <c r="C51" i="1"/>
  <c r="E44" i="1"/>
  <c r="E45" i="1" s="1"/>
  <c r="S33" i="1"/>
  <c r="E31" i="1"/>
  <c r="E28" i="1"/>
  <c r="E26" i="1"/>
  <c r="C16" i="1"/>
  <c r="I15" i="1"/>
  <c r="Z13" i="1"/>
  <c r="E3" i="1"/>
  <c r="B208" i="1" s="1"/>
  <c r="H107" i="1"/>
  <c r="H159" i="1" l="1"/>
  <c r="G140" i="1" s="1"/>
  <c r="G142" i="1" s="1"/>
  <c r="G143" i="1" s="1"/>
  <c r="E140" i="1"/>
  <c r="E142" i="1" s="1"/>
  <c r="E143" i="1" s="1"/>
  <c r="I5" i="8"/>
  <c r="I3" i="8" s="1"/>
  <c r="C5" i="8" s="1"/>
  <c r="E42" i="7"/>
  <c r="J84" i="1"/>
  <c r="J85" i="1"/>
  <c r="I42" i="7"/>
  <c r="H42" i="7" s="1"/>
  <c r="L42" i="7"/>
  <c r="K42" i="7" s="1"/>
  <c r="J106" i="1"/>
  <c r="J108" i="1" s="1"/>
  <c r="D115" i="1"/>
  <c r="D114" i="1"/>
  <c r="D119" i="1"/>
  <c r="D113" i="1"/>
  <c r="J109" i="1"/>
  <c r="D118" i="1"/>
  <c r="J111" i="1"/>
  <c r="D112" i="1"/>
  <c r="D117" i="1"/>
  <c r="J110" i="1"/>
  <c r="D116" i="1"/>
  <c r="D42" i="7"/>
  <c r="L55" i="1"/>
  <c r="B107" i="1"/>
  <c r="J86" i="1"/>
  <c r="J87" i="1"/>
  <c r="I52" i="1"/>
  <c r="H77" i="1"/>
  <c r="D88" i="1" l="1"/>
  <c r="D82" i="1"/>
  <c r="J82" i="1"/>
  <c r="J83" i="1" s="1"/>
  <c r="J88" i="1" s="1"/>
  <c r="J89" i="1" s="1"/>
  <c r="C81" i="1" s="1"/>
  <c r="E80" i="1" s="1"/>
  <c r="J81" i="1"/>
  <c r="C80" i="1" s="1"/>
  <c r="D80" i="1" s="1"/>
  <c r="D87" i="1"/>
  <c r="D86" i="1"/>
  <c r="J76" i="1"/>
  <c r="J78" i="1" s="1"/>
  <c r="D85" i="1"/>
  <c r="D89" i="1"/>
  <c r="D83" i="1"/>
  <c r="J80" i="1"/>
  <c r="J79" i="1"/>
  <c r="D84" i="1"/>
  <c r="D44" i="7"/>
  <c r="E44" i="7"/>
  <c r="D110" i="1"/>
  <c r="J115" i="1"/>
  <c r="J112" i="1"/>
  <c r="J113" i="1" s="1"/>
  <c r="J118" i="1" s="1"/>
  <c r="J119" i="1" s="1"/>
  <c r="J117" i="1"/>
  <c r="J114" i="1"/>
  <c r="J116" i="1"/>
  <c r="G80" i="1" l="1"/>
  <c r="D81" i="1"/>
  <c r="J77" i="1"/>
  <c r="E110" i="1"/>
  <c r="D111" i="1"/>
  <c r="I107" i="1" s="1"/>
  <c r="J107" i="1"/>
  <c r="G110" i="1"/>
  <c r="D74" i="1" l="1"/>
  <c r="D75" i="1" s="1"/>
  <c r="I77" i="1"/>
  <c r="I78" i="1" s="1"/>
  <c r="I108" i="1"/>
  <c r="I106" i="1" s="1"/>
  <c r="C108" i="1" s="1"/>
  <c r="F75" i="1" l="1"/>
  <c r="I76" i="1"/>
  <c r="C78" i="1" s="1"/>
  <c r="B91" i="1"/>
  <c r="H91" i="1"/>
  <c r="J95" i="1" l="1"/>
  <c r="C94" i="1" s="1"/>
  <c r="J93" i="1"/>
  <c r="J90" i="1"/>
  <c r="J92" i="1" s="1"/>
  <c r="D99" i="1"/>
  <c r="D103" i="1"/>
  <c r="D102" i="1"/>
  <c r="D98" i="1"/>
  <c r="J94" i="1"/>
  <c r="D96" i="1"/>
  <c r="D100" i="1"/>
  <c r="D101" i="1"/>
  <c r="D97" i="1"/>
  <c r="J99" i="1"/>
  <c r="J101" i="1"/>
  <c r="J100" i="1"/>
  <c r="J98" i="1"/>
  <c r="J96" i="1"/>
  <c r="J97" i="1" s="1"/>
  <c r="J102" i="1" s="1"/>
  <c r="J103" i="1" s="1"/>
  <c r="C95" i="1" s="1"/>
  <c r="E94" i="1" l="1"/>
  <c r="D95" i="1"/>
  <c r="G94" i="1"/>
  <c r="G104" i="1" s="1"/>
  <c r="D94" i="1"/>
  <c r="C104" i="1" l="1"/>
  <c r="I91" i="1"/>
  <c r="I92" i="1" s="1"/>
  <c r="J91" i="1"/>
  <c r="I90" i="1" l="1"/>
  <c r="C9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D64"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5"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5"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<sst xmlns="http://schemas.openxmlformats.org/spreadsheetml/2006/main" count="779" uniqueCount="443">
  <si>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</si>
  <si>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</si>
  <si>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</si>
  <si>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</si>
  <si>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</si>
  <si>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</si>
  <si>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</si>
  <si>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</si>
  <si>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</si>
  <si>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</si>
  <si>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</si>
  <si>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</si>
  <si>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</si>
  <si>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</si>
  <si>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</si>
  <si>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</si>
  <si>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</si>
  <si>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</si>
  <si>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</si>
  <si>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</si>
  <si>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</si>
  <si>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</si>
  <si>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</si>
  <si>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</si>
  <si>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</si>
  <si>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</si>
  <si>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</si>
  <si>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</si>
  <si>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</si>
  <si>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</si>
  <si>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</si>
  <si>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</si>
  <si>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</si>
  <si>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</si>
  <si>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</si>
  <si>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</si>
  <si>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</si>
  <si>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</si>
  <si>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</si>
  <si>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</si>
  <si>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</si>
  <si>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</si>
  <si>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</si>
  <si>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</si>
  <si>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</si>
  <si>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</si>
  <si>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</si>
  <si>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</si>
  <si>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</si>
  <si>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</si>
  <si>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</si>
  <si>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</si>
  <si>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</si>
  <si>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</si>
  <si>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</si>
  <si>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</si>
  <si>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</si>
  <si>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</si>
  <si>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</si>
  <si>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</si>
  <si>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</si>
  <si>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</si>
  <si>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</si>
  <si>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</si>
  <si>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</si>
  <si>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</si>
  <si>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</si>
  <si>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</si>
  <si>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</si>
  <si>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</si>
  <si>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</si>
  <si>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</si>
  <si>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</si>
  <si>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</si>
  <si>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</si>
  <si>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</si>
  <si>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</si>
  <si>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</si>
  <si>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</si>
  <si>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</si>
  <si>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</si>
  <si>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</si>
  <si>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</si>
  <si>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</si>
  <si>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</si>
  <si>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</si>
  <si>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</si>
  <si>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</si>
  <si>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</si>
  <si>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</si>
  <si>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</si>
  <si>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</si>
  <si>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</si>
  <si>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</si>
  <si>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</si>
  <si>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</si>
  <si>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</si>
  <si>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</si>
  <si>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</si>
  <si>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</si>
  <si>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</si>
  <si>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</si>
  <si>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</si>
  <si>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</si>
  <si>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</si>
  <si>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</si>
  <si>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</si>
  <si>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</si>
  <si>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99 Acres</t>
  </si>
  <si>
    <t>Average</t>
  </si>
  <si>
    <t xml:space="preserve">Valuation Adopted </t>
  </si>
  <si>
    <t>Saleable Area</t>
  </si>
  <si>
    <t>Rate on Saleable</t>
  </si>
  <si>
    <t xml:space="preserve">Wheather the construction is as per approved Building plan : </t>
  </si>
  <si>
    <t>Ground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</si>
  <si>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</si>
  <si>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</si>
  <si>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</si>
  <si>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</si>
  <si>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</si>
  <si>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</si>
  <si>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</si>
  <si>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</si>
  <si>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</si>
  <si>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</si>
  <si>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</si>
  <si>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</si>
  <si>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</si>
  <si>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</si>
  <si>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</si>
  <si>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</si>
  <si>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</si>
  <si>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</si>
  <si>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</si>
  <si>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</si>
  <si>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</si>
  <si>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</si>
  <si>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</si>
  <si>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</si>
  <si>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</si>
  <si>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</si>
  <si>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</si>
  <si>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</si>
  <si>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</si>
  <si>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</si>
  <si>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</si>
  <si>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Only For MCGM &amp; MHADA or SRA</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</si>
  <si>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</si>
  <si>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</si>
  <si>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</si>
  <si>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</si>
  <si>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</si>
  <si>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</si>
  <si>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</si>
  <si>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</si>
  <si>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</si>
  <si>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</si>
  <si>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</si>
  <si>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</si>
  <si>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</si>
  <si>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</si>
  <si>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</si>
  <si>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</si>
  <si>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</si>
  <si>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</si>
  <si>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</si>
  <si>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</si>
  <si>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</si>
  <si>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</si>
  <si>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</si>
  <si>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</si>
  <si>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</si>
  <si>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</si>
  <si>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</si>
  <si>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</si>
  <si>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</si>
  <si>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</si>
  <si>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</si>
  <si>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</si>
  <si>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</si>
  <si>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</si>
  <si>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</si>
  <si>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</si>
  <si>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</si>
  <si>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</si>
  <si>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</si>
  <si>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</si>
  <si>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</si>
  <si>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</si>
  <si>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</si>
  <si>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</si>
  <si>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</si>
  <si>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</si>
  <si>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</si>
  <si>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</si>
  <si>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</si>
  <si>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</si>
  <si>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</si>
  <si>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</si>
  <si>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</si>
  <si>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</si>
  <si>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</si>
  <si>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</si>
  <si>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</si>
  <si>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</si>
  <si>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</si>
  <si>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</si>
  <si>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</si>
  <si>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</si>
  <si>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</si>
  <si>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</si>
  <si>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</si>
  <si>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</si>
  <si>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</si>
  <si>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</si>
  <si>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</si>
  <si>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</si>
  <si>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</si>
  <si>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</si>
  <si>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</si>
  <si>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</si>
  <si>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</si>
  <si>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</si>
  <si>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</si>
  <si>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</si>
  <si>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</si>
  <si>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</si>
  <si>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</si>
  <si>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</si>
  <si>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</si>
  <si>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</si>
  <si>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</si>
  <si>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</si>
  <si>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</si>
  <si>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</si>
  <si>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</si>
  <si>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</si>
  <si>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</si>
  <si>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</si>
  <si>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</si>
  <si>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</si>
  <si>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</si>
  <si>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</si>
  <si>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</si>
  <si>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</si>
  <si>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</si>
  <si>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</si>
  <si>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</si>
  <si>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</si>
  <si>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</si>
  <si>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</si>
  <si>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</si>
  <si>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</si>
  <si>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</si>
  <si>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</si>
  <si>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</si>
  <si>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</si>
  <si>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</si>
  <si>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</si>
  <si>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</si>
  <si>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</si>
  <si>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</si>
  <si>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</si>
  <si>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</si>
  <si>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</si>
  <si>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</si>
  <si>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</si>
  <si>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</si>
  <si>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</si>
  <si>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</si>
  <si>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</si>
  <si>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</si>
  <si>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</si>
  <si>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</si>
  <si>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</si>
  <si>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</si>
  <si>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</si>
  <si>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</si>
  <si>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</si>
  <si>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</si>
  <si>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</si>
  <si>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</si>
  <si>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</si>
  <si>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</si>
  <si>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</si>
  <si>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</si>
  <si>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</si>
  <si>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</si>
  <si>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</si>
  <si>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</si>
  <si>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</si>
  <si>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</si>
  <si>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</si>
  <si>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</si>
  <si>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</si>
  <si>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</si>
  <si>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</si>
  <si>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</si>
  <si>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</si>
  <si>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</si>
  <si>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</si>
  <si>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</si>
  <si>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</si>
  <si>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</si>
  <si>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</si>
  <si>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</si>
  <si>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</si>
  <si>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</si>
  <si>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</si>
  <si>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</si>
  <si>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</si>
  <si>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</si>
  <si>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</si>
  <si>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</si>
  <si>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</si>
  <si>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</si>
  <si>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</si>
  <si>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</si>
  <si>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</si>
  <si>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</si>
  <si>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</si>
  <si>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</si>
  <si>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</si>
  <si>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</si>
  <si>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</si>
  <si>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</si>
  <si>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</si>
  <si>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</si>
  <si>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</si>
  <si>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</si>
  <si>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</si>
  <si>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</si>
  <si>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</si>
  <si>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</si>
  <si>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</si>
  <si>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</si>
  <si>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</si>
  <si>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</si>
  <si>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</si>
  <si>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</si>
  <si>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</si>
  <si>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</si>
  <si>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</si>
  <si>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</si>
  <si>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</si>
  <si>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</si>
  <si>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</si>
  <si>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</si>
  <si>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</si>
  <si>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</si>
  <si>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</si>
  <si>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</si>
  <si>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</si>
  <si>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</si>
  <si>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</si>
  <si>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</si>
  <si>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</si>
  <si>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</si>
  <si>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</si>
  <si>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</si>
  <si>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</si>
  <si>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</si>
  <si>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</si>
  <si>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</si>
  <si>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</si>
  <si>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</si>
  <si>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</si>
  <si>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</si>
  <si>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</si>
  <si>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</si>
  <si>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</si>
  <si>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</si>
  <si>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</si>
  <si>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</si>
  <si>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</si>
  <si>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</si>
  <si>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</si>
  <si>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</si>
  <si>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</si>
  <si>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</si>
  <si>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</si>
  <si>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</si>
  <si>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</si>
  <si>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Truhome Vasai</t>
  </si>
  <si>
    <t>Ground + 20th Floor</t>
  </si>
  <si>
    <t xml:space="preserve">Jio Finance Table </t>
  </si>
  <si>
    <t>Truhome Finance Limited</t>
  </si>
  <si>
    <t>P52000077546</t>
  </si>
  <si>
    <t>Acons The Park Phase 1</t>
  </si>
  <si>
    <t>Aarun Gulati</t>
  </si>
  <si>
    <t>Name of the builder</t>
  </si>
  <si>
    <t>Aarun Gulati 9930021360</t>
  </si>
  <si>
    <t>Acons Builders</t>
  </si>
  <si>
    <t>Building No. 1 &amp; 2</t>
  </si>
  <si>
    <t>Approved Plans &amp; CC</t>
  </si>
  <si>
    <t>Survey No</t>
  </si>
  <si>
    <t>42/1A/2</t>
  </si>
  <si>
    <t>Chendhare</t>
  </si>
  <si>
    <t>18.661953,72.881677</t>
  </si>
  <si>
    <t>https://maps.app.goo.gl/Ei1tnpRab12UbK5W9</t>
  </si>
  <si>
    <t>Open Plot</t>
  </si>
  <si>
    <t>S.No. 37</t>
  </si>
  <si>
    <t>S.No. 42</t>
  </si>
  <si>
    <t>S.No. 42/1A/1</t>
  </si>
  <si>
    <t>02 Building</t>
  </si>
  <si>
    <t>Savta Mali Road</t>
  </si>
  <si>
    <t>Utkarsha Vastu Building</t>
  </si>
  <si>
    <t>2.10KM from Alibag ST Stand</t>
  </si>
  <si>
    <t>MS/L.N.A./A-1(A)/Token No. 16420/S.R.128/2022/J.K./99/24</t>
  </si>
  <si>
    <t>MS/L.N.A./A-1(A)/Token No. 16420/J.K./24/128/2022</t>
  </si>
  <si>
    <t xml:space="preserve">Commencement-CC No
Valid Up to: </t>
  </si>
  <si>
    <t>Building No. 1 &amp; 2 = Gr + 1st to 7th Floor</t>
  </si>
  <si>
    <t>Building No. 1 = Gr + 1st to 7th Floor</t>
  </si>
  <si>
    <t>Building No. 2 = Gr + 1st to 7th Floor</t>
  </si>
  <si>
    <t>As per RERA - 31/12/2030</t>
  </si>
  <si>
    <r>
      <t xml:space="preserve">Proposed Amenities :                                                                                                                                                                                                                         </t>
    </r>
    <r>
      <rPr>
        <b/>
        <sz val="12"/>
        <rFont val="Times New Roman"/>
        <family val="1"/>
      </rPr>
      <t xml:space="preserve">                                               </t>
    </r>
  </si>
  <si>
    <t>Swimming Pool, Landscaping &amp; Garden, Vitrified tiles flooring, Granite Kitchen Platform, Decorative Entrance, etc.</t>
  </si>
  <si>
    <t xml:space="preserve">Details of Residential in Building   </t>
  </si>
  <si>
    <r>
      <t xml:space="preserve">Shop No.
</t>
    </r>
    <r>
      <rPr>
        <b/>
        <sz val="11"/>
        <rFont val="Times New Roman"/>
        <family val="1"/>
      </rPr>
      <t>(Approved Plan)</t>
    </r>
  </si>
  <si>
    <r>
      <t xml:space="preserve">Flat No.
</t>
    </r>
    <r>
      <rPr>
        <b/>
        <sz val="11"/>
        <rFont val="Times New Roman"/>
        <family val="1"/>
      </rPr>
      <t>(Approved Plan)</t>
    </r>
  </si>
  <si>
    <t>Building No. 1</t>
  </si>
  <si>
    <t>Ground Floor For Entrance Lobby &amp; Parking</t>
  </si>
  <si>
    <t>1BHK</t>
  </si>
  <si>
    <t>3BHK</t>
  </si>
  <si>
    <t>2BHK</t>
  </si>
  <si>
    <t>5th &amp; 6th Floor</t>
  </si>
  <si>
    <t>1st to 4th Floor For Residential</t>
  </si>
  <si>
    <t>7th Floor (Part Refuge Area)</t>
  </si>
  <si>
    <t>-</t>
  </si>
  <si>
    <t>Refuge Area</t>
  </si>
  <si>
    <t>Building No. 2</t>
  </si>
  <si>
    <t>5th to 7th Floor</t>
  </si>
  <si>
    <t>We considered Gross carpet area = Net carpet.</t>
  </si>
  <si>
    <t>Flats - 83</t>
  </si>
  <si>
    <t>Kunal Kadam</t>
  </si>
  <si>
    <t>Nitesh Patil</t>
  </si>
  <si>
    <t>Part II = Building No. 1 = Gr + 1st to 7th Floor</t>
  </si>
  <si>
    <t>Average Progress % 
Building No. 01</t>
  </si>
  <si>
    <t>Average Disbursement % 
Building No. 01</t>
  </si>
  <si>
    <t>Building No. 1 = Construction work completed upto 7th slab and 8th slab work is in process at the time of Visit.
Building No. 2 = Work not yet Started.
Construction work was not active at the time of Visit. (labour Not found)
All work completed. Wait for OC / OC received.
Work not yet Started.</t>
  </si>
  <si>
    <t>Shiva Nagar</t>
  </si>
  <si>
    <t>99 acres</t>
  </si>
  <si>
    <t>Square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</si>
</sst>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4" fillId="0" borderId="0"/>
    <xf numFmtId="0" fontId="5" fillId="0" borderId="0"/>
    <xf numFmtId="0" fontId="3" fillId="0" borderId="0"/>
    <xf numFmtId="0" fontId="5" fillId="0" borderId="0"/>
    <xf numFmtId="0" fontId="2"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cellStyleXfs>
  <cellXfs count="298">
    <xf numFmtId="0" fontId="0" fillId="0" borderId="0" xfId="0"/>
    <xf numFmtId="0" fontId="5" fillId="0" borderId="0" xfId="4"/>
    <xf numFmtId="0" fontId="2" fillId="0" borderId="0" xfId="5"/>
    <xf numFmtId="0" fontId="9"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8" xfId="0" applyBorder="1" applyAlignment="1">
      <alignment vertical="top" wrapText="1"/>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3" fillId="3" borderId="8" xfId="1" applyNumberFormat="1" applyFont="1" applyFill="1" applyBorder="1" applyAlignment="1" applyProtection="1">
      <alignment horizontal="center" vertical="center" wrapText="1"/>
      <protection locked="0"/>
    </xf>
    <xf numFmtId="1" fontId="13" fillId="3" borderId="21" xfId="1" applyNumberFormat="1" applyFont="1" applyFill="1" applyBorder="1" applyAlignment="1" applyProtection="1">
      <alignment horizontal="center" vertical="center" wrapText="1"/>
      <protection locked="0"/>
    </xf>
    <xf numFmtId="1" fontId="13" fillId="3" borderId="9" xfId="1" applyNumberFormat="1" applyFont="1" applyFill="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7" xfId="0" applyNumberFormat="1" applyFont="1" applyBorder="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protection locked="0"/>
    </xf>
    <xf numFmtId="0" fontId="12" fillId="0" borderId="5" xfId="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67" fontId="12" fillId="0" borderId="1" xfId="9" applyNumberFormat="1" applyFont="1" applyFill="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0" fillId="0" borderId="3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6" fillId="0" borderId="8" xfId="0" applyNumberFormat="1" applyFont="1" applyBorder="1" applyAlignment="1" applyProtection="1">
      <alignment horizontal="center" vertical="center" wrapText="1"/>
      <protection locked="0"/>
    </xf>
    <xf numFmtId="1" fontId="6" fillId="0" borderId="9"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0" fillId="0" borderId="11" xfId="0" applyBorder="1" applyAlignment="1">
      <alignment horizontal="center"/>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39"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9" fontId="12" fillId="0" borderId="3" xfId="8" applyFont="1" applyFill="1" applyBorder="1" applyAlignment="1" applyProtection="1">
      <alignment horizontal="center" vertical="top" wrapText="1"/>
      <protection locked="0"/>
    </xf>
    <xf numFmtId="0" fontId="13" fillId="0" borderId="40"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41" xfId="1" applyFont="1" applyBorder="1" applyAlignment="1" applyProtection="1">
      <alignment horizontal="left" vertical="top" wrapText="1"/>
      <protection locked="0"/>
    </xf>
    <xf numFmtId="0" fontId="8" fillId="5" borderId="1" xfId="1" applyFont="1" applyFill="1" applyBorder="1" applyAlignment="1" applyProtection="1">
      <alignment horizontal="center" vertical="center" wrapText="1"/>
      <protection locked="0"/>
    </xf>
    <xf numFmtId="0" fontId="8" fillId="5" borderId="1" xfId="1" applyFont="1" applyFill="1" applyBorder="1" applyAlignment="1" applyProtection="1">
      <alignment horizontal="center" vertical="center"/>
      <protection locked="0"/>
    </xf>
    <xf numFmtId="9" fontId="8" fillId="5" borderId="1" xfId="1" applyNumberFormat="1" applyFont="1" applyFill="1" applyBorder="1" applyAlignment="1" applyProtection="1">
      <alignment horizontal="center" vertical="center"/>
      <protection locked="0"/>
    </xf>
    <xf numFmtId="14" fontId="12"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3" fillId="0" borderId="16" xfId="1" applyFont="1" applyBorder="1" applyAlignment="1" applyProtection="1">
      <alignment horizontal="center" vertical="top"/>
      <protection locked="0"/>
    </xf>
    <xf numFmtId="0" fontId="1" fillId="0" borderId="1" xfId="5" applyFont="1" applyBorder="1" applyAlignment="1">
      <alignment horizontal="center" vertical="center"/>
    </xf>
    <xf numFmtId="0" fontId="7" fillId="0" borderId="0" xfId="1" applyFont="1" applyAlignment="1">
      <alignment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8</xdr:col>
      <xdr:colOff>716280</xdr:colOff>
      <xdr:row>47</xdr:row>
      <xdr:rowOff>53340</xdr:rowOff>
    </xdr:from>
    <xdr:to>
      <xdr:col>11</xdr:col>
      <xdr:colOff>837840</xdr:colOff>
      <xdr:row>48</xdr:row>
      <xdr:rowOff>185306</xdr:rowOff>
    </xdr:to>
    <xdr:pic>
      <xdr:nvPicPr>
        <xdr:cNvPr id="2" name="Picture 1">
          <a:extLst>
            <a:ext uri="{FF2B5EF4-FFF2-40B4-BE49-F238E27FC236}">
              <a16:creationId xmlns:a16="http://schemas.microsoft.com/office/drawing/2014/main" id="{4E85ABAC-0DB0-EA2B-389A-415D5C2B8186}"/>
            </a:ext>
          </a:extLst>
        </xdr:cNvPr>
        <xdr:cNvPicPr>
          <a:picLocks noChangeAspect="1"/>
        </xdr:cNvPicPr>
      </xdr:nvPicPr>
      <xdr:blipFill>
        <a:blip xmlns:r="http://schemas.openxmlformats.org/officeDocument/2006/relationships" r:embed="rId1"/>
        <a:stretch>
          <a:fillRect/>
        </a:stretch>
      </xdr:blipFill>
      <xdr:spPr>
        <a:xfrm>
          <a:off x="7200900" y="10187940"/>
          <a:ext cx="2880000" cy="330086"/>
        </a:xfrm>
        <a:prstGeom prst="rect">
          <a:avLst/>
        </a:prstGeom>
      </xdr:spPr>
    </xdr:pic>
    <xdr:clientData/>
  </xdr:twoCellAnchor>
  <xdr:twoCellAnchor editAs="oneCell">
    <xdr:from>
      <xdr:col>8</xdr:col>
      <xdr:colOff>731520</xdr:colOff>
      <xdr:row>37</xdr:row>
      <xdr:rowOff>83820</xdr:rowOff>
    </xdr:from>
    <xdr:to>
      <xdr:col>11</xdr:col>
      <xdr:colOff>853080</xdr:colOff>
      <xdr:row>46</xdr:row>
      <xdr:rowOff>70960</xdr:rowOff>
    </xdr:to>
    <xdr:pic>
      <xdr:nvPicPr>
        <xdr:cNvPr id="3" name="Picture 2">
          <a:extLst>
            <a:ext uri="{FF2B5EF4-FFF2-40B4-BE49-F238E27FC236}">
              <a16:creationId xmlns:a16="http://schemas.microsoft.com/office/drawing/2014/main" id="{144C95CF-B6AB-730E-3FFC-82B8048C053C}"/>
            </a:ext>
          </a:extLst>
        </xdr:cNvPr>
        <xdr:cNvPicPr>
          <a:picLocks noChangeAspect="1"/>
        </xdr:cNvPicPr>
      </xdr:nvPicPr>
      <xdr:blipFill>
        <a:blip xmlns:r="http://schemas.openxmlformats.org/officeDocument/2006/relationships" r:embed="rId2"/>
        <a:stretch>
          <a:fillRect/>
        </a:stretch>
      </xdr:blipFill>
      <xdr:spPr>
        <a:xfrm>
          <a:off x="7216140" y="8237220"/>
          <a:ext cx="2880000" cy="1770220"/>
        </a:xfrm>
        <a:prstGeom prst="rect">
          <a:avLst/>
        </a:prstGeom>
      </xdr:spPr>
    </xdr:pic>
    <xdr:clientData/>
  </xdr:twoCellAnchor>
  <xdr:twoCellAnchor>
    <xdr:from>
      <xdr:col>1</xdr:col>
      <xdr:colOff>304800</xdr:colOff>
      <xdr:row>264</xdr:row>
      <xdr:rowOff>178905</xdr:rowOff>
    </xdr:from>
    <xdr:to>
      <xdr:col>6</xdr:col>
      <xdr:colOff>437113</xdr:colOff>
      <xdr:row>303</xdr:row>
      <xdr:rowOff>178904</xdr:rowOff>
    </xdr:to>
    <xdr:grpSp>
      <xdr:nvGrpSpPr>
        <xdr:cNvPr id="4" name="Group 3">
          <a:extLst>
            <a:ext uri="{FF2B5EF4-FFF2-40B4-BE49-F238E27FC236}">
              <a16:creationId xmlns:a16="http://schemas.microsoft.com/office/drawing/2014/main" id="{ED87EA75-B0B2-E7A9-3211-0FCA0112F569}"/>
            </a:ext>
          </a:extLst>
        </xdr:cNvPr>
        <xdr:cNvGrpSpPr/>
      </xdr:nvGrpSpPr>
      <xdr:grpSpPr>
        <a:xfrm>
          <a:off x="1086678" y="45958540"/>
          <a:ext cx="4320000" cy="7752521"/>
          <a:chOff x="1269000" y="240077"/>
          <a:chExt cx="4320000" cy="7999965"/>
        </a:xfrm>
      </xdr:grpSpPr>
      <xdr:pic>
        <xdr:nvPicPr>
          <xdr:cNvPr id="5" name="Picture 4">
            <a:extLst>
              <a:ext uri="{FF2B5EF4-FFF2-40B4-BE49-F238E27FC236}">
                <a16:creationId xmlns:a16="http://schemas.microsoft.com/office/drawing/2014/main" id="{23177830-887D-D2B7-B9A0-4B2CE9FEA166}"/>
              </a:ext>
            </a:extLst>
          </xdr:cNvPr>
          <xdr:cNvPicPr>
            <a:picLocks noChangeAspect="1"/>
          </xdr:cNvPicPr>
        </xdr:nvPicPr>
        <xdr:blipFill>
          <a:blip xmlns:r="http://schemas.openxmlformats.org/officeDocument/2006/relationships" r:embed="rId3"/>
          <a:stretch>
            <a:fillRect/>
          </a:stretch>
        </xdr:blipFill>
        <xdr:spPr>
          <a:xfrm>
            <a:off x="1989000" y="5346951"/>
            <a:ext cx="2880000" cy="2893091"/>
          </a:xfrm>
          <a:prstGeom prst="rect">
            <a:avLst/>
          </a:prstGeom>
          <a:ln>
            <a:solidFill>
              <a:schemeClr val="tx1"/>
            </a:solidFill>
          </a:ln>
        </xdr:spPr>
      </xdr:pic>
      <xdr:pic>
        <xdr:nvPicPr>
          <xdr:cNvPr id="6" name="Picture 5">
            <a:extLst>
              <a:ext uri="{FF2B5EF4-FFF2-40B4-BE49-F238E27FC236}">
                <a16:creationId xmlns:a16="http://schemas.microsoft.com/office/drawing/2014/main" id="{56489092-6DE9-4E81-77A0-46AF9E04FCCF}"/>
              </a:ext>
            </a:extLst>
          </xdr:cNvPr>
          <xdr:cNvPicPr>
            <a:picLocks noChangeAspect="1"/>
          </xdr:cNvPicPr>
        </xdr:nvPicPr>
        <xdr:blipFill>
          <a:blip xmlns:r="http://schemas.openxmlformats.org/officeDocument/2006/relationships" r:embed="rId4"/>
          <a:stretch>
            <a:fillRect/>
          </a:stretch>
        </xdr:blipFill>
        <xdr:spPr>
          <a:xfrm>
            <a:off x="1269000" y="240077"/>
            <a:ext cx="4320000" cy="4980343"/>
          </a:xfrm>
          <a:prstGeom prst="rect">
            <a:avLst/>
          </a:prstGeom>
          <a:ln>
            <a:solidFill>
              <a:schemeClr val="tx1"/>
            </a:solidFill>
          </a:ln>
        </xdr:spPr>
      </xdr:pic>
      <xdr:sp macro="" textlink="">
        <xdr:nvSpPr>
          <xdr:cNvPr id="7" name="Rectangle 6">
            <a:extLst>
              <a:ext uri="{FF2B5EF4-FFF2-40B4-BE49-F238E27FC236}">
                <a16:creationId xmlns:a16="http://schemas.microsoft.com/office/drawing/2014/main" id="{154985BA-CC74-4E5B-7495-E193DBCC09BB}"/>
              </a:ext>
            </a:extLst>
          </xdr:cNvPr>
          <xdr:cNvSpPr/>
        </xdr:nvSpPr>
        <xdr:spPr>
          <a:xfrm>
            <a:off x="2733040" y="3474720"/>
            <a:ext cx="2407920" cy="120904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Rectangle 7">
            <a:extLst>
              <a:ext uri="{FF2B5EF4-FFF2-40B4-BE49-F238E27FC236}">
                <a16:creationId xmlns:a16="http://schemas.microsoft.com/office/drawing/2014/main" id="{4C9AEC32-93F1-9010-9563-DC7B4805E829}"/>
              </a:ext>
            </a:extLst>
          </xdr:cNvPr>
          <xdr:cNvSpPr/>
        </xdr:nvSpPr>
        <xdr:spPr>
          <a:xfrm rot="5400000">
            <a:off x="3332480" y="1602975"/>
            <a:ext cx="2407920" cy="120904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TextBox 7">
            <a:extLst>
              <a:ext uri="{FF2B5EF4-FFF2-40B4-BE49-F238E27FC236}">
                <a16:creationId xmlns:a16="http://schemas.microsoft.com/office/drawing/2014/main" id="{D7510FCB-5123-38DB-D78E-96EA8FC573C5}"/>
              </a:ext>
            </a:extLst>
          </xdr:cNvPr>
          <xdr:cNvSpPr txBox="1"/>
        </xdr:nvSpPr>
        <xdr:spPr>
          <a:xfrm>
            <a:off x="4037745" y="725681"/>
            <a:ext cx="997389" cy="246221"/>
          </a:xfrm>
          <a:prstGeom prst="rect">
            <a:avLst/>
          </a:prstGeom>
          <a:solidFill>
            <a:schemeClr val="accent2">
              <a:lumMod val="40000"/>
              <a:lumOff val="60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Building No. 02</a:t>
            </a:r>
          </a:p>
        </xdr:txBody>
      </xdr:sp>
      <xdr:sp macro="" textlink="">
        <xdr:nvSpPr>
          <xdr:cNvPr id="10" name="TextBox 10">
            <a:extLst>
              <a:ext uri="{FF2B5EF4-FFF2-40B4-BE49-F238E27FC236}">
                <a16:creationId xmlns:a16="http://schemas.microsoft.com/office/drawing/2014/main" id="{A58B62E6-8935-B630-4924-62EA463AF272}"/>
              </a:ext>
            </a:extLst>
          </xdr:cNvPr>
          <xdr:cNvSpPr txBox="1"/>
        </xdr:nvSpPr>
        <xdr:spPr>
          <a:xfrm>
            <a:off x="4210465" y="4747025"/>
            <a:ext cx="997389" cy="246221"/>
          </a:xfrm>
          <a:prstGeom prst="rect">
            <a:avLst/>
          </a:prstGeom>
          <a:solidFill>
            <a:schemeClr val="accent2">
              <a:lumMod val="40000"/>
              <a:lumOff val="60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Building No. 01</a:t>
            </a:r>
          </a:p>
        </xdr:txBody>
      </xdr:sp>
    </xdr:grpSp>
    <xdr:clientData/>
  </xdr:twoCellAnchor>
  <xdr:twoCellAnchor>
    <xdr:from>
      <xdr:col>0</xdr:col>
      <xdr:colOff>775252</xdr:colOff>
      <xdr:row>307</xdr:row>
      <xdr:rowOff>13251</xdr:rowOff>
    </xdr:from>
    <xdr:to>
      <xdr:col>6</xdr:col>
      <xdr:colOff>655983</xdr:colOff>
      <xdr:row>342</xdr:row>
      <xdr:rowOff>99390</xdr:rowOff>
    </xdr:to>
    <xdr:grpSp>
      <xdr:nvGrpSpPr>
        <xdr:cNvPr id="11" name="Group 10">
          <a:extLst>
            <a:ext uri="{FF2B5EF4-FFF2-40B4-BE49-F238E27FC236}">
              <a16:creationId xmlns:a16="http://schemas.microsoft.com/office/drawing/2014/main" id="{1B25E22A-2005-EF84-3045-FF9B79A23E81}"/>
            </a:ext>
          </a:extLst>
        </xdr:cNvPr>
        <xdr:cNvGrpSpPr/>
      </xdr:nvGrpSpPr>
      <xdr:grpSpPr>
        <a:xfrm>
          <a:off x="775252" y="54340538"/>
          <a:ext cx="4850296" cy="7043530"/>
          <a:chOff x="1767840" y="1875790"/>
          <a:chExt cx="2966720" cy="4169410"/>
        </a:xfrm>
      </xdr:grpSpPr>
      <xdr:pic>
        <xdr:nvPicPr>
          <xdr:cNvPr id="12" name="Picture 11">
            <a:extLst>
              <a:ext uri="{FF2B5EF4-FFF2-40B4-BE49-F238E27FC236}">
                <a16:creationId xmlns:a16="http://schemas.microsoft.com/office/drawing/2014/main" id="{1347B55D-FCDA-BEA3-A415-DE3662C4A484}"/>
              </a:ext>
            </a:extLst>
          </xdr:cNvPr>
          <xdr:cNvPicPr>
            <a:picLocks noChangeAspect="1"/>
          </xdr:cNvPicPr>
        </xdr:nvPicPr>
        <xdr:blipFill>
          <a:blip xmlns:r="http://schemas.openxmlformats.org/officeDocument/2006/relationships" r:embed="rId5"/>
          <a:srcRect l="45556" t="27811" r="26610" b="26297"/>
          <a:stretch/>
        </xdr:blipFill>
        <xdr:spPr>
          <a:xfrm>
            <a:off x="2296795" y="1875790"/>
            <a:ext cx="1908810" cy="1770380"/>
          </a:xfrm>
          <a:prstGeom prst="rect">
            <a:avLst/>
          </a:prstGeom>
          <a:ln>
            <a:solidFill>
              <a:schemeClr val="tx1"/>
            </a:solidFill>
          </a:ln>
        </xdr:spPr>
      </xdr:pic>
      <xdr:grpSp>
        <xdr:nvGrpSpPr>
          <xdr:cNvPr id="13" name="Group 12">
            <a:extLst>
              <a:ext uri="{FF2B5EF4-FFF2-40B4-BE49-F238E27FC236}">
                <a16:creationId xmlns:a16="http://schemas.microsoft.com/office/drawing/2014/main" id="{60FDFC12-B372-2158-4F98-83241A13F977}"/>
              </a:ext>
            </a:extLst>
          </xdr:cNvPr>
          <xdr:cNvGrpSpPr/>
        </xdr:nvGrpSpPr>
        <xdr:grpSpPr>
          <a:xfrm>
            <a:off x="1767840" y="3759200"/>
            <a:ext cx="2966720" cy="2286000"/>
            <a:chOff x="1767840" y="3759200"/>
            <a:chExt cx="2966720" cy="2286000"/>
          </a:xfrm>
        </xdr:grpSpPr>
        <xdr:pic>
          <xdr:nvPicPr>
            <xdr:cNvPr id="14" name="Picture 13">
              <a:extLst>
                <a:ext uri="{FF2B5EF4-FFF2-40B4-BE49-F238E27FC236}">
                  <a16:creationId xmlns:a16="http://schemas.microsoft.com/office/drawing/2014/main" id="{526CAD22-AACB-0807-5465-B86D1A55DBA0}"/>
                </a:ext>
              </a:extLst>
            </xdr:cNvPr>
            <xdr:cNvPicPr>
              <a:picLocks noChangeAspect="1"/>
            </xdr:cNvPicPr>
          </xdr:nvPicPr>
          <xdr:blipFill>
            <a:blip xmlns:r="http://schemas.openxmlformats.org/officeDocument/2006/relationships" r:embed="rId6"/>
            <a:srcRect l="27111" t="28930" r="29630" b="11811"/>
            <a:stretch/>
          </xdr:blipFill>
          <xdr:spPr>
            <a:xfrm>
              <a:off x="1767840" y="3759200"/>
              <a:ext cx="2966720" cy="2286000"/>
            </a:xfrm>
            <a:prstGeom prst="rect">
              <a:avLst/>
            </a:prstGeom>
            <a:ln>
              <a:solidFill>
                <a:schemeClr val="tx1"/>
              </a:solidFill>
            </a:ln>
          </xdr:spPr>
        </xdr:pic>
        <xdr:sp macro="" textlink="">
          <xdr:nvSpPr>
            <xdr:cNvPr id="15" name="Rectangle 14">
              <a:extLst>
                <a:ext uri="{FF2B5EF4-FFF2-40B4-BE49-F238E27FC236}">
                  <a16:creationId xmlns:a16="http://schemas.microsoft.com/office/drawing/2014/main" id="{15166FC8-C7A2-E1FB-1EB4-8C9F956A9FA5}"/>
                </a:ext>
              </a:extLst>
            </xdr:cNvPr>
            <xdr:cNvSpPr/>
          </xdr:nvSpPr>
          <xdr:spPr>
            <a:xfrm>
              <a:off x="3429000" y="4480560"/>
              <a:ext cx="467360" cy="566420"/>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0</xdr:col>
      <xdr:colOff>106018</xdr:colOff>
      <xdr:row>223</xdr:row>
      <xdr:rowOff>19878</xdr:rowOff>
    </xdr:from>
    <xdr:to>
      <xdr:col>7</xdr:col>
      <xdr:colOff>669236</xdr:colOff>
      <xdr:row>251</xdr:row>
      <xdr:rowOff>143957</xdr:rowOff>
    </xdr:to>
    <xdr:grpSp>
      <xdr:nvGrpSpPr>
        <xdr:cNvPr id="16" name="Group 15">
          <a:extLst>
            <a:ext uri="{FF2B5EF4-FFF2-40B4-BE49-F238E27FC236}">
              <a16:creationId xmlns:a16="http://schemas.microsoft.com/office/drawing/2014/main" id="{D51AC666-7DE6-5B2A-A9FF-14DB946DD089}"/>
            </a:ext>
          </a:extLst>
        </xdr:cNvPr>
        <xdr:cNvGrpSpPr/>
      </xdr:nvGrpSpPr>
      <xdr:grpSpPr>
        <a:xfrm>
          <a:off x="106018" y="37656052"/>
          <a:ext cx="6288157" cy="5683366"/>
          <a:chOff x="-946652" y="260659"/>
          <a:chExt cx="7430419" cy="6445366"/>
        </a:xfrm>
      </xdr:grpSpPr>
      <xdr:grpSp>
        <xdr:nvGrpSpPr>
          <xdr:cNvPr id="17" name="Group 16">
            <a:extLst>
              <a:ext uri="{FF2B5EF4-FFF2-40B4-BE49-F238E27FC236}">
                <a16:creationId xmlns:a16="http://schemas.microsoft.com/office/drawing/2014/main" id="{A00DC462-3FA6-2DD0-C059-72631E7D6CE4}"/>
              </a:ext>
            </a:extLst>
          </xdr:cNvPr>
          <xdr:cNvGrpSpPr/>
        </xdr:nvGrpSpPr>
        <xdr:grpSpPr>
          <a:xfrm>
            <a:off x="-946652" y="260659"/>
            <a:ext cx="7430419" cy="2520000"/>
            <a:chOff x="61196" y="260659"/>
            <a:chExt cx="7430419" cy="2520000"/>
          </a:xfrm>
        </xdr:grpSpPr>
        <xdr:pic>
          <xdr:nvPicPr>
            <xdr:cNvPr id="25" name="Picture 24">
              <a:extLst>
                <a:ext uri="{FF2B5EF4-FFF2-40B4-BE49-F238E27FC236}">
                  <a16:creationId xmlns:a16="http://schemas.microsoft.com/office/drawing/2014/main" id="{ABE455E7-F618-48D7-5220-1F2A6D4084E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4136282" y="260659"/>
              <a:ext cx="3355333"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E0A8C961-9694-0514-6A21-19230FEEB895}"/>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2098739" y="260659"/>
              <a:ext cx="1887375"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1D904342-7E19-4EA7-31F0-CD2CB1B0E909}"/>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61196" y="260659"/>
              <a:ext cx="1887375" cy="2520000"/>
            </a:xfrm>
            <a:prstGeom prst="rect">
              <a:avLst/>
            </a:prstGeom>
            <a:ln>
              <a:solidFill>
                <a:schemeClr val="tx1"/>
              </a:solidFill>
            </a:ln>
          </xdr:spPr>
        </xdr:pic>
      </xdr:grpSp>
      <xdr:grpSp>
        <xdr:nvGrpSpPr>
          <xdr:cNvPr id="18" name="Group 17">
            <a:extLst>
              <a:ext uri="{FF2B5EF4-FFF2-40B4-BE49-F238E27FC236}">
                <a16:creationId xmlns:a16="http://schemas.microsoft.com/office/drawing/2014/main" id="{4A968908-190C-4386-F069-280640D141B8}"/>
              </a:ext>
            </a:extLst>
          </xdr:cNvPr>
          <xdr:cNvGrpSpPr/>
        </xdr:nvGrpSpPr>
        <xdr:grpSpPr>
          <a:xfrm>
            <a:off x="67875" y="4895319"/>
            <a:ext cx="5401364" cy="1810706"/>
            <a:chOff x="-1954500" y="4895319"/>
            <a:chExt cx="5401364" cy="1810706"/>
          </a:xfrm>
        </xdr:grpSpPr>
        <xdr:pic>
          <xdr:nvPicPr>
            <xdr:cNvPr id="22" name="Picture 21">
              <a:extLst>
                <a:ext uri="{FF2B5EF4-FFF2-40B4-BE49-F238E27FC236}">
                  <a16:creationId xmlns:a16="http://schemas.microsoft.com/office/drawing/2014/main" id="{13C15E66-2F8C-28AC-9E94-86DA3317D202}"/>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2098739" y="4895319"/>
              <a:ext cx="1348125"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675AC061-EF26-0EA5-6E0A-68B2F64B11A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1954500" y="4906025"/>
              <a:ext cx="2396666"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AE60C127-26D3-E2D0-6116-1B6EAD0BB3DD}"/>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596390" y="4906025"/>
              <a:ext cx="1348125" cy="1800000"/>
            </a:xfrm>
            <a:prstGeom prst="rect">
              <a:avLst/>
            </a:prstGeom>
            <a:ln>
              <a:solidFill>
                <a:schemeClr val="tx1"/>
              </a:solidFill>
            </a:ln>
          </xdr:spPr>
        </xdr:pic>
      </xdr:grpSp>
      <xdr:grpSp>
        <xdr:nvGrpSpPr>
          <xdr:cNvPr id="19" name="Group 18">
            <a:extLst>
              <a:ext uri="{FF2B5EF4-FFF2-40B4-BE49-F238E27FC236}">
                <a16:creationId xmlns:a16="http://schemas.microsoft.com/office/drawing/2014/main" id="{BAF83395-23A7-84F1-40B5-47BFF4B4C3C3}"/>
              </a:ext>
            </a:extLst>
          </xdr:cNvPr>
          <xdr:cNvGrpSpPr/>
        </xdr:nvGrpSpPr>
        <xdr:grpSpPr>
          <a:xfrm>
            <a:off x="294777" y="2943342"/>
            <a:ext cx="4947560" cy="1800000"/>
            <a:chOff x="-452153" y="2943342"/>
            <a:chExt cx="4947560" cy="1800000"/>
          </a:xfrm>
        </xdr:grpSpPr>
        <xdr:pic>
          <xdr:nvPicPr>
            <xdr:cNvPr id="20" name="Picture 19">
              <a:extLst>
                <a:ext uri="{FF2B5EF4-FFF2-40B4-BE49-F238E27FC236}">
                  <a16:creationId xmlns:a16="http://schemas.microsoft.com/office/drawing/2014/main" id="{728B2C3A-8145-BE66-9205-9B7BECA5FA5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2098739" y="2943342"/>
              <a:ext cx="2396668"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554B903C-9A3B-2A0C-D6A3-37C1897A2BF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452153" y="2943342"/>
              <a:ext cx="2396668"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806823</xdr:colOff>
      <xdr:row>15</xdr:row>
      <xdr:rowOff>53788</xdr:rowOff>
    </xdr:from>
    <xdr:to>
      <xdr:col>7</xdr:col>
      <xdr:colOff>634480</xdr:colOff>
      <xdr:row>40</xdr:row>
      <xdr:rowOff>112004</xdr:rowOff>
    </xdr:to>
    <xdr:pic>
      <xdr:nvPicPr>
        <xdr:cNvPr id="3" name="Picture 2">
          <a:extLst>
            <a:ext uri="{FF2B5EF4-FFF2-40B4-BE49-F238E27FC236}">
              <a16:creationId xmlns:a16="http://schemas.microsoft.com/office/drawing/2014/main" id="{A5B91E7C-118E-686C-3A09-29BB059C7350}"/>
            </a:ext>
          </a:extLst>
        </xdr:cNvPr>
        <xdr:cNvPicPr>
          <a:picLocks noChangeAspect="1"/>
        </xdr:cNvPicPr>
      </xdr:nvPicPr>
      <xdr:blipFill>
        <a:blip xmlns:r="http://schemas.openxmlformats.org/officeDocument/2006/relationships" r:embed="rId2"/>
        <a:stretch>
          <a:fillRect/>
        </a:stretch>
      </xdr:blipFill>
      <xdr:spPr>
        <a:xfrm>
          <a:off x="1398494" y="2859741"/>
          <a:ext cx="7788315" cy="4549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i1tnpRab12UbK5W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06"/>
  <sheetViews>
    <sheetView tabSelected="1" view="pageBreakPreview" topLeftCell="A38" zoomScale="115" zoomScaleNormal="100" zoomScaleSheetLayoutView="115" zoomScalePageLayoutView="85" workbookViewId="0">
      <selection activeCell="L70" sqref="L70"/>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8" width="11" style="40" customWidth="1"/>
    <col min="9" max="9" width="17.44140625" style="21" customWidth="1"/>
    <col min="10" max="10" width="11.44140625" style="21" customWidth="1"/>
    <col min="11" max="11" width="11.3320312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228" t="s">
        <v>374</v>
      </c>
      <c r="B1" s="228"/>
      <c r="C1" s="228"/>
      <c r="D1" s="228"/>
      <c r="E1" s="228"/>
      <c r="F1" s="228"/>
      <c r="G1" s="228"/>
      <c r="H1" s="228"/>
    </row>
    <row r="2" spans="1:26" ht="16.5" customHeight="1" x14ac:dyDescent="0.3">
      <c r="A2" s="229" t="s">
        <v>0</v>
      </c>
      <c r="B2" s="229"/>
      <c r="C2" s="229"/>
      <c r="D2" s="229"/>
      <c r="E2" s="229"/>
      <c r="F2" s="229"/>
      <c r="G2" s="229"/>
      <c r="H2" s="229"/>
    </row>
    <row r="3" spans="1:26" x14ac:dyDescent="0.3">
      <c r="A3" s="185" t="s">
        <v>1</v>
      </c>
      <c r="B3" s="185"/>
      <c r="C3" s="185"/>
      <c r="D3" s="185"/>
      <c r="E3" s="185" t="str">
        <f ca="1">TEXT(TODAY(),"DD/MM/YYYY")</f>
        <v>06/10/2025</v>
      </c>
      <c r="F3" s="185"/>
      <c r="G3" s="185"/>
      <c r="H3" s="185"/>
      <c r="K3" s="54" t="s">
        <v>230</v>
      </c>
      <c r="L3" s="53" t="s">
        <v>228</v>
      </c>
      <c r="M3" s="53" t="s">
        <v>233</v>
      </c>
      <c r="N3" s="53" t="s">
        <v>386</v>
      </c>
      <c r="O3" s="53" t="s">
        <v>351</v>
      </c>
      <c r="P3" s="53" t="s">
        <v>377</v>
      </c>
    </row>
    <row r="4" spans="1:26" ht="15" customHeight="1" x14ac:dyDescent="0.3">
      <c r="A4" s="185" t="s">
        <v>227</v>
      </c>
      <c r="B4" s="185"/>
      <c r="C4" s="185"/>
      <c r="D4" s="185"/>
      <c r="E4" s="185" t="s">
        <v>228</v>
      </c>
      <c r="F4" s="185"/>
      <c r="G4" s="185"/>
      <c r="H4" s="185"/>
      <c r="K4" s="52" t="s">
        <v>229</v>
      </c>
      <c r="L4" s="53" t="s">
        <v>164</v>
      </c>
      <c r="M4" s="53" t="s">
        <v>238</v>
      </c>
      <c r="N4" s="53" t="s">
        <v>383</v>
      </c>
      <c r="O4" s="53" t="s">
        <v>335</v>
      </c>
      <c r="P4" s="53" t="s">
        <v>378</v>
      </c>
    </row>
    <row r="5" spans="1:26" ht="15" customHeight="1" x14ac:dyDescent="0.3">
      <c r="A5" s="185" t="s">
        <v>2</v>
      </c>
      <c r="B5" s="185"/>
      <c r="C5" s="185"/>
      <c r="D5" s="185"/>
      <c r="E5" s="185" t="s">
        <v>236</v>
      </c>
      <c r="F5" s="185"/>
      <c r="G5" s="185"/>
      <c r="H5" s="185"/>
      <c r="K5" s="52"/>
      <c r="L5" s="53" t="s">
        <v>235</v>
      </c>
      <c r="M5" s="53" t="s">
        <v>239</v>
      </c>
      <c r="N5" s="53" t="s">
        <v>241</v>
      </c>
      <c r="O5" s="53" t="s">
        <v>336</v>
      </c>
      <c r="P5" s="53"/>
    </row>
    <row r="6" spans="1:26" x14ac:dyDescent="0.3">
      <c r="A6" s="185" t="s">
        <v>3</v>
      </c>
      <c r="B6" s="185"/>
      <c r="C6" s="185"/>
      <c r="D6" s="185"/>
      <c r="E6" s="293">
        <v>45936</v>
      </c>
      <c r="F6" s="294"/>
      <c r="G6" s="294"/>
      <c r="H6" s="294"/>
      <c r="K6" s="52"/>
      <c r="L6" s="53" t="s">
        <v>236</v>
      </c>
      <c r="M6" s="53" t="s">
        <v>349</v>
      </c>
      <c r="N6" s="53"/>
      <c r="O6" s="53" t="s">
        <v>337</v>
      </c>
      <c r="P6" s="53"/>
    </row>
    <row r="7" spans="1:26" ht="16.5" customHeight="1" x14ac:dyDescent="0.3">
      <c r="A7" s="185" t="s">
        <v>390</v>
      </c>
      <c r="B7" s="185"/>
      <c r="C7" s="185"/>
      <c r="D7" s="185"/>
      <c r="E7" s="185" t="s">
        <v>389</v>
      </c>
      <c r="F7" s="185"/>
      <c r="G7" s="185"/>
      <c r="H7" s="185"/>
      <c r="K7" s="52"/>
      <c r="L7" s="53" t="s">
        <v>237</v>
      </c>
      <c r="M7" s="53"/>
      <c r="N7" s="53"/>
      <c r="O7" s="53" t="s">
        <v>337</v>
      </c>
      <c r="P7" s="53"/>
    </row>
    <row r="8" spans="1:26" ht="15" customHeight="1" x14ac:dyDescent="0.3">
      <c r="A8" s="185" t="s">
        <v>4</v>
      </c>
      <c r="B8" s="185"/>
      <c r="C8" s="185"/>
      <c r="D8" s="185"/>
      <c r="E8" s="185" t="s">
        <v>392</v>
      </c>
      <c r="F8" s="185"/>
      <c r="G8" s="185"/>
      <c r="H8" s="185"/>
      <c r="K8" s="52"/>
      <c r="L8" s="53"/>
      <c r="M8" s="53"/>
      <c r="N8" s="53"/>
      <c r="O8" s="53" t="s">
        <v>338</v>
      </c>
      <c r="P8" s="53"/>
    </row>
    <row r="9" spans="1:26" x14ac:dyDescent="0.3">
      <c r="A9" s="185" t="s">
        <v>5</v>
      </c>
      <c r="B9" s="185"/>
      <c r="C9" s="185"/>
      <c r="D9" s="185"/>
      <c r="E9" s="162" t="s">
        <v>388</v>
      </c>
      <c r="F9" s="162"/>
      <c r="G9" s="162"/>
      <c r="H9" s="162"/>
      <c r="K9" s="52"/>
      <c r="L9" s="53"/>
      <c r="M9" s="53"/>
      <c r="N9" s="53"/>
      <c r="O9" s="53" t="s">
        <v>339</v>
      </c>
      <c r="P9" s="53"/>
    </row>
    <row r="10" spans="1:26" x14ac:dyDescent="0.3">
      <c r="A10" s="185" t="s">
        <v>161</v>
      </c>
      <c r="B10" s="185"/>
      <c r="C10" s="185"/>
      <c r="D10" s="185"/>
      <c r="E10" s="185" t="s">
        <v>391</v>
      </c>
      <c r="F10" s="185"/>
      <c r="G10" s="185"/>
      <c r="H10" s="185"/>
      <c r="K10" s="52"/>
      <c r="L10" s="53"/>
      <c r="M10" s="53"/>
      <c r="N10" s="53"/>
      <c r="O10" s="53" t="s">
        <v>340</v>
      </c>
      <c r="P10" s="53"/>
    </row>
    <row r="11" spans="1:26" x14ac:dyDescent="0.3">
      <c r="A11" s="185" t="s">
        <v>162</v>
      </c>
      <c r="B11" s="185"/>
      <c r="C11" s="185"/>
      <c r="D11" s="185"/>
      <c r="E11" s="294" t="s">
        <v>27</v>
      </c>
      <c r="F11" s="294"/>
      <c r="G11" s="294"/>
      <c r="H11" s="294"/>
      <c r="O11" s="53" t="s">
        <v>341</v>
      </c>
    </row>
    <row r="12" spans="1:26" x14ac:dyDescent="0.3">
      <c r="A12" s="185" t="s">
        <v>6</v>
      </c>
      <c r="B12" s="185"/>
      <c r="C12" s="185"/>
      <c r="D12" s="185"/>
      <c r="E12" s="185" t="s">
        <v>393</v>
      </c>
      <c r="F12" s="185"/>
      <c r="G12" s="185"/>
      <c r="H12" s="185"/>
    </row>
    <row r="13" spans="1:26" x14ac:dyDescent="0.3">
      <c r="A13" s="185" t="s">
        <v>165</v>
      </c>
      <c r="B13" s="185"/>
      <c r="C13" s="185"/>
      <c r="D13" s="185"/>
      <c r="E13" s="185" t="s">
        <v>27</v>
      </c>
      <c r="F13" s="185"/>
      <c r="G13" s="185"/>
      <c r="H13" s="185"/>
      <c r="S13" s="53" t="s">
        <v>173</v>
      </c>
      <c r="T13" s="53" t="s">
        <v>182</v>
      </c>
      <c r="U13" s="53" t="s">
        <v>166</v>
      </c>
      <c r="V13" s="53" t="s">
        <v>187</v>
      </c>
      <c r="W13" s="53" t="s">
        <v>205</v>
      </c>
      <c r="X13"/>
      <c r="Y13" t="s">
        <v>187</v>
      </c>
      <c r="Z13" t="e">
        <f ca="1">OFFSET($S$13,1,MATCH($G20,$S$13:$W$13,0)-1,15,1)</f>
        <v>#VALUE!</v>
      </c>
    </row>
    <row r="14" spans="1:26" x14ac:dyDescent="0.3">
      <c r="A14" s="185" t="s">
        <v>273</v>
      </c>
      <c r="B14" s="185"/>
      <c r="C14" s="185"/>
      <c r="D14" s="185"/>
      <c r="E14" s="149" t="s">
        <v>394</v>
      </c>
      <c r="F14" s="149"/>
      <c r="G14" s="149"/>
      <c r="H14" s="149"/>
      <c r="S14" s="53" t="s">
        <v>173</v>
      </c>
      <c r="T14" s="53" t="s">
        <v>180</v>
      </c>
      <c r="U14" s="53" t="s">
        <v>202</v>
      </c>
      <c r="V14" s="53" t="s">
        <v>188</v>
      </c>
      <c r="W14" s="53" t="s">
        <v>206</v>
      </c>
      <c r="X14"/>
      <c r="Y14"/>
      <c r="Z14"/>
    </row>
    <row r="15" spans="1:26" x14ac:dyDescent="0.3">
      <c r="A15" s="185" t="s">
        <v>7</v>
      </c>
      <c r="B15" s="185"/>
      <c r="C15" s="185"/>
      <c r="D15" s="185"/>
      <c r="E15" s="149" t="s">
        <v>387</v>
      </c>
      <c r="F15" s="185"/>
      <c r="G15" s="185"/>
      <c r="H15" s="185"/>
      <c r="I15" s="242" t="e">
        <f ca="1">OFFSET($D$5,1,MATCH($J13,$D$5:$H$5,0)-1,15,1)</f>
        <v>#N/A</v>
      </c>
      <c r="J15" s="243"/>
      <c r="K15" s="243"/>
      <c r="L15" s="243"/>
      <c r="M15" s="243"/>
      <c r="N15" s="243"/>
      <c r="O15" s="243"/>
      <c r="P15" s="243"/>
      <c r="S15" s="53" t="s">
        <v>174</v>
      </c>
      <c r="T15" s="53" t="s">
        <v>181</v>
      </c>
      <c r="U15" s="53" t="s">
        <v>203</v>
      </c>
      <c r="V15" s="53" t="s">
        <v>189</v>
      </c>
      <c r="W15" s="53" t="s">
        <v>219</v>
      </c>
      <c r="X15"/>
      <c r="Y15"/>
      <c r="Z15"/>
    </row>
    <row r="16" spans="1:26" ht="33.6" customHeight="1" x14ac:dyDescent="0.3">
      <c r="A16" s="166" t="s">
        <v>8</v>
      </c>
      <c r="B16" s="166"/>
      <c r="C16" s="166" t="str">
        <f>CONCATENATE((IF(OR(E9="",E9="NA"),"",E9)),", ",(IF(OR(A17="",A17="NA"),"",A17)),".",(IF(OR(C17="",C17="NA"),"",C17)),", near ",(IF(OR(C22="",C22="NA"),"",C22)),", ",(IF(OR(C19="",C19="NA"),"",C19)),", ",(IF(OR(C18="",C18="NA"),"",C18)),", ",(IF(OR(G19="",G19="NA"),"",G19)),", ",(IF(OR(C20="",C20="NA"),"",C20)),", ",(IF(OR(C21="",C21="NA"),"",C21)),", ",(IF(OR(G20="",G20="NA"),"",G20))," - ",(IF(OR(G21="",G21="NA"),"",G21)),".")</f>
        <v>Acons The Park Phase 1, Survey No.42/1A/2, near Utkarsha Vastu Building, Savta Mali Road, Shiva Nagar, Chendhare, Alibag, Alibag, Raigad - 402201.</v>
      </c>
      <c r="D16" s="166"/>
      <c r="E16" s="166"/>
      <c r="F16" s="166"/>
      <c r="G16" s="166"/>
      <c r="H16" s="166"/>
      <c r="S16" s="53" t="s">
        <v>175</v>
      </c>
      <c r="T16" s="53" t="s">
        <v>183</v>
      </c>
      <c r="U16" s="53" t="s">
        <v>204</v>
      </c>
      <c r="V16" s="53" t="s">
        <v>190</v>
      </c>
      <c r="W16" s="53" t="s">
        <v>207</v>
      </c>
      <c r="X16"/>
      <c r="Y16"/>
      <c r="Z16"/>
    </row>
    <row r="17" spans="1:26" x14ac:dyDescent="0.3">
      <c r="A17" s="149" t="s">
        <v>395</v>
      </c>
      <c r="B17" s="149"/>
      <c r="C17" s="149" t="s">
        <v>396</v>
      </c>
      <c r="D17" s="149"/>
      <c r="E17" s="149"/>
      <c r="F17" s="149"/>
      <c r="G17" s="149"/>
      <c r="H17" s="149"/>
      <c r="S17" s="53" t="s">
        <v>176</v>
      </c>
      <c r="T17" s="53" t="s">
        <v>184</v>
      </c>
      <c r="U17" s="53" t="s">
        <v>166</v>
      </c>
      <c r="V17" s="53" t="s">
        <v>191</v>
      </c>
      <c r="W17" s="53" t="s">
        <v>208</v>
      </c>
      <c r="X17"/>
      <c r="Y17"/>
      <c r="Z17"/>
    </row>
    <row r="18" spans="1:26" ht="15.75" customHeight="1" x14ac:dyDescent="0.3">
      <c r="A18" s="149" t="s">
        <v>157</v>
      </c>
      <c r="B18" s="149"/>
      <c r="C18" s="149" t="s">
        <v>440</v>
      </c>
      <c r="D18" s="149"/>
      <c r="E18" s="149"/>
      <c r="F18" s="149"/>
      <c r="G18" s="149"/>
      <c r="H18" s="149"/>
      <c r="S18" s="53" t="s">
        <v>177</v>
      </c>
      <c r="T18" s="53" t="s">
        <v>182</v>
      </c>
      <c r="U18" s="53"/>
      <c r="V18" s="53" t="s">
        <v>192</v>
      </c>
      <c r="W18" s="53" t="s">
        <v>209</v>
      </c>
      <c r="X18"/>
      <c r="Y18"/>
      <c r="Z18"/>
    </row>
    <row r="19" spans="1:26" ht="15.75" customHeight="1" x14ac:dyDescent="0.3">
      <c r="A19" s="149" t="s">
        <v>9</v>
      </c>
      <c r="B19" s="149"/>
      <c r="C19" s="185" t="s">
        <v>405</v>
      </c>
      <c r="D19" s="185"/>
      <c r="E19" s="149" t="s">
        <v>68</v>
      </c>
      <c r="F19" s="149"/>
      <c r="G19" s="149" t="s">
        <v>397</v>
      </c>
      <c r="H19" s="149"/>
      <c r="S19" s="53" t="s">
        <v>178</v>
      </c>
      <c r="T19" s="53" t="s">
        <v>185</v>
      </c>
      <c r="U19" s="53"/>
      <c r="V19" s="53" t="s">
        <v>193</v>
      </c>
      <c r="W19" s="53" t="s">
        <v>210</v>
      </c>
      <c r="X19"/>
      <c r="Y19"/>
      <c r="Z19"/>
    </row>
    <row r="20" spans="1:26" x14ac:dyDescent="0.3">
      <c r="A20" s="185" t="s">
        <v>11</v>
      </c>
      <c r="B20" s="185"/>
      <c r="C20" s="149" t="s">
        <v>188</v>
      </c>
      <c r="D20" s="149"/>
      <c r="E20" s="149" t="s">
        <v>10</v>
      </c>
      <c r="F20" s="149"/>
      <c r="G20" s="226" t="s">
        <v>187</v>
      </c>
      <c r="H20" s="226"/>
      <c r="S20" s="53" t="s">
        <v>179</v>
      </c>
      <c r="T20" s="53" t="s">
        <v>186</v>
      </c>
      <c r="U20" s="53"/>
      <c r="V20" s="53" t="s">
        <v>194</v>
      </c>
      <c r="W20" s="53" t="s">
        <v>211</v>
      </c>
      <c r="X20"/>
      <c r="Y20"/>
      <c r="Z20"/>
    </row>
    <row r="21" spans="1:26" x14ac:dyDescent="0.3">
      <c r="A21" s="185" t="s">
        <v>69</v>
      </c>
      <c r="B21" s="185"/>
      <c r="C21" s="149" t="s">
        <v>188</v>
      </c>
      <c r="D21" s="149"/>
      <c r="E21" s="149" t="s">
        <v>12</v>
      </c>
      <c r="F21" s="149"/>
      <c r="G21" s="149">
        <v>402201</v>
      </c>
      <c r="H21" s="149"/>
      <c r="S21" s="53"/>
      <c r="T21" s="53"/>
      <c r="U21" s="53"/>
      <c r="V21" s="53" t="s">
        <v>195</v>
      </c>
      <c r="W21" s="53" t="s">
        <v>212</v>
      </c>
      <c r="X21"/>
      <c r="Y21"/>
      <c r="Z21"/>
    </row>
    <row r="22" spans="1:26" ht="32.25" customHeight="1" x14ac:dyDescent="0.3">
      <c r="A22" s="185" t="s">
        <v>116</v>
      </c>
      <c r="B22" s="185"/>
      <c r="C22" s="149" t="s">
        <v>406</v>
      </c>
      <c r="D22" s="149"/>
      <c r="E22" s="149" t="s">
        <v>13</v>
      </c>
      <c r="F22" s="149"/>
      <c r="G22" s="149" t="s">
        <v>407</v>
      </c>
      <c r="H22" s="149"/>
      <c r="S22" s="53"/>
      <c r="T22" s="53"/>
      <c r="U22" s="53"/>
      <c r="V22" s="53" t="s">
        <v>196</v>
      </c>
      <c r="W22" s="53" t="s">
        <v>213</v>
      </c>
      <c r="X22"/>
      <c r="Y22"/>
      <c r="Z22"/>
    </row>
    <row r="23" spans="1:26" ht="15" customHeight="1" x14ac:dyDescent="0.3">
      <c r="A23" s="166" t="s">
        <v>71</v>
      </c>
      <c r="B23" s="166"/>
      <c r="C23" s="166"/>
      <c r="D23" s="166"/>
      <c r="E23" s="185" t="s">
        <v>14</v>
      </c>
      <c r="F23" s="185"/>
      <c r="G23" s="185"/>
      <c r="H23" s="185"/>
      <c r="S23" s="53"/>
      <c r="T23" s="53"/>
      <c r="U23" s="53"/>
      <c r="V23" s="53" t="s">
        <v>197</v>
      </c>
      <c r="W23" s="53" t="s">
        <v>214</v>
      </c>
      <c r="X23"/>
      <c r="Y23"/>
      <c r="Z23"/>
    </row>
    <row r="24" spans="1:26" ht="18.75" customHeight="1" x14ac:dyDescent="0.3">
      <c r="A24" s="166"/>
      <c r="B24" s="166"/>
      <c r="C24" s="166"/>
      <c r="D24" s="166"/>
      <c r="E24" s="185"/>
      <c r="F24" s="185"/>
      <c r="G24" s="185"/>
      <c r="H24" s="185"/>
      <c r="S24" s="53"/>
      <c r="T24" s="53"/>
      <c r="U24" s="53"/>
      <c r="V24" s="53" t="s">
        <v>198</v>
      </c>
      <c r="W24" s="53" t="s">
        <v>215</v>
      </c>
      <c r="X24"/>
      <c r="Y24"/>
      <c r="Z24"/>
    </row>
    <row r="25" spans="1:26" ht="15" customHeight="1" x14ac:dyDescent="0.3">
      <c r="A25" s="166" t="s">
        <v>15</v>
      </c>
      <c r="B25" s="166"/>
      <c r="C25" s="166"/>
      <c r="D25" s="166"/>
      <c r="E25" s="149" t="s">
        <v>16</v>
      </c>
      <c r="F25" s="149"/>
      <c r="G25" s="149"/>
      <c r="H25" s="149"/>
      <c r="S25" s="53"/>
      <c r="T25" s="53"/>
      <c r="U25" s="53"/>
      <c r="V25" s="53" t="s">
        <v>199</v>
      </c>
      <c r="W25" s="53" t="s">
        <v>216</v>
      </c>
      <c r="X25"/>
      <c r="Y25"/>
      <c r="Z25"/>
    </row>
    <row r="26" spans="1:26" ht="15" customHeight="1" x14ac:dyDescent="0.3">
      <c r="A26" s="127" t="s">
        <v>17</v>
      </c>
      <c r="B26" s="127"/>
      <c r="C26" s="127"/>
      <c r="D26" s="127"/>
      <c r="E26" s="149" t="str">
        <f>IF(AND(G20="Mumbai"),"Upper Class","Middle Class")</f>
        <v>Middle Class</v>
      </c>
      <c r="F26" s="149"/>
      <c r="G26" s="149"/>
      <c r="H26" s="149"/>
      <c r="S26" s="53"/>
      <c r="T26" s="53"/>
      <c r="U26" s="53"/>
      <c r="V26" s="53" t="s">
        <v>200</v>
      </c>
      <c r="W26" s="53" t="s">
        <v>217</v>
      </c>
      <c r="X26"/>
      <c r="Y26"/>
      <c r="Z26"/>
    </row>
    <row r="27" spans="1:26" x14ac:dyDescent="0.3">
      <c r="A27" s="127" t="s">
        <v>18</v>
      </c>
      <c r="B27" s="127"/>
      <c r="C27" s="127"/>
      <c r="D27" s="127"/>
      <c r="E27" s="149" t="s">
        <v>19</v>
      </c>
      <c r="F27" s="149"/>
      <c r="G27" s="149"/>
      <c r="H27" s="149"/>
      <c r="S27" s="53"/>
      <c r="T27" s="53"/>
      <c r="U27" s="53"/>
      <c r="V27" s="53" t="s">
        <v>201</v>
      </c>
      <c r="W27" s="53" t="s">
        <v>218</v>
      </c>
      <c r="X27"/>
      <c r="Y27"/>
      <c r="Z27"/>
    </row>
    <row r="28" spans="1:26" ht="15.75" customHeight="1" x14ac:dyDescent="0.3">
      <c r="A28" s="127" t="s">
        <v>20</v>
      </c>
      <c r="B28" s="127"/>
      <c r="C28" s="127"/>
      <c r="D28" s="127"/>
      <c r="E28" s="149" t="str">
        <f>IF(AND(G20="Mumbai"),"Developed","Developing")</f>
        <v>Developing</v>
      </c>
      <c r="F28" s="149"/>
      <c r="G28" s="149"/>
      <c r="H28" s="149"/>
    </row>
    <row r="29" spans="1:26" x14ac:dyDescent="0.3">
      <c r="A29" s="127" t="s">
        <v>21</v>
      </c>
      <c r="B29" s="127"/>
      <c r="C29" s="127"/>
      <c r="D29" s="127"/>
      <c r="E29" s="149" t="s">
        <v>22</v>
      </c>
      <c r="F29" s="149"/>
      <c r="G29" s="149"/>
      <c r="H29" s="149"/>
    </row>
    <row r="30" spans="1:26" ht="15.75" customHeight="1" x14ac:dyDescent="0.3">
      <c r="A30" s="127" t="s">
        <v>76</v>
      </c>
      <c r="B30" s="127"/>
      <c r="C30" s="127"/>
      <c r="D30" s="127"/>
      <c r="E30" s="149" t="s">
        <v>77</v>
      </c>
      <c r="F30" s="149"/>
      <c r="G30" s="149"/>
      <c r="H30" s="149"/>
    </row>
    <row r="31" spans="1:26" ht="15" customHeight="1" x14ac:dyDescent="0.3">
      <c r="A31" s="127" t="s">
        <v>29</v>
      </c>
      <c r="B31" s="127"/>
      <c r="C31" s="127"/>
      <c r="D31" s="127"/>
      <c r="E31" s="149"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49"/>
      <c r="G31" s="149"/>
      <c r="H31" s="149"/>
    </row>
    <row r="32" spans="1:26" ht="15.75" customHeight="1" x14ac:dyDescent="0.3">
      <c r="A32" s="127" t="s">
        <v>88</v>
      </c>
      <c r="B32" s="127"/>
      <c r="C32" s="127"/>
      <c r="D32" s="127"/>
      <c r="E32" s="149" t="s">
        <v>30</v>
      </c>
      <c r="F32" s="149"/>
      <c r="G32" s="149"/>
      <c r="H32" s="149"/>
    </row>
    <row r="33" spans="1:19" s="22" customFormat="1" x14ac:dyDescent="0.3">
      <c r="A33" s="225" t="s">
        <v>89</v>
      </c>
      <c r="B33" s="225"/>
      <c r="C33" s="222" t="s">
        <v>167</v>
      </c>
      <c r="D33" s="223"/>
      <c r="E33" s="224"/>
      <c r="F33" s="222" t="s">
        <v>28</v>
      </c>
      <c r="G33" s="223"/>
      <c r="H33" s="224"/>
      <c r="S33" s="22" t="e">
        <f ca="1">OFFSET($S$13,1,MATCH($G20,$S$13:$W$13,0)-1,15,1)</f>
        <v>#VALUE!</v>
      </c>
    </row>
    <row r="34" spans="1:19" s="22" customFormat="1" x14ac:dyDescent="0.3">
      <c r="A34" s="221" t="s">
        <v>23</v>
      </c>
      <c r="B34" s="221" t="s">
        <v>27</v>
      </c>
      <c r="C34" s="168" t="s">
        <v>402</v>
      </c>
      <c r="D34" s="169"/>
      <c r="E34" s="170"/>
      <c r="F34" s="168" t="s">
        <v>400</v>
      </c>
      <c r="G34" s="169"/>
      <c r="H34" s="170"/>
    </row>
    <row r="35" spans="1:19" x14ac:dyDescent="0.3">
      <c r="A35" s="221" t="s">
        <v>24</v>
      </c>
      <c r="B35" s="221" t="s">
        <v>27</v>
      </c>
      <c r="C35" s="168" t="s">
        <v>403</v>
      </c>
      <c r="D35" s="169"/>
      <c r="E35" s="170"/>
      <c r="F35" s="168" t="s">
        <v>400</v>
      </c>
      <c r="G35" s="169"/>
      <c r="H35" s="170"/>
    </row>
    <row r="36" spans="1:19" s="22" customFormat="1" x14ac:dyDescent="0.3">
      <c r="A36" s="221" t="s">
        <v>26</v>
      </c>
      <c r="B36" s="221" t="s">
        <v>27</v>
      </c>
      <c r="C36" s="168" t="s">
        <v>401</v>
      </c>
      <c r="D36" s="169"/>
      <c r="E36" s="170"/>
      <c r="F36" s="168" t="s">
        <v>400</v>
      </c>
      <c r="G36" s="169"/>
      <c r="H36" s="170"/>
    </row>
    <row r="37" spans="1:19" x14ac:dyDescent="0.3">
      <c r="A37" s="221" t="s">
        <v>25</v>
      </c>
      <c r="B37" s="221" t="s">
        <v>27</v>
      </c>
      <c r="C37" s="168" t="s">
        <v>402</v>
      </c>
      <c r="D37" s="169"/>
      <c r="E37" s="170"/>
      <c r="F37" s="168" t="s">
        <v>400</v>
      </c>
      <c r="G37" s="169"/>
      <c r="H37" s="170"/>
    </row>
    <row r="38" spans="1:19" x14ac:dyDescent="0.3">
      <c r="A38" s="127" t="s">
        <v>274</v>
      </c>
      <c r="B38" s="127"/>
      <c r="C38" s="127"/>
      <c r="D38" s="127"/>
      <c r="E38" s="127"/>
      <c r="F38" s="127"/>
      <c r="G38" s="127"/>
      <c r="H38" s="127"/>
    </row>
    <row r="39" spans="1:19" ht="15.75" customHeight="1" x14ac:dyDescent="0.3">
      <c r="A39" s="127" t="s">
        <v>159</v>
      </c>
      <c r="B39" s="127"/>
      <c r="C39" s="173" t="s">
        <v>398</v>
      </c>
      <c r="D39" s="173"/>
      <c r="E39" s="173"/>
      <c r="F39" s="173"/>
      <c r="G39" s="173"/>
      <c r="H39" s="173"/>
    </row>
    <row r="40" spans="1:19" x14ac:dyDescent="0.3">
      <c r="A40" s="127" t="s">
        <v>156</v>
      </c>
      <c r="B40" s="127"/>
      <c r="C40" s="148" t="s">
        <v>399</v>
      </c>
      <c r="D40" s="149"/>
      <c r="E40" s="149"/>
      <c r="F40" s="149"/>
      <c r="G40" s="149"/>
      <c r="H40" s="149"/>
    </row>
    <row r="41" spans="1:19" x14ac:dyDescent="0.3">
      <c r="A41" s="173" t="s">
        <v>31</v>
      </c>
      <c r="B41" s="173"/>
      <c r="C41" s="173"/>
      <c r="D41" s="173"/>
      <c r="E41" s="173"/>
      <c r="F41" s="173"/>
      <c r="G41" s="173"/>
      <c r="H41" s="173"/>
    </row>
    <row r="42" spans="1:19" x14ac:dyDescent="0.3">
      <c r="A42" s="127" t="s">
        <v>32</v>
      </c>
      <c r="B42" s="127"/>
      <c r="C42" s="127"/>
      <c r="D42" s="127"/>
      <c r="E42" s="190">
        <v>2090</v>
      </c>
      <c r="F42" s="190"/>
      <c r="G42" s="190"/>
      <c r="H42" s="190"/>
    </row>
    <row r="43" spans="1:19" x14ac:dyDescent="0.3">
      <c r="A43" s="127" t="s">
        <v>33</v>
      </c>
      <c r="B43" s="127"/>
      <c r="C43" s="127"/>
      <c r="D43" s="127"/>
      <c r="E43" s="192">
        <f>2299/E42</f>
        <v>1.1000000000000001</v>
      </c>
      <c r="F43" s="192"/>
      <c r="G43" s="192"/>
      <c r="H43" s="192"/>
    </row>
    <row r="44" spans="1:19" x14ac:dyDescent="0.3">
      <c r="A44" s="127" t="s">
        <v>34</v>
      </c>
      <c r="B44" s="127"/>
      <c r="C44" s="127"/>
      <c r="D44" s="127"/>
      <c r="E44" s="192">
        <f>E46/E42-E43</f>
        <v>1.1379617224880381</v>
      </c>
      <c r="F44" s="192"/>
      <c r="G44" s="192"/>
      <c r="H44" s="192"/>
    </row>
    <row r="45" spans="1:19" x14ac:dyDescent="0.3">
      <c r="A45" s="127" t="s">
        <v>35</v>
      </c>
      <c r="B45" s="127"/>
      <c r="C45" s="127"/>
      <c r="D45" s="127"/>
      <c r="E45" s="192">
        <f>E43+E44</f>
        <v>2.2379617224880382</v>
      </c>
      <c r="F45" s="192"/>
      <c r="G45" s="192"/>
      <c r="H45" s="192"/>
    </row>
    <row r="46" spans="1:19" x14ac:dyDescent="0.3">
      <c r="A46" s="127" t="s">
        <v>87</v>
      </c>
      <c r="B46" s="127"/>
      <c r="C46" s="127"/>
      <c r="D46" s="127"/>
      <c r="E46" s="193">
        <v>4677.34</v>
      </c>
      <c r="F46" s="193"/>
      <c r="G46" s="193"/>
      <c r="H46" s="193"/>
    </row>
    <row r="47" spans="1:19" x14ac:dyDescent="0.3">
      <c r="A47" s="185" t="s">
        <v>36</v>
      </c>
      <c r="B47" s="185"/>
      <c r="C47" s="185"/>
      <c r="D47" s="185"/>
      <c r="E47" s="185" t="s">
        <v>404</v>
      </c>
      <c r="F47" s="185"/>
      <c r="G47" s="185"/>
      <c r="H47" s="185"/>
    </row>
    <row r="48" spans="1:19" x14ac:dyDescent="0.3">
      <c r="A48" s="173" t="s">
        <v>37</v>
      </c>
      <c r="B48" s="173"/>
      <c r="C48" s="173"/>
      <c r="D48" s="173"/>
      <c r="E48" s="173"/>
      <c r="F48" s="173"/>
      <c r="G48" s="173"/>
      <c r="H48" s="173"/>
    </row>
    <row r="49" spans="1:24" ht="33.75" customHeight="1" x14ac:dyDescent="0.3">
      <c r="A49" s="163" t="s">
        <v>145</v>
      </c>
      <c r="B49" s="165"/>
      <c r="C49" s="199" t="s">
        <v>290</v>
      </c>
      <c r="D49" s="200"/>
      <c r="E49" s="200"/>
      <c r="F49" s="200"/>
      <c r="G49" s="200"/>
      <c r="H49" s="201"/>
      <c r="R49" t="s">
        <v>247</v>
      </c>
      <c r="S49" s="55" t="s">
        <v>166</v>
      </c>
      <c r="T49" s="55" t="s">
        <v>173</v>
      </c>
      <c r="U49" s="55" t="s">
        <v>187</v>
      </c>
      <c r="V49" s="55" t="s">
        <v>182</v>
      </c>
    </row>
    <row r="50" spans="1:24" ht="34.200000000000003" customHeight="1" x14ac:dyDescent="0.3">
      <c r="A50" s="163" t="s">
        <v>38</v>
      </c>
      <c r="B50" s="165"/>
      <c r="C50" s="163" t="s">
        <v>409</v>
      </c>
      <c r="D50" s="164"/>
      <c r="E50" s="165"/>
      <c r="F50" s="18" t="s">
        <v>39</v>
      </c>
      <c r="G50" s="171">
        <v>45449</v>
      </c>
      <c r="H50" s="172"/>
      <c r="R50"/>
      <c r="S50" s="55" t="s">
        <v>248</v>
      </c>
      <c r="T50" s="55" t="s">
        <v>253</v>
      </c>
      <c r="U50" s="55" t="s">
        <v>264</v>
      </c>
      <c r="V50" s="55" t="s">
        <v>269</v>
      </c>
    </row>
    <row r="51" spans="1:24" ht="37.200000000000003" customHeight="1" x14ac:dyDescent="0.3">
      <c r="A51" s="163" t="s">
        <v>40</v>
      </c>
      <c r="B51" s="165"/>
      <c r="C51" s="163" t="str">
        <f>C50</f>
        <v>MS/L.N.A./A-1(A)/Token No. 16420/J.K./24/128/2022</v>
      </c>
      <c r="D51" s="164"/>
      <c r="E51" s="165"/>
      <c r="F51" s="18" t="s">
        <v>39</v>
      </c>
      <c r="G51" s="171">
        <f>G50</f>
        <v>45449</v>
      </c>
      <c r="H51" s="172"/>
      <c r="R51"/>
      <c r="S51" s="55" t="s">
        <v>249</v>
      </c>
      <c r="T51" s="55" t="s">
        <v>352</v>
      </c>
      <c r="U51" s="55" t="s">
        <v>262</v>
      </c>
      <c r="V51" s="55" t="s">
        <v>270</v>
      </c>
    </row>
    <row r="52" spans="1:24" s="23" customFormat="1" ht="33.6" customHeight="1" x14ac:dyDescent="0.3">
      <c r="A52" s="177" t="s">
        <v>410</v>
      </c>
      <c r="B52" s="178"/>
      <c r="C52" s="177" t="s">
        <v>408</v>
      </c>
      <c r="D52" s="183"/>
      <c r="E52" s="178"/>
      <c r="F52" s="18" t="s">
        <v>39</v>
      </c>
      <c r="G52" s="171">
        <v>45449</v>
      </c>
      <c r="H52" s="172"/>
      <c r="I52" s="22" t="str">
        <f ca="1">IF(G52&gt;EDATE(E3,-48),"NO REMARK","CC REMARK FOR CC")</f>
        <v>NO REMARK</v>
      </c>
      <c r="J52" s="75"/>
      <c r="R52"/>
      <c r="S52" s="55" t="s">
        <v>250</v>
      </c>
      <c r="T52" s="55" t="s">
        <v>255</v>
      </c>
      <c r="U52" s="55" t="s">
        <v>252</v>
      </c>
      <c r="V52" s="55" t="s">
        <v>271</v>
      </c>
    </row>
    <row r="53" spans="1:24" s="23" customFormat="1" ht="33.75" hidden="1" customHeight="1" x14ac:dyDescent="0.3">
      <c r="A53" s="179"/>
      <c r="B53" s="180"/>
      <c r="C53" s="181"/>
      <c r="D53" s="184"/>
      <c r="E53" s="182"/>
      <c r="F53" s="18" t="s">
        <v>115</v>
      </c>
      <c r="G53" s="163" t="s">
        <v>146</v>
      </c>
      <c r="H53" s="165"/>
      <c r="R53"/>
      <c r="S53" s="55" t="s">
        <v>251</v>
      </c>
      <c r="T53" s="55" t="s">
        <v>258</v>
      </c>
      <c r="U53" s="55" t="s">
        <v>265</v>
      </c>
      <c r="V53" s="71" t="s">
        <v>344</v>
      </c>
    </row>
    <row r="54" spans="1:24" s="23" customFormat="1" x14ac:dyDescent="0.3">
      <c r="A54" s="181"/>
      <c r="B54" s="182"/>
      <c r="C54" s="163" t="s">
        <v>411</v>
      </c>
      <c r="D54" s="164"/>
      <c r="E54" s="164"/>
      <c r="F54" s="164"/>
      <c r="G54" s="164"/>
      <c r="H54" s="165"/>
      <c r="R54"/>
      <c r="S54" s="55"/>
      <c r="T54" s="55"/>
      <c r="U54" s="55"/>
      <c r="V54" s="71"/>
    </row>
    <row r="55" spans="1:24" s="23" customFormat="1" hidden="1" x14ac:dyDescent="0.3">
      <c r="A55" s="186" t="s">
        <v>275</v>
      </c>
      <c r="B55" s="187"/>
      <c r="C55" s="163">
        <f>C53</f>
        <v>0</v>
      </c>
      <c r="D55" s="164"/>
      <c r="E55" s="165"/>
      <c r="F55" s="18" t="s">
        <v>39</v>
      </c>
      <c r="G55" s="171"/>
      <c r="H55" s="172"/>
      <c r="K55" s="76">
        <f>EDATE(G52,-48)</f>
        <v>43988</v>
      </c>
      <c r="L55" s="23" t="str">
        <f ca="1">IF(G52&gt;EDATE(E3,-48),"NO REMARK","CC REMARK FOR CC")</f>
        <v>NO REMARK</v>
      </c>
      <c r="R55"/>
      <c r="S55" s="55" t="s">
        <v>250</v>
      </c>
      <c r="T55" s="55" t="s">
        <v>255</v>
      </c>
      <c r="U55" s="55" t="s">
        <v>252</v>
      </c>
      <c r="V55" s="55" t="s">
        <v>271</v>
      </c>
    </row>
    <row r="56" spans="1:24" s="23" customFormat="1" ht="32.25" hidden="1" customHeight="1" x14ac:dyDescent="0.3">
      <c r="A56" s="188"/>
      <c r="B56" s="189"/>
      <c r="C56" s="174"/>
      <c r="D56" s="175"/>
      <c r="E56" s="175"/>
      <c r="F56" s="175"/>
      <c r="G56" s="175"/>
      <c r="H56" s="176"/>
      <c r="R56"/>
      <c r="S56" s="55" t="s">
        <v>252</v>
      </c>
      <c r="T56" s="55" t="s">
        <v>256</v>
      </c>
      <c r="U56" s="55" t="s">
        <v>266</v>
      </c>
      <c r="V56" s="72"/>
      <c r="W56" s="21"/>
      <c r="X56" s="21"/>
    </row>
    <row r="57" spans="1:24" s="23" customFormat="1" ht="34.5" hidden="1" customHeight="1" x14ac:dyDescent="0.3">
      <c r="A57" s="186" t="s">
        <v>276</v>
      </c>
      <c r="B57" s="187"/>
      <c r="C57" s="163">
        <f>C56</f>
        <v>0</v>
      </c>
      <c r="D57" s="164"/>
      <c r="E57" s="165"/>
      <c r="F57" s="18" t="s">
        <v>39</v>
      </c>
      <c r="G57" s="171">
        <f>G56</f>
        <v>0</v>
      </c>
      <c r="H57" s="172"/>
      <c r="R57"/>
      <c r="S57" s="72"/>
      <c r="T57" s="55" t="s">
        <v>257</v>
      </c>
      <c r="U57" s="55" t="s">
        <v>267</v>
      </c>
      <c r="V57" s="72"/>
      <c r="W57" s="21"/>
      <c r="X57" s="21"/>
    </row>
    <row r="58" spans="1:24" s="23" customFormat="1" ht="41.25" hidden="1" customHeight="1" x14ac:dyDescent="0.3">
      <c r="A58" s="188"/>
      <c r="B58" s="189"/>
      <c r="C58" s="163"/>
      <c r="D58" s="164"/>
      <c r="E58" s="164"/>
      <c r="F58" s="164"/>
      <c r="G58" s="164"/>
      <c r="H58" s="165"/>
      <c r="R58"/>
      <c r="S58" s="72"/>
      <c r="T58" s="55" t="s">
        <v>259</v>
      </c>
      <c r="U58" s="55" t="s">
        <v>268</v>
      </c>
      <c r="V58" s="72"/>
      <c r="W58" s="21"/>
      <c r="X58" s="21"/>
    </row>
    <row r="59" spans="1:24" s="23" customFormat="1" ht="15.75" hidden="1" customHeight="1" x14ac:dyDescent="0.3">
      <c r="A59" s="186" t="s">
        <v>347</v>
      </c>
      <c r="B59" s="187"/>
      <c r="C59" s="215"/>
      <c r="D59" s="216"/>
      <c r="E59" s="217"/>
      <c r="F59" s="18" t="s">
        <v>39</v>
      </c>
      <c r="G59" s="171"/>
      <c r="H59" s="172"/>
      <c r="R59"/>
      <c r="S59" s="72"/>
      <c r="T59" s="55" t="s">
        <v>260</v>
      </c>
      <c r="U59" s="72" t="s">
        <v>290</v>
      </c>
      <c r="V59" s="72"/>
      <c r="W59" s="21"/>
      <c r="X59" s="21"/>
    </row>
    <row r="60" spans="1:24" s="23" customFormat="1" ht="33.75" hidden="1" customHeight="1" x14ac:dyDescent="0.3">
      <c r="A60" s="213"/>
      <c r="B60" s="214"/>
      <c r="C60" s="218"/>
      <c r="D60" s="219"/>
      <c r="E60" s="220"/>
      <c r="F60" s="18" t="s">
        <v>348</v>
      </c>
      <c r="G60" s="171"/>
      <c r="H60" s="172"/>
      <c r="R60"/>
      <c r="S60" s="72"/>
      <c r="T60" s="55" t="s">
        <v>261</v>
      </c>
      <c r="U60" s="72"/>
      <c r="V60" s="72"/>
      <c r="W60" s="21"/>
      <c r="X60" s="21"/>
    </row>
    <row r="61" spans="1:24" s="23" customFormat="1" ht="33.75" hidden="1" customHeight="1" x14ac:dyDescent="0.3">
      <c r="A61" s="188"/>
      <c r="B61" s="189"/>
      <c r="C61" s="163" t="s">
        <v>370</v>
      </c>
      <c r="D61" s="164"/>
      <c r="E61" s="164"/>
      <c r="F61" s="164"/>
      <c r="G61" s="164"/>
      <c r="H61" s="165"/>
      <c r="R61"/>
      <c r="S61" s="72"/>
      <c r="T61" s="55"/>
      <c r="U61" s="72"/>
      <c r="V61" s="72"/>
      <c r="W61" s="21"/>
      <c r="X61" s="21"/>
    </row>
    <row r="62" spans="1:24" x14ac:dyDescent="0.3">
      <c r="A62" s="245" t="s">
        <v>41</v>
      </c>
      <c r="B62" s="246"/>
      <c r="C62" s="245" t="s">
        <v>101</v>
      </c>
      <c r="D62" s="247"/>
      <c r="E62" s="246"/>
      <c r="F62" s="44" t="s">
        <v>39</v>
      </c>
      <c r="G62" s="248" t="s">
        <v>27</v>
      </c>
      <c r="H62" s="249"/>
      <c r="R62"/>
      <c r="S62" s="72"/>
      <c r="T62" s="55" t="s">
        <v>263</v>
      </c>
      <c r="U62" s="72"/>
      <c r="V62" s="72"/>
    </row>
    <row r="63" spans="1:24" x14ac:dyDescent="0.3">
      <c r="A63" s="210" t="s">
        <v>43</v>
      </c>
      <c r="B63" s="210"/>
      <c r="C63" s="210"/>
      <c r="D63" s="210"/>
      <c r="E63" s="210"/>
      <c r="F63" s="210"/>
      <c r="G63" s="210"/>
      <c r="H63" s="210"/>
      <c r="S63" s="72"/>
      <c r="T63" s="55" t="s">
        <v>272</v>
      </c>
      <c r="U63" s="72"/>
      <c r="V63" s="72"/>
    </row>
    <row r="64" spans="1:24" x14ac:dyDescent="0.3">
      <c r="A64" s="166" t="s">
        <v>86</v>
      </c>
      <c r="B64" s="166"/>
      <c r="C64" s="166"/>
      <c r="D64" s="127">
        <f>E46</f>
        <v>4677.34</v>
      </c>
      <c r="E64" s="127"/>
      <c r="F64" s="127"/>
      <c r="G64" s="127"/>
      <c r="H64" s="127"/>
      <c r="R64"/>
    </row>
    <row r="65" spans="1:19" x14ac:dyDescent="0.3">
      <c r="A65" s="149" t="s">
        <v>44</v>
      </c>
      <c r="B65" s="185"/>
      <c r="C65" s="185"/>
      <c r="D65" s="185" t="s">
        <v>433</v>
      </c>
      <c r="E65" s="185"/>
      <c r="F65" s="185"/>
      <c r="G65" s="185"/>
      <c r="H65" s="185"/>
      <c r="I65" s="24"/>
      <c r="R65"/>
    </row>
    <row r="66" spans="1:19" x14ac:dyDescent="0.3">
      <c r="A66" s="196" t="s">
        <v>45</v>
      </c>
      <c r="B66" s="197"/>
      <c r="C66" s="198"/>
      <c r="D66" s="194" t="s">
        <v>411</v>
      </c>
      <c r="E66" s="195"/>
      <c r="F66" s="195"/>
      <c r="G66" s="195"/>
      <c r="H66" s="195"/>
      <c r="R66"/>
    </row>
    <row r="67" spans="1:19" ht="15.75" customHeight="1" x14ac:dyDescent="0.3">
      <c r="A67" s="196" t="s">
        <v>84</v>
      </c>
      <c r="B67" s="197"/>
      <c r="C67" s="197"/>
      <c r="D67" s="204" t="s">
        <v>412</v>
      </c>
      <c r="E67" s="205"/>
      <c r="F67" s="205"/>
      <c r="G67" s="205"/>
      <c r="H67" s="206"/>
      <c r="R67"/>
    </row>
    <row r="68" spans="1:19" ht="15.75" customHeight="1" x14ac:dyDescent="0.3">
      <c r="A68" s="202"/>
      <c r="B68" s="203"/>
      <c r="C68" s="203"/>
      <c r="D68" s="207" t="s">
        <v>413</v>
      </c>
      <c r="E68" s="208"/>
      <c r="F68" s="208"/>
      <c r="G68" s="208"/>
      <c r="H68" s="209"/>
      <c r="R68"/>
    </row>
    <row r="69" spans="1:19" ht="15.75" customHeight="1" x14ac:dyDescent="0.3">
      <c r="A69" s="127" t="s">
        <v>42</v>
      </c>
      <c r="B69" s="127"/>
      <c r="C69" s="127"/>
      <c r="D69" s="167" t="s">
        <v>414</v>
      </c>
      <c r="E69" s="167"/>
      <c r="F69" s="167"/>
      <c r="G69" s="167"/>
      <c r="H69" s="167"/>
      <c r="J69" s="25"/>
      <c r="K69" s="24"/>
      <c r="N69" s="24"/>
      <c r="S69"/>
    </row>
    <row r="70" spans="1:19" ht="15.75" customHeight="1" x14ac:dyDescent="0.3">
      <c r="A70" s="127" t="s">
        <v>82</v>
      </c>
      <c r="B70" s="127"/>
      <c r="C70" s="127"/>
      <c r="D70" s="191" t="str">
        <f>(IF(G62="NA","60 Years After Completion",IF(G62&lt;&gt;"NA",""&amp;60-ROUNDDOWN((E3-G62)/360,0)&amp;" Years"," ")))</f>
        <v>60 Years After Completion</v>
      </c>
      <c r="E70" s="191"/>
      <c r="F70" s="191"/>
      <c r="G70" s="191"/>
      <c r="H70" s="191"/>
      <c r="N70" s="24"/>
      <c r="S70"/>
    </row>
    <row r="71" spans="1:19" ht="15.75" customHeight="1" x14ac:dyDescent="0.3">
      <c r="A71" s="127" t="s">
        <v>83</v>
      </c>
      <c r="B71" s="127"/>
      <c r="C71" s="127"/>
      <c r="D71" s="166" t="s">
        <v>22</v>
      </c>
      <c r="E71" s="166"/>
      <c r="F71" s="166"/>
      <c r="G71" s="166"/>
      <c r="H71" s="166"/>
      <c r="J71" s="26"/>
      <c r="K71" s="26"/>
      <c r="S71"/>
    </row>
    <row r="72" spans="1:19" ht="38.4" customHeight="1" x14ac:dyDescent="0.3">
      <c r="A72" s="185" t="s">
        <v>415</v>
      </c>
      <c r="B72" s="185"/>
      <c r="C72" s="185"/>
      <c r="D72" s="149" t="s">
        <v>416</v>
      </c>
      <c r="E72" s="166"/>
      <c r="F72" s="166"/>
      <c r="G72" s="166"/>
      <c r="H72" s="166"/>
      <c r="S72"/>
    </row>
    <row r="73" spans="1:19" x14ac:dyDescent="0.3">
      <c r="A73" s="166" t="s">
        <v>142</v>
      </c>
      <c r="B73" s="166"/>
      <c r="C73" s="166"/>
      <c r="D73" s="166" t="s">
        <v>27</v>
      </c>
      <c r="E73" s="166"/>
      <c r="F73" s="166"/>
      <c r="G73" s="166"/>
      <c r="H73" s="166"/>
      <c r="I73" s="27"/>
      <c r="J73" s="27"/>
      <c r="K73" s="27"/>
      <c r="L73" s="27"/>
      <c r="M73" s="27"/>
      <c r="N73" s="27"/>
    </row>
    <row r="74" spans="1:19" ht="15.75" customHeight="1" x14ac:dyDescent="0.3">
      <c r="A74" s="212" t="s">
        <v>81</v>
      </c>
      <c r="B74" s="212"/>
      <c r="C74" s="212"/>
      <c r="D74" s="194" t="str">
        <f ca="1">(IF(G80&gt;95%,"Nothing",IF(G80&gt;0%,"Cement, Aggregate, Steel, etc",IF(G80=0%,"Work not yet Started"))))</f>
        <v>Cement, Aggregate, Steel, etc</v>
      </c>
      <c r="E74" s="194"/>
      <c r="F74" s="194"/>
      <c r="G74" s="194"/>
      <c r="H74" s="194"/>
      <c r="J74" s="26"/>
      <c r="S74"/>
    </row>
    <row r="75" spans="1:19" ht="33.75" customHeight="1" thickBot="1" x14ac:dyDescent="0.35">
      <c r="A75" s="211" t="s">
        <v>113</v>
      </c>
      <c r="B75" s="211"/>
      <c r="C75" s="211"/>
      <c r="D75" s="194" t="str">
        <f ca="1">(IF(D74="Nothing","Yes",IF(D74="Cement, Aggregate, Steel, etc","Under Construction",IF(D74="Work not yet Started","Work not yet Started"))))</f>
        <v>Under Construction</v>
      </c>
      <c r="E75" s="194"/>
      <c r="F75" s="194" t="str">
        <f ca="1">(IF(D74="Nothing","Yes",IF(D74="Cement, Aggregate, Steel, etc","Under Construction",IF(D74="Work not yet Started","Work not yet Started"))))</f>
        <v>Under Construction</v>
      </c>
      <c r="G75" s="194"/>
      <c r="H75" s="194"/>
      <c r="S75"/>
    </row>
    <row r="76" spans="1:19" ht="15.75" customHeight="1" x14ac:dyDescent="0.3">
      <c r="A76" s="153" t="s">
        <v>134</v>
      </c>
      <c r="B76" s="154"/>
      <c r="C76" s="155" t="str">
        <f>D67</f>
        <v>Building No. 1 = Gr + 1st to 7th Floor</v>
      </c>
      <c r="D76" s="156"/>
      <c r="E76" s="156"/>
      <c r="F76" s="156"/>
      <c r="G76" s="156"/>
      <c r="H76" s="157"/>
      <c r="I76" s="48" t="str">
        <f ca="1">IF(D89=100%,"All work Completed. Possession granted to the Building.",IF(D88=100%,"All work Completed, Waiting for OC",I77&amp;""&amp;I78&amp;""&amp;J77&amp;""&amp;J76&amp;" "&amp;J78))</f>
        <v>Excavation, Plinth Completed, RCC upto 7 Slab, Brickwork upto 4 Floor Completed</v>
      </c>
      <c r="J76" s="49"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7 Slab, Brickwork upto 4 Floor</v>
      </c>
      <c r="S76"/>
    </row>
    <row r="77" spans="1:19" x14ac:dyDescent="0.3">
      <c r="A77" s="16" t="s">
        <v>136</v>
      </c>
      <c r="B77" s="46">
        <f>IF(AND(ISNUMBER(SEARCH("1B",C76))),1,IF(AND(ISNUMBER(SEARCH("2B",C76))),2,IF(AND(ISNUMBER(SEARCH("3B",C76))),3,IF(AND(ISNUMBER(SEARCH("4B",C76))),4,IF(ISNUMBER(SEARCH("5B",C76)),5,0)))))</f>
        <v>0</v>
      </c>
      <c r="C77" s="46" t="s">
        <v>67</v>
      </c>
      <c r="D77" s="46">
        <v>1</v>
      </c>
      <c r="E77" s="46" t="s">
        <v>66</v>
      </c>
      <c r="F77" s="46">
        <v>0</v>
      </c>
      <c r="G77" s="46" t="s">
        <v>75</v>
      </c>
      <c r="H77" s="17">
        <f ca="1">--TRIM(RIGHT(SUBSTITUTE(LEFT(C76,_xlfn.AGGREGATE(16,6,FIND({0,1,2,3,4,5,6,7,8,9},C76,ROW(INDIRECT("1:"&amp;LEN(C76)))),1))," ",REPT(" ",LEN(C76))),LEN(C76)))</f>
        <v>7</v>
      </c>
      <c r="I77" s="50" t="str">
        <f ca="1">IF(D80=100%,"Excavation","")&amp;IF(D81=100%,", Plinth","")&amp;IF(D82=100%,", RCC Slab","")&amp;IF(D83=100%,", Brickwork","")&amp;IF(D84=100%,", Internal Plaster","")&amp;IF(D85=100%,", External Plaster","")&amp;IF(D86=100%,", Flooring","")&amp;IF(D87=100%,", Painting","")&amp;IF(D88=100%,", Building common Amenities","")</f>
        <v>Excavation, Plinth</v>
      </c>
      <c r="J77" s="51"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4.799999999999997" customHeight="1" x14ac:dyDescent="0.3">
      <c r="A78" s="161" t="s">
        <v>85</v>
      </c>
      <c r="B78" s="162"/>
      <c r="C78" s="158" t="str">
        <f ca="1">I76</f>
        <v>Excavation, Plinth Completed, RCC upto 7 Slab, Brickwork upto 4 Floor Completed</v>
      </c>
      <c r="D78" s="158"/>
      <c r="E78" s="158"/>
      <c r="F78" s="158"/>
      <c r="G78" s="158"/>
      <c r="H78" s="159"/>
      <c r="I78" s="50" t="str">
        <f ca="1">IF(I77&lt;&gt;""," Completed","")</f>
        <v xml:space="preserve"> Completed</v>
      </c>
      <c r="J78" s="51" t="str">
        <f ca="1">IF(J76&lt;&gt;"","Completed","")</f>
        <v>Completed</v>
      </c>
      <c r="S78"/>
    </row>
    <row r="79" spans="1:19" ht="15.75" customHeight="1" x14ac:dyDescent="0.3">
      <c r="A79" s="111" t="s">
        <v>46</v>
      </c>
      <c r="B79" s="112"/>
      <c r="C79" s="97" t="s">
        <v>133</v>
      </c>
      <c r="D79" s="97" t="s">
        <v>78</v>
      </c>
      <c r="E79" s="112" t="s">
        <v>80</v>
      </c>
      <c r="F79" s="112"/>
      <c r="G79" s="112" t="s">
        <v>79</v>
      </c>
      <c r="H79" s="144"/>
      <c r="I79" s="13" t="s">
        <v>135</v>
      </c>
      <c r="J79" s="28">
        <f ca="1">H77*25%</f>
        <v>1.75</v>
      </c>
      <c r="S79"/>
    </row>
    <row r="80" spans="1:19" x14ac:dyDescent="0.3">
      <c r="A80" s="111" t="s">
        <v>122</v>
      </c>
      <c r="B80" s="112"/>
      <c r="C80" s="97">
        <f ca="1">J81</f>
        <v>7</v>
      </c>
      <c r="D80" s="98">
        <f ca="1">((100/H77)*C80)/100</f>
        <v>1</v>
      </c>
      <c r="E80" s="118">
        <f ca="1">(((C81/H77*10)+(40/(D77+F77+H77)*C82)+(7.5/(H77)*C83)+(7.5/(H77)*C84)+(10/H77*C85)+(10/H77*C86)+(5/H77*C87)+(5/H77*C88)+(5/H77*C89))/100)</f>
        <v>0.49285714285714283</v>
      </c>
      <c r="F80" s="119"/>
      <c r="G80" s="118">
        <f ca="1">((((C80/H77)*20)+((C81/H77)*25)+(30/(H77+F77+D77)*C82)+(5/H77*C83)+(5/H77*C84)+(5/H77*C85)+(5/H77*C86)+(0/H77*C87)+(0/H77*C88)+(5/H77*C89))/100)</f>
        <v>0.7410714285714286</v>
      </c>
      <c r="H80" s="124"/>
      <c r="I80" s="13" t="s">
        <v>96</v>
      </c>
      <c r="J80" s="29">
        <f ca="1">H77*50%</f>
        <v>3.5</v>
      </c>
    </row>
    <row r="81" spans="1:19" x14ac:dyDescent="0.3">
      <c r="A81" s="111" t="s">
        <v>47</v>
      </c>
      <c r="B81" s="112"/>
      <c r="C81" s="97">
        <f ca="1">J89</f>
        <v>7</v>
      </c>
      <c r="D81" s="98">
        <f ca="1">((100/H77)*C81)/100</f>
        <v>1</v>
      </c>
      <c r="E81" s="120"/>
      <c r="F81" s="121"/>
      <c r="G81" s="120"/>
      <c r="H81" s="125"/>
      <c r="I81" s="13" t="s">
        <v>97</v>
      </c>
      <c r="J81" s="29">
        <f ca="1">H77</f>
        <v>7</v>
      </c>
      <c r="L81" s="92"/>
      <c r="S81"/>
    </row>
    <row r="82" spans="1:19" ht="15.75" customHeight="1" x14ac:dyDescent="0.3">
      <c r="A82" s="111" t="s">
        <v>123</v>
      </c>
      <c r="B82" s="112"/>
      <c r="C82" s="97">
        <v>7</v>
      </c>
      <c r="D82" s="98">
        <f ca="1">((100/(D77+F77+H77))*C82)/100</f>
        <v>0.875</v>
      </c>
      <c r="E82" s="120"/>
      <c r="F82" s="121"/>
      <c r="G82" s="120"/>
      <c r="H82" s="125"/>
      <c r="I82" s="13" t="s">
        <v>98</v>
      </c>
      <c r="J82" s="30">
        <f ca="1">(IF(B77&gt;1,(H77/(B77+2)),H77/4))</f>
        <v>1.75</v>
      </c>
      <c r="S82"/>
    </row>
    <row r="83" spans="1:19" ht="15.75" customHeight="1" x14ac:dyDescent="0.3">
      <c r="A83" s="111" t="s">
        <v>130</v>
      </c>
      <c r="B83" s="112" t="s">
        <v>124</v>
      </c>
      <c r="C83" s="97">
        <v>4</v>
      </c>
      <c r="D83" s="98">
        <f ca="1">((100/H77)*C83)/100</f>
        <v>0.57142857142857151</v>
      </c>
      <c r="E83" s="120"/>
      <c r="F83" s="121"/>
      <c r="G83" s="120"/>
      <c r="H83" s="125"/>
      <c r="I83" s="13" t="s">
        <v>99</v>
      </c>
      <c r="J83" s="30">
        <f ca="1">(IF(B77&gt;1,(H77/(B77+2)+J82),H77/4+J82))</f>
        <v>3.5</v>
      </c>
    </row>
    <row r="84" spans="1:19" ht="15.75" customHeight="1" x14ac:dyDescent="0.3">
      <c r="A84" s="111" t="s">
        <v>131</v>
      </c>
      <c r="B84" s="112" t="s">
        <v>124</v>
      </c>
      <c r="C84" s="97">
        <v>0</v>
      </c>
      <c r="D84" s="98">
        <f ca="1">((100/H77)*C84)/100</f>
        <v>0</v>
      </c>
      <c r="E84" s="120"/>
      <c r="F84" s="121"/>
      <c r="G84" s="120"/>
      <c r="H84" s="125"/>
      <c r="I84" s="13" t="s">
        <v>140</v>
      </c>
      <c r="J84" s="30">
        <f>(IF(B77&gt;1,(H77/(B77+2)+J83),0))</f>
        <v>0</v>
      </c>
    </row>
    <row r="85" spans="1:19" ht="15" customHeight="1" x14ac:dyDescent="0.3">
      <c r="A85" s="111" t="s">
        <v>129</v>
      </c>
      <c r="B85" s="112" t="s">
        <v>126</v>
      </c>
      <c r="C85" s="97">
        <v>0</v>
      </c>
      <c r="D85" s="98">
        <f ca="1">((100/(H77))*C85)/100</f>
        <v>0</v>
      </c>
      <c r="E85" s="120"/>
      <c r="F85" s="121"/>
      <c r="G85" s="120"/>
      <c r="H85" s="125"/>
      <c r="I85" s="13" t="s">
        <v>137</v>
      </c>
      <c r="J85" s="30">
        <f>(IF(B77&gt;2,(H77/(B77+2)+J84),0))</f>
        <v>0</v>
      </c>
    </row>
    <row r="86" spans="1:19" ht="15.75" customHeight="1" x14ac:dyDescent="0.3">
      <c r="A86" s="111" t="s">
        <v>125</v>
      </c>
      <c r="B86" s="112" t="s">
        <v>125</v>
      </c>
      <c r="C86" s="97">
        <v>0</v>
      </c>
      <c r="D86" s="98">
        <f ca="1">((100/H77)*C86)/100</f>
        <v>0</v>
      </c>
      <c r="E86" s="120"/>
      <c r="F86" s="121"/>
      <c r="G86" s="120"/>
      <c r="H86" s="125"/>
      <c r="I86" s="13" t="s">
        <v>138</v>
      </c>
      <c r="J86" s="31">
        <f>(IF(B77&gt;3,(H77/(B77+2)+J85),0))</f>
        <v>0</v>
      </c>
    </row>
    <row r="87" spans="1:19" ht="15.75" customHeight="1" x14ac:dyDescent="0.3">
      <c r="A87" s="111" t="s">
        <v>132</v>
      </c>
      <c r="B87" s="112"/>
      <c r="C87" s="97">
        <v>0</v>
      </c>
      <c r="D87" s="98">
        <f ca="1">((100/H77)*C87)/100</f>
        <v>0</v>
      </c>
      <c r="E87" s="120"/>
      <c r="F87" s="121"/>
      <c r="G87" s="120"/>
      <c r="H87" s="125"/>
      <c r="I87" s="13" t="s">
        <v>139</v>
      </c>
      <c r="J87" s="30">
        <f>(IF(B77&gt;4,(H77/(B77+2)+J86),0))</f>
        <v>0</v>
      </c>
    </row>
    <row r="88" spans="1:19" ht="15.75" customHeight="1" x14ac:dyDescent="0.3">
      <c r="A88" s="111" t="s">
        <v>127</v>
      </c>
      <c r="B88" s="112" t="s">
        <v>127</v>
      </c>
      <c r="C88" s="97">
        <v>0</v>
      </c>
      <c r="D88" s="98">
        <f ca="1">((100/(H77))*C88)/100</f>
        <v>0</v>
      </c>
      <c r="E88" s="120"/>
      <c r="F88" s="121"/>
      <c r="G88" s="120"/>
      <c r="H88" s="125"/>
      <c r="I88" s="13" t="s">
        <v>141</v>
      </c>
      <c r="J88" s="30">
        <f ca="1">(IF(B77=1,(H77/(B77+3)+J83),IF(B77=0,(H77/4+J83),IF(B77&gt;1,0))))</f>
        <v>5.25</v>
      </c>
    </row>
    <row r="89" spans="1:19" ht="16.2" thickBot="1" x14ac:dyDescent="0.35">
      <c r="A89" s="240" t="s">
        <v>128</v>
      </c>
      <c r="B89" s="241"/>
      <c r="C89" s="99">
        <v>0</v>
      </c>
      <c r="D89" s="100">
        <f ca="1">((100/(H77))*C89)/100</f>
        <v>0</v>
      </c>
      <c r="E89" s="122"/>
      <c r="F89" s="123"/>
      <c r="G89" s="122"/>
      <c r="H89" s="126"/>
      <c r="I89" s="15" t="s">
        <v>100</v>
      </c>
      <c r="J89" s="32">
        <f ca="1">(IF(B77&gt;1.5,(H77/(B77+2)+J83+MAX(0,J84-J83)+MAX(0,J85-J84)+MAX(0,J86-J85)+MAX(0,J87-J86)+MAX(0,J88-J87)),IF(B77=1,(H77/(B77+3)+J88),IF(B77=0,H77/4+J88))))</f>
        <v>7</v>
      </c>
    </row>
    <row r="90" spans="1:19" ht="15.75" hidden="1" customHeight="1" x14ac:dyDescent="0.3">
      <c r="A90" s="153" t="s">
        <v>134</v>
      </c>
      <c r="B90" s="154"/>
      <c r="C90" s="155" t="s">
        <v>436</v>
      </c>
      <c r="D90" s="156"/>
      <c r="E90" s="156"/>
      <c r="F90" s="156"/>
      <c r="G90" s="156"/>
      <c r="H90" s="157"/>
      <c r="I90" s="48" t="str">
        <f ca="1">IF(D103=100%,"All work Completed. Possession granted to the Building.",IF(D102=100%,"All work Completed, Waiting for OC",I91&amp;""&amp;I92&amp;""&amp;J91&amp;""&amp;J90&amp;" "&amp;J92))</f>
        <v>Excavation, Plinth Completed, RCC upto 7 Slab, Brickwork upto 4 Floor Completed</v>
      </c>
      <c r="J90" s="49"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RCC upto 7 Slab, Brickwork upto 4 Floor</v>
      </c>
      <c r="S90"/>
    </row>
    <row r="91" spans="1:19" hidden="1" x14ac:dyDescent="0.3">
      <c r="A91" s="16" t="s">
        <v>136</v>
      </c>
      <c r="B91" s="46">
        <f>IF(AND(ISNUMBER(SEARCH("1B",C90))),1,IF(AND(ISNUMBER(SEARCH("2B",C90))),2,IF(AND(ISNUMBER(SEARCH("3B",C90))),3,IF(AND(ISNUMBER(SEARCH("4B",C90))),4,IF(ISNUMBER(SEARCH("5B",C90)),5,0)))))</f>
        <v>0</v>
      </c>
      <c r="C91" s="46" t="s">
        <v>67</v>
      </c>
      <c r="D91" s="46">
        <v>1</v>
      </c>
      <c r="E91" s="46" t="s">
        <v>66</v>
      </c>
      <c r="F91" s="46">
        <v>0</v>
      </c>
      <c r="G91" s="46" t="s">
        <v>75</v>
      </c>
      <c r="H91" s="17">
        <f ca="1">--TRIM(RIGHT(SUBSTITUTE(LEFT(C90,_xlfn.AGGREGATE(16,6,FIND({0,1,2,3,4,5,6,7,8,9},C90,ROW(INDIRECT("1:"&amp;LEN(C90)))),1))," ",REPT(" ",LEN(C90))),LEN(C90)))</f>
        <v>7</v>
      </c>
      <c r="I91" s="50" t="str">
        <f ca="1">IF(D94=100%,"Excavation","")&amp;IF(D95=100%,", Plinth","")&amp;IF(D96=100%,", RCC Slab","")&amp;IF(D97=100%,", Brickwork","")&amp;IF(D98=100%,", Internal Plaster","")&amp;IF(D99=100%,", External Plaster","")&amp;IF(D100=100%,", Flooring","")&amp;IF(D101=100%,", Painting","")&amp;IF(D102=100%,", Building common Amenities","")</f>
        <v>Excavation, Plinth</v>
      </c>
      <c r="J91" s="51"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6" hidden="1" customHeight="1" x14ac:dyDescent="0.3">
      <c r="A92" s="161" t="s">
        <v>85</v>
      </c>
      <c r="B92" s="162"/>
      <c r="C92" s="158" t="str">
        <f ca="1">I90</f>
        <v>Excavation, Plinth Completed, RCC upto 7 Slab, Brickwork upto 4 Floor Completed</v>
      </c>
      <c r="D92" s="158"/>
      <c r="E92" s="158"/>
      <c r="F92" s="158"/>
      <c r="G92" s="158"/>
      <c r="H92" s="159"/>
      <c r="I92" s="50" t="str">
        <f ca="1">IF(I91&lt;&gt;""," Completed","")</f>
        <v xml:space="preserve"> Completed</v>
      </c>
      <c r="J92" s="51" t="str">
        <f ca="1">IF(J90&lt;&gt;"","Completed","")</f>
        <v>Completed</v>
      </c>
      <c r="S92"/>
    </row>
    <row r="93" spans="1:19" ht="15.75" hidden="1" customHeight="1" x14ac:dyDescent="0.3">
      <c r="A93" s="111" t="s">
        <v>46</v>
      </c>
      <c r="B93" s="112"/>
      <c r="C93" s="97" t="s">
        <v>133</v>
      </c>
      <c r="D93" s="97" t="s">
        <v>78</v>
      </c>
      <c r="E93" s="112" t="s">
        <v>80</v>
      </c>
      <c r="F93" s="112"/>
      <c r="G93" s="112" t="s">
        <v>79</v>
      </c>
      <c r="H93" s="144"/>
      <c r="I93" s="13" t="s">
        <v>135</v>
      </c>
      <c r="J93" s="28">
        <f ca="1">H91*25%</f>
        <v>1.75</v>
      </c>
      <c r="S93"/>
    </row>
    <row r="94" spans="1:19" hidden="1" x14ac:dyDescent="0.3">
      <c r="A94" s="111" t="s">
        <v>122</v>
      </c>
      <c r="B94" s="112"/>
      <c r="C94" s="97">
        <f ca="1">J95</f>
        <v>7</v>
      </c>
      <c r="D94" s="98">
        <f ca="1">((100/H91)*C94)/100</f>
        <v>1</v>
      </c>
      <c r="E94" s="118">
        <f ca="1">(((C95/H91*10)+(40/(D91+F91+H91)*C96)+(7.5/(H91)*C97)+(7.5/(H91)*C98)+(10/H91*C99)+(10/H91*C100)+(5/H91*C101)+(5/H91*C102)+(5/H91*C103))/100)</f>
        <v>0.49285714285714283</v>
      </c>
      <c r="F94" s="119"/>
      <c r="G94" s="118">
        <f ca="1">((((C94/H91)*20)+((C95/H91)*25)+(30/(H91+F91+D91)*C96)+(5/H91*C97)+(5/H91*C98)+(5/H91*C99)+(5/H91*C100)+(0/H91*C101)+(0/H91*C102)+(5/H91*C103))/100)</f>
        <v>0.7410714285714286</v>
      </c>
      <c r="H94" s="124"/>
      <c r="I94" s="13" t="s">
        <v>96</v>
      </c>
      <c r="J94" s="29">
        <f ca="1">H91*50%</f>
        <v>3.5</v>
      </c>
    </row>
    <row r="95" spans="1:19" hidden="1" x14ac:dyDescent="0.3">
      <c r="A95" s="111" t="s">
        <v>47</v>
      </c>
      <c r="B95" s="112"/>
      <c r="C95" s="97">
        <f ca="1">J103</f>
        <v>7</v>
      </c>
      <c r="D95" s="98">
        <f ca="1">((100/H91)*C95)/100</f>
        <v>1</v>
      </c>
      <c r="E95" s="120"/>
      <c r="F95" s="121"/>
      <c r="G95" s="120"/>
      <c r="H95" s="125"/>
      <c r="I95" s="13" t="s">
        <v>97</v>
      </c>
      <c r="J95" s="29">
        <f ca="1">H91</f>
        <v>7</v>
      </c>
      <c r="L95" s="92"/>
      <c r="S95"/>
    </row>
    <row r="96" spans="1:19" ht="15.75" hidden="1" customHeight="1" x14ac:dyDescent="0.3">
      <c r="A96" s="111" t="s">
        <v>123</v>
      </c>
      <c r="B96" s="112"/>
      <c r="C96" s="97">
        <v>7</v>
      </c>
      <c r="D96" s="98">
        <f ca="1">((100/(D91+F91+H91))*C96)/100</f>
        <v>0.875</v>
      </c>
      <c r="E96" s="120"/>
      <c r="F96" s="121"/>
      <c r="G96" s="120"/>
      <c r="H96" s="125"/>
      <c r="I96" s="13" t="s">
        <v>98</v>
      </c>
      <c r="J96" s="30">
        <f ca="1">(IF(B91&gt;1,(H91/(B91+2)),H91/4))</f>
        <v>1.75</v>
      </c>
      <c r="S96"/>
    </row>
    <row r="97" spans="1:22" ht="15.75" hidden="1" customHeight="1" x14ac:dyDescent="0.3">
      <c r="A97" s="111" t="s">
        <v>130</v>
      </c>
      <c r="B97" s="112" t="s">
        <v>124</v>
      </c>
      <c r="C97" s="97">
        <v>4</v>
      </c>
      <c r="D97" s="98">
        <f ca="1">((100/H91)*C97)/100</f>
        <v>0.57142857142857151</v>
      </c>
      <c r="E97" s="120"/>
      <c r="F97" s="121"/>
      <c r="G97" s="120"/>
      <c r="H97" s="125"/>
      <c r="I97" s="13" t="s">
        <v>99</v>
      </c>
      <c r="J97" s="30">
        <f ca="1">(IF(B91&gt;1,(H91/(B91+2)+J96),H91/4+J96))</f>
        <v>3.5</v>
      </c>
    </row>
    <row r="98" spans="1:22" ht="15.75" hidden="1" customHeight="1" x14ac:dyDescent="0.3">
      <c r="A98" s="111" t="s">
        <v>131</v>
      </c>
      <c r="B98" s="112" t="s">
        <v>124</v>
      </c>
      <c r="C98" s="97">
        <v>0</v>
      </c>
      <c r="D98" s="98">
        <f ca="1">((100/H91)*C98)/100</f>
        <v>0</v>
      </c>
      <c r="E98" s="120"/>
      <c r="F98" s="121"/>
      <c r="G98" s="120"/>
      <c r="H98" s="125"/>
      <c r="I98" s="13" t="s">
        <v>140</v>
      </c>
      <c r="J98" s="30">
        <f>(IF(B91&gt;1,(H91/(B91+2)+J97),0))</f>
        <v>0</v>
      </c>
    </row>
    <row r="99" spans="1:22" ht="15" hidden="1" customHeight="1" x14ac:dyDescent="0.3">
      <c r="A99" s="111" t="s">
        <v>129</v>
      </c>
      <c r="B99" s="112" t="s">
        <v>126</v>
      </c>
      <c r="C99" s="97">
        <v>0</v>
      </c>
      <c r="D99" s="98">
        <f ca="1">((100/(H91))*C99)/100</f>
        <v>0</v>
      </c>
      <c r="E99" s="120"/>
      <c r="F99" s="121"/>
      <c r="G99" s="120"/>
      <c r="H99" s="125"/>
      <c r="I99" s="13" t="s">
        <v>137</v>
      </c>
      <c r="J99" s="30">
        <f>(IF(B91&gt;2,(H91/(B91+2)+J98),0))</f>
        <v>0</v>
      </c>
    </row>
    <row r="100" spans="1:22" ht="15.75" hidden="1" customHeight="1" x14ac:dyDescent="0.3">
      <c r="A100" s="111" t="s">
        <v>125</v>
      </c>
      <c r="B100" s="112" t="s">
        <v>125</v>
      </c>
      <c r="C100" s="97">
        <v>0</v>
      </c>
      <c r="D100" s="98">
        <f ca="1">((100/H91)*C100)/100</f>
        <v>0</v>
      </c>
      <c r="E100" s="120"/>
      <c r="F100" s="121"/>
      <c r="G100" s="120"/>
      <c r="H100" s="125"/>
      <c r="I100" s="13" t="s">
        <v>138</v>
      </c>
      <c r="J100" s="31">
        <f>(IF(B91&gt;3,(H91/(B91+2)+J99),0))</f>
        <v>0</v>
      </c>
    </row>
    <row r="101" spans="1:22" ht="15.75" hidden="1" customHeight="1" x14ac:dyDescent="0.3">
      <c r="A101" s="111" t="s">
        <v>132</v>
      </c>
      <c r="B101" s="112"/>
      <c r="C101" s="97">
        <v>0</v>
      </c>
      <c r="D101" s="98">
        <f ca="1">((100/H91)*C101)/100</f>
        <v>0</v>
      </c>
      <c r="E101" s="120"/>
      <c r="F101" s="121"/>
      <c r="G101" s="120"/>
      <c r="H101" s="125"/>
      <c r="I101" s="13" t="s">
        <v>139</v>
      </c>
      <c r="J101" s="30">
        <f>(IF(B91&gt;4,(H91/(B91+2)+J100),0))</f>
        <v>0</v>
      </c>
    </row>
    <row r="102" spans="1:22" ht="15.75" hidden="1" customHeight="1" x14ac:dyDescent="0.3">
      <c r="A102" s="111" t="s">
        <v>127</v>
      </c>
      <c r="B102" s="112" t="s">
        <v>127</v>
      </c>
      <c r="C102" s="97">
        <v>0</v>
      </c>
      <c r="D102" s="98">
        <f ca="1">((100/(H91))*C102)/100</f>
        <v>0</v>
      </c>
      <c r="E102" s="120"/>
      <c r="F102" s="121"/>
      <c r="G102" s="120"/>
      <c r="H102" s="125"/>
      <c r="I102" s="13" t="s">
        <v>141</v>
      </c>
      <c r="J102" s="30">
        <f ca="1">(IF(B91=1,(H91/(B91+3)+J97),IF(B91=0,(H91/4+J97),IF(B91&gt;1,0))))</f>
        <v>5.25</v>
      </c>
    </row>
    <row r="103" spans="1:22" ht="16.2" hidden="1" thickBot="1" x14ac:dyDescent="0.35">
      <c r="A103" s="281" t="s">
        <v>128</v>
      </c>
      <c r="B103" s="282"/>
      <c r="C103" s="283">
        <v>0</v>
      </c>
      <c r="D103" s="284">
        <f ca="1">((100/(H91))*C103)/100</f>
        <v>0</v>
      </c>
      <c r="E103" s="120"/>
      <c r="F103" s="121"/>
      <c r="G103" s="120"/>
      <c r="H103" s="125"/>
      <c r="I103" s="15" t="s">
        <v>100</v>
      </c>
      <c r="J103" s="32">
        <f ca="1">(IF(B91&gt;1.5,(H91/(B91+2)+J97+MAX(0,J98-J97)+MAX(0,J99-J98)+MAX(0,J100-J99)+MAX(0,J101-J100)+MAX(0,J102-J101)),IF(B91=1,(H91/(B91+3)+J102),IF(B91=0,H91/4+J102))))</f>
        <v>7</v>
      </c>
    </row>
    <row r="104" spans="1:22" hidden="1" x14ac:dyDescent="0.3">
      <c r="A104" s="290" t="s">
        <v>437</v>
      </c>
      <c r="B104" s="291"/>
      <c r="C104" s="292">
        <f ca="1">AVERAGE(E80,E94)</f>
        <v>0.49285714285714283</v>
      </c>
      <c r="D104" s="291"/>
      <c r="E104" s="290" t="s">
        <v>438</v>
      </c>
      <c r="F104" s="291"/>
      <c r="G104" s="292">
        <f ca="1">AVERAGE(G80,G94)</f>
        <v>0.7410714285714286</v>
      </c>
      <c r="H104" s="291"/>
      <c r="R104"/>
      <c r="S104">
        <v>800000</v>
      </c>
      <c r="T104">
        <v>150000</v>
      </c>
      <c r="U104">
        <v>100000</v>
      </c>
      <c r="V104">
        <v>100000</v>
      </c>
    </row>
    <row r="105" spans="1:22" ht="16.2" hidden="1" thickBot="1" x14ac:dyDescent="0.35">
      <c r="A105" s="291"/>
      <c r="B105" s="291"/>
      <c r="C105" s="291"/>
      <c r="D105" s="291"/>
      <c r="E105" s="291"/>
      <c r="F105" s="291"/>
      <c r="G105" s="291"/>
      <c r="H105" s="291"/>
      <c r="R105"/>
      <c r="S105">
        <v>800000</v>
      </c>
      <c r="T105">
        <v>150000</v>
      </c>
      <c r="U105">
        <v>100000</v>
      </c>
      <c r="V105">
        <v>100000</v>
      </c>
    </row>
    <row r="106" spans="1:22" ht="15.75" customHeight="1" x14ac:dyDescent="0.3">
      <c r="A106" s="285" t="s">
        <v>134</v>
      </c>
      <c r="B106" s="286"/>
      <c r="C106" s="287" t="str">
        <f>D68</f>
        <v>Building No. 2 = Gr + 1st to 7th Floor</v>
      </c>
      <c r="D106" s="288"/>
      <c r="E106" s="288"/>
      <c r="F106" s="288"/>
      <c r="G106" s="288"/>
      <c r="H106" s="289"/>
      <c r="I106" s="48" t="str">
        <f ca="1">IF(D119=100%,"All work Completed. Possession granted to the Building.",IF(D118=100%,"All work Completed, Waiting for OC",I107&amp;""&amp;I108&amp;""&amp;J107&amp;""&amp;J106&amp;" "&amp;J108))</f>
        <v xml:space="preserve">Work not yet Started. </v>
      </c>
      <c r="J106" s="49" t="str">
        <f ca="1">(IF(C112=(D107+F107+H107),"",IF(C112&gt;0,", RCC upto "&amp;C112&amp;" Slab","")))&amp;(IF(C113=H107,"",IF(C113&gt;0,", Brickwork upto "&amp;C113&amp;" Floor","")))&amp;(IF(C114=H107,"",IF(C114&gt;0,", Internal Plaster upto "&amp;C114&amp;" Floor","")))&amp;(IF(C115=H107,"",IF(C115&gt;0,", External Plaster upto "&amp;C115&amp;" Floor","")))&amp;(IF(C116=H107,"",IF(C116&gt;0,", Flooring upto "&amp;C116&amp;" Floor","")))&amp;(IF(C117=H107,"",IF(C117&gt;0,", Painting upto "&amp;C117&amp;" Floor","")))&amp;(IF(C118=H107,"",IF(C118&gt;0,", Finishing upto "&amp;C118&amp;" Floor","")))&amp;(IF(C119=H107,"",IF(C119&gt;0,", Possession upto "&amp;C119&amp;" Floor","")))</f>
        <v/>
      </c>
      <c r="S106"/>
    </row>
    <row r="107" spans="1:22" x14ac:dyDescent="0.3">
      <c r="A107" s="16" t="s">
        <v>136</v>
      </c>
      <c r="B107" s="46">
        <f>IF(AND(ISNUMBER(SEARCH("1B",C106))),1,IF(AND(ISNUMBER(SEARCH("2B",C106))),2,IF(AND(ISNUMBER(SEARCH("3B",C106))),3,IF(AND(ISNUMBER(SEARCH("4B",C106))),4,IF(ISNUMBER(SEARCH("5B",C106)),5,0)))))</f>
        <v>0</v>
      </c>
      <c r="C107" s="46" t="s">
        <v>67</v>
      </c>
      <c r="D107" s="46">
        <v>1</v>
      </c>
      <c r="E107" s="46" t="s">
        <v>66</v>
      </c>
      <c r="F107" s="46">
        <v>0</v>
      </c>
      <c r="G107" s="46" t="s">
        <v>75</v>
      </c>
      <c r="H107" s="17">
        <f ca="1">--TRIM(RIGHT(SUBSTITUTE(LEFT(C106,_xlfn.AGGREGATE(16,6,FIND({0,1,2,3,4,5,6,7,8,9},C106,ROW(INDIRECT("1:"&amp;LEN(C106)))),1))," ",REPT(" ",LEN(C106))),LEN(C106)))</f>
        <v>7</v>
      </c>
      <c r="I107" s="50" t="str">
        <f ca="1">IF(D110=100%,"Excavation","")&amp;IF(D111=100%,", Plinth","")&amp;IF(D112=100%,", RCC Slab","")&amp;IF(D113=100%,", Brickwork","")&amp;IF(D114=100%,", Internal Plaster","")&amp;IF(D115=100%,", External Plaster","")&amp;IF(D116=100%,", Flooring","")&amp;IF(D117=100%,", Painting","")&amp;IF(D118=100%,", Building common Amenities","")</f>
        <v/>
      </c>
      <c r="J107" s="51" t="str">
        <f>(IF(C110=0,"Work not yet Started.",IF(D110=25%,"Piling work in process",IF(D110=50%,"Excavation work in process",IF(D110=100%,"","0")))))&amp;(IF(C111=0%,"",IF(C111=J112,", Footing work is process",IF(C111=J113,", Footing work Completed",IF(C111=J114,", 1st Basement Completed",IF(C111=J115,", 1st &amp; 2nd Basement Completed",IF(C111=J116,", 1st to 3rd Basement Completed",IF(C111=J117,", 1st to 4th Basement Completed",IF(C111=J118,", Plinth work is process",IF(C111=J119,"","0"))))))))))</f>
        <v>Work not yet Started.</v>
      </c>
      <c r="S107"/>
    </row>
    <row r="108" spans="1:22" x14ac:dyDescent="0.3">
      <c r="A108" s="161" t="s">
        <v>85</v>
      </c>
      <c r="B108" s="162"/>
      <c r="C108" s="158" t="str">
        <f ca="1">I106</f>
        <v xml:space="preserve">Work not yet Started. </v>
      </c>
      <c r="D108" s="158"/>
      <c r="E108" s="158"/>
      <c r="F108" s="158"/>
      <c r="G108" s="158"/>
      <c r="H108" s="159"/>
      <c r="I108" s="50" t="str">
        <f ca="1">IF(I107&lt;&gt;""," Completed","")</f>
        <v/>
      </c>
      <c r="J108" s="51" t="str">
        <f ca="1">IF(J106&lt;&gt;"","Completed","")</f>
        <v/>
      </c>
      <c r="S108"/>
    </row>
    <row r="109" spans="1:22" ht="15.75" customHeight="1" x14ac:dyDescent="0.3">
      <c r="A109" s="111" t="s">
        <v>46</v>
      </c>
      <c r="B109" s="112"/>
      <c r="C109" s="97" t="s">
        <v>133</v>
      </c>
      <c r="D109" s="97" t="s">
        <v>78</v>
      </c>
      <c r="E109" s="112" t="s">
        <v>80</v>
      </c>
      <c r="F109" s="112"/>
      <c r="G109" s="112" t="s">
        <v>79</v>
      </c>
      <c r="H109" s="144"/>
      <c r="I109" s="13" t="s">
        <v>135</v>
      </c>
      <c r="J109" s="28">
        <f ca="1">H107*25%</f>
        <v>1.75</v>
      </c>
      <c r="S109"/>
    </row>
    <row r="110" spans="1:22" x14ac:dyDescent="0.3">
      <c r="A110" s="111" t="s">
        <v>122</v>
      </c>
      <c r="B110" s="112"/>
      <c r="C110" s="97">
        <v>0</v>
      </c>
      <c r="D110" s="98">
        <f ca="1">((100/H107)*C110)/100</f>
        <v>0</v>
      </c>
      <c r="E110" s="118">
        <f ca="1">(((C111/H107*10)+(40/(D107+F107+H107)*C112)+(7.5/(H107)*C113)+(7.5/(H107)*C114)+(10/H107*C115)+(10/H107*C116)+(5/H107*C117)+(5/H107*C118)+(5/H107*C119))/100)</f>
        <v>0</v>
      </c>
      <c r="F110" s="119"/>
      <c r="G110" s="118">
        <f ca="1">((((C110/H107)*20)+((C111/H107)*25)+(30/(H107+F107+D107)*C112)+(5/H107*C113)+(5/H107*C114)+(5/H107*C115)+(5/H107*C116)+(0/H107*C117)+(0/H107*C118)+(5/H107*C119))/100)</f>
        <v>0</v>
      </c>
      <c r="H110" s="124"/>
      <c r="I110" s="13" t="s">
        <v>96</v>
      </c>
      <c r="J110" s="29">
        <f ca="1">H107*50%</f>
        <v>3.5</v>
      </c>
    </row>
    <row r="111" spans="1:22" x14ac:dyDescent="0.3">
      <c r="A111" s="111" t="s">
        <v>47</v>
      </c>
      <c r="B111" s="112"/>
      <c r="C111" s="97">
        <v>0</v>
      </c>
      <c r="D111" s="98">
        <f ca="1">((100/H107)*C111)/100</f>
        <v>0</v>
      </c>
      <c r="E111" s="120"/>
      <c r="F111" s="121"/>
      <c r="G111" s="120"/>
      <c r="H111" s="125"/>
      <c r="I111" s="13" t="s">
        <v>97</v>
      </c>
      <c r="J111" s="29">
        <f ca="1">H107</f>
        <v>7</v>
      </c>
      <c r="S111"/>
    </row>
    <row r="112" spans="1:22" ht="15.75" customHeight="1" x14ac:dyDescent="0.3">
      <c r="A112" s="111" t="s">
        <v>123</v>
      </c>
      <c r="B112" s="112"/>
      <c r="C112" s="97">
        <v>0</v>
      </c>
      <c r="D112" s="98">
        <f ca="1">((100/(D107+F107+H107))*C112)/100</f>
        <v>0</v>
      </c>
      <c r="E112" s="120"/>
      <c r="F112" s="121"/>
      <c r="G112" s="120"/>
      <c r="H112" s="125"/>
      <c r="I112" s="13" t="s">
        <v>98</v>
      </c>
      <c r="J112" s="30">
        <f ca="1">(IF(B107&gt;1,(H107/(B107+2)),H107/4))</f>
        <v>1.75</v>
      </c>
      <c r="S112"/>
    </row>
    <row r="113" spans="1:22" ht="15.75" customHeight="1" x14ac:dyDescent="0.3">
      <c r="A113" s="111" t="s">
        <v>130</v>
      </c>
      <c r="B113" s="112" t="s">
        <v>124</v>
      </c>
      <c r="C113" s="97">
        <v>0</v>
      </c>
      <c r="D113" s="98">
        <f ca="1">((100/H107)*C113)/100</f>
        <v>0</v>
      </c>
      <c r="E113" s="120"/>
      <c r="F113" s="121"/>
      <c r="G113" s="120"/>
      <c r="H113" s="125"/>
      <c r="I113" s="13" t="s">
        <v>99</v>
      </c>
      <c r="J113" s="30">
        <f ca="1">(IF(B107&gt;1,(H107/(B107+2)+J112),H107/4+J112))</f>
        <v>3.5</v>
      </c>
    </row>
    <row r="114" spans="1:22" ht="15.75" customHeight="1" x14ac:dyDescent="0.3">
      <c r="A114" s="111" t="s">
        <v>131</v>
      </c>
      <c r="B114" s="112" t="s">
        <v>124</v>
      </c>
      <c r="C114" s="97">
        <v>0</v>
      </c>
      <c r="D114" s="98">
        <f ca="1">((100/H107)*C114)/100</f>
        <v>0</v>
      </c>
      <c r="E114" s="120"/>
      <c r="F114" s="121"/>
      <c r="G114" s="120"/>
      <c r="H114" s="125"/>
      <c r="I114" s="13" t="s">
        <v>140</v>
      </c>
      <c r="J114" s="30">
        <f>(IF(B107&gt;1,(H107/(B107+2)+J113),0))</f>
        <v>0</v>
      </c>
    </row>
    <row r="115" spans="1:22" ht="15" customHeight="1" x14ac:dyDescent="0.3">
      <c r="A115" s="111" t="s">
        <v>129</v>
      </c>
      <c r="B115" s="112" t="s">
        <v>126</v>
      </c>
      <c r="C115" s="97">
        <v>0</v>
      </c>
      <c r="D115" s="98">
        <f ca="1">((100/(H107))*C115)/100</f>
        <v>0</v>
      </c>
      <c r="E115" s="120"/>
      <c r="F115" s="121"/>
      <c r="G115" s="120"/>
      <c r="H115" s="125"/>
      <c r="I115" s="13" t="s">
        <v>137</v>
      </c>
      <c r="J115" s="30">
        <f>(IF(B107&gt;2,(H107/(B107+2)+J114),0))</f>
        <v>0</v>
      </c>
    </row>
    <row r="116" spans="1:22" ht="15.75" customHeight="1" x14ac:dyDescent="0.3">
      <c r="A116" s="111" t="s">
        <v>125</v>
      </c>
      <c r="B116" s="112" t="s">
        <v>125</v>
      </c>
      <c r="C116" s="97">
        <v>0</v>
      </c>
      <c r="D116" s="98">
        <f ca="1">((100/H107)*C116)/100</f>
        <v>0</v>
      </c>
      <c r="E116" s="120"/>
      <c r="F116" s="121"/>
      <c r="G116" s="120"/>
      <c r="H116" s="125"/>
      <c r="I116" s="13" t="s">
        <v>138</v>
      </c>
      <c r="J116" s="31">
        <f>(IF(B107&gt;3,(H107/(B107+2)+J115),0))</f>
        <v>0</v>
      </c>
    </row>
    <row r="117" spans="1:22" ht="15.75" customHeight="1" x14ac:dyDescent="0.3">
      <c r="A117" s="111" t="s">
        <v>132</v>
      </c>
      <c r="B117" s="112"/>
      <c r="C117" s="97">
        <v>0</v>
      </c>
      <c r="D117" s="98">
        <f ca="1">((100/H107)*C117)/100</f>
        <v>0</v>
      </c>
      <c r="E117" s="120"/>
      <c r="F117" s="121"/>
      <c r="G117" s="120"/>
      <c r="H117" s="125"/>
      <c r="I117" s="13" t="s">
        <v>139</v>
      </c>
      <c r="J117" s="30">
        <f>(IF(B107&gt;4,(H107/(B107+2)+J116),0))</f>
        <v>0</v>
      </c>
    </row>
    <row r="118" spans="1:22" ht="15.75" customHeight="1" x14ac:dyDescent="0.3">
      <c r="A118" s="111" t="s">
        <v>127</v>
      </c>
      <c r="B118" s="112" t="s">
        <v>127</v>
      </c>
      <c r="C118" s="97">
        <v>0</v>
      </c>
      <c r="D118" s="98">
        <f ca="1">((100/(H107))*C118)/100</f>
        <v>0</v>
      </c>
      <c r="E118" s="120"/>
      <c r="F118" s="121"/>
      <c r="G118" s="120"/>
      <c r="H118" s="125"/>
      <c r="I118" s="13" t="s">
        <v>141</v>
      </c>
      <c r="J118" s="30">
        <f ca="1">(IF(B107=1,(H107/(B107+3)+J113),IF(B107=0,(H107/4+J113),IF(B107&gt;1,0))))</f>
        <v>5.25</v>
      </c>
    </row>
    <row r="119" spans="1:22" ht="16.2" thickBot="1" x14ac:dyDescent="0.35">
      <c r="A119" s="240" t="s">
        <v>128</v>
      </c>
      <c r="B119" s="241"/>
      <c r="C119" s="99">
        <v>0</v>
      </c>
      <c r="D119" s="100">
        <f ca="1">((100/(H107))*C119)/100</f>
        <v>0</v>
      </c>
      <c r="E119" s="122"/>
      <c r="F119" s="123"/>
      <c r="G119" s="122"/>
      <c r="H119" s="126"/>
      <c r="I119" s="15" t="s">
        <v>100</v>
      </c>
      <c r="J119" s="32">
        <f ca="1">(IF(B107&gt;1.5,(H107/(B107+2)+J113+MAX(0,J114-J113)+MAX(0,J115-J114)+MAX(0,J116-J115)+MAX(0,J117-J116)+MAX(0,J118-J117)),IF(B107=1,(H107/(B107+3)+J118),IF(B107=0,H107/4+J118))))</f>
        <v>7</v>
      </c>
    </row>
    <row r="120" spans="1:22" x14ac:dyDescent="0.3">
      <c r="A120" s="235" t="s">
        <v>151</v>
      </c>
      <c r="B120" s="235"/>
      <c r="C120" s="235"/>
      <c r="D120" s="235"/>
      <c r="E120" s="235"/>
      <c r="F120" s="295" t="s">
        <v>155</v>
      </c>
      <c r="G120" s="295"/>
      <c r="H120" s="295"/>
      <c r="R120" t="s">
        <v>247</v>
      </c>
      <c r="S120" t="s">
        <v>166</v>
      </c>
      <c r="T120" t="s">
        <v>173</v>
      </c>
      <c r="U120" t="s">
        <v>187</v>
      </c>
      <c r="V120" t="s">
        <v>182</v>
      </c>
    </row>
    <row r="121" spans="1:22" x14ac:dyDescent="0.3">
      <c r="A121" s="127" t="s">
        <v>153</v>
      </c>
      <c r="B121" s="127"/>
      <c r="C121" s="127"/>
      <c r="D121" s="127"/>
      <c r="E121" s="127"/>
      <c r="F121" s="160">
        <v>4500</v>
      </c>
      <c r="G121" s="160"/>
      <c r="H121" s="160"/>
      <c r="R121"/>
      <c r="S121">
        <v>800000</v>
      </c>
      <c r="T121">
        <v>150000</v>
      </c>
      <c r="U121">
        <v>100000</v>
      </c>
      <c r="V121">
        <v>100000</v>
      </c>
    </row>
    <row r="122" spans="1:22" hidden="1" x14ac:dyDescent="0.3">
      <c r="A122" s="127" t="s">
        <v>152</v>
      </c>
      <c r="B122" s="127"/>
      <c r="C122" s="127"/>
      <c r="D122" s="127"/>
      <c r="E122" s="127"/>
      <c r="F122" s="160"/>
      <c r="G122" s="160"/>
      <c r="H122" s="160"/>
      <c r="R122"/>
      <c r="S122">
        <v>900000</v>
      </c>
      <c r="T122">
        <v>200000</v>
      </c>
      <c r="U122">
        <v>150000</v>
      </c>
      <c r="V122">
        <v>150000</v>
      </c>
    </row>
    <row r="123" spans="1:22" hidden="1" x14ac:dyDescent="0.3">
      <c r="A123" s="127" t="s">
        <v>154</v>
      </c>
      <c r="B123" s="127"/>
      <c r="C123" s="127"/>
      <c r="D123" s="127"/>
      <c r="E123" s="127"/>
      <c r="F123" s="160"/>
      <c r="G123" s="160"/>
      <c r="H123" s="160"/>
      <c r="R123"/>
      <c r="S123">
        <v>1000000</v>
      </c>
      <c r="T123">
        <v>250000</v>
      </c>
      <c r="U123">
        <v>200000</v>
      </c>
      <c r="V123">
        <v>200000</v>
      </c>
    </row>
    <row r="124" spans="1:22" s="33" customFormat="1" hidden="1" x14ac:dyDescent="0.3">
      <c r="A124" s="127" t="s">
        <v>168</v>
      </c>
      <c r="B124" s="127"/>
      <c r="C124" s="127"/>
      <c r="D124" s="127"/>
      <c r="E124" s="127"/>
      <c r="F124" s="160"/>
      <c r="G124" s="160"/>
      <c r="H124" s="160"/>
      <c r="R124"/>
      <c r="S124">
        <v>1100000</v>
      </c>
      <c r="T124">
        <v>300000</v>
      </c>
      <c r="U124">
        <v>250000</v>
      </c>
      <c r="V124" s="23">
        <v>250000</v>
      </c>
    </row>
    <row r="125" spans="1:22" s="33" customFormat="1" hidden="1" x14ac:dyDescent="0.3">
      <c r="A125" s="127" t="s">
        <v>90</v>
      </c>
      <c r="B125" s="127"/>
      <c r="C125" s="127"/>
      <c r="D125" s="127"/>
      <c r="E125" s="127"/>
      <c r="F125" s="160"/>
      <c r="G125" s="160"/>
      <c r="H125" s="160"/>
      <c r="R125"/>
      <c r="S125">
        <v>1200000</v>
      </c>
      <c r="T125">
        <v>350000</v>
      </c>
      <c r="U125">
        <v>300000</v>
      </c>
      <c r="V125">
        <v>300000</v>
      </c>
    </row>
    <row r="126" spans="1:22" s="33" customFormat="1" hidden="1" x14ac:dyDescent="0.3">
      <c r="A126" s="127" t="s">
        <v>91</v>
      </c>
      <c r="B126" s="127"/>
      <c r="C126" s="127"/>
      <c r="D126" s="127"/>
      <c r="E126" s="127"/>
      <c r="F126" s="160"/>
      <c r="G126" s="160"/>
      <c r="H126" s="160"/>
      <c r="R126"/>
      <c r="S126">
        <v>1300000</v>
      </c>
      <c r="T126">
        <v>400000</v>
      </c>
      <c r="U126">
        <v>350000</v>
      </c>
      <c r="V126" s="23">
        <v>400000</v>
      </c>
    </row>
    <row r="127" spans="1:22" s="33" customFormat="1" hidden="1" x14ac:dyDescent="0.3">
      <c r="A127" s="127" t="s">
        <v>92</v>
      </c>
      <c r="B127" s="127"/>
      <c r="C127" s="127"/>
      <c r="D127" s="127"/>
      <c r="E127" s="127"/>
      <c r="F127" s="160"/>
      <c r="G127" s="160"/>
      <c r="H127" s="160"/>
      <c r="R127"/>
      <c r="S127">
        <v>1400000</v>
      </c>
      <c r="T127">
        <v>500000</v>
      </c>
      <c r="U127">
        <v>400000</v>
      </c>
      <c r="V127"/>
    </row>
    <row r="128" spans="1:22" s="33" customFormat="1" hidden="1" x14ac:dyDescent="0.3">
      <c r="A128" s="127" t="s">
        <v>93</v>
      </c>
      <c r="B128" s="127"/>
      <c r="C128" s="127"/>
      <c r="D128" s="127"/>
      <c r="E128" s="127"/>
      <c r="F128" s="160"/>
      <c r="G128" s="160"/>
      <c r="H128" s="160"/>
      <c r="R128"/>
      <c r="S128">
        <v>1500000</v>
      </c>
      <c r="T128">
        <v>600000</v>
      </c>
      <c r="U128">
        <v>500000</v>
      </c>
      <c r="V128" s="23"/>
    </row>
    <row r="129" spans="1:22" s="33" customFormat="1" hidden="1" x14ac:dyDescent="0.3">
      <c r="A129" s="127" t="s">
        <v>94</v>
      </c>
      <c r="B129" s="127"/>
      <c r="C129" s="127"/>
      <c r="D129" s="127"/>
      <c r="E129" s="127"/>
      <c r="F129" s="160"/>
      <c r="G129" s="160"/>
      <c r="H129" s="160"/>
      <c r="R129"/>
      <c r="S129">
        <v>1600000</v>
      </c>
      <c r="T129">
        <v>700000</v>
      </c>
      <c r="U129">
        <v>600000</v>
      </c>
      <c r="V129"/>
    </row>
    <row r="130" spans="1:22" s="33" customFormat="1" hidden="1" x14ac:dyDescent="0.3">
      <c r="A130" s="127" t="s">
        <v>95</v>
      </c>
      <c r="B130" s="127"/>
      <c r="C130" s="127"/>
      <c r="D130" s="127"/>
      <c r="E130" s="127"/>
      <c r="F130" s="160"/>
      <c r="G130" s="160"/>
      <c r="H130" s="160"/>
      <c r="R130"/>
      <c r="S130">
        <v>1700000</v>
      </c>
      <c r="T130">
        <v>800000</v>
      </c>
      <c r="U130"/>
      <c r="V130" s="23"/>
    </row>
    <row r="131" spans="1:22" x14ac:dyDescent="0.3">
      <c r="A131" s="127" t="s">
        <v>48</v>
      </c>
      <c r="B131" s="127"/>
      <c r="C131" s="127"/>
      <c r="D131" s="127"/>
      <c r="E131" s="127"/>
      <c r="F131" s="160">
        <v>200000</v>
      </c>
      <c r="G131" s="160"/>
      <c r="H131" s="160"/>
      <c r="R131"/>
      <c r="S131">
        <v>1800000</v>
      </c>
      <c r="T131">
        <v>900000</v>
      </c>
      <c r="U131"/>
    </row>
    <row r="132" spans="1:22" s="34" customFormat="1" x14ac:dyDescent="0.3">
      <c r="A132" s="173" t="s">
        <v>49</v>
      </c>
      <c r="B132" s="173"/>
      <c r="C132" s="173"/>
      <c r="D132" s="173"/>
      <c r="E132" s="173"/>
      <c r="F132" s="160">
        <f>F121*0.8</f>
        <v>3600</v>
      </c>
      <c r="G132" s="160"/>
      <c r="H132" s="160"/>
      <c r="R132" s="21"/>
      <c r="S132" s="21"/>
      <c r="T132">
        <v>1000000</v>
      </c>
      <c r="U132"/>
      <c r="V132" s="21"/>
    </row>
    <row r="133" spans="1:22" s="35" customFormat="1" ht="15.75" hidden="1" customHeight="1" x14ac:dyDescent="0.3">
      <c r="A133" s="136" t="s">
        <v>70</v>
      </c>
      <c r="B133" s="136"/>
      <c r="C133" s="136"/>
      <c r="D133" s="136"/>
      <c r="E133" s="136"/>
      <c r="F133" s="136"/>
      <c r="G133" s="136"/>
      <c r="H133" s="136"/>
      <c r="R133"/>
      <c r="S133" s="21"/>
      <c r="T133"/>
      <c r="U133"/>
      <c r="V133" s="21"/>
    </row>
    <row r="134" spans="1:22" s="35" customFormat="1" ht="15.75" hidden="1" customHeight="1" x14ac:dyDescent="0.3">
      <c r="A134" s="139" t="s">
        <v>50</v>
      </c>
      <c r="B134" s="139"/>
      <c r="C134" s="137" t="s">
        <v>73</v>
      </c>
      <c r="D134" s="137"/>
      <c r="E134" s="138" t="s">
        <v>51</v>
      </c>
      <c r="F134" s="138"/>
      <c r="G134" s="139" t="s">
        <v>52</v>
      </c>
      <c r="H134" s="139"/>
      <c r="R134"/>
      <c r="S134" s="21"/>
      <c r="T134"/>
      <c r="U134" s="21"/>
      <c r="V134" s="21"/>
    </row>
    <row r="135" spans="1:22" s="35" customFormat="1" hidden="1" x14ac:dyDescent="0.3">
      <c r="A135" s="234"/>
      <c r="B135" s="234"/>
      <c r="C135" s="133"/>
      <c r="D135" s="133"/>
      <c r="E135" s="134"/>
      <c r="F135" s="134"/>
      <c r="G135" s="135"/>
      <c r="H135" s="135"/>
      <c r="R135"/>
      <c r="S135" s="21"/>
      <c r="T135"/>
      <c r="U135" s="21"/>
      <c r="V135" s="21"/>
    </row>
    <row r="136" spans="1:22" s="35" customFormat="1" hidden="1" x14ac:dyDescent="0.3">
      <c r="A136" s="234"/>
      <c r="B136" s="234"/>
      <c r="C136" s="133"/>
      <c r="D136" s="133"/>
      <c r="E136" s="134"/>
      <c r="F136" s="134"/>
      <c r="G136" s="135"/>
      <c r="H136" s="135"/>
      <c r="R136"/>
      <c r="S136" s="21"/>
      <c r="T136"/>
      <c r="U136" s="21"/>
      <c r="V136" s="21"/>
    </row>
    <row r="137" spans="1:22" s="35" customFormat="1" hidden="1" x14ac:dyDescent="0.3">
      <c r="A137" s="136" t="s">
        <v>144</v>
      </c>
      <c r="B137" s="136"/>
      <c r="C137" s="137"/>
      <c r="D137" s="137"/>
      <c r="E137" s="138"/>
      <c r="F137" s="138"/>
      <c r="G137" s="139"/>
      <c r="H137" s="139"/>
      <c r="R137"/>
      <c r="S137" s="21"/>
      <c r="T137"/>
      <c r="U137" s="21"/>
      <c r="V137" s="21"/>
    </row>
    <row r="138" spans="1:22" s="35" customFormat="1" x14ac:dyDescent="0.3">
      <c r="A138" s="136" t="s">
        <v>65</v>
      </c>
      <c r="B138" s="136"/>
      <c r="C138" s="136"/>
      <c r="D138" s="136"/>
      <c r="E138" s="136"/>
      <c r="F138" s="136"/>
      <c r="G138" s="136"/>
      <c r="H138" s="136"/>
      <c r="T138"/>
    </row>
    <row r="139" spans="1:22" s="35" customFormat="1" ht="15.75" customHeight="1" x14ac:dyDescent="0.3">
      <c r="A139" s="139" t="s">
        <v>50</v>
      </c>
      <c r="B139" s="139"/>
      <c r="C139" s="137" t="s">
        <v>73</v>
      </c>
      <c r="D139" s="137"/>
      <c r="E139" s="138" t="s">
        <v>51</v>
      </c>
      <c r="F139" s="138"/>
      <c r="G139" s="139" t="s">
        <v>52</v>
      </c>
      <c r="H139" s="139"/>
      <c r="T139"/>
    </row>
    <row r="140" spans="1:22" s="35" customFormat="1" ht="15.6" customHeight="1" x14ac:dyDescent="0.3">
      <c r="A140" s="232" t="s">
        <v>420</v>
      </c>
      <c r="B140" s="233"/>
      <c r="C140" s="133">
        <f>COUNT(D159:D164)*4+COUNT(D166:D171)*2+COUNT(D174:D178)</f>
        <v>41</v>
      </c>
      <c r="D140" s="133"/>
      <c r="E140" s="152">
        <f t="shared" ref="E140" si="0">SUM(F159:F164)*4+SUM(F166:F171)*2+SUM(F174:F178)</f>
        <v>19463.034239999997</v>
      </c>
      <c r="F140" s="152"/>
      <c r="G140" s="152">
        <f t="shared" ref="G140" si="1">SUM(H159:H164)*4+SUM(H166:H171)*2+SUM(H174:H178)</f>
        <v>28221.399647999995</v>
      </c>
      <c r="H140" s="152"/>
      <c r="T140"/>
    </row>
    <row r="141" spans="1:22" s="35" customFormat="1" ht="16.2" thickBot="1" x14ac:dyDescent="0.35">
      <c r="A141" s="140" t="s">
        <v>430</v>
      </c>
      <c r="B141" s="141"/>
      <c r="C141" s="142">
        <f>COUNT(D182:D187)*4+COUNT(D189:D194)*3</f>
        <v>42</v>
      </c>
      <c r="D141" s="142"/>
      <c r="E141" s="143">
        <f t="shared" ref="E141" si="2">SUM(F182:F187)*4+SUM(F189:F194)*3</f>
        <v>22372.220520000003</v>
      </c>
      <c r="F141" s="143"/>
      <c r="G141" s="143">
        <f t="shared" ref="G141" si="3">SUM(H182:H187)*4+SUM(H189:H194)*3</f>
        <v>32439.719753999998</v>
      </c>
      <c r="H141" s="143"/>
      <c r="T141"/>
    </row>
    <row r="142" spans="1:22" s="35" customFormat="1" ht="16.2" thickBot="1" x14ac:dyDescent="0.35">
      <c r="A142" s="128" t="s">
        <v>144</v>
      </c>
      <c r="B142" s="129"/>
      <c r="C142" s="227">
        <f>SUM(C140:D141)</f>
        <v>83</v>
      </c>
      <c r="D142" s="227"/>
      <c r="E142" s="130">
        <f>SUM(E140:F141)</f>
        <v>41835.254759999996</v>
      </c>
      <c r="F142" s="130"/>
      <c r="G142" s="131">
        <f>SUM(G140:H141)</f>
        <v>60661.119401999997</v>
      </c>
      <c r="H142" s="132"/>
      <c r="T142"/>
    </row>
    <row r="143" spans="1:22" s="35" customFormat="1" ht="16.2" hidden="1" thickBot="1" x14ac:dyDescent="0.35">
      <c r="A143" s="128" t="s">
        <v>160</v>
      </c>
      <c r="B143" s="129"/>
      <c r="C143" s="227">
        <f>C137+C142</f>
        <v>83</v>
      </c>
      <c r="D143" s="227"/>
      <c r="E143" s="130">
        <f>E137+E142</f>
        <v>41835.254759999996</v>
      </c>
      <c r="F143" s="130"/>
      <c r="G143" s="131">
        <f>G137+G142</f>
        <v>60661.119401999997</v>
      </c>
      <c r="H143" s="132"/>
      <c r="T143"/>
    </row>
    <row r="144" spans="1:22" s="34" customFormat="1" x14ac:dyDescent="0.3">
      <c r="A144" s="251" t="s">
        <v>350</v>
      </c>
      <c r="B144" s="251"/>
      <c r="C144" s="251"/>
      <c r="D144" s="251"/>
      <c r="E144" s="251"/>
      <c r="F144" s="251"/>
      <c r="G144" s="251"/>
      <c r="H144" s="251"/>
      <c r="T144" s="35"/>
    </row>
    <row r="145" spans="1:20" x14ac:dyDescent="0.3">
      <c r="A145" s="244" t="s">
        <v>417</v>
      </c>
      <c r="B145" s="244"/>
      <c r="C145" s="244"/>
      <c r="D145" s="244"/>
      <c r="E145" s="244"/>
      <c r="F145" s="244"/>
      <c r="G145" s="244"/>
      <c r="H145" s="244"/>
      <c r="T145" s="35"/>
    </row>
    <row r="146" spans="1:20" ht="47.25" hidden="1" customHeight="1" x14ac:dyDescent="0.3">
      <c r="A146" s="116" t="s">
        <v>418</v>
      </c>
      <c r="B146" s="116" t="s">
        <v>169</v>
      </c>
      <c r="C146" s="116" t="s">
        <v>53</v>
      </c>
      <c r="D146" s="116" t="s">
        <v>226</v>
      </c>
      <c r="E146" s="150" t="s">
        <v>150</v>
      </c>
      <c r="F146" s="116" t="s">
        <v>54</v>
      </c>
      <c r="G146" s="150" t="s">
        <v>55</v>
      </c>
      <c r="H146" s="94" t="s">
        <v>143</v>
      </c>
      <c r="T146" s="35"/>
    </row>
    <row r="147" spans="1:20" s="37" customFormat="1" hidden="1" x14ac:dyDescent="0.3">
      <c r="A147" s="117"/>
      <c r="B147" s="117"/>
      <c r="C147" s="117"/>
      <c r="D147" s="117"/>
      <c r="E147" s="151"/>
      <c r="F147" s="117"/>
      <c r="G147" s="151"/>
      <c r="H147" s="95">
        <v>0.45</v>
      </c>
      <c r="T147" s="35"/>
    </row>
    <row r="148" spans="1:20" s="37" customFormat="1" hidden="1" x14ac:dyDescent="0.3">
      <c r="A148" s="104" t="s">
        <v>114</v>
      </c>
      <c r="B148" s="105"/>
      <c r="C148" s="105"/>
      <c r="D148" s="105"/>
      <c r="E148" s="105"/>
      <c r="F148" s="105"/>
      <c r="G148" s="105"/>
      <c r="H148" s="106"/>
      <c r="J148" s="36"/>
      <c r="T148" s="35"/>
    </row>
    <row r="149" spans="1:20" s="37" customFormat="1" ht="15.75" hidden="1" customHeight="1" x14ac:dyDescent="0.3">
      <c r="A149" s="101">
        <v>1</v>
      </c>
      <c r="B149" s="102"/>
      <c r="C149" s="96"/>
      <c r="D149" s="96">
        <v>0</v>
      </c>
      <c r="E149" s="96">
        <v>0</v>
      </c>
      <c r="F149" s="96">
        <f>D149+(IF(E149&lt;201,E149,IF(E149&lt;301,E149/2,E149/3)))</f>
        <v>0</v>
      </c>
      <c r="G149" s="96">
        <v>0</v>
      </c>
      <c r="H149" s="96">
        <f>(F149+(IF(G149&lt;101,G149,IF(G149&lt;201,G149/2,IF(G149&lt;=301,G149/3,G149/4)))))*(($H$147)+1)</f>
        <v>0</v>
      </c>
      <c r="I149" s="36"/>
      <c r="L149" s="103"/>
      <c r="M149" s="103"/>
      <c r="N149" s="36"/>
      <c r="T149" s="35"/>
    </row>
    <row r="150" spans="1:20" s="37" customFormat="1" ht="15.75" hidden="1" customHeight="1" x14ac:dyDescent="0.3">
      <c r="A150" s="101">
        <f>A149+1</f>
        <v>2</v>
      </c>
      <c r="B150" s="102"/>
      <c r="C150" s="96"/>
      <c r="D150" s="96"/>
      <c r="E150" s="96">
        <v>0</v>
      </c>
      <c r="F150" s="96">
        <f>D150+(IF(E150&lt;201,E150,IF(E150&lt;301,E150/2,E150/3)))</f>
        <v>0</v>
      </c>
      <c r="G150" s="96">
        <v>0</v>
      </c>
      <c r="H150" s="96">
        <f>(F150+(IF(G150&lt;101,G150,IF(G150&lt;201,G150/2,IF(G150&lt;=301,G150/3,G150/4)))))*(($H$147)+1)</f>
        <v>0</v>
      </c>
      <c r="I150" s="36"/>
      <c r="L150" s="103"/>
      <c r="M150" s="103"/>
      <c r="N150" s="36"/>
      <c r="T150" s="34"/>
    </row>
    <row r="151" spans="1:20" s="37" customFormat="1" ht="15.75" hidden="1" customHeight="1" x14ac:dyDescent="0.3">
      <c r="A151" s="101">
        <f>A150+1</f>
        <v>3</v>
      </c>
      <c r="B151" s="102"/>
      <c r="C151" s="96"/>
      <c r="D151" s="96"/>
      <c r="E151" s="96">
        <v>0</v>
      </c>
      <c r="F151" s="96">
        <f>D151+(IF(E151&lt;201,E151,IF(E151&lt;301,E151/2,E151/3)))</f>
        <v>0</v>
      </c>
      <c r="G151" s="96">
        <v>0</v>
      </c>
      <c r="H151" s="96">
        <f>(F151+(IF(G151&lt;101,G151,IF(G151&lt;201,G151/2,IF(G151&lt;=301,G151/3,G151/4)))))*(($H$147)+1)</f>
        <v>0</v>
      </c>
      <c r="I151" s="36"/>
      <c r="L151" s="103"/>
      <c r="M151" s="103"/>
      <c r="N151" s="36"/>
      <c r="T151" s="21"/>
    </row>
    <row r="152" spans="1:20" s="37" customFormat="1" ht="15.75" hidden="1" customHeight="1" x14ac:dyDescent="0.3">
      <c r="A152" s="101">
        <f>A151+1</f>
        <v>4</v>
      </c>
      <c r="B152" s="102"/>
      <c r="C152" s="96"/>
      <c r="D152" s="96"/>
      <c r="E152" s="96">
        <v>0</v>
      </c>
      <c r="F152" s="96">
        <f>D152+(IF(E152&lt;201,E152,IF(E152&lt;301,E152/2,E152/3)))</f>
        <v>0</v>
      </c>
      <c r="G152" s="96">
        <v>0</v>
      </c>
      <c r="H152" s="96">
        <f>(F152+(IF(G152&lt;101,G152,IF(G152&lt;201,G152/2,IF(G152&lt;=301,G152/3,G152/4)))))*(($H$147)+1)</f>
        <v>0</v>
      </c>
      <c r="I152" s="36"/>
      <c r="L152" s="103"/>
      <c r="M152" s="103"/>
      <c r="N152" s="36"/>
      <c r="T152" s="21"/>
    </row>
    <row r="153" spans="1:20" s="37" customFormat="1" hidden="1" x14ac:dyDescent="0.3">
      <c r="A153" s="101"/>
      <c r="B153" s="107"/>
      <c r="C153" s="107"/>
      <c r="D153" s="107"/>
      <c r="E153" s="107"/>
      <c r="F153" s="107"/>
      <c r="G153" s="107"/>
      <c r="H153" s="102"/>
      <c r="I153" s="36"/>
      <c r="N153" s="36"/>
    </row>
    <row r="154" spans="1:20" ht="47.25" customHeight="1" x14ac:dyDescent="0.3">
      <c r="A154" s="252" t="s">
        <v>419</v>
      </c>
      <c r="B154" s="116" t="s">
        <v>170</v>
      </c>
      <c r="C154" s="116" t="s">
        <v>53</v>
      </c>
      <c r="D154" s="116" t="s">
        <v>371</v>
      </c>
      <c r="E154" s="116" t="s">
        <v>225</v>
      </c>
      <c r="F154" s="116" t="s">
        <v>54</v>
      </c>
      <c r="G154" s="150" t="s">
        <v>55</v>
      </c>
      <c r="H154" s="94" t="s">
        <v>143</v>
      </c>
      <c r="I154" s="36"/>
      <c r="T154" s="37"/>
    </row>
    <row r="155" spans="1:20" s="37" customFormat="1" x14ac:dyDescent="0.3">
      <c r="A155" s="253"/>
      <c r="B155" s="117"/>
      <c r="C155" s="117"/>
      <c r="D155" s="117"/>
      <c r="E155" s="117"/>
      <c r="F155" s="117"/>
      <c r="G155" s="151"/>
      <c r="H155" s="95">
        <v>0.45</v>
      </c>
      <c r="I155" s="36"/>
    </row>
    <row r="156" spans="1:20" s="37" customFormat="1" x14ac:dyDescent="0.3">
      <c r="A156" s="108" t="s">
        <v>420</v>
      </c>
      <c r="B156" s="109"/>
      <c r="C156" s="109"/>
      <c r="D156" s="109"/>
      <c r="E156" s="109"/>
      <c r="F156" s="109"/>
      <c r="G156" s="109"/>
      <c r="H156" s="110"/>
      <c r="J156" s="36"/>
    </row>
    <row r="157" spans="1:20" s="37" customFormat="1" x14ac:dyDescent="0.3">
      <c r="A157" s="104" t="s">
        <v>421</v>
      </c>
      <c r="B157" s="105"/>
      <c r="C157" s="105"/>
      <c r="D157" s="105"/>
      <c r="E157" s="105"/>
      <c r="F157" s="105"/>
      <c r="G157" s="105"/>
      <c r="H157" s="106"/>
      <c r="J157" s="36"/>
      <c r="K157" s="96">
        <v>10.763999999999999</v>
      </c>
    </row>
    <row r="158" spans="1:20" s="37" customFormat="1" x14ac:dyDescent="0.3">
      <c r="A158" s="104" t="s">
        <v>426</v>
      </c>
      <c r="B158" s="105"/>
      <c r="C158" s="105"/>
      <c r="D158" s="105"/>
      <c r="E158" s="105"/>
      <c r="F158" s="105"/>
      <c r="G158" s="105"/>
      <c r="H158" s="106"/>
      <c r="J158" s="36"/>
    </row>
    <row r="159" spans="1:20" s="37" customFormat="1" ht="15.75" customHeight="1" x14ac:dyDescent="0.3">
      <c r="A159" s="101">
        <v>1</v>
      </c>
      <c r="B159" s="102"/>
      <c r="C159" s="96" t="s">
        <v>422</v>
      </c>
      <c r="D159" s="96">
        <f>(33.95)*10.764</f>
        <v>365.43779999999998</v>
      </c>
      <c r="E159" s="96">
        <v>0</v>
      </c>
      <c r="F159" s="96">
        <f>D159+E159</f>
        <v>365.43779999999998</v>
      </c>
      <c r="G159" s="96">
        <v>0</v>
      </c>
      <c r="H159" s="96">
        <f>F159*(($H$155)+1)+(IF(G159&lt;101,G159,IF(G159&lt;201,G159/2,IF(G159&lt;=301,G159/3,G159/4))))</f>
        <v>529.8848099999999</v>
      </c>
      <c r="I159" s="36"/>
      <c r="J159" s="36">
        <f>4.35*2.75+2.4*2.1+2.84*3.35+1.4*1.8+1.4*1.2+0.9*1.4</f>
        <v>31.976499999999998</v>
      </c>
      <c r="L159" s="103"/>
      <c r="M159" s="103"/>
      <c r="N159" s="36"/>
    </row>
    <row r="160" spans="1:20" s="37" customFormat="1" ht="15.75" customHeight="1" x14ac:dyDescent="0.3">
      <c r="A160" s="101">
        <f>A159+1</f>
        <v>2</v>
      </c>
      <c r="B160" s="102"/>
      <c r="C160" s="96" t="s">
        <v>423</v>
      </c>
      <c r="D160" s="96">
        <f>(64.82)*10.764</f>
        <v>697.7224799999999</v>
      </c>
      <c r="E160" s="96">
        <v>0</v>
      </c>
      <c r="F160" s="96">
        <f>D160+E160</f>
        <v>697.7224799999999</v>
      </c>
      <c r="G160" s="96">
        <v>0</v>
      </c>
      <c r="H160" s="96">
        <f>F160*(($H$155)+1)+(IF(G160&lt;101,G160,IF(G160&lt;201,G160/2,IF(G160&lt;=301,G160/3,G160/4))))</f>
        <v>1011.6975959999999</v>
      </c>
      <c r="I160" s="36"/>
      <c r="J160" s="36">
        <f>5.3*2.75+2.34*2.1+3.35*2.75+3.35*2.85+2.75*3.35+1.2*2.1+1.37*1.84+1.8*1.4+0.9*5.9</f>
        <v>60.332300000000004</v>
      </c>
      <c r="K160" s="37">
        <f>2.75</f>
        <v>2.75</v>
      </c>
      <c r="L160" s="103"/>
      <c r="M160" s="103"/>
      <c r="N160" s="36"/>
    </row>
    <row r="161" spans="1:20" s="37" customFormat="1" ht="15.75" customHeight="1" x14ac:dyDescent="0.3">
      <c r="A161" s="101">
        <f>A160+1</f>
        <v>3</v>
      </c>
      <c r="B161" s="102"/>
      <c r="C161" s="96" t="s">
        <v>422</v>
      </c>
      <c r="D161" s="96">
        <f>(35.1)*10.764</f>
        <v>377.81639999999999</v>
      </c>
      <c r="E161" s="96">
        <v>0</v>
      </c>
      <c r="F161" s="96">
        <f>D161+E161</f>
        <v>377.81639999999999</v>
      </c>
      <c r="G161" s="96">
        <v>0</v>
      </c>
      <c r="H161" s="96">
        <f>F161*(($H$155)+1)+(IF(G161&lt;101,G161,IF(G161&lt;201,G161/2,IF(G161&lt;=301,G161/3,G161/4))))</f>
        <v>547.83377999999993</v>
      </c>
      <c r="I161" s="36"/>
      <c r="L161" s="103"/>
      <c r="M161" s="103"/>
      <c r="N161" s="36"/>
    </row>
    <row r="162" spans="1:20" s="37" customFormat="1" ht="15.75" customHeight="1" x14ac:dyDescent="0.3">
      <c r="A162" s="101">
        <f>A161+1</f>
        <v>4</v>
      </c>
      <c r="B162" s="102"/>
      <c r="C162" s="96" t="s">
        <v>424</v>
      </c>
      <c r="D162" s="96">
        <f>(44.35)*10.764</f>
        <v>477.38339999999999</v>
      </c>
      <c r="E162" s="96">
        <v>0</v>
      </c>
      <c r="F162" s="96">
        <f>D162+E162</f>
        <v>477.38339999999999</v>
      </c>
      <c r="G162" s="96">
        <v>0</v>
      </c>
      <c r="H162" s="96">
        <f>F162*(($H$155)+1)+(IF(G162&lt;101,G162,IF(G162&lt;201,G162/2,IF(G162&lt;=301,G162/3,G162/4))))</f>
        <v>692.20592999999997</v>
      </c>
      <c r="I162" s="36"/>
      <c r="J162" s="37">
        <f>4.33*2.75+2.1*2.4+3.35*2.75+3.62*2.75+2.1*1.2+1.8*1.4+0.9*1.4</f>
        <v>42.415000000000006</v>
      </c>
      <c r="L162" s="103"/>
      <c r="M162" s="103"/>
      <c r="N162" s="36"/>
      <c r="T162" s="21"/>
    </row>
    <row r="163" spans="1:20" s="37" customFormat="1" ht="15.75" customHeight="1" x14ac:dyDescent="0.3">
      <c r="A163" s="101">
        <f t="shared" ref="A163:A164" si="4">A162+1</f>
        <v>5</v>
      </c>
      <c r="B163" s="102"/>
      <c r="C163" s="96" t="s">
        <v>424</v>
      </c>
      <c r="D163" s="96">
        <f>(47.33)*10.764</f>
        <v>509.46011999999996</v>
      </c>
      <c r="E163" s="96">
        <v>0</v>
      </c>
      <c r="F163" s="96">
        <f t="shared" ref="F163:F164" si="5">D163+E163</f>
        <v>509.46011999999996</v>
      </c>
      <c r="G163" s="96">
        <v>0</v>
      </c>
      <c r="H163" s="96">
        <f t="shared" ref="H163:H164" si="6">F163*(($H$155)+1)+(IF(G163&lt;101,G163,IF(G163&lt;201,G163/2,IF(G163&lt;=301,G163/3,G163/4))))</f>
        <v>738.71717399999989</v>
      </c>
      <c r="I163" s="36"/>
      <c r="L163" s="103"/>
      <c r="M163" s="103"/>
      <c r="N163" s="36"/>
      <c r="T163" s="21"/>
    </row>
    <row r="164" spans="1:20" s="37" customFormat="1" ht="15.75" customHeight="1" x14ac:dyDescent="0.3">
      <c r="A164" s="101">
        <f t="shared" si="4"/>
        <v>6</v>
      </c>
      <c r="B164" s="102"/>
      <c r="C164" s="96" t="s">
        <v>422</v>
      </c>
      <c r="D164" s="96">
        <f>(33.58)*10.764</f>
        <v>361.45511999999997</v>
      </c>
      <c r="E164" s="96">
        <v>0</v>
      </c>
      <c r="F164" s="96">
        <f t="shared" si="5"/>
        <v>361.45511999999997</v>
      </c>
      <c r="G164" s="96">
        <v>0</v>
      </c>
      <c r="H164" s="96">
        <f t="shared" si="6"/>
        <v>524.10992399999998</v>
      </c>
      <c r="I164" s="36"/>
      <c r="L164" s="103"/>
      <c r="M164" s="103"/>
      <c r="N164" s="36"/>
      <c r="T164" s="21"/>
    </row>
    <row r="165" spans="1:20" s="37" customFormat="1" x14ac:dyDescent="0.3">
      <c r="A165" s="104" t="s">
        <v>425</v>
      </c>
      <c r="B165" s="105"/>
      <c r="C165" s="105"/>
      <c r="D165" s="105"/>
      <c r="E165" s="105"/>
      <c r="F165" s="105"/>
      <c r="G165" s="105"/>
      <c r="H165" s="106"/>
      <c r="J165" s="37">
        <v>4500</v>
      </c>
      <c r="M165" s="37" t="s">
        <v>441</v>
      </c>
    </row>
    <row r="166" spans="1:20" s="37" customFormat="1" ht="15.75" customHeight="1" x14ac:dyDescent="0.3">
      <c r="A166" s="101">
        <v>1</v>
      </c>
      <c r="B166" s="102"/>
      <c r="C166" s="96" t="s">
        <v>422</v>
      </c>
      <c r="D166" s="96">
        <f>(33.95)*10.764</f>
        <v>365.43779999999998</v>
      </c>
      <c r="E166" s="96">
        <v>0</v>
      </c>
      <c r="F166" s="96">
        <f>D166+E166</f>
        <v>365.43779999999998</v>
      </c>
      <c r="G166" s="96">
        <v>0</v>
      </c>
      <c r="H166" s="96">
        <f>F166*(($H$155)+1)+(IF(G166&lt;101,G166,IF(G166&lt;201,G166/2,IF(G166&lt;=301,G166/3,G166/4))))</f>
        <v>529.8848099999999</v>
      </c>
      <c r="I166" s="36"/>
      <c r="J166" s="36">
        <f>$J$165*H166</f>
        <v>2384481.6449999996</v>
      </c>
      <c r="K166" s="36"/>
      <c r="L166" s="36">
        <f>2900000</f>
        <v>2900000</v>
      </c>
      <c r="M166" s="37">
        <f>L166/H166</f>
        <v>5472.8875885307989</v>
      </c>
    </row>
    <row r="167" spans="1:20" s="37" customFormat="1" ht="15.75" customHeight="1" x14ac:dyDescent="0.3">
      <c r="A167" s="101">
        <f>A166+1</f>
        <v>2</v>
      </c>
      <c r="B167" s="102"/>
      <c r="C167" s="96" t="s">
        <v>423</v>
      </c>
      <c r="D167" s="96">
        <f>(67.71)*10.764</f>
        <v>728.83043999999984</v>
      </c>
      <c r="E167" s="96">
        <v>0</v>
      </c>
      <c r="F167" s="96">
        <f>D167+E167</f>
        <v>728.83043999999984</v>
      </c>
      <c r="G167" s="96">
        <v>0</v>
      </c>
      <c r="H167" s="96">
        <f>F167*(($H$155)+1)+(IF(G167&lt;101,G167,IF(G167&lt;201,G167/2,IF(G167&lt;=301,G167/3,G167/4))))</f>
        <v>1056.8041379999997</v>
      </c>
      <c r="I167" s="36"/>
      <c r="J167" s="36">
        <f>$J$165*H167</f>
        <v>4755618.6209999984</v>
      </c>
      <c r="K167" s="36"/>
      <c r="L167" s="36">
        <f>5500000</f>
        <v>5500000</v>
      </c>
      <c r="M167" s="37">
        <f>L167/H167</f>
        <v>5204.3702349696905</v>
      </c>
    </row>
    <row r="168" spans="1:20" s="37" customFormat="1" ht="15.75" customHeight="1" x14ac:dyDescent="0.3">
      <c r="A168" s="101">
        <f>A167+1</f>
        <v>3</v>
      </c>
      <c r="B168" s="102"/>
      <c r="C168" s="96" t="s">
        <v>422</v>
      </c>
      <c r="D168" s="96">
        <f>(35.1)*10.764</f>
        <v>377.81639999999999</v>
      </c>
      <c r="E168" s="96">
        <v>0</v>
      </c>
      <c r="F168" s="96">
        <f>D168+E168</f>
        <v>377.81639999999999</v>
      </c>
      <c r="G168" s="96">
        <v>0</v>
      </c>
      <c r="H168" s="96">
        <f>F168*(($H$155)+1)+(IF(G168&lt;101,G168,IF(G168&lt;201,G168/2,IF(G168&lt;=301,G168/3,G168/4))))</f>
        <v>547.83377999999993</v>
      </c>
      <c r="I168" s="36"/>
      <c r="J168" s="36">
        <f>$J$165*H168</f>
        <v>2465252.0099999998</v>
      </c>
      <c r="K168" s="36"/>
      <c r="L168" s="36"/>
      <c r="M168" s="37">
        <f>L168/H168</f>
        <v>0</v>
      </c>
    </row>
    <row r="169" spans="1:20" s="37" customFormat="1" ht="15.75" customHeight="1" x14ac:dyDescent="0.3">
      <c r="A169" s="101">
        <f>A168+1</f>
        <v>4</v>
      </c>
      <c r="B169" s="102"/>
      <c r="C169" s="96" t="s">
        <v>424</v>
      </c>
      <c r="D169" s="96">
        <f>(47.46)*10.764</f>
        <v>510.85944000000001</v>
      </c>
      <c r="E169" s="96">
        <v>0</v>
      </c>
      <c r="F169" s="96">
        <f>D169+E169</f>
        <v>510.85944000000001</v>
      </c>
      <c r="G169" s="96">
        <v>0</v>
      </c>
      <c r="H169" s="96">
        <f>F169*(($H$155)+1)+(IF(G169&lt;101,G169,IF(G169&lt;201,G169/2,IF(G169&lt;=301,G169/3,G169/4))))</f>
        <v>740.74618799999996</v>
      </c>
      <c r="I169" s="36"/>
      <c r="J169" s="36">
        <f>$J$165*H169</f>
        <v>3333357.8459999999</v>
      </c>
      <c r="K169" s="36"/>
      <c r="L169" s="36">
        <f>4000000</f>
        <v>4000000</v>
      </c>
      <c r="M169" s="37">
        <f>L169/H169</f>
        <v>5399.9602897720215</v>
      </c>
      <c r="T169" s="21"/>
    </row>
    <row r="170" spans="1:20" s="37" customFormat="1" ht="15.75" customHeight="1" x14ac:dyDescent="0.3">
      <c r="A170" s="101">
        <f t="shared" ref="A170:A171" si="7">A169+1</f>
        <v>5</v>
      </c>
      <c r="B170" s="102"/>
      <c r="C170" s="96" t="s">
        <v>424</v>
      </c>
      <c r="D170" s="96">
        <f>(50.73)*10.764</f>
        <v>546.0577199999999</v>
      </c>
      <c r="E170" s="96">
        <v>0</v>
      </c>
      <c r="F170" s="96">
        <f t="shared" ref="F170:F171" si="8">D170+E170</f>
        <v>546.0577199999999</v>
      </c>
      <c r="G170" s="96">
        <v>0</v>
      </c>
      <c r="H170" s="96">
        <f t="shared" ref="H170:H171" si="9">F170*(($H$155)+1)+(IF(G170&lt;101,G170,IF(G170&lt;201,G170/2,IF(G170&lt;=301,G170/3,G170/4))))</f>
        <v>791.78369399999985</v>
      </c>
      <c r="I170" s="36"/>
      <c r="J170" s="36">
        <f>$J$165*H170</f>
        <v>3563026.6229999992</v>
      </c>
      <c r="K170" s="36"/>
      <c r="L170" s="36"/>
      <c r="M170" s="37">
        <f>L170/H170</f>
        <v>0</v>
      </c>
      <c r="T170" s="21"/>
    </row>
    <row r="171" spans="1:20" s="37" customFormat="1" ht="15.75" customHeight="1" x14ac:dyDescent="0.3">
      <c r="A171" s="101">
        <f t="shared" si="7"/>
        <v>6</v>
      </c>
      <c r="B171" s="102"/>
      <c r="C171" s="96" t="s">
        <v>422</v>
      </c>
      <c r="D171" s="96">
        <f>(33.58)*10.764</f>
        <v>361.45511999999997</v>
      </c>
      <c r="E171" s="96">
        <v>0</v>
      </c>
      <c r="F171" s="96">
        <f t="shared" si="8"/>
        <v>361.45511999999997</v>
      </c>
      <c r="G171" s="96">
        <v>0</v>
      </c>
      <c r="H171" s="96">
        <f t="shared" si="9"/>
        <v>524.10992399999998</v>
      </c>
      <c r="I171" s="36"/>
      <c r="J171" s="36">
        <f>$J$165*H171</f>
        <v>2358494.6579999998</v>
      </c>
      <c r="K171" s="36"/>
      <c r="L171" s="36"/>
      <c r="M171" s="37">
        <f>L171/H171</f>
        <v>0</v>
      </c>
      <c r="T171" s="21"/>
    </row>
    <row r="172" spans="1:20" s="37" customFormat="1" x14ac:dyDescent="0.3">
      <c r="A172" s="104" t="s">
        <v>427</v>
      </c>
      <c r="B172" s="105"/>
      <c r="C172" s="105"/>
      <c r="D172" s="105"/>
      <c r="E172" s="105"/>
      <c r="F172" s="105"/>
      <c r="G172" s="105"/>
      <c r="H172" s="106"/>
      <c r="J172" s="36"/>
    </row>
    <row r="173" spans="1:20" s="37" customFormat="1" ht="15.75" customHeight="1" x14ac:dyDescent="0.3">
      <c r="A173" s="101" t="s">
        <v>428</v>
      </c>
      <c r="B173" s="102"/>
      <c r="C173" s="101" t="s">
        <v>429</v>
      </c>
      <c r="D173" s="107"/>
      <c r="E173" s="107"/>
      <c r="F173" s="107"/>
      <c r="G173" s="107"/>
      <c r="H173" s="102"/>
      <c r="I173" s="36"/>
      <c r="J173" s="36"/>
      <c r="L173" s="297"/>
      <c r="N173" s="36"/>
    </row>
    <row r="174" spans="1:20" s="37" customFormat="1" ht="15.75" customHeight="1" x14ac:dyDescent="0.3">
      <c r="A174" s="101">
        <v>1</v>
      </c>
      <c r="B174" s="102"/>
      <c r="C174" s="96" t="s">
        <v>423</v>
      </c>
      <c r="D174" s="96">
        <f>(67.71)*10.764</f>
        <v>728.83043999999984</v>
      </c>
      <c r="E174" s="96">
        <v>0</v>
      </c>
      <c r="F174" s="96">
        <f>D174+E174</f>
        <v>728.83043999999984</v>
      </c>
      <c r="G174" s="96">
        <v>0</v>
      </c>
      <c r="H174" s="96">
        <f>F174*(($H$155)+1)+(IF(G174&lt;101,G174,IF(G174&lt;201,G174/2,IF(G174&lt;=301,G174/3,G174/4))))</f>
        <v>1056.8041379999997</v>
      </c>
      <c r="I174" s="36"/>
      <c r="J174" s="36"/>
      <c r="L174" s="297">
        <v>5546000</v>
      </c>
      <c r="M174" s="37">
        <f t="shared" ref="M172:M178" si="10">L174/H174</f>
        <v>5247.8976951167097</v>
      </c>
      <c r="N174" s="36"/>
    </row>
    <row r="175" spans="1:20" s="37" customFormat="1" ht="15.75" customHeight="1" x14ac:dyDescent="0.3">
      <c r="A175" s="101">
        <f>A174+1</f>
        <v>2</v>
      </c>
      <c r="B175" s="102"/>
      <c r="C175" s="96" t="s">
        <v>422</v>
      </c>
      <c r="D175" s="96">
        <f>(35.1)*10.764</f>
        <v>377.81639999999999</v>
      </c>
      <c r="E175" s="96">
        <v>0</v>
      </c>
      <c r="F175" s="96">
        <f>D175+E175</f>
        <v>377.81639999999999</v>
      </c>
      <c r="G175" s="96">
        <v>0</v>
      </c>
      <c r="H175" s="96">
        <f>F175*(($H$155)+1)+(IF(G175&lt;101,G175,IF(G175&lt;201,G175/2,IF(G175&lt;=301,G175/3,G175/4))))</f>
        <v>547.83377999999993</v>
      </c>
      <c r="I175" s="36"/>
      <c r="L175" s="297"/>
      <c r="N175" s="36"/>
    </row>
    <row r="176" spans="1:20" s="37" customFormat="1" ht="15.75" customHeight="1" x14ac:dyDescent="0.3">
      <c r="A176" s="101">
        <f>A175+1</f>
        <v>3</v>
      </c>
      <c r="B176" s="102"/>
      <c r="C176" s="96" t="s">
        <v>424</v>
      </c>
      <c r="D176" s="96">
        <f>(47.46)*10.764</f>
        <v>510.85944000000001</v>
      </c>
      <c r="E176" s="96">
        <v>0</v>
      </c>
      <c r="F176" s="96">
        <f>D176+E176</f>
        <v>510.85944000000001</v>
      </c>
      <c r="G176" s="96">
        <v>0</v>
      </c>
      <c r="H176" s="96">
        <f>F176*(($H$155)+1)+(IF(G176&lt;101,G176,IF(G176&lt;201,G176/2,IF(G176&lt;=301,G176/3,G176/4))))</f>
        <v>740.74618799999996</v>
      </c>
      <c r="I176" s="36"/>
      <c r="L176" s="297"/>
      <c r="N176" s="36"/>
      <c r="T176" s="21"/>
    </row>
    <row r="177" spans="1:20" s="37" customFormat="1" ht="15.75" customHeight="1" x14ac:dyDescent="0.3">
      <c r="A177" s="101">
        <f t="shared" ref="A177:A178" si="11">A176+1</f>
        <v>4</v>
      </c>
      <c r="B177" s="102"/>
      <c r="C177" s="96" t="s">
        <v>424</v>
      </c>
      <c r="D177" s="96">
        <f>(50.73)*10.764</f>
        <v>546.0577199999999</v>
      </c>
      <c r="E177" s="96">
        <v>0</v>
      </c>
      <c r="F177" s="96">
        <f t="shared" ref="F177:F178" si="12">D177+E177</f>
        <v>546.0577199999999</v>
      </c>
      <c r="G177" s="96">
        <v>0</v>
      </c>
      <c r="H177" s="96">
        <f t="shared" ref="H177:H178" si="13">F177*(($H$155)+1)+(IF(G177&lt;101,G177,IF(G177&lt;201,G177/2,IF(G177&lt;=301,G177/3,G177/4))))</f>
        <v>791.78369399999985</v>
      </c>
      <c r="I177" s="36"/>
      <c r="L177" s="297">
        <v>4173000</v>
      </c>
      <c r="M177" s="37">
        <f t="shared" si="10"/>
        <v>5270.3788062601861</v>
      </c>
      <c r="N177" s="36"/>
      <c r="T177" s="21"/>
    </row>
    <row r="178" spans="1:20" s="37" customFormat="1" ht="15.75" customHeight="1" x14ac:dyDescent="0.3">
      <c r="A178" s="101">
        <f t="shared" si="11"/>
        <v>5</v>
      </c>
      <c r="B178" s="102"/>
      <c r="C178" s="96" t="s">
        <v>422</v>
      </c>
      <c r="D178" s="96">
        <f>(33.58)*10.764</f>
        <v>361.45511999999997</v>
      </c>
      <c r="E178" s="96">
        <v>0</v>
      </c>
      <c r="F178" s="96">
        <f t="shared" si="12"/>
        <v>361.45511999999997</v>
      </c>
      <c r="G178" s="96">
        <v>0</v>
      </c>
      <c r="H178" s="96">
        <f t="shared" si="13"/>
        <v>524.10992399999998</v>
      </c>
      <c r="I178" s="36"/>
      <c r="L178" s="297">
        <v>3000000</v>
      </c>
      <c r="M178" s="37">
        <f t="shared" si="10"/>
        <v>5723.9900689230226</v>
      </c>
      <c r="N178" s="36"/>
      <c r="T178" s="21"/>
    </row>
    <row r="179" spans="1:20" s="37" customFormat="1" x14ac:dyDescent="0.3">
      <c r="A179" s="108" t="s">
        <v>430</v>
      </c>
      <c r="B179" s="109"/>
      <c r="C179" s="109"/>
      <c r="D179" s="109"/>
      <c r="E179" s="109"/>
      <c r="F179" s="109"/>
      <c r="G179" s="109"/>
      <c r="H179" s="110"/>
      <c r="J179" s="36"/>
    </row>
    <row r="180" spans="1:20" s="37" customFormat="1" x14ac:dyDescent="0.3">
      <c r="A180" s="104" t="s">
        <v>421</v>
      </c>
      <c r="B180" s="105"/>
      <c r="C180" s="105"/>
      <c r="D180" s="105"/>
      <c r="E180" s="105"/>
      <c r="F180" s="105"/>
      <c r="G180" s="105"/>
      <c r="H180" s="106"/>
      <c r="J180" s="36"/>
    </row>
    <row r="181" spans="1:20" s="37" customFormat="1" x14ac:dyDescent="0.3">
      <c r="A181" s="104" t="s">
        <v>426</v>
      </c>
      <c r="B181" s="105"/>
      <c r="C181" s="105"/>
      <c r="D181" s="105"/>
      <c r="E181" s="105"/>
      <c r="F181" s="105"/>
      <c r="G181" s="105"/>
      <c r="H181" s="106"/>
      <c r="J181" s="36"/>
    </row>
    <row r="182" spans="1:20" s="37" customFormat="1" ht="15.75" customHeight="1" x14ac:dyDescent="0.3">
      <c r="A182" s="101">
        <v>1</v>
      </c>
      <c r="B182" s="102"/>
      <c r="C182" s="96" t="s">
        <v>424</v>
      </c>
      <c r="D182" s="96">
        <f>(47.53)*10.764</f>
        <v>511.61291999999997</v>
      </c>
      <c r="E182" s="96">
        <v>0</v>
      </c>
      <c r="F182" s="96">
        <f>D182+E182</f>
        <v>511.61291999999997</v>
      </c>
      <c r="G182" s="96">
        <v>0</v>
      </c>
      <c r="H182" s="96">
        <f>F182*(($H$155)+1)+(IF(G182&lt;101,G182,IF(G182&lt;201,G182/2,IF(G182&lt;=301,G182/3,G182/4))))</f>
        <v>741.83873399999993</v>
      </c>
      <c r="I182" s="36"/>
      <c r="J182" s="36">
        <f>4.35*2.75+2.4*2.1+2.84*3.35+1.4*1.8+1.4*1.2+0.9*1.4</f>
        <v>31.976499999999998</v>
      </c>
      <c r="L182" s="103"/>
      <c r="M182" s="103"/>
      <c r="N182" s="36"/>
    </row>
    <row r="183" spans="1:20" s="37" customFormat="1" ht="15.75" customHeight="1" x14ac:dyDescent="0.3">
      <c r="A183" s="101">
        <f>A182+1</f>
        <v>2</v>
      </c>
      <c r="B183" s="102"/>
      <c r="C183" s="96" t="s">
        <v>424</v>
      </c>
      <c r="D183" s="96">
        <f>(46.92)*10.764</f>
        <v>505.04687999999999</v>
      </c>
      <c r="E183" s="96">
        <v>0</v>
      </c>
      <c r="F183" s="96">
        <f>D183+E183</f>
        <v>505.04687999999999</v>
      </c>
      <c r="G183" s="96">
        <v>0</v>
      </c>
      <c r="H183" s="96">
        <f>F183*(($H$155)+1)+(IF(G183&lt;101,G183,IF(G183&lt;201,G183/2,IF(G183&lt;=301,G183/3,G183/4))))</f>
        <v>732.31797599999993</v>
      </c>
      <c r="I183" s="36"/>
      <c r="J183" s="36">
        <f>5.3*2.75+2.34*2.1+3.35*2.75+3.35*2.85+2.75*3.35+1.2*2.1+1.37*1.84+1.8*1.4+0.9*5.9</f>
        <v>60.332300000000004</v>
      </c>
      <c r="K183" s="37">
        <f>2.75</f>
        <v>2.75</v>
      </c>
      <c r="L183" s="103"/>
      <c r="M183" s="103"/>
      <c r="N183" s="36"/>
    </row>
    <row r="184" spans="1:20" s="37" customFormat="1" ht="15.75" customHeight="1" x14ac:dyDescent="0.3">
      <c r="A184" s="101">
        <f>A183+1</f>
        <v>3</v>
      </c>
      <c r="B184" s="102"/>
      <c r="C184" s="96" t="s">
        <v>424</v>
      </c>
      <c r="D184" s="96">
        <f>(47.45)*10.764</f>
        <v>510.7518</v>
      </c>
      <c r="E184" s="96">
        <v>0</v>
      </c>
      <c r="F184" s="96">
        <f>D184+E184</f>
        <v>510.7518</v>
      </c>
      <c r="G184" s="96">
        <v>0</v>
      </c>
      <c r="H184" s="96">
        <f>F184*(($H$155)+1)+(IF(G184&lt;101,G184,IF(G184&lt;201,G184/2,IF(G184&lt;=301,G184/3,G184/4))))</f>
        <v>740.59010999999998</v>
      </c>
      <c r="I184" s="36"/>
      <c r="L184" s="103"/>
      <c r="M184" s="103"/>
      <c r="N184" s="36"/>
    </row>
    <row r="185" spans="1:20" s="37" customFormat="1" ht="15.75" customHeight="1" x14ac:dyDescent="0.3">
      <c r="A185" s="101">
        <f>A184+1</f>
        <v>4</v>
      </c>
      <c r="B185" s="102"/>
      <c r="C185" s="96" t="s">
        <v>424</v>
      </c>
      <c r="D185" s="96">
        <f>(49.88)*10.764</f>
        <v>536.90832</v>
      </c>
      <c r="E185" s="96">
        <v>0</v>
      </c>
      <c r="F185" s="96">
        <f>D185+E185</f>
        <v>536.90832</v>
      </c>
      <c r="G185" s="96">
        <v>0</v>
      </c>
      <c r="H185" s="96">
        <f>F185*(($H$155)+1)+(IF(G185&lt;101,G185,IF(G185&lt;201,G185/2,IF(G185&lt;=301,G185/3,G185/4))))</f>
        <v>778.517064</v>
      </c>
      <c r="I185" s="36"/>
      <c r="J185" s="37">
        <f>4.33*2.75+2.1*2.4+3.35*2.75+3.62*2.75+2.1*1.2+1.8*1.4+0.9*1.4</f>
        <v>42.415000000000006</v>
      </c>
      <c r="L185" s="103"/>
      <c r="M185" s="103"/>
      <c r="N185" s="36"/>
      <c r="T185" s="21"/>
    </row>
    <row r="186" spans="1:20" s="37" customFormat="1" ht="15.75" customHeight="1" x14ac:dyDescent="0.3">
      <c r="A186" s="101">
        <f t="shared" ref="A186:A187" si="14">A185+1</f>
        <v>5</v>
      </c>
      <c r="B186" s="102"/>
      <c r="C186" s="96" t="s">
        <v>424</v>
      </c>
      <c r="D186" s="96">
        <f>(49.88)*10.764</f>
        <v>536.90832</v>
      </c>
      <c r="E186" s="96">
        <v>0</v>
      </c>
      <c r="F186" s="96">
        <f t="shared" ref="F186:F187" si="15">D186+E186</f>
        <v>536.90832</v>
      </c>
      <c r="G186" s="96">
        <v>0</v>
      </c>
      <c r="H186" s="96">
        <f t="shared" ref="H186:H187" si="16">F186*(($H$155)+1)+(IF(G186&lt;101,G186,IF(G186&lt;201,G186/2,IF(G186&lt;=301,G186/3,G186/4))))</f>
        <v>778.517064</v>
      </c>
      <c r="I186" s="36"/>
      <c r="L186" s="103"/>
      <c r="M186" s="103"/>
      <c r="N186" s="36"/>
      <c r="T186" s="21"/>
    </row>
    <row r="187" spans="1:20" s="37" customFormat="1" ht="15.75" customHeight="1" x14ac:dyDescent="0.3">
      <c r="A187" s="101">
        <f t="shared" si="14"/>
        <v>6</v>
      </c>
      <c r="B187" s="102"/>
      <c r="C187" s="96" t="s">
        <v>424</v>
      </c>
      <c r="D187" s="96">
        <f>(47.45)*10.764</f>
        <v>510.7518</v>
      </c>
      <c r="E187" s="96">
        <v>0</v>
      </c>
      <c r="F187" s="96">
        <f t="shared" si="15"/>
        <v>510.7518</v>
      </c>
      <c r="G187" s="96">
        <v>0</v>
      </c>
      <c r="H187" s="96">
        <f t="shared" si="16"/>
        <v>740.59010999999998</v>
      </c>
      <c r="I187" s="36"/>
      <c r="L187" s="103"/>
      <c r="M187" s="103"/>
      <c r="N187" s="36"/>
      <c r="T187" s="21"/>
    </row>
    <row r="188" spans="1:20" s="37" customFormat="1" x14ac:dyDescent="0.3">
      <c r="A188" s="104" t="s">
        <v>431</v>
      </c>
      <c r="B188" s="105"/>
      <c r="C188" s="105"/>
      <c r="D188" s="105"/>
      <c r="E188" s="105"/>
      <c r="F188" s="105"/>
      <c r="G188" s="105"/>
      <c r="H188" s="106"/>
      <c r="J188" s="36"/>
    </row>
    <row r="189" spans="1:20" s="37" customFormat="1" ht="15.75" customHeight="1" x14ac:dyDescent="0.3">
      <c r="A189" s="101">
        <v>1</v>
      </c>
      <c r="B189" s="102"/>
      <c r="C189" s="96" t="s">
        <v>424</v>
      </c>
      <c r="D189" s="96">
        <f>(50.55)*10.764</f>
        <v>544.12019999999995</v>
      </c>
      <c r="E189" s="96">
        <v>0</v>
      </c>
      <c r="F189" s="96">
        <f>D189+E189</f>
        <v>544.12019999999995</v>
      </c>
      <c r="G189" s="96">
        <v>0</v>
      </c>
      <c r="H189" s="96">
        <f>F189*(($H$155)+1)+(IF(G189&lt;101,G189,IF(G189&lt;201,G189/2,IF(G189&lt;=301,G189/3,G189/4))))</f>
        <v>788.97428999999988</v>
      </c>
      <c r="I189" s="36"/>
      <c r="J189" s="36"/>
      <c r="L189" s="103"/>
      <c r="M189" s="103"/>
      <c r="N189" s="36"/>
    </row>
    <row r="190" spans="1:20" s="37" customFormat="1" ht="15.75" customHeight="1" x14ac:dyDescent="0.3">
      <c r="A190" s="101">
        <f>A189+1</f>
        <v>2</v>
      </c>
      <c r="B190" s="102"/>
      <c r="C190" s="96" t="s">
        <v>424</v>
      </c>
      <c r="D190" s="96">
        <f>(49.94)*10.764</f>
        <v>537.55415999999991</v>
      </c>
      <c r="E190" s="96">
        <v>0</v>
      </c>
      <c r="F190" s="96">
        <f>D190+E190</f>
        <v>537.55415999999991</v>
      </c>
      <c r="G190" s="96">
        <v>0</v>
      </c>
      <c r="H190" s="96">
        <f>F190*(($H$155)+1)+(IF(G190&lt;101,G190,IF(G190&lt;201,G190/2,IF(G190&lt;=301,G190/3,G190/4))))</f>
        <v>779.45353199999988</v>
      </c>
      <c r="I190" s="36"/>
      <c r="J190" s="36"/>
      <c r="L190" s="103"/>
      <c r="M190" s="103"/>
      <c r="N190" s="36"/>
    </row>
    <row r="191" spans="1:20" s="37" customFormat="1" ht="15.75" customHeight="1" x14ac:dyDescent="0.3">
      <c r="A191" s="101">
        <f>A190+1</f>
        <v>3</v>
      </c>
      <c r="B191" s="102"/>
      <c r="C191" s="96" t="s">
        <v>424</v>
      </c>
      <c r="D191" s="96">
        <f>(50.47)*10.764</f>
        <v>543.25907999999993</v>
      </c>
      <c r="E191" s="96">
        <v>0</v>
      </c>
      <c r="F191" s="96">
        <f>D191+E191</f>
        <v>543.25907999999993</v>
      </c>
      <c r="G191" s="96">
        <v>0</v>
      </c>
      <c r="H191" s="96">
        <f>F191*(($H$155)+1)+(IF(G191&lt;101,G191,IF(G191&lt;201,G191/2,IF(G191&lt;=301,G191/3,G191/4))))</f>
        <v>787.72566599999982</v>
      </c>
      <c r="I191" s="36"/>
      <c r="L191" s="103"/>
      <c r="M191" s="103"/>
      <c r="N191" s="36"/>
    </row>
    <row r="192" spans="1:20" s="37" customFormat="1" ht="15.75" customHeight="1" x14ac:dyDescent="0.3">
      <c r="A192" s="101">
        <f>A191+1</f>
        <v>4</v>
      </c>
      <c r="B192" s="102"/>
      <c r="C192" s="96" t="s">
        <v>424</v>
      </c>
      <c r="D192" s="96">
        <f>(52.95)*10.764</f>
        <v>569.9538</v>
      </c>
      <c r="E192" s="96">
        <v>0</v>
      </c>
      <c r="F192" s="96">
        <f>D192+E192</f>
        <v>569.9538</v>
      </c>
      <c r="G192" s="96">
        <v>0</v>
      </c>
      <c r="H192" s="96">
        <f>F192*(($H$155)+1)+(IF(G192&lt;101,G192,IF(G192&lt;201,G192/2,IF(G192&lt;=301,G192/3,G192/4))))</f>
        <v>826.43300999999997</v>
      </c>
      <c r="I192" s="36"/>
      <c r="L192" s="103"/>
      <c r="M192" s="103"/>
      <c r="N192" s="36"/>
      <c r="T192" s="21"/>
    </row>
    <row r="193" spans="1:20" s="37" customFormat="1" ht="15.75" customHeight="1" x14ac:dyDescent="0.3">
      <c r="A193" s="101">
        <f t="shared" ref="A193:A194" si="17">A192+1</f>
        <v>5</v>
      </c>
      <c r="B193" s="102"/>
      <c r="C193" s="96" t="s">
        <v>424</v>
      </c>
      <c r="D193" s="96">
        <f>(52.95)*10.764</f>
        <v>569.9538</v>
      </c>
      <c r="E193" s="96">
        <v>0</v>
      </c>
      <c r="F193" s="96">
        <f t="shared" ref="F193:F194" si="18">D193+E193</f>
        <v>569.9538</v>
      </c>
      <c r="G193" s="96">
        <v>0</v>
      </c>
      <c r="H193" s="96">
        <f t="shared" ref="H193:H194" si="19">F193*(($H$155)+1)+(IF(G193&lt;101,G193,IF(G193&lt;201,G193/2,IF(G193&lt;=301,G193/3,G193/4))))</f>
        <v>826.43300999999997</v>
      </c>
      <c r="I193" s="36"/>
      <c r="L193" s="103"/>
      <c r="M193" s="103"/>
      <c r="N193" s="36"/>
      <c r="T193" s="21"/>
    </row>
    <row r="194" spans="1:20" s="37" customFormat="1" ht="15.75" customHeight="1" x14ac:dyDescent="0.3">
      <c r="A194" s="101">
        <f t="shared" si="17"/>
        <v>6</v>
      </c>
      <c r="B194" s="102"/>
      <c r="C194" s="96" t="s">
        <v>424</v>
      </c>
      <c r="D194" s="96">
        <f>(50.47)*10.764</f>
        <v>543.25907999999993</v>
      </c>
      <c r="E194" s="96">
        <v>0</v>
      </c>
      <c r="F194" s="96">
        <f t="shared" si="18"/>
        <v>543.25907999999993</v>
      </c>
      <c r="G194" s="96">
        <v>0</v>
      </c>
      <c r="H194" s="96">
        <f t="shared" si="19"/>
        <v>787.72566599999982</v>
      </c>
      <c r="I194" s="36"/>
      <c r="L194" s="103"/>
      <c r="M194" s="103"/>
      <c r="N194" s="36"/>
      <c r="T194" s="21"/>
    </row>
    <row r="195" spans="1:20" s="35" customFormat="1" x14ac:dyDescent="0.3">
      <c r="A195" s="250" t="s">
        <v>63</v>
      </c>
      <c r="B195" s="250"/>
      <c r="C195" s="250"/>
      <c r="D195" s="250"/>
      <c r="E195" s="250"/>
      <c r="F195" s="250"/>
      <c r="G195" s="250"/>
      <c r="H195" s="250"/>
      <c r="T195" s="37"/>
    </row>
    <row r="196" spans="1:20" s="35" customFormat="1" ht="48.6" customHeight="1" x14ac:dyDescent="0.3">
      <c r="A196" s="45" t="s">
        <v>148</v>
      </c>
      <c r="B196" s="236" t="s">
        <v>439</v>
      </c>
      <c r="C196" s="237"/>
      <c r="D196" s="237"/>
      <c r="E196" s="237"/>
      <c r="F196" s="237"/>
      <c r="G196" s="237"/>
      <c r="H196" s="238"/>
      <c r="T196" s="37"/>
    </row>
    <row r="197" spans="1:20" s="35" customFormat="1" x14ac:dyDescent="0.3">
      <c r="A197" s="45" t="s">
        <v>148</v>
      </c>
      <c r="B197" s="236" t="str">
        <f>(IF(H154="Saleable area Loading :","We have considered Saleable area of Flats as per our Calculation.","We considered Saleable area of Flat as per Builder area Sheet."))</f>
        <v>We have considered Saleable area of Flats as per our Calculation.</v>
      </c>
      <c r="C197" s="237"/>
      <c r="D197" s="237"/>
      <c r="E197" s="237"/>
      <c r="F197" s="237"/>
      <c r="G197" s="237"/>
      <c r="H197" s="238"/>
      <c r="T197" s="37"/>
    </row>
    <row r="198" spans="1:20" s="35" customFormat="1" hidden="1" x14ac:dyDescent="0.3">
      <c r="A198" s="45" t="s">
        <v>148</v>
      </c>
      <c r="B198" s="113" t="str">
        <f>(IF(H146="Saleable area Loading :","We have considered Saleable area of Commercial as per our Calculation.","We considered Saleable area of Commercial as per Builder area Sheet."))</f>
        <v>We have considered Saleable area of Commercial as per our Calculation.</v>
      </c>
      <c r="C198" s="114"/>
      <c r="D198" s="114"/>
      <c r="E198" s="114"/>
      <c r="F198" s="114"/>
      <c r="G198" s="114"/>
      <c r="H198" s="115"/>
      <c r="T198" s="37"/>
    </row>
    <row r="199" spans="1:20" s="35" customFormat="1" x14ac:dyDescent="0.3">
      <c r="A199" s="45" t="s">
        <v>148</v>
      </c>
      <c r="B199" s="145" t="s">
        <v>117</v>
      </c>
      <c r="C199" s="146"/>
      <c r="D199" s="146"/>
      <c r="E199" s="146"/>
      <c r="F199" s="146"/>
      <c r="G199" s="146"/>
      <c r="H199" s="147"/>
      <c r="T199" s="37"/>
    </row>
    <row r="200" spans="1:20" s="35" customFormat="1" x14ac:dyDescent="0.3">
      <c r="A200" s="45" t="s">
        <v>148</v>
      </c>
      <c r="B200" s="236" t="s">
        <v>432</v>
      </c>
      <c r="C200" s="237"/>
      <c r="D200" s="237"/>
      <c r="E200" s="237"/>
      <c r="F200" s="237"/>
      <c r="G200" s="237"/>
      <c r="H200" s="238"/>
      <c r="T200" s="37"/>
    </row>
    <row r="201" spans="1:20" s="35" customFormat="1" x14ac:dyDescent="0.3">
      <c r="A201" s="45" t="s">
        <v>148</v>
      </c>
      <c r="B201" s="145" t="s">
        <v>147</v>
      </c>
      <c r="C201" s="146"/>
      <c r="D201" s="146"/>
      <c r="E201" s="146"/>
      <c r="F201" s="146"/>
      <c r="G201" s="146"/>
      <c r="H201" s="147"/>
    </row>
    <row r="202" spans="1:20" s="35" customFormat="1" x14ac:dyDescent="0.3">
      <c r="A202" s="45" t="s">
        <v>148</v>
      </c>
      <c r="B202" s="145" t="s">
        <v>118</v>
      </c>
      <c r="C202" s="146"/>
      <c r="D202" s="146"/>
      <c r="E202" s="146"/>
      <c r="F202" s="146"/>
      <c r="G202" s="146"/>
      <c r="H202" s="147"/>
    </row>
    <row r="203" spans="1:20" s="35" customFormat="1" ht="34.5" customHeight="1" x14ac:dyDescent="0.3">
      <c r="A203" s="45" t="s">
        <v>148</v>
      </c>
      <c r="B203" s="236" t="s">
        <v>149</v>
      </c>
      <c r="C203" s="237"/>
      <c r="D203" s="237"/>
      <c r="E203" s="237"/>
      <c r="F203" s="237"/>
      <c r="G203" s="237"/>
      <c r="H203" s="238"/>
    </row>
    <row r="204" spans="1:20" s="35" customFormat="1" x14ac:dyDescent="0.3">
      <c r="A204" s="45" t="s">
        <v>148</v>
      </c>
      <c r="B204" s="145" t="s">
        <v>119</v>
      </c>
      <c r="C204" s="146"/>
      <c r="D204" s="146"/>
      <c r="E204" s="146"/>
      <c r="F204" s="146"/>
      <c r="G204" s="146"/>
      <c r="H204" s="147"/>
    </row>
    <row r="205" spans="1:20" s="35" customFormat="1" ht="32.25" hidden="1" customHeight="1" x14ac:dyDescent="0.3">
      <c r="A205" s="45" t="s">
        <v>148</v>
      </c>
      <c r="B205" s="113" t="s">
        <v>171</v>
      </c>
      <c r="C205" s="114"/>
      <c r="D205" s="114"/>
      <c r="E205" s="114"/>
      <c r="F205" s="114"/>
      <c r="G205" s="114"/>
      <c r="H205" s="115"/>
    </row>
    <row r="206" spans="1:20" s="35" customFormat="1" ht="38.25" hidden="1" customHeight="1" x14ac:dyDescent="0.3">
      <c r="A206" s="45" t="s">
        <v>148</v>
      </c>
      <c r="B206" s="113" t="s">
        <v>343</v>
      </c>
      <c r="C206" s="114"/>
      <c r="D206" s="114"/>
      <c r="E206" s="114"/>
      <c r="F206" s="114"/>
      <c r="G206" s="114"/>
      <c r="H206" s="115"/>
    </row>
    <row r="207" spans="1:20" s="35" customFormat="1" hidden="1" x14ac:dyDescent="0.3">
      <c r="A207" s="45" t="s">
        <v>148</v>
      </c>
      <c r="B207" s="113" t="s">
        <v>345</v>
      </c>
      <c r="C207" s="114"/>
      <c r="D207" s="114"/>
      <c r="E207" s="114"/>
      <c r="F207" s="114"/>
      <c r="G207" s="114"/>
      <c r="H207" s="115"/>
    </row>
    <row r="208" spans="1:20" s="35" customFormat="1" hidden="1" x14ac:dyDescent="0.3">
      <c r="A208" s="45" t="s">
        <v>148</v>
      </c>
      <c r="B208" s="113" t="str">
        <f ca="1">IF(G52&gt;EDATE(E3,-48),"NO REMARK FOR CC","REMARK FOR CC")</f>
        <v>NO REMARK FOR CC</v>
      </c>
      <c r="C208" s="114"/>
      <c r="D208" s="114"/>
      <c r="E208" s="114"/>
      <c r="F208" s="114"/>
      <c r="G208" s="114"/>
      <c r="H208" s="115"/>
    </row>
    <row r="209" spans="1:20" s="35" customFormat="1" ht="81.75" hidden="1" customHeight="1" x14ac:dyDescent="0.3">
      <c r="A209" s="45" t="s">
        <v>148</v>
      </c>
      <c r="B209" s="113" t="s">
        <v>346</v>
      </c>
      <c r="C209" s="114"/>
      <c r="D209" s="114"/>
      <c r="E209" s="114"/>
      <c r="F209" s="114"/>
      <c r="G209" s="114"/>
      <c r="H209" s="115"/>
    </row>
    <row r="210" spans="1:20" x14ac:dyDescent="0.3">
      <c r="A210" s="210" t="s">
        <v>56</v>
      </c>
      <c r="B210" s="210"/>
      <c r="C210" s="210"/>
      <c r="D210" s="210"/>
      <c r="E210" s="210"/>
      <c r="F210" s="210"/>
      <c r="G210" s="210"/>
      <c r="H210" s="210"/>
      <c r="T210" s="35"/>
    </row>
    <row r="211" spans="1:20" x14ac:dyDescent="0.3">
      <c r="A211" s="127" t="s">
        <v>57</v>
      </c>
      <c r="B211" s="127"/>
      <c r="C211" s="127"/>
      <c r="D211" s="127"/>
      <c r="E211" s="127"/>
      <c r="F211" s="127"/>
      <c r="G211" s="127"/>
      <c r="H211" s="127"/>
      <c r="T211" s="35"/>
    </row>
    <row r="212" spans="1:20" ht="15.75" customHeight="1" x14ac:dyDescent="0.3">
      <c r="A212" s="239" t="s">
        <v>58</v>
      </c>
      <c r="B212" s="239"/>
      <c r="C212" s="239"/>
      <c r="D212" s="239"/>
      <c r="E212" s="239"/>
      <c r="F212" s="239"/>
      <c r="G212" s="239"/>
      <c r="H212" s="239"/>
      <c r="T212" s="35"/>
    </row>
    <row r="213" spans="1:20" x14ac:dyDescent="0.3">
      <c r="A213" s="127" t="s">
        <v>59</v>
      </c>
      <c r="B213" s="127"/>
      <c r="C213" s="127"/>
      <c r="D213" s="127"/>
      <c r="E213" s="127"/>
      <c r="F213" s="127"/>
      <c r="G213" s="127"/>
      <c r="H213" s="127"/>
      <c r="T213" s="35"/>
    </row>
    <row r="214" spans="1:20" x14ac:dyDescent="0.3">
      <c r="A214" s="127" t="s">
        <v>60</v>
      </c>
      <c r="B214" s="127"/>
      <c r="C214" s="127"/>
      <c r="D214" s="127"/>
      <c r="E214" s="127"/>
      <c r="F214" s="127"/>
      <c r="G214" s="127"/>
      <c r="H214" s="127"/>
      <c r="T214" s="35"/>
    </row>
    <row r="215" spans="1:20" x14ac:dyDescent="0.3">
      <c r="A215" s="127" t="s">
        <v>120</v>
      </c>
      <c r="B215" s="127"/>
      <c r="C215" s="127"/>
      <c r="D215" s="127"/>
      <c r="E215" s="127"/>
      <c r="F215" s="127"/>
      <c r="G215" s="127"/>
      <c r="H215" s="127"/>
      <c r="T215" s="35"/>
    </row>
    <row r="216" spans="1:20" ht="33.9" customHeight="1" x14ac:dyDescent="0.3">
      <c r="A216" s="166" t="s">
        <v>121</v>
      </c>
      <c r="B216" s="166"/>
      <c r="C216" s="166"/>
      <c r="D216" s="166"/>
      <c r="E216" s="166"/>
      <c r="F216" s="166"/>
      <c r="G216" s="166"/>
      <c r="H216" s="166"/>
    </row>
    <row r="217" spans="1:20" x14ac:dyDescent="0.3">
      <c r="A217" s="231" t="s">
        <v>72</v>
      </c>
      <c r="B217" s="231"/>
      <c r="C217" s="231" t="s">
        <v>435</v>
      </c>
      <c r="D217" s="231"/>
      <c r="E217" s="231" t="s">
        <v>102</v>
      </c>
      <c r="F217" s="231"/>
      <c r="G217" s="231" t="s">
        <v>434</v>
      </c>
      <c r="H217" s="231"/>
    </row>
    <row r="218" spans="1:20" x14ac:dyDescent="0.3">
      <c r="A218" s="230" t="s">
        <v>74</v>
      </c>
      <c r="B218" s="230"/>
      <c r="C218" s="230"/>
      <c r="D218" s="230"/>
      <c r="E218" s="230"/>
      <c r="F218" s="230"/>
      <c r="G218" s="230"/>
      <c r="H218" s="230"/>
    </row>
    <row r="219" spans="1:20" x14ac:dyDescent="0.3">
      <c r="A219" s="230"/>
      <c r="B219" s="230"/>
      <c r="C219" s="230"/>
      <c r="D219" s="230"/>
      <c r="E219" s="230"/>
      <c r="F219" s="230"/>
      <c r="G219" s="230"/>
      <c r="H219" s="230"/>
    </row>
    <row r="220" spans="1:20" x14ac:dyDescent="0.3">
      <c r="A220" s="230"/>
      <c r="B220" s="230"/>
      <c r="C220" s="230"/>
      <c r="D220" s="230"/>
      <c r="E220" s="230"/>
      <c r="F220" s="230"/>
      <c r="G220" s="230"/>
      <c r="H220" s="230"/>
    </row>
    <row r="221" spans="1:20" x14ac:dyDescent="0.3">
      <c r="A221" s="230"/>
      <c r="B221" s="230"/>
      <c r="C221" s="230"/>
      <c r="D221" s="230"/>
      <c r="E221" s="230"/>
      <c r="F221" s="230"/>
      <c r="G221" s="230"/>
      <c r="H221" s="230"/>
    </row>
    <row r="222" spans="1:20" x14ac:dyDescent="0.3">
      <c r="A222" s="38" t="s">
        <v>61</v>
      </c>
      <c r="B222" s="39"/>
      <c r="C222" s="39"/>
      <c r="D222" s="38" t="str">
        <f>E9</f>
        <v>Acons The Park Phase 1</v>
      </c>
      <c r="F222" s="39"/>
      <c r="G222" s="39"/>
      <c r="H222" s="39"/>
    </row>
    <row r="223" spans="1:20" x14ac:dyDescent="0.3">
      <c r="A223" s="39"/>
      <c r="B223" s="39"/>
      <c r="C223" s="39"/>
      <c r="D223" s="39"/>
      <c r="E223" s="39"/>
      <c r="F223" s="39"/>
      <c r="G223" s="39"/>
      <c r="H223" s="39"/>
    </row>
    <row r="224" spans="1:20" x14ac:dyDescent="0.3">
      <c r="A224" s="39"/>
      <c r="B224" s="39"/>
      <c r="C224" s="39"/>
      <c r="D224" s="39"/>
      <c r="E224" s="39"/>
      <c r="F224" s="39"/>
      <c r="G224" s="39"/>
      <c r="H224" s="39"/>
    </row>
    <row r="225" ht="15" customHeight="1" x14ac:dyDescent="0.3"/>
    <row r="264" spans="1:1" x14ac:dyDescent="0.3">
      <c r="A264" s="41" t="s">
        <v>158</v>
      </c>
    </row>
    <row r="306" spans="1:1" x14ac:dyDescent="0.3">
      <c r="A306" s="41" t="s">
        <v>62</v>
      </c>
    </row>
  </sheetData>
  <mergeCells count="392">
    <mergeCell ref="A100:B100"/>
    <mergeCell ref="A101:B101"/>
    <mergeCell ref="A102:B102"/>
    <mergeCell ref="A103:B103"/>
    <mergeCell ref="A104:B105"/>
    <mergeCell ref="C104:D105"/>
    <mergeCell ref="E104:F105"/>
    <mergeCell ref="G104:H105"/>
    <mergeCell ref="A80:B80"/>
    <mergeCell ref="G79:H79"/>
    <mergeCell ref="A88:B88"/>
    <mergeCell ref="A89:B89"/>
    <mergeCell ref="A84:B84"/>
    <mergeCell ref="A83:B83"/>
    <mergeCell ref="E79:F79"/>
    <mergeCell ref="A81:B81"/>
    <mergeCell ref="E139:F139"/>
    <mergeCell ref="A90:B90"/>
    <mergeCell ref="C90:H90"/>
    <mergeCell ref="A92:B92"/>
    <mergeCell ref="C92:H92"/>
    <mergeCell ref="A93:B93"/>
    <mergeCell ref="E93:F93"/>
    <mergeCell ref="G93:H93"/>
    <mergeCell ref="A94:B94"/>
    <mergeCell ref="E94:F103"/>
    <mergeCell ref="G94:H103"/>
    <mergeCell ref="A95:B95"/>
    <mergeCell ref="A96:B96"/>
    <mergeCell ref="A97:B97"/>
    <mergeCell ref="A98:B98"/>
    <mergeCell ref="A99:B99"/>
    <mergeCell ref="A86:B86"/>
    <mergeCell ref="I15:P15"/>
    <mergeCell ref="F130:H130"/>
    <mergeCell ref="F128:H128"/>
    <mergeCell ref="A145:H145"/>
    <mergeCell ref="G134:H134"/>
    <mergeCell ref="A129:E129"/>
    <mergeCell ref="A150:B150"/>
    <mergeCell ref="A62:B62"/>
    <mergeCell ref="C62:E62"/>
    <mergeCell ref="D64:H64"/>
    <mergeCell ref="F129:H129"/>
    <mergeCell ref="E134:F134"/>
    <mergeCell ref="A134:B134"/>
    <mergeCell ref="A136:B136"/>
    <mergeCell ref="C139:D139"/>
    <mergeCell ref="D73:H73"/>
    <mergeCell ref="D65:H65"/>
    <mergeCell ref="G62:H62"/>
    <mergeCell ref="A55:B56"/>
    <mergeCell ref="A85:B85"/>
    <mergeCell ref="A50:B50"/>
    <mergeCell ref="A73:C73"/>
    <mergeCell ref="D74:H74"/>
    <mergeCell ref="A215:H215"/>
    <mergeCell ref="A212:H212"/>
    <mergeCell ref="A139:B139"/>
    <mergeCell ref="D154:D155"/>
    <mergeCell ref="E154:E155"/>
    <mergeCell ref="A114:B114"/>
    <mergeCell ref="A116:B116"/>
    <mergeCell ref="F121:H121"/>
    <mergeCell ref="G135:H135"/>
    <mergeCell ref="A119:B119"/>
    <mergeCell ref="F127:H127"/>
    <mergeCell ref="C134:D134"/>
    <mergeCell ref="C142:D142"/>
    <mergeCell ref="A158:H158"/>
    <mergeCell ref="B200:H200"/>
    <mergeCell ref="B208:H208"/>
    <mergeCell ref="B207:H207"/>
    <mergeCell ref="F123:H123"/>
    <mergeCell ref="A127:E127"/>
    <mergeCell ref="A211:H211"/>
    <mergeCell ref="A126:E126"/>
    <mergeCell ref="A153:H153"/>
    <mergeCell ref="A195:H195"/>
    <mergeCell ref="A144:H144"/>
    <mergeCell ref="A118:B118"/>
    <mergeCell ref="A123:E123"/>
    <mergeCell ref="A120:E120"/>
    <mergeCell ref="F124:H124"/>
    <mergeCell ref="A124:E124"/>
    <mergeCell ref="A162:B162"/>
    <mergeCell ref="B203:H203"/>
    <mergeCell ref="G146:G147"/>
    <mergeCell ref="B196:H196"/>
    <mergeCell ref="B197:H197"/>
    <mergeCell ref="B199:H199"/>
    <mergeCell ref="F120:H120"/>
    <mergeCell ref="F125:H125"/>
    <mergeCell ref="A159:B159"/>
    <mergeCell ref="A152:B152"/>
    <mergeCell ref="A151:B151"/>
    <mergeCell ref="F126:H126"/>
    <mergeCell ref="A154:A155"/>
    <mergeCell ref="F154:F155"/>
    <mergeCell ref="A128:E128"/>
    <mergeCell ref="A218:H221"/>
    <mergeCell ref="A217:B217"/>
    <mergeCell ref="E217:F217"/>
    <mergeCell ref="C217:D217"/>
    <mergeCell ref="G217:H217"/>
    <mergeCell ref="A133:H133"/>
    <mergeCell ref="A131:E131"/>
    <mergeCell ref="F131:H131"/>
    <mergeCell ref="A132:E132"/>
    <mergeCell ref="F132:H132"/>
    <mergeCell ref="A140:B140"/>
    <mergeCell ref="A135:B135"/>
    <mergeCell ref="A213:H213"/>
    <mergeCell ref="A138:H138"/>
    <mergeCell ref="A216:H216"/>
    <mergeCell ref="A214:H214"/>
    <mergeCell ref="A210:H210"/>
    <mergeCell ref="G139:H139"/>
    <mergeCell ref="B201:H201"/>
    <mergeCell ref="D146:D147"/>
    <mergeCell ref="G141:H141"/>
    <mergeCell ref="B205:H205"/>
    <mergeCell ref="A143:B143"/>
    <mergeCell ref="C143:D14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C59:E60"/>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C76:H76"/>
    <mergeCell ref="A71:C71"/>
    <mergeCell ref="D71:H71"/>
    <mergeCell ref="C78:H78"/>
    <mergeCell ref="A72:C72"/>
    <mergeCell ref="D72:H72"/>
    <mergeCell ref="A75:C75"/>
    <mergeCell ref="D75:H75"/>
    <mergeCell ref="A74:C74"/>
    <mergeCell ref="A79:B79"/>
    <mergeCell ref="A46:D46"/>
    <mergeCell ref="A47:D47"/>
    <mergeCell ref="D70:H70"/>
    <mergeCell ref="A44:D44"/>
    <mergeCell ref="E44:H44"/>
    <mergeCell ref="E45:H45"/>
    <mergeCell ref="E46:H46"/>
    <mergeCell ref="E47:H47"/>
    <mergeCell ref="C58:H58"/>
    <mergeCell ref="A48:H48"/>
    <mergeCell ref="D66:H66"/>
    <mergeCell ref="A66:C66"/>
    <mergeCell ref="A45:D45"/>
    <mergeCell ref="A49:B49"/>
    <mergeCell ref="C49:H49"/>
    <mergeCell ref="A67:C68"/>
    <mergeCell ref="D67:H67"/>
    <mergeCell ref="D68:H68"/>
    <mergeCell ref="G53:H53"/>
    <mergeCell ref="G52:H52"/>
    <mergeCell ref="A63:H63"/>
    <mergeCell ref="A78:B78"/>
    <mergeCell ref="A76:B76"/>
    <mergeCell ref="D69:H69"/>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A65:C65"/>
    <mergeCell ref="C57:E57"/>
    <mergeCell ref="G55:H55"/>
    <mergeCell ref="A57:B58"/>
    <mergeCell ref="G60:H60"/>
    <mergeCell ref="E42:H42"/>
    <mergeCell ref="A41:H41"/>
    <mergeCell ref="A59:B61"/>
    <mergeCell ref="C61:H61"/>
    <mergeCell ref="A38:H38"/>
    <mergeCell ref="L152:M152"/>
    <mergeCell ref="L151:M151"/>
    <mergeCell ref="L150:M150"/>
    <mergeCell ref="L149:M149"/>
    <mergeCell ref="A87:B87"/>
    <mergeCell ref="C140:D140"/>
    <mergeCell ref="E140:F140"/>
    <mergeCell ref="G140:H140"/>
    <mergeCell ref="A121:E121"/>
    <mergeCell ref="A106:B106"/>
    <mergeCell ref="C106:H106"/>
    <mergeCell ref="A148:H148"/>
    <mergeCell ref="E146:E147"/>
    <mergeCell ref="A110:B110"/>
    <mergeCell ref="C108:H108"/>
    <mergeCell ref="A111:B111"/>
    <mergeCell ref="A112:B112"/>
    <mergeCell ref="G110:H119"/>
    <mergeCell ref="A113:B113"/>
    <mergeCell ref="F122:H122"/>
    <mergeCell ref="A122:E122"/>
    <mergeCell ref="E143:F143"/>
    <mergeCell ref="A108:B108"/>
    <mergeCell ref="A141:B141"/>
    <mergeCell ref="C141:D141"/>
    <mergeCell ref="E141:F141"/>
    <mergeCell ref="A115:B115"/>
    <mergeCell ref="G109:H109"/>
    <mergeCell ref="B204:H204"/>
    <mergeCell ref="B202:H202"/>
    <mergeCell ref="A149:B149"/>
    <mergeCell ref="A40:B40"/>
    <mergeCell ref="C40:H40"/>
    <mergeCell ref="F146:F147"/>
    <mergeCell ref="C135:D135"/>
    <mergeCell ref="E135:F135"/>
    <mergeCell ref="B146:B147"/>
    <mergeCell ref="A146:A147"/>
    <mergeCell ref="C154:C155"/>
    <mergeCell ref="G154:G155"/>
    <mergeCell ref="A160:B160"/>
    <mergeCell ref="G143:H143"/>
    <mergeCell ref="A161:B161"/>
    <mergeCell ref="C54:H54"/>
    <mergeCell ref="A64:C64"/>
    <mergeCell ref="A69:C69"/>
    <mergeCell ref="A70:C70"/>
    <mergeCell ref="A117:B117"/>
    <mergeCell ref="B209:H209"/>
    <mergeCell ref="C146:C147"/>
    <mergeCell ref="B154:B155"/>
    <mergeCell ref="B198:H198"/>
    <mergeCell ref="A109:B109"/>
    <mergeCell ref="E109:F109"/>
    <mergeCell ref="E110:F119"/>
    <mergeCell ref="A82:B82"/>
    <mergeCell ref="E80:F89"/>
    <mergeCell ref="G80:H89"/>
    <mergeCell ref="B206:H206"/>
    <mergeCell ref="A125:E125"/>
    <mergeCell ref="A142:B142"/>
    <mergeCell ref="E142:F142"/>
    <mergeCell ref="A130:E130"/>
    <mergeCell ref="G142:H142"/>
    <mergeCell ref="C136:D136"/>
    <mergeCell ref="E136:F136"/>
    <mergeCell ref="G136:H136"/>
    <mergeCell ref="A137:B137"/>
    <mergeCell ref="C137:D137"/>
    <mergeCell ref="E137:F137"/>
    <mergeCell ref="G137:H137"/>
    <mergeCell ref="A156:H156"/>
    <mergeCell ref="A157:H157"/>
    <mergeCell ref="A163:B163"/>
    <mergeCell ref="L163:M163"/>
    <mergeCell ref="A164:B164"/>
    <mergeCell ref="L164:M164"/>
    <mergeCell ref="A165:H165"/>
    <mergeCell ref="A166:B166"/>
    <mergeCell ref="L162:M162"/>
    <mergeCell ref="L159:M159"/>
    <mergeCell ref="L160:M160"/>
    <mergeCell ref="L161:M161"/>
    <mergeCell ref="A167:B167"/>
    <mergeCell ref="A168:B168"/>
    <mergeCell ref="A169:B169"/>
    <mergeCell ref="A170:B170"/>
    <mergeCell ref="A171:B171"/>
    <mergeCell ref="A172:H172"/>
    <mergeCell ref="A173:B173"/>
    <mergeCell ref="A174:B174"/>
    <mergeCell ref="A175:B175"/>
    <mergeCell ref="A176:B176"/>
    <mergeCell ref="A177:B177"/>
    <mergeCell ref="A178:B178"/>
    <mergeCell ref="C173:H173"/>
    <mergeCell ref="A179:H179"/>
    <mergeCell ref="A180:H180"/>
    <mergeCell ref="A181:H181"/>
    <mergeCell ref="A182:B182"/>
    <mergeCell ref="L182:M182"/>
    <mergeCell ref="A183:B183"/>
    <mergeCell ref="L183:M183"/>
    <mergeCell ref="A184:B184"/>
    <mergeCell ref="L184:M184"/>
    <mergeCell ref="A185:B185"/>
    <mergeCell ref="L185:M185"/>
    <mergeCell ref="A186:B186"/>
    <mergeCell ref="L186:M186"/>
    <mergeCell ref="A187:B187"/>
    <mergeCell ref="L187:M187"/>
    <mergeCell ref="A193:B193"/>
    <mergeCell ref="L193:M193"/>
    <mergeCell ref="A194:B194"/>
    <mergeCell ref="L194:M194"/>
    <mergeCell ref="A188:H188"/>
    <mergeCell ref="A189:B189"/>
    <mergeCell ref="L189:M189"/>
    <mergeCell ref="A190:B190"/>
    <mergeCell ref="L190:M190"/>
    <mergeCell ref="A191:B191"/>
    <mergeCell ref="L191:M191"/>
    <mergeCell ref="A192:B192"/>
    <mergeCell ref="L192:M192"/>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6:E147" xr:uid="{00000000-0002-0000-0000-000003000000}">
      <formula1>"Attached Loft area,Attached Otla area,Attached Mezzanine area"</formula1>
    </dataValidation>
    <dataValidation type="list" allowBlank="1" showInputMessage="1" showErrorMessage="1" sqref="G217:H217" xr:uid="{00000000-0002-0000-0000-000004000000}">
      <formula1>"Kunal Kadam,Pranita Mhatre,Shruti Fule,Pooja Kawale,Gaurav Panchal,Shruti Tathare, Dipti Gothawade,Saurav Panse, Sachin Sawant"</formula1>
    </dataValidation>
    <dataValidation type="list" allowBlank="1" showInputMessage="1" showErrorMessage="1" sqref="F120:H120" xr:uid="{00000000-0002-0000-0000-000005000000}">
      <formula1>"On Saleable Area,On Builtup Area,On Carpet Area,On Plot Area"</formula1>
    </dataValidation>
    <dataValidation type="list" allowBlank="1" showInputMessage="1" showErrorMessage="1" sqref="F131:H131" xr:uid="{00000000-0002-0000-0000-000006000000}">
      <formula1>OFFSET($S$120,1,MATCH($G20,$S$120:$W$120,0)-1,15,1)</formula1>
    </dataValidation>
    <dataValidation type="list" allowBlank="1" showInputMessage="1" showErrorMessage="1" sqref="B146:B147" xr:uid="{00000000-0002-0000-0000-000007000000}">
      <formula1>"Shop No. (Sale Plan),Sale / Rehab,Sale / Mhada"</formula1>
    </dataValidation>
    <dataValidation type="list" allowBlank="1" showInputMessage="1" showErrorMessage="1" sqref="B154:B155"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4:E155" xr:uid="{00000000-0002-0000-0000-00000B000000}">
      <formula1>"Fungible area,Balcony Area,Chajja Area,Cornice Area,AP Area,WS Area"</formula1>
    </dataValidation>
    <dataValidation type="list" allowBlank="1" showInputMessage="1" showErrorMessage="1" sqref="H147 H155"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6 H154" xr:uid="{00000000-0002-0000-0000-00000F000000}">
      <formula1>"Saleable area Loading :,Builder Saleable Area"</formula1>
    </dataValidation>
    <dataValidation type="list" allowBlank="1" showInputMessage="1" showErrorMessage="1" sqref="D146:D147" xr:uid="{00000000-0002-0000-0000-000010000000}">
      <formula1>"Carpet area,RERA Carpet area"</formula1>
    </dataValidation>
    <dataValidation type="list" allowBlank="1" showInputMessage="1" showErrorMessage="1" sqref="D154:D155" xr:uid="{00000000-0002-0000-0000-000011000000}">
      <formula1>"Carpet Area,Carpet + Encl Balcony Area,RERA Carpet area"</formula1>
    </dataValidation>
  </dataValidations>
  <hyperlinks>
    <hyperlink ref="C40" r:id="rId1" xr:uid="{B1F3701F-EA75-428A-B5C3-B9714D3D16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5" max="16383" man="1"/>
    <brk id="142" max="7" man="1"/>
    <brk id="221" max="16383" man="1"/>
    <brk id="263" max="16383" man="1"/>
    <brk id="30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3" zoomScale="85" zoomScaleNormal="85" workbookViewId="0">
      <selection activeCell="M31" sqref="M31"/>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54" t="s">
        <v>103</v>
      </c>
      <c r="C3" s="254"/>
      <c r="D3" s="254"/>
      <c r="E3" s="254"/>
      <c r="F3" s="254"/>
      <c r="G3" s="254"/>
      <c r="H3" s="254"/>
    </row>
    <row r="4" spans="1:9" x14ac:dyDescent="0.3">
      <c r="A4" s="2"/>
      <c r="B4" s="3" t="s">
        <v>104</v>
      </c>
      <c r="C4" s="3" t="s">
        <v>105</v>
      </c>
      <c r="D4" s="3" t="s">
        <v>64</v>
      </c>
      <c r="E4" s="3" t="s">
        <v>106</v>
      </c>
      <c r="F4" s="3" t="s">
        <v>111</v>
      </c>
      <c r="G4" s="3" t="s">
        <v>112</v>
      </c>
      <c r="H4" s="3" t="s">
        <v>107</v>
      </c>
    </row>
    <row r="5" spans="1:9" ht="15" customHeight="1" x14ac:dyDescent="0.3">
      <c r="A5" s="2"/>
      <c r="B5" s="296" t="s">
        <v>442</v>
      </c>
      <c r="C5" s="6"/>
      <c r="D5" s="5"/>
      <c r="E5" s="5"/>
      <c r="F5" s="7">
        <f>E5*1.6</f>
        <v>0</v>
      </c>
      <c r="G5" s="7" t="e">
        <f>H5/F5</f>
        <v>#DIV/0!</v>
      </c>
      <c r="H5" s="8"/>
    </row>
    <row r="6" spans="1:9" x14ac:dyDescent="0.3">
      <c r="A6" s="2"/>
      <c r="B6" s="296" t="s">
        <v>442</v>
      </c>
      <c r="C6" s="9"/>
      <c r="D6" s="5"/>
      <c r="E6" s="5"/>
      <c r="F6" s="7">
        <f t="shared" ref="F6:F11" si="0">E6*1.6</f>
        <v>0</v>
      </c>
      <c r="G6" s="7" t="e">
        <f t="shared" ref="G6:G11" si="1">H6/F6</f>
        <v>#DIV/0!</v>
      </c>
      <c r="H6" s="8"/>
    </row>
    <row r="7" spans="1:9" ht="15" customHeight="1" x14ac:dyDescent="0.3">
      <c r="A7" s="2"/>
      <c r="B7" s="296" t="s">
        <v>442</v>
      </c>
      <c r="C7" s="6"/>
      <c r="D7" s="5"/>
      <c r="E7" s="5"/>
      <c r="F7" s="7">
        <f t="shared" si="0"/>
        <v>0</v>
      </c>
      <c r="G7" s="7" t="e">
        <f t="shared" si="1"/>
        <v>#DIV/0!</v>
      </c>
      <c r="H7" s="8"/>
    </row>
    <row r="8" spans="1:9" x14ac:dyDescent="0.3">
      <c r="A8" s="2"/>
      <c r="B8" s="296" t="s">
        <v>442</v>
      </c>
      <c r="C8" s="9"/>
      <c r="D8" s="5"/>
      <c r="E8" s="5"/>
      <c r="F8" s="7">
        <f t="shared" si="0"/>
        <v>0</v>
      </c>
      <c r="G8" s="7" t="e">
        <f t="shared" si="1"/>
        <v>#DIV/0!</v>
      </c>
      <c r="H8" s="8"/>
    </row>
    <row r="9" spans="1:9" ht="15" customHeight="1" x14ac:dyDescent="0.3">
      <c r="A9" s="2"/>
      <c r="B9" s="296" t="s">
        <v>442</v>
      </c>
      <c r="C9" s="9"/>
      <c r="D9" s="5"/>
      <c r="E9" s="5"/>
      <c r="F9" s="7">
        <f t="shared" si="0"/>
        <v>0</v>
      </c>
      <c r="G9" s="7" t="e">
        <f t="shared" si="1"/>
        <v>#DIV/0!</v>
      </c>
      <c r="H9" s="8"/>
    </row>
    <row r="10" spans="1:9" ht="15" customHeight="1" x14ac:dyDescent="0.3">
      <c r="A10" s="2"/>
      <c r="B10" s="5" t="s">
        <v>108</v>
      </c>
      <c r="C10" s="6"/>
      <c r="D10" s="5"/>
      <c r="E10" s="5"/>
      <c r="F10" s="7">
        <f t="shared" si="0"/>
        <v>0</v>
      </c>
      <c r="G10" s="7" t="e">
        <f t="shared" si="1"/>
        <v>#DIV/0!</v>
      </c>
      <c r="H10" s="8"/>
    </row>
    <row r="11" spans="1:9" ht="15" customHeight="1" x14ac:dyDescent="0.3">
      <c r="A11" s="2"/>
      <c r="B11" s="5" t="s">
        <v>108</v>
      </c>
      <c r="C11" s="6"/>
      <c r="D11" s="5"/>
      <c r="E11" s="5"/>
      <c r="F11" s="7">
        <f t="shared" si="0"/>
        <v>0</v>
      </c>
      <c r="G11" s="7" t="e">
        <f t="shared" si="1"/>
        <v>#DIV/0!</v>
      </c>
      <c r="H11" s="8"/>
    </row>
    <row r="12" spans="1:9" ht="15" customHeight="1" x14ac:dyDescent="0.3">
      <c r="A12" s="2"/>
      <c r="B12" s="10" t="s">
        <v>109</v>
      </c>
      <c r="C12" s="5"/>
      <c r="D12" s="5"/>
      <c r="E12" s="5"/>
      <c r="F12" s="5"/>
      <c r="G12" s="11" t="e">
        <f>AVERAGE(G5:G11)</f>
        <v>#DIV/0!</v>
      </c>
      <c r="H12" s="5"/>
    </row>
    <row r="13" spans="1:9" ht="15" customHeight="1" x14ac:dyDescent="0.3">
      <c r="B13" s="10" t="s">
        <v>110</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10</v>
      </c>
      <c r="D4" s="53" t="s">
        <v>172</v>
      </c>
      <c r="E4" s="53" t="s">
        <v>182</v>
      </c>
      <c r="F4" s="53" t="s">
        <v>166</v>
      </c>
      <c r="G4" s="53" t="s">
        <v>187</v>
      </c>
      <c r="H4" s="53" t="s">
        <v>205</v>
      </c>
      <c r="J4" t="s">
        <v>187</v>
      </c>
      <c r="K4" t="s">
        <v>203</v>
      </c>
    </row>
    <row r="5" spans="2:11" x14ac:dyDescent="0.3">
      <c r="B5" s="52"/>
      <c r="C5" s="52"/>
      <c r="D5" s="53" t="s">
        <v>173</v>
      </c>
      <c r="E5" s="53" t="s">
        <v>180</v>
      </c>
      <c r="F5" s="53" t="s">
        <v>202</v>
      </c>
      <c r="G5" s="53" t="s">
        <v>188</v>
      </c>
      <c r="H5" s="53" t="s">
        <v>206</v>
      </c>
    </row>
    <row r="6" spans="2:11" x14ac:dyDescent="0.3">
      <c r="B6" s="52"/>
      <c r="C6" s="52"/>
      <c r="D6" s="53" t="s">
        <v>174</v>
      </c>
      <c r="E6" s="53" t="s">
        <v>181</v>
      </c>
      <c r="F6" s="53" t="s">
        <v>203</v>
      </c>
      <c r="G6" s="53" t="s">
        <v>189</v>
      </c>
      <c r="H6" s="53" t="s">
        <v>219</v>
      </c>
    </row>
    <row r="7" spans="2:11" x14ac:dyDescent="0.3">
      <c r="B7" s="52"/>
      <c r="C7" s="52"/>
      <c r="D7" s="53" t="s">
        <v>175</v>
      </c>
      <c r="E7" s="53" t="s">
        <v>183</v>
      </c>
      <c r="F7" s="53" t="s">
        <v>204</v>
      </c>
      <c r="G7" s="53" t="s">
        <v>190</v>
      </c>
      <c r="H7" s="53" t="s">
        <v>207</v>
      </c>
    </row>
    <row r="8" spans="2:11" x14ac:dyDescent="0.3">
      <c r="B8" s="52"/>
      <c r="C8" s="52"/>
      <c r="D8" s="53" t="s">
        <v>176</v>
      </c>
      <c r="E8" s="53" t="s">
        <v>184</v>
      </c>
      <c r="F8" s="53"/>
      <c r="G8" s="53" t="s">
        <v>191</v>
      </c>
      <c r="H8" s="53" t="s">
        <v>208</v>
      </c>
    </row>
    <row r="9" spans="2:11" x14ac:dyDescent="0.3">
      <c r="B9" s="52"/>
      <c r="C9" s="52"/>
      <c r="D9" s="53" t="s">
        <v>177</v>
      </c>
      <c r="E9" s="53" t="s">
        <v>182</v>
      </c>
      <c r="F9" s="53"/>
      <c r="G9" s="53" t="s">
        <v>192</v>
      </c>
      <c r="H9" s="53" t="s">
        <v>209</v>
      </c>
    </row>
    <row r="10" spans="2:11" x14ac:dyDescent="0.3">
      <c r="B10" s="52"/>
      <c r="C10" s="52"/>
      <c r="D10" s="53" t="s">
        <v>178</v>
      </c>
      <c r="E10" s="53" t="s">
        <v>185</v>
      </c>
      <c r="F10" s="53"/>
      <c r="G10" s="53" t="s">
        <v>193</v>
      </c>
      <c r="H10" s="53" t="s">
        <v>210</v>
      </c>
    </row>
    <row r="11" spans="2:11" x14ac:dyDescent="0.3">
      <c r="B11" s="52"/>
      <c r="C11" s="52"/>
      <c r="D11" s="53" t="s">
        <v>179</v>
      </c>
      <c r="E11" s="53" t="s">
        <v>186</v>
      </c>
      <c r="F11" s="53"/>
      <c r="G11" s="53" t="s">
        <v>194</v>
      </c>
      <c r="H11" s="53" t="s">
        <v>211</v>
      </c>
    </row>
    <row r="12" spans="2:11" x14ac:dyDescent="0.3">
      <c r="B12" s="52"/>
      <c r="C12" s="52"/>
      <c r="D12" s="53"/>
      <c r="E12" s="53"/>
      <c r="F12" s="53"/>
      <c r="G12" s="53" t="s">
        <v>195</v>
      </c>
      <c r="H12" s="53" t="s">
        <v>212</v>
      </c>
    </row>
    <row r="13" spans="2:11" x14ac:dyDescent="0.3">
      <c r="B13" s="52"/>
      <c r="C13" s="52"/>
      <c r="D13" s="53"/>
      <c r="E13" s="53"/>
      <c r="F13" s="53"/>
      <c r="G13" s="53" t="s">
        <v>196</v>
      </c>
      <c r="H13" s="53" t="s">
        <v>213</v>
      </c>
    </row>
    <row r="14" spans="2:11" x14ac:dyDescent="0.3">
      <c r="B14" s="52"/>
      <c r="C14" s="52"/>
      <c r="D14" s="53"/>
      <c r="E14" s="53"/>
      <c r="F14" s="53"/>
      <c r="G14" s="53" t="s">
        <v>197</v>
      </c>
      <c r="H14" s="53" t="s">
        <v>214</v>
      </c>
    </row>
    <row r="15" spans="2:11" x14ac:dyDescent="0.3">
      <c r="B15" s="52"/>
      <c r="C15" s="52"/>
      <c r="D15" s="53"/>
      <c r="E15" s="53"/>
      <c r="F15" s="53"/>
      <c r="G15" s="53" t="s">
        <v>198</v>
      </c>
      <c r="H15" s="53" t="s">
        <v>215</v>
      </c>
    </row>
    <row r="16" spans="2:11" x14ac:dyDescent="0.3">
      <c r="B16" s="52"/>
      <c r="C16" s="52"/>
      <c r="D16" s="53"/>
      <c r="E16" s="53"/>
      <c r="F16" s="53"/>
      <c r="G16" s="53" t="s">
        <v>199</v>
      </c>
      <c r="H16" s="53" t="s">
        <v>216</v>
      </c>
    </row>
    <row r="17" spans="2:8" x14ac:dyDescent="0.3">
      <c r="B17" s="52"/>
      <c r="C17" s="52"/>
      <c r="D17" s="53"/>
      <c r="E17" s="53"/>
      <c r="F17" s="53"/>
      <c r="G17" s="53" t="s">
        <v>200</v>
      </c>
      <c r="H17" s="53" t="s">
        <v>217</v>
      </c>
    </row>
    <row r="18" spans="2:8" x14ac:dyDescent="0.3">
      <c r="B18" s="52"/>
      <c r="C18" s="52"/>
      <c r="D18" s="53"/>
      <c r="E18" s="53"/>
      <c r="F18" s="53"/>
      <c r="G18" s="53" t="s">
        <v>201</v>
      </c>
      <c r="H18" s="53" t="s">
        <v>218</v>
      </c>
    </row>
    <row r="24" spans="2:8" x14ac:dyDescent="0.3">
      <c r="C24" t="s">
        <v>163</v>
      </c>
    </row>
    <row r="25" spans="2:8" x14ac:dyDescent="0.3">
      <c r="C25" t="s">
        <v>220</v>
      </c>
    </row>
    <row r="26" spans="2:8" x14ac:dyDescent="0.3">
      <c r="C26" t="s">
        <v>221</v>
      </c>
    </row>
    <row r="27" spans="2:8" x14ac:dyDescent="0.3">
      <c r="C27" t="s">
        <v>222</v>
      </c>
    </row>
    <row r="28" spans="2:8" x14ac:dyDescent="0.3">
      <c r="C28" t="s">
        <v>223</v>
      </c>
    </row>
    <row r="29" spans="2:8" x14ac:dyDescent="0.3">
      <c r="C29" t="s">
        <v>224</v>
      </c>
    </row>
    <row r="30" spans="2:8" x14ac:dyDescent="0.3">
      <c r="C30" t="s">
        <v>163</v>
      </c>
    </row>
    <row r="33" spans="3:11" x14ac:dyDescent="0.3">
      <c r="J33">
        <v>1</v>
      </c>
      <c r="K33">
        <v>2</v>
      </c>
    </row>
    <row r="34" spans="3:11" x14ac:dyDescent="0.3">
      <c r="C34" s="54" t="s">
        <v>230</v>
      </c>
      <c r="D34" s="53" t="s">
        <v>228</v>
      </c>
      <c r="E34" s="53" t="s">
        <v>233</v>
      </c>
      <c r="F34" s="53" t="s">
        <v>231</v>
      </c>
      <c r="G34" s="53" t="s">
        <v>232</v>
      </c>
      <c r="H34" s="53" t="s">
        <v>234</v>
      </c>
      <c r="J34" t="s">
        <v>187</v>
      </c>
      <c r="K34" t="s">
        <v>203</v>
      </c>
    </row>
    <row r="35" spans="3:11" x14ac:dyDescent="0.3">
      <c r="C35" s="52" t="s">
        <v>229</v>
      </c>
      <c r="D35" s="53" t="s">
        <v>164</v>
      </c>
      <c r="E35" s="53" t="s">
        <v>238</v>
      </c>
      <c r="F35" s="53" t="s">
        <v>240</v>
      </c>
      <c r="G35" s="53" t="s">
        <v>242</v>
      </c>
      <c r="H35" s="53"/>
    </row>
    <row r="36" spans="3:11" x14ac:dyDescent="0.3">
      <c r="C36" s="52"/>
      <c r="D36" s="53" t="s">
        <v>235</v>
      </c>
      <c r="E36" s="53" t="s">
        <v>239</v>
      </c>
      <c r="F36" s="53" t="s">
        <v>241</v>
      </c>
      <c r="G36" s="53" t="s">
        <v>243</v>
      </c>
      <c r="H36" s="53"/>
    </row>
    <row r="37" spans="3:11" x14ac:dyDescent="0.3">
      <c r="C37" s="52"/>
      <c r="D37" s="53" t="s">
        <v>236</v>
      </c>
      <c r="E37" s="53"/>
      <c r="F37" s="53"/>
      <c r="G37" s="53" t="s">
        <v>244</v>
      </c>
      <c r="H37" s="53"/>
    </row>
    <row r="38" spans="3:11" x14ac:dyDescent="0.3">
      <c r="C38" s="52"/>
      <c r="D38" s="53" t="s">
        <v>237</v>
      </c>
      <c r="E38" s="53"/>
      <c r="F38" s="53"/>
      <c r="G38" s="53" t="s">
        <v>244</v>
      </c>
      <c r="H38" s="53"/>
    </row>
    <row r="39" spans="3:11" x14ac:dyDescent="0.3">
      <c r="C39" s="52"/>
      <c r="D39" s="53"/>
      <c r="E39" s="53"/>
      <c r="F39" s="53"/>
      <c r="G39" s="53" t="s">
        <v>245</v>
      </c>
      <c r="H39" s="53"/>
    </row>
    <row r="40" spans="3:11" x14ac:dyDescent="0.3">
      <c r="C40" s="52"/>
      <c r="D40" s="53"/>
      <c r="E40" s="53"/>
      <c r="F40" s="53"/>
      <c r="G40" s="53" t="s">
        <v>246</v>
      </c>
      <c r="H40" s="53"/>
    </row>
    <row r="41" spans="3:11" x14ac:dyDescent="0.3">
      <c r="C41" s="52"/>
      <c r="D41" s="53"/>
      <c r="E41" s="53"/>
      <c r="F41" s="53"/>
      <c r="G41" s="53"/>
      <c r="H41" s="53"/>
    </row>
    <row r="43" spans="3:11" x14ac:dyDescent="0.3">
      <c r="C43" t="s">
        <v>247</v>
      </c>
    </row>
    <row r="44" spans="3:11" x14ac:dyDescent="0.3">
      <c r="C44" t="s">
        <v>166</v>
      </c>
      <c r="D44" t="s">
        <v>248</v>
      </c>
    </row>
    <row r="45" spans="3:11" x14ac:dyDescent="0.3">
      <c r="D45" t="s">
        <v>249</v>
      </c>
    </row>
    <row r="46" spans="3:11" x14ac:dyDescent="0.3">
      <c r="D46" t="s">
        <v>250</v>
      </c>
    </row>
    <row r="47" spans="3:11" x14ac:dyDescent="0.3">
      <c r="D47" t="s">
        <v>251</v>
      </c>
    </row>
    <row r="48" spans="3:11" x14ac:dyDescent="0.3">
      <c r="D48" t="s">
        <v>252</v>
      </c>
    </row>
    <row r="49" spans="3:4" x14ac:dyDescent="0.3">
      <c r="C49" t="s">
        <v>172</v>
      </c>
      <c r="D49" t="s">
        <v>253</v>
      </c>
    </row>
    <row r="50" spans="3:4" x14ac:dyDescent="0.3">
      <c r="D50" t="s">
        <v>254</v>
      </c>
    </row>
    <row r="51" spans="3:4" x14ac:dyDescent="0.3">
      <c r="D51" t="s">
        <v>255</v>
      </c>
    </row>
    <row r="52" spans="3:4" x14ac:dyDescent="0.3">
      <c r="D52" t="s">
        <v>258</v>
      </c>
    </row>
    <row r="53" spans="3:4" x14ac:dyDescent="0.3">
      <c r="D53" t="s">
        <v>256</v>
      </c>
    </row>
    <row r="54" spans="3:4" x14ac:dyDescent="0.3">
      <c r="D54" t="s">
        <v>257</v>
      </c>
    </row>
    <row r="55" spans="3:4" x14ac:dyDescent="0.3">
      <c r="D55" t="s">
        <v>259</v>
      </c>
    </row>
    <row r="56" spans="3:4" x14ac:dyDescent="0.3">
      <c r="D56" t="s">
        <v>260</v>
      </c>
    </row>
    <row r="57" spans="3:4" x14ac:dyDescent="0.3">
      <c r="D57" t="s">
        <v>261</v>
      </c>
    </row>
    <row r="58" spans="3:4" x14ac:dyDescent="0.3">
      <c r="D58" t="s">
        <v>263</v>
      </c>
    </row>
    <row r="59" spans="3:4" x14ac:dyDescent="0.3">
      <c r="D59" t="s">
        <v>272</v>
      </c>
    </row>
    <row r="60" spans="3:4" x14ac:dyDescent="0.3">
      <c r="C60" t="s">
        <v>187</v>
      </c>
      <c r="D60" t="s">
        <v>264</v>
      </c>
    </row>
    <row r="61" spans="3:4" x14ac:dyDescent="0.3">
      <c r="D61" t="s">
        <v>262</v>
      </c>
    </row>
    <row r="62" spans="3:4" x14ac:dyDescent="0.3">
      <c r="D62" t="s">
        <v>252</v>
      </c>
    </row>
    <row r="63" spans="3:4" x14ac:dyDescent="0.3">
      <c r="D63" t="s">
        <v>265</v>
      </c>
    </row>
    <row r="64" spans="3:4" x14ac:dyDescent="0.3">
      <c r="D64" t="s">
        <v>266</v>
      </c>
    </row>
    <row r="65" spans="3:4" x14ac:dyDescent="0.3">
      <c r="D65" t="s">
        <v>267</v>
      </c>
    </row>
    <row r="66" spans="3:4" x14ac:dyDescent="0.3">
      <c r="D66" t="s">
        <v>268</v>
      </c>
    </row>
    <row r="67" spans="3:4" x14ac:dyDescent="0.3">
      <c r="C67" t="s">
        <v>182</v>
      </c>
      <c r="D67" t="s">
        <v>269</v>
      </c>
    </row>
    <row r="68" spans="3:4" x14ac:dyDescent="0.3">
      <c r="D68" t="s">
        <v>270</v>
      </c>
    </row>
    <row r="69" spans="3:4" x14ac:dyDescent="0.3">
      <c r="D69" t="s">
        <v>271</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topLeftCell="A52" zoomScaleNormal="100" workbookViewId="0">
      <selection activeCell="C40" sqref="C40"/>
    </sheetView>
  </sheetViews>
  <sheetFormatPr defaultRowHeight="14.4" x14ac:dyDescent="0.3"/>
  <cols>
    <col min="2" max="2" width="3" bestFit="1" customWidth="1"/>
    <col min="3" max="3" width="155.33203125" customWidth="1"/>
  </cols>
  <sheetData>
    <row r="2" spans="2:3" ht="15" customHeight="1" x14ac:dyDescent="0.3">
      <c r="B2" s="55">
        <v>1</v>
      </c>
      <c r="C2" s="57" t="s">
        <v>277</v>
      </c>
    </row>
    <row r="3" spans="2:3" x14ac:dyDescent="0.3">
      <c r="B3" s="55">
        <v>2</v>
      </c>
      <c r="C3" s="56" t="s">
        <v>278</v>
      </c>
    </row>
    <row r="4" spans="2:3" x14ac:dyDescent="0.3">
      <c r="B4" s="55">
        <v>3</v>
      </c>
      <c r="C4" s="55" t="s">
        <v>279</v>
      </c>
    </row>
    <row r="5" spans="2:3" x14ac:dyDescent="0.3">
      <c r="B5" s="55">
        <v>4</v>
      </c>
      <c r="C5" s="56" t="s">
        <v>280</v>
      </c>
    </row>
    <row r="6" spans="2:3" x14ac:dyDescent="0.3">
      <c r="B6" s="55">
        <v>5</v>
      </c>
      <c r="C6" s="55" t="s">
        <v>281</v>
      </c>
    </row>
    <row r="7" spans="2:3" x14ac:dyDescent="0.3">
      <c r="B7" s="55">
        <v>6</v>
      </c>
      <c r="C7" s="56" t="s">
        <v>282</v>
      </c>
    </row>
    <row r="8" spans="2:3" ht="72" x14ac:dyDescent="0.3">
      <c r="B8" s="55">
        <v>7</v>
      </c>
      <c r="C8" s="56" t="s">
        <v>283</v>
      </c>
    </row>
    <row r="9" spans="2:3" x14ac:dyDescent="0.3">
      <c r="B9" s="55">
        <v>8</v>
      </c>
      <c r="C9" s="55" t="s">
        <v>284</v>
      </c>
    </row>
    <row r="10" spans="2:3" x14ac:dyDescent="0.3">
      <c r="B10" s="55">
        <v>9</v>
      </c>
      <c r="C10" s="55" t="s">
        <v>285</v>
      </c>
    </row>
    <row r="11" spans="2:3" x14ac:dyDescent="0.3">
      <c r="B11" s="55">
        <v>10</v>
      </c>
      <c r="C11" s="55" t="s">
        <v>286</v>
      </c>
    </row>
    <row r="12" spans="2:3" x14ac:dyDescent="0.3">
      <c r="B12" s="55">
        <v>11</v>
      </c>
      <c r="C12" s="55" t="s">
        <v>287</v>
      </c>
    </row>
    <row r="13" spans="2:3" x14ac:dyDescent="0.3">
      <c r="B13" s="55">
        <v>12</v>
      </c>
      <c r="C13" s="55" t="s">
        <v>288</v>
      </c>
    </row>
    <row r="14" spans="2:3" x14ac:dyDescent="0.3">
      <c r="B14" s="55">
        <v>13</v>
      </c>
      <c r="C14" s="55" t="s">
        <v>289</v>
      </c>
    </row>
    <row r="15" spans="2:3" x14ac:dyDescent="0.3">
      <c r="B15" s="55">
        <v>14</v>
      </c>
      <c r="C15" s="55" t="s">
        <v>279</v>
      </c>
    </row>
    <row r="16" spans="2:3" x14ac:dyDescent="0.3">
      <c r="B16" s="55">
        <v>15</v>
      </c>
      <c r="C16" s="55" t="s">
        <v>291</v>
      </c>
    </row>
    <row r="17" spans="2:3" x14ac:dyDescent="0.3">
      <c r="B17" s="74">
        <v>16</v>
      </c>
      <c r="C17" s="61" t="s">
        <v>292</v>
      </c>
    </row>
    <row r="18" spans="2:3" x14ac:dyDescent="0.3">
      <c r="B18" s="60">
        <v>17</v>
      </c>
      <c r="C18" s="61" t="s">
        <v>293</v>
      </c>
    </row>
    <row r="19" spans="2:3" x14ac:dyDescent="0.3">
      <c r="B19" s="59">
        <v>18</v>
      </c>
      <c r="C19" s="55" t="s">
        <v>294</v>
      </c>
    </row>
    <row r="20" spans="2:3" x14ac:dyDescent="0.3">
      <c r="B20" s="60">
        <v>19</v>
      </c>
      <c r="C20" s="55" t="s">
        <v>330</v>
      </c>
    </row>
    <row r="21" spans="2:3" x14ac:dyDescent="0.3">
      <c r="B21" s="55">
        <v>20</v>
      </c>
      <c r="C21" s="55" t="s">
        <v>295</v>
      </c>
    </row>
    <row r="22" spans="2:3" x14ac:dyDescent="0.3">
      <c r="B22" s="60">
        <v>21</v>
      </c>
      <c r="C22" s="55" t="s">
        <v>294</v>
      </c>
    </row>
    <row r="23" spans="2:3" s="69" customFormat="1" ht="29.25" customHeight="1" x14ac:dyDescent="0.3">
      <c r="B23" s="68">
        <v>22</v>
      </c>
      <c r="C23" s="57" t="s">
        <v>322</v>
      </c>
    </row>
    <row r="24" spans="2:3" s="69" customFormat="1" ht="30.75" customHeight="1" x14ac:dyDescent="0.3">
      <c r="B24" s="70">
        <v>23</v>
      </c>
      <c r="C24" s="57" t="s">
        <v>323</v>
      </c>
    </row>
    <row r="25" spans="2:3" x14ac:dyDescent="0.3">
      <c r="B25" s="55">
        <v>24</v>
      </c>
      <c r="C25" s="55" t="s">
        <v>326</v>
      </c>
    </row>
    <row r="26" spans="2:3" x14ac:dyDescent="0.3">
      <c r="B26" s="60">
        <v>25</v>
      </c>
      <c r="C26" s="55" t="s">
        <v>324</v>
      </c>
    </row>
    <row r="27" spans="2:3" x14ac:dyDescent="0.3">
      <c r="B27" s="70">
        <v>26</v>
      </c>
      <c r="C27" s="55" t="s">
        <v>325</v>
      </c>
    </row>
    <row r="28" spans="2:3" x14ac:dyDescent="0.3">
      <c r="B28" s="60">
        <v>27</v>
      </c>
      <c r="C28" s="55" t="s">
        <v>327</v>
      </c>
    </row>
    <row r="29" spans="2:3" ht="43.2" x14ac:dyDescent="0.3">
      <c r="B29" s="73">
        <v>28</v>
      </c>
      <c r="C29" s="56" t="s">
        <v>328</v>
      </c>
    </row>
    <row r="30" spans="2:3" x14ac:dyDescent="0.3">
      <c r="B30" s="70">
        <v>29</v>
      </c>
      <c r="C30" s="55" t="s">
        <v>329</v>
      </c>
    </row>
    <row r="31" spans="2:3" ht="28.8" x14ac:dyDescent="0.3">
      <c r="B31" s="70">
        <v>30</v>
      </c>
      <c r="C31" s="56" t="s">
        <v>331</v>
      </c>
    </row>
    <row r="32" spans="2:3" x14ac:dyDescent="0.3">
      <c r="B32" s="70">
        <v>31</v>
      </c>
      <c r="C32" s="55" t="s">
        <v>332</v>
      </c>
    </row>
    <row r="33" spans="2:4" x14ac:dyDescent="0.3">
      <c r="B33" s="70">
        <v>32</v>
      </c>
      <c r="C33" s="55" t="s">
        <v>333</v>
      </c>
    </row>
    <row r="34" spans="2:4" ht="36.75" customHeight="1" x14ac:dyDescent="0.3">
      <c r="B34" s="70">
        <v>33</v>
      </c>
      <c r="C34" s="61" t="s">
        <v>334</v>
      </c>
    </row>
    <row r="35" spans="2:4" x14ac:dyDescent="0.3">
      <c r="B35" s="68">
        <v>34</v>
      </c>
      <c r="C35" s="55" t="s">
        <v>342</v>
      </c>
    </row>
    <row r="36" spans="2:4" ht="57.6" x14ac:dyDescent="0.3">
      <c r="B36" s="68">
        <v>35</v>
      </c>
      <c r="C36" s="56" t="s">
        <v>346</v>
      </c>
    </row>
    <row r="37" spans="2:4" x14ac:dyDescent="0.3">
      <c r="B37" s="55">
        <v>36</v>
      </c>
      <c r="C37" s="56" t="s">
        <v>357</v>
      </c>
    </row>
    <row r="38" spans="2:4" x14ac:dyDescent="0.3">
      <c r="B38" s="55">
        <f t="shared" ref="B38:B44" si="0">B37+1</f>
        <v>37</v>
      </c>
      <c r="C38" s="55" t="s">
        <v>353</v>
      </c>
    </row>
    <row r="39" spans="2:4" x14ac:dyDescent="0.3">
      <c r="B39" s="55">
        <f t="shared" si="0"/>
        <v>38</v>
      </c>
      <c r="C39" s="55" t="s">
        <v>354</v>
      </c>
    </row>
    <row r="40" spans="2:4" x14ac:dyDescent="0.3">
      <c r="B40" s="55">
        <f t="shared" si="0"/>
        <v>39</v>
      </c>
      <c r="C40" s="55" t="s">
        <v>355</v>
      </c>
    </row>
    <row r="41" spans="2:4" x14ac:dyDescent="0.3">
      <c r="B41" s="55">
        <f t="shared" si="0"/>
        <v>40</v>
      </c>
      <c r="C41" s="55" t="s">
        <v>356</v>
      </c>
    </row>
    <row r="42" spans="2:4" ht="29.4" thickBot="1" x14ac:dyDescent="0.35">
      <c r="B42" s="77">
        <f t="shared" si="0"/>
        <v>41</v>
      </c>
      <c r="C42" s="78" t="s">
        <v>358</v>
      </c>
    </row>
    <row r="43" spans="2:4" ht="28.8" x14ac:dyDescent="0.3">
      <c r="B43" s="81">
        <f t="shared" si="0"/>
        <v>42</v>
      </c>
      <c r="C43" s="86" t="s">
        <v>363</v>
      </c>
      <c r="D43" t="s">
        <v>364</v>
      </c>
    </row>
    <row r="44" spans="2:4" ht="15" thickBot="1" x14ac:dyDescent="0.35">
      <c r="B44" s="83">
        <f t="shared" si="0"/>
        <v>43</v>
      </c>
      <c r="C44" s="85" t="s">
        <v>359</v>
      </c>
    </row>
    <row r="45" spans="2:4" ht="15" thickBot="1" x14ac:dyDescent="0.35">
      <c r="B45" s="79">
        <f t="shared" ref="B45:B54" si="1">B44+1</f>
        <v>44</v>
      </c>
      <c r="C45" s="80" t="s">
        <v>360</v>
      </c>
    </row>
    <row r="46" spans="2:4" ht="28.8" x14ac:dyDescent="0.3">
      <c r="B46" s="81">
        <f t="shared" si="1"/>
        <v>45</v>
      </c>
      <c r="C46" s="82" t="s">
        <v>361</v>
      </c>
    </row>
    <row r="47" spans="2:4" ht="15" thickBot="1" x14ac:dyDescent="0.35">
      <c r="B47" s="83">
        <f t="shared" si="1"/>
        <v>46</v>
      </c>
      <c r="C47" s="84" t="s">
        <v>362</v>
      </c>
    </row>
    <row r="48" spans="2:4" x14ac:dyDescent="0.3">
      <c r="B48" s="87">
        <f t="shared" si="1"/>
        <v>47</v>
      </c>
      <c r="C48" s="88" t="s">
        <v>365</v>
      </c>
    </row>
    <row r="49" spans="2:6" x14ac:dyDescent="0.3">
      <c r="B49" s="87">
        <f t="shared" si="1"/>
        <v>48</v>
      </c>
      <c r="C49" s="88" t="s">
        <v>366</v>
      </c>
    </row>
    <row r="50" spans="2:6" x14ac:dyDescent="0.3">
      <c r="B50" s="87">
        <f t="shared" si="1"/>
        <v>49</v>
      </c>
      <c r="C50" s="88" t="s">
        <v>368</v>
      </c>
      <c r="D50" t="s">
        <v>367</v>
      </c>
    </row>
    <row r="51" spans="2:6" ht="28.8" x14ac:dyDescent="0.3">
      <c r="B51" s="89">
        <f t="shared" si="1"/>
        <v>50</v>
      </c>
      <c r="C51" s="90" t="s">
        <v>369</v>
      </c>
    </row>
    <row r="52" spans="2:6" x14ac:dyDescent="0.3">
      <c r="B52" s="89">
        <f t="shared" si="1"/>
        <v>51</v>
      </c>
      <c r="C52" s="91" t="s">
        <v>372</v>
      </c>
      <c r="D52" t="s">
        <v>373</v>
      </c>
    </row>
    <row r="53" spans="2:6" x14ac:dyDescent="0.3">
      <c r="B53" s="89">
        <f t="shared" si="1"/>
        <v>52</v>
      </c>
      <c r="C53" s="91" t="s">
        <v>375</v>
      </c>
      <c r="D53" t="s">
        <v>376</v>
      </c>
    </row>
    <row r="54" spans="2:6" ht="28.8" x14ac:dyDescent="0.3">
      <c r="B54" s="89">
        <f t="shared" si="1"/>
        <v>53</v>
      </c>
      <c r="C54" s="61" t="s">
        <v>380</v>
      </c>
      <c r="D54" t="s">
        <v>379</v>
      </c>
    </row>
    <row r="55" spans="2:6" ht="28.8" x14ac:dyDescent="0.3">
      <c r="B55">
        <v>54</v>
      </c>
      <c r="C55" s="93" t="s">
        <v>381</v>
      </c>
      <c r="D55" s="255" t="s">
        <v>382</v>
      </c>
      <c r="E55" s="256"/>
      <c r="F55" s="256"/>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2"/>
    <col min="2" max="2" width="12.33203125" style="52" customWidth="1"/>
    <col min="3" max="16384" width="9.109375" style="52"/>
  </cols>
  <sheetData>
    <row r="2" spans="1:12" x14ac:dyDescent="0.3">
      <c r="B2" s="62" t="s">
        <v>296</v>
      </c>
      <c r="C2" s="257"/>
      <c r="D2" s="257"/>
    </row>
    <row r="3" spans="1:12" x14ac:dyDescent="0.3">
      <c r="D3" s="63"/>
      <c r="E3" s="63"/>
      <c r="F3" s="63"/>
      <c r="G3" s="63"/>
      <c r="H3" s="63"/>
      <c r="I3" s="63"/>
    </row>
    <row r="4" spans="1:12" x14ac:dyDescent="0.3">
      <c r="A4" s="62" t="s">
        <v>64</v>
      </c>
      <c r="B4" s="64" t="s">
        <v>297</v>
      </c>
      <c r="C4" s="258" t="s">
        <v>298</v>
      </c>
      <c r="D4" s="258"/>
      <c r="E4" s="258"/>
      <c r="F4" s="64"/>
      <c r="G4" s="259" t="s">
        <v>299</v>
      </c>
      <c r="H4" s="259"/>
      <c r="I4" s="259"/>
      <c r="J4" s="260" t="s">
        <v>300</v>
      </c>
      <c r="K4" s="260"/>
      <c r="L4" s="260"/>
    </row>
    <row r="5" spans="1:12" x14ac:dyDescent="0.3">
      <c r="A5" s="62"/>
      <c r="B5" s="64"/>
      <c r="C5" s="64" t="s">
        <v>301</v>
      </c>
      <c r="D5" s="64" t="s">
        <v>302</v>
      </c>
      <c r="E5" s="64" t="s">
        <v>303</v>
      </c>
      <c r="F5" s="64"/>
      <c r="G5" s="64" t="s">
        <v>301</v>
      </c>
      <c r="H5" s="64" t="s">
        <v>302</v>
      </c>
      <c r="I5" s="64" t="s">
        <v>303</v>
      </c>
      <c r="J5" s="64" t="s">
        <v>301</v>
      </c>
      <c r="K5" s="64" t="s">
        <v>302</v>
      </c>
      <c r="L5" s="64" t="s">
        <v>303</v>
      </c>
    </row>
    <row r="6" spans="1:12" x14ac:dyDescent="0.3">
      <c r="B6" s="53" t="s">
        <v>304</v>
      </c>
      <c r="C6" s="53"/>
      <c r="D6" s="53"/>
      <c r="E6" s="53">
        <f>C6*D6</f>
        <v>0</v>
      </c>
      <c r="F6" s="53" t="s">
        <v>321</v>
      </c>
      <c r="G6" s="53"/>
      <c r="H6" s="53"/>
      <c r="I6" s="53">
        <f>G6*H6</f>
        <v>0</v>
      </c>
      <c r="J6" s="53"/>
      <c r="K6" s="53"/>
      <c r="L6" s="53">
        <f>J6*K6</f>
        <v>0</v>
      </c>
    </row>
    <row r="7" spans="1:12" x14ac:dyDescent="0.3">
      <c r="B7" s="53"/>
      <c r="C7" s="53"/>
      <c r="D7" s="53"/>
      <c r="E7" s="53">
        <f t="shared" ref="E7:E41" si="0">C7*D7</f>
        <v>0</v>
      </c>
      <c r="F7" s="53" t="s">
        <v>321</v>
      </c>
      <c r="G7" s="53"/>
      <c r="H7" s="53"/>
      <c r="I7" s="53">
        <f t="shared" ref="I7:I35" si="1">G7*H7</f>
        <v>0</v>
      </c>
      <c r="J7" s="53"/>
      <c r="K7" s="53"/>
      <c r="L7" s="53">
        <f t="shared" ref="L7:L35" si="2">J7*K7</f>
        <v>0</v>
      </c>
    </row>
    <row r="8" spans="1:12" x14ac:dyDescent="0.3">
      <c r="B8" s="53"/>
      <c r="C8" s="53"/>
      <c r="D8" s="53"/>
      <c r="E8" s="53">
        <f t="shared" si="0"/>
        <v>0</v>
      </c>
      <c r="F8" s="53"/>
      <c r="G8" s="53"/>
      <c r="H8" s="53"/>
      <c r="I8" s="53">
        <f t="shared" si="1"/>
        <v>0</v>
      </c>
      <c r="J8" s="53"/>
      <c r="K8" s="53"/>
      <c r="L8" s="53">
        <f t="shared" si="2"/>
        <v>0</v>
      </c>
    </row>
    <row r="9" spans="1:12" x14ac:dyDescent="0.3">
      <c r="B9" s="53"/>
      <c r="C9" s="53"/>
      <c r="D9" s="53"/>
      <c r="E9" s="53">
        <f t="shared" si="0"/>
        <v>0</v>
      </c>
      <c r="F9" s="53" t="s">
        <v>305</v>
      </c>
      <c r="G9" s="53"/>
      <c r="H9" s="53"/>
      <c r="I9" s="53">
        <f t="shared" si="1"/>
        <v>0</v>
      </c>
      <c r="J9" s="53"/>
      <c r="K9" s="53"/>
      <c r="L9" s="53">
        <f t="shared" si="2"/>
        <v>0</v>
      </c>
    </row>
    <row r="10" spans="1:12" x14ac:dyDescent="0.3">
      <c r="B10" s="53" t="s">
        <v>306</v>
      </c>
      <c r="C10" s="53"/>
      <c r="D10" s="53"/>
      <c r="E10" s="53">
        <f t="shared" si="0"/>
        <v>0</v>
      </c>
      <c r="F10" s="53" t="s">
        <v>305</v>
      </c>
      <c r="G10" s="53"/>
      <c r="H10" s="53"/>
      <c r="I10" s="53">
        <f t="shared" si="1"/>
        <v>0</v>
      </c>
      <c r="J10" s="53"/>
      <c r="K10" s="53"/>
      <c r="L10" s="53">
        <f t="shared" si="2"/>
        <v>0</v>
      </c>
    </row>
    <row r="11" spans="1:12" x14ac:dyDescent="0.3">
      <c r="B11" s="53"/>
      <c r="C11" s="53"/>
      <c r="D11" s="53"/>
      <c r="E11" s="53">
        <f t="shared" si="0"/>
        <v>0</v>
      </c>
      <c r="F11" s="53" t="s">
        <v>307</v>
      </c>
      <c r="G11" s="53"/>
      <c r="H11" s="53"/>
      <c r="I11" s="53">
        <f t="shared" si="1"/>
        <v>0</v>
      </c>
      <c r="J11" s="53"/>
      <c r="K11" s="53"/>
      <c r="L11" s="53">
        <f t="shared" si="2"/>
        <v>0</v>
      </c>
    </row>
    <row r="12" spans="1:12" x14ac:dyDescent="0.3">
      <c r="B12" s="53"/>
      <c r="C12" s="53"/>
      <c r="D12" s="53"/>
      <c r="E12" s="53">
        <f t="shared" si="0"/>
        <v>0</v>
      </c>
      <c r="F12" s="53"/>
      <c r="G12" s="53"/>
      <c r="H12" s="53"/>
      <c r="I12" s="53">
        <f t="shared" si="1"/>
        <v>0</v>
      </c>
      <c r="J12" s="53"/>
      <c r="K12" s="53"/>
      <c r="L12" s="53">
        <f t="shared" si="2"/>
        <v>0</v>
      </c>
    </row>
    <row r="13" spans="1:12" x14ac:dyDescent="0.3">
      <c r="B13" s="53"/>
      <c r="C13" s="53"/>
      <c r="D13" s="53"/>
      <c r="E13" s="53">
        <f t="shared" si="0"/>
        <v>0</v>
      </c>
      <c r="F13" s="53"/>
      <c r="G13" s="53"/>
      <c r="H13" s="53"/>
      <c r="I13" s="53">
        <f t="shared" si="1"/>
        <v>0</v>
      </c>
      <c r="J13" s="53"/>
      <c r="K13" s="53"/>
      <c r="L13" s="53">
        <f t="shared" si="2"/>
        <v>0</v>
      </c>
    </row>
    <row r="14" spans="1:12" x14ac:dyDescent="0.3">
      <c r="B14" s="53" t="s">
        <v>308</v>
      </c>
      <c r="C14" s="53"/>
      <c r="D14" s="53"/>
      <c r="E14" s="53">
        <f t="shared" si="0"/>
        <v>0</v>
      </c>
      <c r="F14" s="53" t="s">
        <v>305</v>
      </c>
      <c r="G14" s="53"/>
      <c r="H14" s="53"/>
      <c r="I14" s="53">
        <f t="shared" si="1"/>
        <v>0</v>
      </c>
      <c r="J14" s="53"/>
      <c r="K14" s="53"/>
      <c r="L14" s="53">
        <f t="shared" si="2"/>
        <v>0</v>
      </c>
    </row>
    <row r="15" spans="1:12" x14ac:dyDescent="0.3">
      <c r="B15" s="53"/>
      <c r="C15" s="53"/>
      <c r="D15" s="53"/>
      <c r="E15" s="53">
        <f t="shared" si="0"/>
        <v>0</v>
      </c>
      <c r="F15" s="53" t="s">
        <v>307</v>
      </c>
      <c r="G15" s="53"/>
      <c r="H15" s="53"/>
      <c r="I15" s="53">
        <f t="shared" si="1"/>
        <v>0</v>
      </c>
      <c r="J15" s="53"/>
      <c r="K15" s="53"/>
      <c r="L15" s="53">
        <f t="shared" si="2"/>
        <v>0</v>
      </c>
    </row>
    <row r="16" spans="1:12" x14ac:dyDescent="0.3">
      <c r="B16" s="53"/>
      <c r="C16" s="53"/>
      <c r="D16" s="53"/>
      <c r="E16" s="53">
        <f t="shared" si="0"/>
        <v>0</v>
      </c>
      <c r="F16" s="53"/>
      <c r="G16" s="53"/>
      <c r="H16" s="53"/>
      <c r="I16" s="53">
        <f t="shared" si="1"/>
        <v>0</v>
      </c>
      <c r="J16" s="53"/>
      <c r="K16" s="53"/>
      <c r="L16" s="53">
        <f t="shared" si="2"/>
        <v>0</v>
      </c>
    </row>
    <row r="17" spans="2:12" x14ac:dyDescent="0.3">
      <c r="B17" s="53"/>
      <c r="C17" s="53"/>
      <c r="D17" s="53"/>
      <c r="E17" s="53">
        <f t="shared" si="0"/>
        <v>0</v>
      </c>
      <c r="F17" s="53"/>
      <c r="G17" s="53"/>
      <c r="H17" s="53"/>
      <c r="I17" s="53">
        <f t="shared" si="1"/>
        <v>0</v>
      </c>
      <c r="J17" s="53"/>
      <c r="K17" s="53"/>
      <c r="L17" s="53">
        <f t="shared" si="2"/>
        <v>0</v>
      </c>
    </row>
    <row r="18" spans="2:12" x14ac:dyDescent="0.3">
      <c r="B18" s="53" t="s">
        <v>309</v>
      </c>
      <c r="C18" s="53"/>
      <c r="D18" s="53"/>
      <c r="E18" s="53">
        <f t="shared" si="0"/>
        <v>0</v>
      </c>
      <c r="F18" s="53" t="s">
        <v>305</v>
      </c>
      <c r="G18" s="53"/>
      <c r="H18" s="53"/>
      <c r="I18" s="53">
        <f t="shared" si="1"/>
        <v>0</v>
      </c>
      <c r="J18" s="53"/>
      <c r="K18" s="53"/>
      <c r="L18" s="53">
        <f t="shared" si="2"/>
        <v>0</v>
      </c>
    </row>
    <row r="19" spans="2:12" x14ac:dyDescent="0.3">
      <c r="B19" s="53"/>
      <c r="C19" s="53"/>
      <c r="D19" s="53"/>
      <c r="E19" s="53">
        <f t="shared" si="0"/>
        <v>0</v>
      </c>
      <c r="F19" s="53" t="s">
        <v>307</v>
      </c>
      <c r="G19" s="53"/>
      <c r="H19" s="53"/>
      <c r="I19" s="53">
        <f t="shared" si="1"/>
        <v>0</v>
      </c>
      <c r="J19" s="53"/>
      <c r="K19" s="53"/>
      <c r="L19" s="53">
        <f t="shared" si="2"/>
        <v>0</v>
      </c>
    </row>
    <row r="20" spans="2:12" x14ac:dyDescent="0.3">
      <c r="B20" s="53"/>
      <c r="C20" s="53"/>
      <c r="D20" s="53"/>
      <c r="E20" s="53">
        <f t="shared" si="0"/>
        <v>0</v>
      </c>
      <c r="F20" s="53"/>
      <c r="G20" s="53"/>
      <c r="H20" s="53"/>
      <c r="I20" s="53">
        <f t="shared" si="1"/>
        <v>0</v>
      </c>
      <c r="J20" s="53"/>
      <c r="K20" s="53"/>
      <c r="L20" s="53">
        <f t="shared" si="2"/>
        <v>0</v>
      </c>
    </row>
    <row r="21" spans="2:12" x14ac:dyDescent="0.3">
      <c r="B21" s="53" t="s">
        <v>310</v>
      </c>
      <c r="C21" s="53"/>
      <c r="D21" s="53"/>
      <c r="E21" s="53">
        <f t="shared" si="0"/>
        <v>0</v>
      </c>
      <c r="F21" s="53" t="s">
        <v>305</v>
      </c>
      <c r="G21" s="53"/>
      <c r="H21" s="53"/>
      <c r="I21" s="53">
        <f t="shared" si="1"/>
        <v>0</v>
      </c>
      <c r="J21" s="53"/>
      <c r="K21" s="53"/>
      <c r="L21" s="53">
        <f t="shared" si="2"/>
        <v>0</v>
      </c>
    </row>
    <row r="22" spans="2:12" x14ac:dyDescent="0.3">
      <c r="B22" s="53"/>
      <c r="C22" s="53"/>
      <c r="D22" s="53"/>
      <c r="E22" s="53">
        <f t="shared" si="0"/>
        <v>0</v>
      </c>
      <c r="F22" s="53" t="s">
        <v>307</v>
      </c>
      <c r="G22" s="53"/>
      <c r="H22" s="53"/>
      <c r="I22" s="53">
        <f t="shared" si="1"/>
        <v>0</v>
      </c>
      <c r="J22" s="53"/>
      <c r="K22" s="53"/>
      <c r="L22" s="53">
        <f t="shared" si="2"/>
        <v>0</v>
      </c>
    </row>
    <row r="23" spans="2:12" x14ac:dyDescent="0.3">
      <c r="B23" s="53"/>
      <c r="C23" s="53"/>
      <c r="D23" s="53"/>
      <c r="E23" s="53">
        <f t="shared" si="0"/>
        <v>0</v>
      </c>
      <c r="F23" s="53"/>
      <c r="G23" s="53"/>
      <c r="H23" s="53"/>
      <c r="I23" s="53">
        <f t="shared" si="1"/>
        <v>0</v>
      </c>
      <c r="J23" s="53"/>
      <c r="K23" s="53"/>
      <c r="L23" s="53">
        <f t="shared" si="2"/>
        <v>0</v>
      </c>
    </row>
    <row r="24" spans="2:12" x14ac:dyDescent="0.3">
      <c r="B24" s="53" t="s">
        <v>311</v>
      </c>
      <c r="C24" s="53"/>
      <c r="D24" s="53"/>
      <c r="E24" s="53">
        <f t="shared" si="0"/>
        <v>0</v>
      </c>
      <c r="F24" s="53" t="s">
        <v>312</v>
      </c>
      <c r="G24" s="53"/>
      <c r="H24" s="53"/>
      <c r="I24" s="53">
        <f t="shared" si="1"/>
        <v>0</v>
      </c>
      <c r="J24" s="53"/>
      <c r="K24" s="53"/>
      <c r="L24" s="53">
        <f t="shared" si="2"/>
        <v>0</v>
      </c>
    </row>
    <row r="25" spans="2:12" x14ac:dyDescent="0.3">
      <c r="B25" s="53"/>
      <c r="C25" s="53"/>
      <c r="D25" s="53"/>
      <c r="E25" s="53">
        <f>C25*D25</f>
        <v>0</v>
      </c>
      <c r="F25" s="53" t="s">
        <v>312</v>
      </c>
      <c r="G25" s="53"/>
      <c r="H25" s="53"/>
      <c r="I25" s="53">
        <f>G25*H25</f>
        <v>0</v>
      </c>
      <c r="J25" s="53"/>
      <c r="K25" s="53"/>
      <c r="L25" s="53">
        <f>J25*K25</f>
        <v>0</v>
      </c>
    </row>
    <row r="26" spans="2:12" x14ac:dyDescent="0.3">
      <c r="B26" s="53"/>
      <c r="C26" s="53"/>
      <c r="D26" s="53"/>
      <c r="E26" s="53">
        <f>C26*D26</f>
        <v>0</v>
      </c>
      <c r="F26" s="53" t="s">
        <v>312</v>
      </c>
      <c r="G26" s="53"/>
      <c r="H26" s="53"/>
      <c r="I26" s="53">
        <f>G26*H26</f>
        <v>0</v>
      </c>
      <c r="J26" s="53"/>
      <c r="K26" s="53"/>
      <c r="L26" s="53">
        <f>J26*K26</f>
        <v>0</v>
      </c>
    </row>
    <row r="27" spans="2:12" x14ac:dyDescent="0.3">
      <c r="B27" s="53"/>
      <c r="C27" s="53"/>
      <c r="D27" s="53"/>
      <c r="E27" s="53">
        <f>C27*D27</f>
        <v>0</v>
      </c>
      <c r="F27" s="53" t="s">
        <v>312</v>
      </c>
      <c r="G27" s="53"/>
      <c r="H27" s="53"/>
      <c r="I27" s="53">
        <f>G27*H27</f>
        <v>0</v>
      </c>
      <c r="J27" s="53"/>
      <c r="K27" s="53"/>
      <c r="L27" s="53">
        <f>J27*K27</f>
        <v>0</v>
      </c>
    </row>
    <row r="28" spans="2:12" x14ac:dyDescent="0.3">
      <c r="B28" s="53" t="s">
        <v>313</v>
      </c>
      <c r="C28" s="53"/>
      <c r="D28" s="53"/>
      <c r="E28" s="53">
        <f t="shared" si="0"/>
        <v>0</v>
      </c>
      <c r="F28" s="53" t="s">
        <v>312</v>
      </c>
      <c r="G28" s="53"/>
      <c r="H28" s="53"/>
      <c r="I28" s="53">
        <f t="shared" si="1"/>
        <v>0</v>
      </c>
      <c r="J28" s="53"/>
      <c r="K28" s="53"/>
      <c r="L28" s="53">
        <f t="shared" si="2"/>
        <v>0</v>
      </c>
    </row>
    <row r="29" spans="2:12" x14ac:dyDescent="0.3">
      <c r="B29" s="53" t="s">
        <v>314</v>
      </c>
      <c r="C29" s="53"/>
      <c r="D29" s="53"/>
      <c r="E29" s="53">
        <f t="shared" si="0"/>
        <v>0</v>
      </c>
      <c r="F29" s="53" t="s">
        <v>312</v>
      </c>
      <c r="G29" s="53"/>
      <c r="H29" s="53"/>
      <c r="I29" s="53">
        <f t="shared" si="1"/>
        <v>0</v>
      </c>
      <c r="J29" s="53"/>
      <c r="K29" s="53"/>
      <c r="L29" s="53">
        <f t="shared" si="2"/>
        <v>0</v>
      </c>
    </row>
    <row r="30" spans="2:12" x14ac:dyDescent="0.3">
      <c r="B30" s="53" t="s">
        <v>318</v>
      </c>
      <c r="C30" s="53"/>
      <c r="D30" s="53"/>
      <c r="E30" s="53">
        <f t="shared" si="0"/>
        <v>0</v>
      </c>
      <c r="F30" s="53"/>
      <c r="G30" s="53"/>
      <c r="H30" s="53"/>
      <c r="I30" s="53">
        <f t="shared" si="1"/>
        <v>0</v>
      </c>
      <c r="J30" s="53"/>
      <c r="K30" s="53"/>
      <c r="L30" s="53">
        <f t="shared" si="2"/>
        <v>0</v>
      </c>
    </row>
    <row r="31" spans="2:12" x14ac:dyDescent="0.3">
      <c r="B31" s="53"/>
      <c r="C31" s="53"/>
      <c r="D31" s="53"/>
      <c r="E31" s="53">
        <f>C31*D31</f>
        <v>0</v>
      </c>
      <c r="F31" s="53"/>
      <c r="G31" s="53"/>
      <c r="H31" s="53"/>
      <c r="I31" s="53">
        <f>G31*H31</f>
        <v>0</v>
      </c>
      <c r="J31" s="53"/>
      <c r="K31" s="53"/>
      <c r="L31" s="53">
        <f>J31*K31</f>
        <v>0</v>
      </c>
    </row>
    <row r="32" spans="2:12" x14ac:dyDescent="0.3">
      <c r="B32" s="53"/>
      <c r="C32" s="53"/>
      <c r="D32" s="53"/>
      <c r="E32" s="53">
        <f>C32*D32</f>
        <v>0</v>
      </c>
      <c r="F32" s="53"/>
      <c r="G32" s="53"/>
      <c r="H32" s="53"/>
      <c r="I32" s="53">
        <f>G32*H32</f>
        <v>0</v>
      </c>
      <c r="J32" s="53"/>
      <c r="K32" s="53"/>
      <c r="L32" s="53">
        <f>J32*K32</f>
        <v>0</v>
      </c>
    </row>
    <row r="33" spans="2:12" x14ac:dyDescent="0.3">
      <c r="B33" s="53" t="s">
        <v>315</v>
      </c>
      <c r="C33" s="53"/>
      <c r="D33" s="53"/>
      <c r="E33" s="53">
        <f t="shared" si="0"/>
        <v>0</v>
      </c>
      <c r="F33" s="53"/>
      <c r="G33" s="53"/>
      <c r="H33" s="53"/>
      <c r="I33" s="53">
        <f t="shared" si="1"/>
        <v>0</v>
      </c>
      <c r="J33" s="53"/>
      <c r="K33" s="53"/>
      <c r="L33" s="53">
        <f t="shared" si="2"/>
        <v>0</v>
      </c>
    </row>
    <row r="34" spans="2:12" x14ac:dyDescent="0.3">
      <c r="B34" s="53" t="s">
        <v>319</v>
      </c>
      <c r="C34" s="53"/>
      <c r="D34" s="53"/>
      <c r="E34" s="53">
        <f t="shared" si="0"/>
        <v>0</v>
      </c>
      <c r="F34" s="53"/>
      <c r="G34" s="53"/>
      <c r="H34" s="53"/>
      <c r="I34" s="53">
        <f t="shared" si="1"/>
        <v>0</v>
      </c>
      <c r="J34" s="53"/>
      <c r="K34" s="53"/>
      <c r="L34" s="53">
        <f t="shared" si="2"/>
        <v>0</v>
      </c>
    </row>
    <row r="35" spans="2:12" x14ac:dyDescent="0.3">
      <c r="B35" s="53" t="s">
        <v>316</v>
      </c>
      <c r="C35" s="53"/>
      <c r="D35" s="53"/>
      <c r="E35" s="53">
        <f t="shared" si="0"/>
        <v>0</v>
      </c>
      <c r="F35" s="53"/>
      <c r="G35" s="53"/>
      <c r="H35" s="53"/>
      <c r="I35" s="53">
        <f t="shared" si="1"/>
        <v>0</v>
      </c>
      <c r="J35" s="53"/>
      <c r="K35" s="53"/>
      <c r="L35" s="53">
        <f t="shared" si="2"/>
        <v>0</v>
      </c>
    </row>
    <row r="36" spans="2:12" x14ac:dyDescent="0.3">
      <c r="B36" s="53" t="s">
        <v>317</v>
      </c>
      <c r="C36" s="53"/>
      <c r="D36" s="53"/>
      <c r="E36" s="53">
        <f t="shared" si="0"/>
        <v>0</v>
      </c>
      <c r="F36" s="53"/>
      <c r="G36" s="53"/>
      <c r="H36" s="53"/>
      <c r="I36" s="53">
        <f t="shared" ref="I36:I41" si="3">G36*H36</f>
        <v>0</v>
      </c>
      <c r="J36" s="53"/>
      <c r="K36" s="53"/>
      <c r="L36" s="53">
        <f t="shared" ref="L36:L41" si="4">J36*K36</f>
        <v>0</v>
      </c>
    </row>
    <row r="37" spans="2:12" x14ac:dyDescent="0.3">
      <c r="B37" s="53"/>
      <c r="C37" s="53"/>
      <c r="D37" s="53"/>
      <c r="E37" s="53">
        <f>C37*D37</f>
        <v>0</v>
      </c>
      <c r="F37" s="53"/>
      <c r="G37" s="53"/>
      <c r="H37" s="53"/>
      <c r="I37" s="53">
        <f t="shared" si="3"/>
        <v>0</v>
      </c>
      <c r="J37" s="53"/>
      <c r="K37" s="53"/>
      <c r="L37" s="53">
        <f t="shared" si="4"/>
        <v>0</v>
      </c>
    </row>
    <row r="38" spans="2:12" x14ac:dyDescent="0.3">
      <c r="B38" s="53" t="s">
        <v>320</v>
      </c>
      <c r="C38" s="53"/>
      <c r="D38" s="53"/>
      <c r="E38" s="53">
        <f>C38*D38</f>
        <v>0</v>
      </c>
      <c r="F38" s="53"/>
      <c r="G38" s="53"/>
      <c r="H38" s="53"/>
      <c r="I38" s="53">
        <f t="shared" si="3"/>
        <v>0</v>
      </c>
      <c r="J38" s="53"/>
      <c r="K38" s="53"/>
      <c r="L38" s="53">
        <f t="shared" si="4"/>
        <v>0</v>
      </c>
    </row>
    <row r="39" spans="2:12" x14ac:dyDescent="0.3">
      <c r="B39" s="53"/>
      <c r="C39" s="53"/>
      <c r="D39" s="53"/>
      <c r="E39" s="53">
        <f t="shared" si="0"/>
        <v>0</v>
      </c>
      <c r="F39" s="53"/>
      <c r="G39" s="53"/>
      <c r="H39" s="53"/>
      <c r="I39" s="53">
        <f t="shared" si="3"/>
        <v>0</v>
      </c>
      <c r="J39" s="53"/>
      <c r="K39" s="53"/>
      <c r="L39" s="53">
        <f t="shared" si="4"/>
        <v>0</v>
      </c>
    </row>
    <row r="40" spans="2:12" x14ac:dyDescent="0.3">
      <c r="B40" s="53"/>
      <c r="C40" s="53"/>
      <c r="D40" s="53"/>
      <c r="E40" s="53">
        <f t="shared" si="0"/>
        <v>0</v>
      </c>
      <c r="F40" s="53"/>
      <c r="G40" s="53"/>
      <c r="H40" s="53"/>
      <c r="I40" s="53">
        <f t="shared" si="3"/>
        <v>0</v>
      </c>
      <c r="J40" s="53"/>
      <c r="K40" s="53"/>
      <c r="L40" s="53">
        <f t="shared" si="4"/>
        <v>0</v>
      </c>
    </row>
    <row r="41" spans="2:12" x14ac:dyDescent="0.3">
      <c r="B41" s="53"/>
      <c r="C41" s="53"/>
      <c r="D41" s="53"/>
      <c r="E41" s="53">
        <f t="shared" si="0"/>
        <v>0</v>
      </c>
      <c r="F41" s="53"/>
      <c r="G41" s="53"/>
      <c r="H41" s="53"/>
      <c r="I41" s="53">
        <f t="shared" si="3"/>
        <v>0</v>
      </c>
      <c r="J41" s="53"/>
      <c r="K41" s="53"/>
      <c r="L41" s="53">
        <f t="shared" si="4"/>
        <v>0</v>
      </c>
    </row>
    <row r="42" spans="2:12" x14ac:dyDescent="0.3">
      <c r="B42" s="53" t="s">
        <v>144</v>
      </c>
      <c r="C42" s="53"/>
      <c r="D42" s="53">
        <f>E42*10.764</f>
        <v>0</v>
      </c>
      <c r="E42" s="67">
        <f>SUM(E6:E41)</f>
        <v>0</v>
      </c>
      <c r="F42" s="53"/>
      <c r="G42" s="53"/>
      <c r="H42" s="53">
        <f>I42*10.764</f>
        <v>0</v>
      </c>
      <c r="I42" s="66">
        <f>SUM(I6:I41)</f>
        <v>0</v>
      </c>
      <c r="J42" s="53"/>
      <c r="K42" s="53">
        <f>L42*10.764</f>
        <v>0</v>
      </c>
      <c r="L42" s="65">
        <f>SUM(L6:L41)</f>
        <v>0</v>
      </c>
    </row>
    <row r="44" spans="2:12" x14ac:dyDescent="0.3">
      <c r="D44" s="52">
        <f>D42+H42</f>
        <v>0</v>
      </c>
      <c r="E44" s="52">
        <f>E42+I42</f>
        <v>0</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6"/>
  <sheetViews>
    <sheetView workbookViewId="0">
      <selection activeCell="A3" sqref="A3:XFD16"/>
    </sheetView>
  </sheetViews>
  <sheetFormatPr defaultRowHeight="14.4" x14ac:dyDescent="0.3"/>
  <cols>
    <col min="1" max="8" width="11.5546875" customWidth="1"/>
    <col min="9" max="10" width="21.33203125" customWidth="1"/>
  </cols>
  <sheetData>
    <row r="2" spans="1:10" ht="15" thickBot="1" x14ac:dyDescent="0.35">
      <c r="A2" s="266" t="s">
        <v>385</v>
      </c>
      <c r="B2" s="266"/>
      <c r="C2" s="266"/>
      <c r="D2" s="266"/>
      <c r="E2" s="266"/>
      <c r="F2" s="266"/>
      <c r="G2" s="266"/>
      <c r="H2" s="266"/>
    </row>
    <row r="3" spans="1:10" ht="15.6" x14ac:dyDescent="0.3">
      <c r="A3" s="276" t="s">
        <v>134</v>
      </c>
      <c r="B3" s="277"/>
      <c r="C3" s="278" t="s">
        <v>384</v>
      </c>
      <c r="D3" s="279"/>
      <c r="E3" s="279"/>
      <c r="F3" s="279"/>
      <c r="G3" s="279"/>
      <c r="H3" s="280"/>
      <c r="I3" s="48" t="str">
        <f ca="1">IF(D16=100%,"All work Completed. Possession granted to the Building.",IF(D15=100%,"All work Completed, Waiting for OC",I4&amp;""&amp;I5&amp;""&amp;J4&amp;""&amp;J3&amp;" "&amp;J5))</f>
        <v xml:space="preserve">Excavation, Plinth, RCC Slab, Brickwork Completed </v>
      </c>
      <c r="J3" s="49" t="str">
        <f ca="1">(IF(C9=(D4+F4+H4),"",IF(C9&gt;0,", RCC upto "&amp;C9&amp;" Slab","")))&amp;(IF(C10=H4,"",IF(C10&gt;0,", Brickwork upto "&amp;C10&amp;" Floor","")))&amp;(IF(C11=H4,"",IF(C11&gt;0,", Internal Plaster upto "&amp;C11&amp;" Floor","")))&amp;(IF(C12=H4,"",IF(C12&gt;0,", External Plaster upto "&amp;C12&amp;" Floor","")))&amp;(IF(C13=H4,"",IF(C13&gt;0,", Flooring upto "&amp;C13&amp;" Floor","")))&amp;(IF(C14=H4,"",IF(C14&gt;0,", Painting upto "&amp;C14&amp;" Floor","")))&amp;(IF(C15=H4,"",IF(C15&gt;0,", Finishing upto "&amp;C15&amp;" Floor","")))&amp;(IF(C16=H4,"",IF(C16&gt;0,", Possession upto "&amp;C16&amp;" Floor","")))</f>
        <v/>
      </c>
    </row>
    <row r="4" spans="1:10" ht="15.6" x14ac:dyDescent="0.3">
      <c r="A4" s="16" t="s">
        <v>136</v>
      </c>
      <c r="B4" s="46">
        <f>IF(AND(ISNUMBER(SEARCH("1B",C3))),1,IF(AND(ISNUMBER(SEARCH("2B",C3))),2,IF(AND(ISNUMBER(SEARCH("3B",C3))),3,IF(AND(ISNUMBER(SEARCH("4B",C3))),4,IF(ISNUMBER(SEARCH("5B",C3)),5,0)))))</f>
        <v>0</v>
      </c>
      <c r="C4" s="46" t="s">
        <v>67</v>
      </c>
      <c r="D4" s="46">
        <v>1</v>
      </c>
      <c r="E4" s="46" t="s">
        <v>66</v>
      </c>
      <c r="F4" s="14">
        <v>0</v>
      </c>
      <c r="G4" s="47" t="s">
        <v>75</v>
      </c>
      <c r="H4" s="17">
        <f ca="1">--TRIM(RIGHT(SUBSTITUTE(LEFT(C3,_xlfn.AGGREGATE(16,6,FIND({0,1,2,3,4,5,6,7,8,9},C3,ROW(INDIRECT("1:"&amp;LEN(C3)))),1))," ",REPT(" ",LEN(C3))),LEN(C3)))</f>
        <v>20</v>
      </c>
      <c r="I4" s="50" t="str">
        <f ca="1">IF(D7=100%,"Excavation","")&amp;IF(D8=100%,", Plinth","")&amp;IF(D9=100%,", RCC Slab","")&amp;IF(D10=100%,", Brickwork","")&amp;IF(D11=100%,", Internal Plaster","")&amp;IF(D12=100%,", External Plaster","")&amp;IF(D13=100%,", Flooring","")&amp;IF(D14=100%,", Painting","")&amp;IF(D15=100%,", Building common Amenities","")</f>
        <v>Excavation, Plinth, RCC Slab, Brickwork</v>
      </c>
      <c r="J4" s="51" t="str">
        <f ca="1">(IF(C7=0,"Work not yet Started.",IF(D7=25%,"Piling work in process",IF(D7=50%,"Excavation work in process",IF(D7=100%,"","0")))))&amp;(IF(C8=0%,"",IF(C8=J9,", Footing work is process",IF(C8=J10,", Footing work Completed",IF(C8=J11,", 1st Basement Completed",IF(C8=J12,", 1st &amp; 2nd Basement Completed",IF(C8=J13,", 1st to 3rd Basement Completed",IF(C8=J14,", 1st to 4th Basement Completed",IF(C8=J15,", Plinth work is process",IF(C8=J16,"","0"))))))))))</f>
        <v/>
      </c>
    </row>
    <row r="5" spans="1:10" ht="15.6" x14ac:dyDescent="0.3">
      <c r="A5" s="161" t="s">
        <v>85</v>
      </c>
      <c r="B5" s="162"/>
      <c r="C5" s="158" t="str">
        <f ca="1">I3</f>
        <v xml:space="preserve">Excavation, Plinth, RCC Slab, Brickwork Completed </v>
      </c>
      <c r="D5" s="158"/>
      <c r="E5" s="158"/>
      <c r="F5" s="158"/>
      <c r="G5" s="158"/>
      <c r="H5" s="159"/>
      <c r="I5" s="50" t="str">
        <f ca="1">IF(I4&lt;&gt;""," Completed","")</f>
        <v xml:space="preserve"> Completed</v>
      </c>
      <c r="J5" s="51" t="str">
        <f ca="1">IF(J3&lt;&gt;"","Completed","")</f>
        <v/>
      </c>
    </row>
    <row r="6" spans="1:10" ht="31.2" x14ac:dyDescent="0.3">
      <c r="A6" s="261" t="s">
        <v>46</v>
      </c>
      <c r="B6" s="262"/>
      <c r="C6" s="42" t="s">
        <v>133</v>
      </c>
      <c r="D6" s="42" t="s">
        <v>78</v>
      </c>
      <c r="E6" s="262" t="s">
        <v>80</v>
      </c>
      <c r="F6" s="262"/>
      <c r="G6" s="262" t="s">
        <v>79</v>
      </c>
      <c r="H6" s="263"/>
      <c r="I6" s="13" t="s">
        <v>135</v>
      </c>
      <c r="J6" s="28">
        <f ca="1">H4*25%</f>
        <v>5</v>
      </c>
    </row>
    <row r="7" spans="1:10" ht="15.6" x14ac:dyDescent="0.3">
      <c r="A7" s="261" t="s">
        <v>122</v>
      </c>
      <c r="B7" s="262"/>
      <c r="C7" s="58">
        <f ca="1">J8</f>
        <v>20</v>
      </c>
      <c r="D7" s="19">
        <f ca="1">((100/H4)*C7)/100</f>
        <v>1</v>
      </c>
      <c r="E7" s="267">
        <f ca="1">(((C8/H4*20)+(30/(D4+F4+H4)*C9)+(15/(H4)*C10)+(5/(H4)*C11)+(5/H4*C12)+(10/H4*C13)+(5/H4*C14)+(5/H4*C15)+(5/H4*C16))/100)</f>
        <v>0.65</v>
      </c>
      <c r="F7" s="268"/>
      <c r="G7" s="267">
        <f ca="1">((((C7/H4)*10)+((C8/H4)*30)+(25/(H4+F4+D4)*C9)+(15/H4*C10)+(5/H4*C11)+(5/H4*C12)+(5/H4*C13)+(0/H4*C14)+(0/H4*C15)+(5/H4*C16))/100)</f>
        <v>0.8</v>
      </c>
      <c r="H7" s="273"/>
      <c r="I7" s="13" t="s">
        <v>96</v>
      </c>
      <c r="J7" s="29">
        <f ca="1">H4*50%</f>
        <v>10</v>
      </c>
    </row>
    <row r="8" spans="1:10" ht="15.6" x14ac:dyDescent="0.3">
      <c r="A8" s="261" t="s">
        <v>47</v>
      </c>
      <c r="B8" s="262"/>
      <c r="C8" s="42">
        <v>20</v>
      </c>
      <c r="D8" s="19">
        <f ca="1">((100/H4)*C8)/100</f>
        <v>1</v>
      </c>
      <c r="E8" s="269"/>
      <c r="F8" s="270"/>
      <c r="G8" s="269"/>
      <c r="H8" s="274"/>
      <c r="I8" s="13" t="s">
        <v>97</v>
      </c>
      <c r="J8" s="29">
        <f ca="1">H4</f>
        <v>20</v>
      </c>
    </row>
    <row r="9" spans="1:10" ht="15.6" x14ac:dyDescent="0.3">
      <c r="A9" s="261" t="s">
        <v>123</v>
      </c>
      <c r="B9" s="262"/>
      <c r="C9" s="42">
        <v>21</v>
      </c>
      <c r="D9" s="19">
        <f ca="1">((100/(D4+F4+H4))*C9)/100</f>
        <v>1</v>
      </c>
      <c r="E9" s="269"/>
      <c r="F9" s="270"/>
      <c r="G9" s="269"/>
      <c r="H9" s="274"/>
      <c r="I9" s="13" t="s">
        <v>98</v>
      </c>
      <c r="J9" s="30">
        <f ca="1">(IF(B4&gt;1,(H4/(B4+2)),H4/4))</f>
        <v>5</v>
      </c>
    </row>
    <row r="10" spans="1:10" ht="15.6" x14ac:dyDescent="0.3">
      <c r="A10" s="261" t="s">
        <v>130</v>
      </c>
      <c r="B10" s="262" t="s">
        <v>124</v>
      </c>
      <c r="C10" s="42">
        <v>20</v>
      </c>
      <c r="D10" s="19">
        <f ca="1">((100/H4)*C10)/100</f>
        <v>1</v>
      </c>
      <c r="E10" s="269"/>
      <c r="F10" s="270"/>
      <c r="G10" s="269"/>
      <c r="H10" s="274"/>
      <c r="I10" s="13" t="s">
        <v>99</v>
      </c>
      <c r="J10" s="30">
        <f ca="1">(IF(B4&gt;1,(H4/(B4+2)+J9),H4/4+J9))</f>
        <v>10</v>
      </c>
    </row>
    <row r="11" spans="1:10" ht="15.6" x14ac:dyDescent="0.3">
      <c r="A11" s="261" t="s">
        <v>131</v>
      </c>
      <c r="B11" s="262" t="s">
        <v>124</v>
      </c>
      <c r="C11" s="42">
        <v>0</v>
      </c>
      <c r="D11" s="19">
        <f ca="1">((100/H4)*C11)/100</f>
        <v>0</v>
      </c>
      <c r="E11" s="269"/>
      <c r="F11" s="270"/>
      <c r="G11" s="269"/>
      <c r="H11" s="274"/>
      <c r="I11" s="13" t="s">
        <v>140</v>
      </c>
      <c r="J11" s="30">
        <f>(IF(B4&gt;1,(H4/(B4+2)+J10),0))</f>
        <v>0</v>
      </c>
    </row>
    <row r="12" spans="1:10" ht="15.6" x14ac:dyDescent="0.3">
      <c r="A12" s="261" t="s">
        <v>129</v>
      </c>
      <c r="B12" s="262" t="s">
        <v>126</v>
      </c>
      <c r="C12" s="42">
        <v>0</v>
      </c>
      <c r="D12" s="19">
        <f ca="1">((100/(H4))*C12)/100</f>
        <v>0</v>
      </c>
      <c r="E12" s="269"/>
      <c r="F12" s="270"/>
      <c r="G12" s="269"/>
      <c r="H12" s="274"/>
      <c r="I12" s="13" t="s">
        <v>137</v>
      </c>
      <c r="J12" s="30">
        <f>(IF(B4&gt;2,(H4/(B4+2)+J11),0))</f>
        <v>0</v>
      </c>
    </row>
    <row r="13" spans="1:10" ht="15.6" x14ac:dyDescent="0.3">
      <c r="A13" s="261" t="s">
        <v>125</v>
      </c>
      <c r="B13" s="262" t="s">
        <v>125</v>
      </c>
      <c r="C13" s="42">
        <v>0</v>
      </c>
      <c r="D13" s="19">
        <f ca="1">((100/H4)*C13)/100</f>
        <v>0</v>
      </c>
      <c r="E13" s="269"/>
      <c r="F13" s="270"/>
      <c r="G13" s="269"/>
      <c r="H13" s="274"/>
      <c r="I13" s="13" t="s">
        <v>138</v>
      </c>
      <c r="J13" s="31">
        <f>(IF(B4&gt;3,(H4/(B4+2)+J12),0))</f>
        <v>0</v>
      </c>
    </row>
    <row r="14" spans="1:10" ht="15.6" x14ac:dyDescent="0.3">
      <c r="A14" s="261" t="s">
        <v>132</v>
      </c>
      <c r="B14" s="262"/>
      <c r="C14" s="42">
        <v>0</v>
      </c>
      <c r="D14" s="19">
        <f ca="1">((100/H4)*C14)/100</f>
        <v>0</v>
      </c>
      <c r="E14" s="269"/>
      <c r="F14" s="270"/>
      <c r="G14" s="269"/>
      <c r="H14" s="274"/>
      <c r="I14" s="13" t="s">
        <v>139</v>
      </c>
      <c r="J14" s="30">
        <f>(IF(B4&gt;4,(H4/(B4+2)+J13),0))</f>
        <v>0</v>
      </c>
    </row>
    <row r="15" spans="1:10" ht="15.6" x14ac:dyDescent="0.3">
      <c r="A15" s="261" t="s">
        <v>127</v>
      </c>
      <c r="B15" s="262" t="s">
        <v>127</v>
      </c>
      <c r="C15" s="42">
        <v>0</v>
      </c>
      <c r="D15" s="19">
        <f ca="1">((100/(H4))*C15)/100</f>
        <v>0</v>
      </c>
      <c r="E15" s="269"/>
      <c r="F15" s="270"/>
      <c r="G15" s="269"/>
      <c r="H15" s="274"/>
      <c r="I15" s="13" t="s">
        <v>141</v>
      </c>
      <c r="J15" s="30">
        <f ca="1">(IF(B4=1,(H4/(B4+3)+J10),IF(B4=0,(H4/4+J10),IF(B4&gt;1,0))))</f>
        <v>15</v>
      </c>
    </row>
    <row r="16" spans="1:10" ht="16.2" thickBot="1" x14ac:dyDescent="0.35">
      <c r="A16" s="264" t="s">
        <v>128</v>
      </c>
      <c r="B16" s="265"/>
      <c r="C16" s="43">
        <v>0</v>
      </c>
      <c r="D16" s="20">
        <f ca="1">((100/(H4))*C16)/100</f>
        <v>0</v>
      </c>
      <c r="E16" s="271"/>
      <c r="F16" s="272"/>
      <c r="G16" s="271"/>
      <c r="H16" s="275"/>
      <c r="I16" s="15" t="s">
        <v>100</v>
      </c>
      <c r="J16" s="32">
        <f ca="1">(IF(B4&gt;1.5,(H4/(B4+2)+J10+MAX(0,J11-J10)+MAX(0,J12-J11)+MAX(0,J13-J12)+MAX(0,J14-J13)+MAX(0,J15-J14)),IF(B4=1,(H4/(B4+3)+J15),IF(B4=0,H4/4+J15))))</f>
        <v>20</v>
      </c>
    </row>
  </sheetData>
  <mergeCells count="20">
    <mergeCell ref="A16:B16"/>
    <mergeCell ref="A2:H2"/>
    <mergeCell ref="A7:B7"/>
    <mergeCell ref="E7:F16"/>
    <mergeCell ref="G7:H16"/>
    <mergeCell ref="A8:B8"/>
    <mergeCell ref="A9:B9"/>
    <mergeCell ref="A10:B10"/>
    <mergeCell ref="A11:B11"/>
    <mergeCell ref="A12:B12"/>
    <mergeCell ref="A13:B13"/>
    <mergeCell ref="A14:B14"/>
    <mergeCell ref="A3:B3"/>
    <mergeCell ref="C3:H3"/>
    <mergeCell ref="A5:B5"/>
    <mergeCell ref="C5:H5"/>
    <mergeCell ref="A6:B6"/>
    <mergeCell ref="E6:F6"/>
    <mergeCell ref="G6:H6"/>
    <mergeCell ref="A15:B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Area Calculation</vt:lpstr>
      <vt:lpstr>Construction Table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2025-10-06T06:25:35Z</cp:lastPrinted>
  <dcterms:created xsi:type="dcterms:W3CDTF">2019-07-16T09:29:46Z</dcterms:created>
  <dcterms:modified xsi:type="dcterms:W3CDTF">2025-10-06T06:26:21Z</dcterms:modified>
</cp:coreProperties>
</file>