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PF\25-26\Sep 2025\AXIS\New\Pranita\22952 - Elements Phase 2\"/>
    </mc:Choice>
  </mc:AlternateContent>
  <bookViews>
    <workbookView xWindow="-105" yWindow="-105" windowWidth="23250" windowHeight="12450" tabRatio="725"/>
  </bookViews>
  <sheets>
    <sheet name="Report" sheetId="1" r:id="rId1"/>
    <sheet name="valuation" sheetId="5" r:id="rId2"/>
    <sheet name="Research" sheetId="4" r:id="rId3"/>
    <sheet name="Remarks" sheetId="6" r:id="rId4"/>
    <sheet name="Area Calculation" sheetId="7" r:id="rId5"/>
    <sheet name="Construction Table" sheetId="8" r:id="rId6"/>
  </sheets>
  <definedNames>
    <definedName name="_xlnm.Print_Area" localSheetId="0">Report!$A$1:$H$306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8" i="1" l="1"/>
  <c r="I133" i="1"/>
  <c r="I130" i="1"/>
  <c r="K130" i="1"/>
  <c r="I108" i="1"/>
  <c r="C109" i="1"/>
  <c r="E109" i="1"/>
  <c r="C108" i="1"/>
  <c r="E108" i="1"/>
  <c r="G142" i="1"/>
  <c r="G141" i="1"/>
  <c r="E145" i="1"/>
  <c r="D145" i="1"/>
  <c r="E144" i="1"/>
  <c r="D144" i="1"/>
  <c r="E142" i="1"/>
  <c r="D142" i="1"/>
  <c r="F142" i="1" s="1"/>
  <c r="E141" i="1"/>
  <c r="D141" i="1"/>
  <c r="F141" i="1" s="1"/>
  <c r="E138" i="1"/>
  <c r="D138" i="1"/>
  <c r="F138" i="1" s="1"/>
  <c r="H138" i="1" s="1"/>
  <c r="E137" i="1"/>
  <c r="D137" i="1"/>
  <c r="F137" i="1" s="1"/>
  <c r="H137" i="1" s="1"/>
  <c r="E136" i="1"/>
  <c r="D136" i="1"/>
  <c r="E134" i="1"/>
  <c r="D134" i="1"/>
  <c r="D133" i="1"/>
  <c r="E132" i="1"/>
  <c r="D132" i="1"/>
  <c r="E131" i="1"/>
  <c r="D131" i="1"/>
  <c r="E129" i="1"/>
  <c r="D129" i="1"/>
  <c r="E127" i="1"/>
  <c r="D127" i="1"/>
  <c r="E126" i="1"/>
  <c r="D126" i="1"/>
  <c r="F144" i="1"/>
  <c r="H144" i="1" s="1"/>
  <c r="J142" i="1"/>
  <c r="F145" i="1"/>
  <c r="H145" i="1" s="1"/>
  <c r="A145" i="1"/>
  <c r="A142" i="1"/>
  <c r="A137" i="1"/>
  <c r="A138" i="1" s="1"/>
  <c r="F136" i="1"/>
  <c r="H136" i="1" s="1"/>
  <c r="I126" i="1"/>
  <c r="E43" i="1"/>
  <c r="H142" i="1" l="1"/>
  <c r="H141" i="1"/>
  <c r="C74" i="1"/>
  <c r="H4" i="8"/>
  <c r="J6" i="8" l="1"/>
  <c r="D16" i="8"/>
  <c r="D10" i="8"/>
  <c r="D11" i="8"/>
  <c r="D15" i="8"/>
  <c r="D9" i="8"/>
  <c r="J8" i="8"/>
  <c r="C7" i="8" s="1"/>
  <c r="D14" i="8"/>
  <c r="D13" i="8"/>
  <c r="J7" i="8"/>
  <c r="J3" i="8"/>
  <c r="J5" i="8" s="1"/>
  <c r="D12" i="8"/>
  <c r="B4" i="8"/>
  <c r="F116" i="1"/>
  <c r="B38" i="6"/>
  <c r="B39" i="6" s="1"/>
  <c r="B40" i="6" s="1"/>
  <c r="B41" i="6" s="1"/>
  <c r="B42" i="6" s="1"/>
  <c r="B43" i="6" s="1"/>
  <c r="B44" i="6" s="1"/>
  <c r="B45" i="6" s="1"/>
  <c r="B46" i="6" s="1"/>
  <c r="B47" i="6" s="1"/>
  <c r="B48" i="6" s="1"/>
  <c r="B49" i="6" s="1"/>
  <c r="B50" i="6" s="1"/>
  <c r="B51" i="6" s="1"/>
  <c r="B52" i="6" s="1"/>
  <c r="B53" i="6" s="1"/>
  <c r="B54" i="6" s="1"/>
  <c r="D7" i="8" l="1"/>
  <c r="J9" i="8"/>
  <c r="J10" i="8" s="1"/>
  <c r="J15" i="8" s="1"/>
  <c r="J16" i="8" s="1"/>
  <c r="E7" i="8" s="1"/>
  <c r="J14" i="8"/>
  <c r="J13" i="8"/>
  <c r="J11" i="8"/>
  <c r="J12" i="8"/>
  <c r="H116" i="1"/>
  <c r="G7" i="8" l="1"/>
  <c r="D8" i="8"/>
  <c r="I4" i="8" s="1"/>
  <c r="J4" i="8"/>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175" i="1"/>
  <c r="B150" i="1"/>
  <c r="B149" i="1"/>
  <c r="F134" i="1"/>
  <c r="H134" i="1" s="1"/>
  <c r="F133" i="1"/>
  <c r="H133" i="1" s="1"/>
  <c r="F132" i="1"/>
  <c r="H132" i="1" s="1"/>
  <c r="J132" i="1" s="1"/>
  <c r="K132" i="1" s="1"/>
  <c r="F131" i="1"/>
  <c r="H131" i="1" s="1"/>
  <c r="J131" i="1" s="1"/>
  <c r="K131" i="1" s="1"/>
  <c r="A132" i="1"/>
  <c r="A133" i="1" s="1"/>
  <c r="A134" i="1" s="1"/>
  <c r="F129" i="1"/>
  <c r="H129" i="1" s="1"/>
  <c r="F127" i="1"/>
  <c r="H127" i="1" s="1"/>
  <c r="A127" i="1"/>
  <c r="A128" i="1" s="1"/>
  <c r="A129" i="1" s="1"/>
  <c r="F126" i="1"/>
  <c r="H126" i="1" s="1"/>
  <c r="F119" i="1"/>
  <c r="H119" i="1" s="1"/>
  <c r="F118" i="1"/>
  <c r="H118" i="1" s="1"/>
  <c r="F117" i="1"/>
  <c r="H117" i="1" s="1"/>
  <c r="A117" i="1"/>
  <c r="A118" i="1" s="1"/>
  <c r="A119" i="1" s="1"/>
  <c r="E110" i="1"/>
  <c r="C110" i="1"/>
  <c r="F100" i="1"/>
  <c r="B75" i="1"/>
  <c r="D68" i="1"/>
  <c r="D63" i="1"/>
  <c r="G56" i="1"/>
  <c r="C56" i="1"/>
  <c r="C54" i="1"/>
  <c r="G51" i="1"/>
  <c r="G52" i="1" s="1"/>
  <c r="K54" i="1" s="1"/>
  <c r="C51" i="1"/>
  <c r="C52" i="1" s="1"/>
  <c r="E44" i="1"/>
  <c r="E45" i="1" s="1"/>
  <c r="S33" i="1"/>
  <c r="E31" i="1"/>
  <c r="E28" i="1"/>
  <c r="E26" i="1"/>
  <c r="C16" i="1"/>
  <c r="I15" i="1"/>
  <c r="Z13" i="1"/>
  <c r="E8" i="1"/>
  <c r="E3" i="1"/>
  <c r="J134" i="1" l="1"/>
  <c r="K134" i="1" s="1"/>
  <c r="I134" i="1"/>
  <c r="J133" i="1"/>
  <c r="K133" i="1" s="1"/>
  <c r="G109" i="1"/>
  <c r="G110" i="1" s="1"/>
  <c r="B161" i="1"/>
  <c r="I5" i="8"/>
  <c r="I3" i="8" s="1"/>
  <c r="C5" i="8" s="1"/>
  <c r="E42" i="7"/>
  <c r="J82" i="1"/>
  <c r="J83" i="1"/>
  <c r="I42" i="7"/>
  <c r="H42" i="7" s="1"/>
  <c r="L42" i="7"/>
  <c r="K42" i="7" s="1"/>
  <c r="D42" i="7"/>
  <c r="L54" i="1"/>
  <c r="J84" i="1"/>
  <c r="J85" i="1"/>
  <c r="I52" i="1"/>
  <c r="H75" i="1"/>
  <c r="D86" i="1" l="1"/>
  <c r="D80" i="1"/>
  <c r="J80" i="1"/>
  <c r="J81" i="1" s="1"/>
  <c r="J86" i="1" s="1"/>
  <c r="J87" i="1" s="1"/>
  <c r="C79" i="1" s="1"/>
  <c r="E78" i="1" s="1"/>
  <c r="J79" i="1"/>
  <c r="C78" i="1" s="1"/>
  <c r="D78" i="1" s="1"/>
  <c r="D85" i="1"/>
  <c r="D84" i="1"/>
  <c r="J74" i="1"/>
  <c r="J76" i="1" s="1"/>
  <c r="D83" i="1"/>
  <c r="D87" i="1"/>
  <c r="D81" i="1"/>
  <c r="J78" i="1"/>
  <c r="J77" i="1"/>
  <c r="D82" i="1"/>
  <c r="D44" i="7"/>
  <c r="E44" i="7"/>
  <c r="G78" i="1" l="1"/>
  <c r="D72" i="1" s="1"/>
  <c r="D73" i="1" s="1"/>
  <c r="D79" i="1"/>
  <c r="I75" i="1" s="1"/>
  <c r="I76" i="1" s="1"/>
  <c r="J75" i="1"/>
  <c r="F73" i="1" l="1"/>
  <c r="I74" i="1"/>
  <c r="C76"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<sst xmlns="http://schemas.openxmlformats.org/spreadsheetml/2006/main" count="679" uniqueCount="439">
  <si>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</si>
  <si>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</si>
  <si>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</si>
  <si>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</si>
  <si>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</si>
  <si>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</si>
  <si>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</si>
  <si>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</si>
  <si>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</si>
  <si>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</si>
  <si>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</si>
  <si>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</si>
  <si>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</si>
  <si>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</si>
  <si>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</si>
  <si>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</si>
  <si>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</si>
  <si>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</si>
  <si>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</si>
  <si>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</si>
  <si>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</si>
  <si>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</si>
  <si>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</si>
  <si>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</si>
  <si>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</si>
  <si>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</si>
  <si>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</si>
  <si>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</si>
  <si>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</si>
  <si>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</si>
  <si>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</si>
  <si>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</si>
  <si>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</si>
  <si>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</si>
  <si>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</si>
  <si>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</si>
  <si>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</si>
  <si>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</si>
  <si>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</si>
  <si>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</si>
  <si>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</si>
  <si>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</si>
  <si>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</si>
  <si>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</si>
  <si>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</si>
  <si>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</si>
  <si>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</si>
  <si>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</si>
  <si>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</si>
  <si>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</si>
  <si>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</si>
  <si>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</si>
  <si>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</si>
  <si>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</si>
  <si>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</si>
  <si>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</si>
  <si>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</si>
  <si>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</si>
  <si>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</si>
  <si>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</si>
  <si>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</si>
  <si>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</si>
  <si>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</si>
  <si>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</si>
  <si>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</si>
  <si>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</si>
  <si>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</si>
  <si>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</si>
  <si>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</si>
  <si>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</si>
  <si>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</si>
  <si>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</si>
  <si>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</si>
  <si>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</si>
  <si>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</si>
  <si>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</si>
  <si>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</si>
  <si>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</si>
  <si>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</si>
  <si>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</si>
  <si>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</si>
  <si>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</si>
  <si>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</si>
  <si>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</si>
  <si>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</si>
  <si>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</si>
  <si>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</si>
  <si>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</si>
  <si>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</si>
  <si>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</si>
  <si>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</si>
  <si>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</si>
  <si>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</si>
  <si>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</si>
  <si>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</si>
  <si>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</si>
  <si>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</si>
  <si>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</si>
  <si>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</si>
  <si>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</si>
  <si>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</si>
  <si>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</si>
  <si>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</si>
  <si>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</si>
  <si>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</si>
  <si>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</si>
  <si>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</si>
  <si>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</si>
  <si>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</si>
  <si>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</si>
  <si>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</si>
  <si>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</si>
  <si>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</si>
  <si>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</si>
  <si>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</si>
  <si>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</si>
  <si>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</si>
  <si>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</si>
  <si>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</si>
  <si>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</si>
  <si>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</si>
  <si>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</si>
  <si>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</si>
  <si>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</si>
  <si>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</si>
  <si>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</si>
  <si>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</si>
  <si>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</si>
  <si>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</si>
  <si>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</si>
  <si>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</si>
  <si>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</si>
  <si>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</si>
  <si>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</si>
  <si>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</si>
  <si>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</si>
  <si>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</si>
  <si>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</si>
  <si>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</si>
  <si>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</si>
  <si>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</si>
  <si>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</si>
  <si>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</si>
  <si>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</si>
  <si>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</si>
  <si>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</si>
  <si>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</si>
  <si>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</si>
  <si>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</si>
  <si>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</si>
  <si>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</si>
  <si>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</si>
  <si>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</si>
  <si>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</si>
  <si>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</si>
  <si>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</si>
  <si>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</si>
  <si>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</si>
  <si>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</si>
  <si>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</si>
  <si>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</si>
  <si>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</si>
  <si>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</si>
  <si>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</si>
  <si>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</si>
  <si>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</si>
  <si>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</si>
  <si>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</si>
  <si>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</si>
  <si>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</si>
  <si>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</si>
  <si>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</si>
  <si>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</si>
  <si>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</si>
  <si>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</si>
  <si>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</si>
  <si>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</si>
  <si>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</si>
  <si>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</si>
  <si>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</si>
  <si>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</si>
  <si>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</si>
  <si>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</si>
  <si>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</si>
  <si>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</si>
  <si>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</si>
  <si>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</si>
  <si>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</si>
  <si>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</si>
  <si>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</si>
  <si>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</si>
  <si>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</si>
  <si>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</si>
  <si>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</si>
  <si>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</si>
  <si>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</si>
  <si>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</si>
  <si>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</si>
  <si>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</si>
  <si>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</si>
  <si>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</si>
  <si>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</si>
  <si>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</si>
  <si>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</si>
  <si>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</si>
  <si>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</si>
  <si>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</si>
  <si>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</si>
  <si>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</si>
  <si>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</si>
  <si>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</si>
  <si>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</si>
  <si>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</si>
  <si>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</si>
  <si>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</si>
  <si>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</si>
  <si>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</si>
  <si>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</si>
  <si>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</si>
  <si>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</si>
  <si>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</si>
  <si>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</si>
  <si>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</si>
  <si>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</si>
  <si>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</si>
  <si>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</si>
  <si>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</si>
  <si>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</si>
  <si>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</si>
  <si>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</si>
  <si>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</si>
  <si>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</si>
  <si>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</si>
  <si>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</si>
  <si>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</si>
  <si>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</si>
  <si>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</si>
  <si>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</si>
  <si>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</si>
  <si>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</si>
  <si>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</si>
  <si>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</si>
  <si>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</si>
  <si>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</si>
  <si>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</si>
  <si>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</si>
  <si>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</si>
  <si>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</si>
  <si>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</si>
  <si>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</si>
  <si>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</si>
  <si>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</si>
  <si>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</si>
  <si>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</si>
  <si>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</si>
  <si>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</si>
  <si>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</si>
  <si>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</si>
  <si>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</si>
  <si>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</si>
  <si>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</si>
  <si>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</si>
  <si>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</si>
  <si>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</si>
  <si>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</si>
  <si>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</si>
  <si>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</si>
  <si>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</si>
  <si>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</si>
  <si>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</si>
  <si>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</si>
  <si>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</si>
  <si>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</si>
  <si>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</si>
  <si>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</si>
  <si>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</si>
  <si>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</si>
  <si>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</si>
  <si>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</si>
  <si>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</si>
  <si>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</si>
  <si>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</si>
  <si>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</si>
  <si>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</si>
  <si>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</si>
  <si>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</si>
  <si>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</si>
  <si>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</si>
  <si>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</si>
  <si>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</si>
  <si>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</si>
  <si>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</si>
  <si>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</si>
  <si>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</si>
  <si>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</si>
  <si>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</si>
  <si>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</si>
  <si>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</si>
  <si>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</si>
  <si>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</si>
  <si>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</si>
  <si>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</si>
  <si>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</si>
  <si>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</si>
  <si>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</si>
  <si>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</si>
  <si>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</si>
  <si>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</si>
  <si>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</si>
  <si>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</si>
  <si>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</si>
  <si>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</si>
  <si>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</si>
  <si>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</si>
  <si>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</si>
  <si>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</si>
  <si>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</si>
  <si>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</si>
  <si>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</si>
  <si>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</si>
  <si>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</si>
  <si>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</si>
  <si>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</si>
  <si>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</si>
  <si>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</si>
  <si>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</si>
  <si>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</si>
  <si>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</si>
  <si>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</si>
  <si>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</si>
  <si>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</si>
  <si>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</si>
  <si>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</si>
  <si>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</si>
  <si>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</si>
  <si>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</si>
  <si>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</si>
  <si>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</si>
  <si>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</si>
  <si>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</si>
  <si>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</si>
  <si>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</si>
  <si>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</si>
  <si>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</si>
  <si>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</si>
  <si>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</si>
  <si>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</si>
  <si>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</si>
  <si>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</si>
  <si>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</si>
  <si>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</si>
  <si>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</si>
  <si>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</si>
  <si>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</si>
  <si>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</si>
  <si>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</si>
  <si>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</si>
  <si>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</si>
  <si>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</si>
  <si>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</si>
  <si>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</si>
  <si>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</si>
  <si>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</si>
  <si>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</si>
  <si>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</si>
  <si>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</si>
  <si>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</si>
  <si>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</si>
  <si>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</si>
  <si>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</si>
  <si>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</si>
  <si>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</si>
  <si>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</si>
  <si>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</si>
  <si>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</si>
  <si>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</si>
  <si>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</si>
  <si>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</si>
  <si>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</si>
  <si>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</si>
  <si>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</si>
  <si>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</si>
  <si>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As per visit dtd 13/08/2025, we have observed that construction work of Shop no. 1, 2, 3, 6, 7, 8 from Building No. 1 and Shop no. 11, 12, 13, 16, 17 from Building No. 2 are Completed.Therefore it can be considered as Progress 100% and Disbursement 100%.</t>
  </si>
  <si>
    <t>Remark if shops construction is asked</t>
  </si>
  <si>
    <t>Truhome Finance</t>
  </si>
  <si>
    <t>Truhome Vasai</t>
  </si>
  <si>
    <t>Ground + 20th Floor</t>
  </si>
  <si>
    <t xml:space="preserve">Jio Finance Table </t>
  </si>
  <si>
    <t>Elements Phase 2</t>
  </si>
  <si>
    <t>Uma Realty</t>
  </si>
  <si>
    <t>Mr. Rohit Shah 8108106393</t>
  </si>
  <si>
    <t>Ms. Jyoti 8291910095</t>
  </si>
  <si>
    <t>P51700079654</t>
  </si>
  <si>
    <t>Approved Plans, CC, Builder Profile, Cost Sheet</t>
  </si>
  <si>
    <t>Survey No</t>
  </si>
  <si>
    <t>28, H. No.12 &amp; 8</t>
  </si>
  <si>
    <t>Diaghar</t>
  </si>
  <si>
    <t>5.2 KM from Nilaje
Railway Station</t>
  </si>
  <si>
    <t>Elements Road</t>
  </si>
  <si>
    <t>Nilaje West</t>
  </si>
  <si>
    <t>Green woods</t>
  </si>
  <si>
    <t>19.145278,73.058694</t>
  </si>
  <si>
    <t>https://maps.app.goo.gl/pavtewbNy7UGCE278</t>
  </si>
  <si>
    <t>Pranita Mhatre</t>
  </si>
  <si>
    <t>Gangaram parshuram Lambore</t>
  </si>
  <si>
    <t>Elements (Building A, B &amp; C)</t>
  </si>
  <si>
    <t>Open Plot</t>
  </si>
  <si>
    <t>Internal Road</t>
  </si>
  <si>
    <t>LAGU H.No.13</t>
  </si>
  <si>
    <t>LAGU H.No.27</t>
  </si>
  <si>
    <t>LAGU H.No.7 (25 Mt Wide DP Road)</t>
  </si>
  <si>
    <t>12 Mt Wide Right of Way</t>
  </si>
  <si>
    <t xml:space="preserve">TMCB/B/2025/APL/01255 </t>
  </si>
  <si>
    <t>Building A = Stilt + 1st to 17th Floor</t>
  </si>
  <si>
    <t>Building A (Akash)</t>
  </si>
  <si>
    <t>Building A (Akash) = Gr + 1st to 17th Floor</t>
  </si>
  <si>
    <t>Building A (Akash) = Gr + 1st to 22nd Floor</t>
  </si>
  <si>
    <t>As per RERA - 31/03/2029</t>
  </si>
  <si>
    <r>
      <t xml:space="preserve">Proposed Amenities :                                                                                                                                                                                                                         </t>
    </r>
    <r>
      <rPr>
        <b/>
        <sz val="12"/>
        <rFont val="Times New Roman"/>
        <family val="1"/>
      </rPr>
      <t xml:space="preserve">                                               </t>
    </r>
  </si>
  <si>
    <t>Construction work is in process at the time of Visit (labour found)</t>
  </si>
  <si>
    <t>Ground Floor For Meter Room, Telecom Room &amp; Parking</t>
  </si>
  <si>
    <t xml:space="preserve">Details of Residential in Building   </t>
  </si>
  <si>
    <t>2BHK</t>
  </si>
  <si>
    <t>3BHK</t>
  </si>
  <si>
    <t>S.D + Balcony Area</t>
  </si>
  <si>
    <t>Fitness Center Area</t>
  </si>
  <si>
    <t>1st Floor For Residential &amp; (Part Fitness Center Area)</t>
  </si>
  <si>
    <t>2nd to 6th, 8th to 11th, 13th to 15th Floor For Residential</t>
  </si>
  <si>
    <t>1BHK</t>
  </si>
  <si>
    <t>7th &amp; 12th Floor For Part Refuge Area</t>
  </si>
  <si>
    <t>-</t>
  </si>
  <si>
    <t>Refuge Area</t>
  </si>
  <si>
    <t>16th Floor</t>
  </si>
  <si>
    <t>Rooftop Childern's Play Area, Grand Entrance Foyer, Roof Top - Open Air Gymnasium, Childerns Play Area, Sit Out Area, CCTV Camera, High Speed Elevators, Drivers Room etc.</t>
  </si>
  <si>
    <t>17th Floor For Part Refuge Area</t>
  </si>
  <si>
    <t>We considered Gross carpet area = Net carpet + S.D + Balcony Area</t>
  </si>
  <si>
    <t>Please check for Fire NOC.</t>
  </si>
  <si>
    <t>Maintenance Charges (For 6 Month)</t>
  </si>
  <si>
    <t>Flats - 61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</si>
</sst>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85">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2" xfId="0" applyBorder="1" applyAlignment="1">
      <alignment vertical="top"/>
    </xf>
    <xf numFmtId="0" fontId="0" fillId="0" borderId="33" xfId="0" applyBorder="1" applyAlignment="1">
      <alignment vertical="top" wrapText="1"/>
    </xf>
    <xf numFmtId="0" fontId="0" fillId="0" borderId="34"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3"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7" fillId="0" borderId="0" xfId="1" applyNumberFormat="1" applyFont="1"/>
    <xf numFmtId="0" fontId="0" fillId="0" borderId="35" xfId="0" applyBorder="1" applyAlignment="1">
      <alignment vertical="top" wrapText="1"/>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1" fontId="7" fillId="0" borderId="1" xfId="1" applyNumberFormat="1" applyFont="1" applyBorder="1" applyAlignment="1">
      <alignment horizontal="center" vertical="center"/>
    </xf>
    <xf numFmtId="1" fontId="12" fillId="0" borderId="1" xfId="0" applyNumberFormat="1" applyFont="1" applyBorder="1" applyAlignment="1" applyProtection="1">
      <alignment horizontal="center" vertical="center" wrapText="1"/>
      <protection locked="0"/>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0" fontId="10" fillId="0" borderId="0" xfId="1" applyFont="1" applyAlignment="1">
      <alignment horizontal="center" vertical="center"/>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1" xfId="1" applyNumberFormat="1"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7" fillId="0" borderId="0" xfId="1" applyFont="1" applyAlignment="1">
      <alignment horizontal="center" vertical="center"/>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37" xfId="0" applyNumberFormat="1" applyFont="1" applyBorder="1" applyAlignment="1" applyProtection="1">
      <alignment horizontal="center" vertical="top" wrapText="1"/>
      <protection locked="0"/>
    </xf>
    <xf numFmtId="1" fontId="8" fillId="0" borderId="38"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10" fillId="0" borderId="37" xfId="0"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1" fontId="12"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5" fillId="0" borderId="25" xfId="1" applyFont="1" applyBorder="1" applyAlignment="1" applyProtection="1">
      <alignment horizontal="left" vertical="top" wrapText="1"/>
      <protection locked="0"/>
    </xf>
    <xf numFmtId="0" fontId="15" fillId="0" borderId="26" xfId="1" applyFont="1" applyBorder="1" applyAlignment="1" applyProtection="1">
      <alignment horizontal="left" vertical="top" wrapText="1"/>
      <protection locked="0"/>
    </xf>
    <xf numFmtId="0" fontId="6" fillId="0" borderId="17" xfId="1" applyFont="1" applyBorder="1" applyAlignment="1" applyProtection="1">
      <alignment horizontal="center" vertical="top" wrapText="1"/>
      <protection locked="0"/>
    </xf>
    <xf numFmtId="0" fontId="6" fillId="0" borderId="24" xfId="1" applyFont="1" applyBorder="1" applyAlignment="1" applyProtection="1">
      <alignment horizontal="center" vertical="top" wrapText="1"/>
      <protection locked="0"/>
    </xf>
    <xf numFmtId="0" fontId="6" fillId="0" borderId="18" xfId="1" applyFont="1" applyBorder="1" applyAlignment="1" applyProtection="1">
      <alignment horizontal="center" vertical="top" wrapText="1"/>
      <protection locked="0"/>
    </xf>
    <xf numFmtId="0" fontId="6" fillId="0" borderId="19" xfId="1" applyFont="1" applyBorder="1" applyAlignment="1" applyProtection="1">
      <alignment horizontal="center" vertical="top" wrapText="1"/>
      <protection locked="0"/>
    </xf>
    <xf numFmtId="0" fontId="6" fillId="0" borderId="2" xfId="1" applyFont="1" applyBorder="1" applyAlignment="1" applyProtection="1">
      <alignment horizontal="center" vertical="top" wrapText="1"/>
      <protection locked="0"/>
    </xf>
    <xf numFmtId="0" fontId="6" fillId="0" borderId="20" xfId="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0" fillId="0" borderId="37" xfId="0"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3" fillId="0" borderId="1" xfId="1" applyFont="1" applyBorder="1" applyAlignment="1" applyProtection="1">
      <alignment vertical="top"/>
      <protection locked="0"/>
    </xf>
    <xf numFmtId="1" fontId="8" fillId="0" borderId="36" xfId="0" applyNumberFormat="1" applyFont="1" applyBorder="1" applyAlignment="1" applyProtection="1">
      <alignment horizontal="center" vertical="center" wrapText="1"/>
      <protection locked="0"/>
    </xf>
    <xf numFmtId="1" fontId="8" fillId="0" borderId="37"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0" fontId="13" fillId="0" borderId="16" xfId="1" applyFont="1" applyBorder="1" applyAlignment="1" applyProtection="1">
      <alignment horizontal="center" vertical="top"/>
      <protection locked="0"/>
    </xf>
    <xf numFmtId="0" fontId="6" fillId="0" borderId="1" xfId="1" applyFont="1" applyBorder="1" applyAlignment="1" applyProtection="1">
      <alignment vertical="top"/>
      <protection locked="0"/>
    </xf>
    <xf numFmtId="1" fontId="10" fillId="0" borderId="1" xfId="0" applyNumberFormat="1" applyFont="1" applyBorder="1" applyAlignment="1" applyProtection="1">
      <alignment horizontal="center" vertical="center"/>
      <protection locked="0"/>
    </xf>
    <xf numFmtId="1" fontId="8" fillId="3" borderId="8" xfId="1" applyNumberFormat="1" applyFont="1" applyFill="1" applyBorder="1" applyAlignment="1" applyProtection="1">
      <alignment horizontal="center" vertical="center" wrapText="1"/>
      <protection locked="0"/>
    </xf>
    <xf numFmtId="1" fontId="8" fillId="3" borderId="21" xfId="1" applyNumberFormat="1" applyFont="1" applyFill="1" applyBorder="1" applyAlignment="1" applyProtection="1">
      <alignment horizontal="center" vertical="center" wrapText="1"/>
      <protection locked="0"/>
    </xf>
    <xf numFmtId="1" fontId="8" fillId="3" borderId="9" xfId="1" applyNumberFormat="1" applyFont="1" applyFill="1" applyBorder="1" applyAlignment="1" applyProtection="1">
      <alignment horizontal="center" vertical="center"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1" fontId="6" fillId="0" borderId="1" xfId="1" applyNumberFormat="1" applyFont="1" applyFill="1" applyBorder="1" applyAlignment="1" applyProtection="1">
      <alignment horizontal="center" vertical="center" wrapText="1"/>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0" fillId="0" borderId="25" xfId="0" applyBorder="1" applyAlignment="1">
      <alignment horizontal="left" vertical="top" wrapText="1"/>
    </xf>
    <xf numFmtId="0" fontId="0" fillId="0" borderId="0" xfId="0" applyAlignment="1">
      <alignment horizontal="left" vertical="top" wrapText="1"/>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0" fillId="0" borderId="11" xfId="0" applyBorder="1" applyAlignment="1">
      <alignment horizontal="center"/>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8</xdr:col>
      <xdr:colOff>234203</xdr:colOff>
      <xdr:row>16</xdr:row>
      <xdr:rowOff>34739</xdr:rowOff>
    </xdr:from>
    <xdr:to>
      <xdr:col>18</xdr:col>
      <xdr:colOff>270117</xdr:colOff>
      <xdr:row>29</xdr:row>
      <xdr:rowOff>706</xdr:rowOff>
    </xdr:to>
    <xdr:pic>
      <xdr:nvPicPr>
        <xdr:cNvPr id="2" name="Picture 1"/>
        <xdr:cNvPicPr>
          <a:picLocks noChangeAspect="1"/>
        </xdr:cNvPicPr>
      </xdr:nvPicPr>
      <xdr:blipFill>
        <a:blip xmlns:r="http://schemas.openxmlformats.org/officeDocument/2006/relationships" r:embed="rId1"/>
        <a:stretch>
          <a:fillRect/>
        </a:stretch>
      </xdr:blipFill>
      <xdr:spPr>
        <a:xfrm>
          <a:off x="6549278" y="3854264"/>
          <a:ext cx="8075014" cy="2785367"/>
        </a:xfrm>
        <a:prstGeom prst="rect">
          <a:avLst/>
        </a:prstGeom>
      </xdr:spPr>
    </xdr:pic>
    <xdr:clientData/>
  </xdr:twoCellAnchor>
  <xdr:twoCellAnchor>
    <xdr:from>
      <xdr:col>1</xdr:col>
      <xdr:colOff>416297</xdr:colOff>
      <xdr:row>218</xdr:row>
      <xdr:rowOff>199396</xdr:rowOff>
    </xdr:from>
    <xdr:to>
      <xdr:col>6</xdr:col>
      <xdr:colOff>56029</xdr:colOff>
      <xdr:row>260</xdr:row>
      <xdr:rowOff>143433</xdr:rowOff>
    </xdr:to>
    <xdr:grpSp>
      <xdr:nvGrpSpPr>
        <xdr:cNvPr id="13" name="Group 12"/>
        <xdr:cNvGrpSpPr/>
      </xdr:nvGrpSpPr>
      <xdr:grpSpPr>
        <a:xfrm>
          <a:off x="1178297" y="39588072"/>
          <a:ext cx="3729879" cy="8415685"/>
          <a:chOff x="1178297" y="59075102"/>
          <a:chExt cx="3729879" cy="8415684"/>
        </a:xfrm>
      </xdr:grpSpPr>
      <xdr:pic>
        <xdr:nvPicPr>
          <xdr:cNvPr id="5" name="Picture 4"/>
          <xdr:cNvPicPr>
            <a:picLocks noChangeAspect="1"/>
          </xdr:cNvPicPr>
        </xdr:nvPicPr>
        <xdr:blipFill>
          <a:blip xmlns:r="http://schemas.openxmlformats.org/officeDocument/2006/relationships" r:embed="rId2"/>
          <a:stretch>
            <a:fillRect/>
          </a:stretch>
        </xdr:blipFill>
        <xdr:spPr>
          <a:xfrm>
            <a:off x="1178297" y="64932099"/>
            <a:ext cx="3729879" cy="2558687"/>
          </a:xfrm>
          <a:prstGeom prst="rect">
            <a:avLst/>
          </a:prstGeom>
          <a:ln>
            <a:solidFill>
              <a:schemeClr val="tx1"/>
            </a:solidFill>
          </a:ln>
        </xdr:spPr>
      </xdr:pic>
      <xdr:pic>
        <xdr:nvPicPr>
          <xdr:cNvPr id="6" name="Picture 5"/>
          <xdr:cNvPicPr>
            <a:picLocks noChangeAspect="1"/>
          </xdr:cNvPicPr>
        </xdr:nvPicPr>
        <xdr:blipFill>
          <a:blip xmlns:r="http://schemas.openxmlformats.org/officeDocument/2006/relationships" r:embed="rId3"/>
          <a:stretch>
            <a:fillRect/>
          </a:stretch>
        </xdr:blipFill>
        <xdr:spPr>
          <a:xfrm>
            <a:off x="1221441" y="59075102"/>
            <a:ext cx="3568144" cy="5706104"/>
          </a:xfrm>
          <a:prstGeom prst="rect">
            <a:avLst/>
          </a:prstGeom>
          <a:ln>
            <a:solidFill>
              <a:schemeClr val="tx1"/>
            </a:solidFill>
          </a:ln>
        </xdr:spPr>
      </xdr:pic>
      <xdr:grpSp>
        <xdr:nvGrpSpPr>
          <xdr:cNvPr id="7" name="Group 6"/>
          <xdr:cNvGrpSpPr/>
        </xdr:nvGrpSpPr>
        <xdr:grpSpPr>
          <a:xfrm rot="5400000">
            <a:off x="4112558" y="63411779"/>
            <a:ext cx="497545" cy="655384"/>
            <a:chOff x="141426" y="-157281"/>
            <a:chExt cx="474784" cy="1083380"/>
          </a:xfrm>
        </xdr:grpSpPr>
        <xdr:sp macro="" textlink="">
          <xdr:nvSpPr>
            <xdr:cNvPr id="8" name="Right Arrow 7"/>
            <xdr:cNvSpPr/>
          </xdr:nvSpPr>
          <xdr:spPr>
            <a:xfrm rot="16200000">
              <a:off x="215550" y="630633"/>
              <a:ext cx="386861" cy="204072"/>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r"/>
              <a:endParaRPr lang="en-IN" sz="1400"/>
            </a:p>
          </xdr:txBody>
        </xdr:sp>
        <xdr:sp macro="" textlink="">
          <xdr:nvSpPr>
            <xdr:cNvPr id="9" name="TextBox 7"/>
            <xdr:cNvSpPr txBox="1"/>
          </xdr:nvSpPr>
          <xdr:spPr>
            <a:xfrm>
              <a:off x="141426" y="-157281"/>
              <a:ext cx="474784" cy="76315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2400" b="1">
                  <a:latin typeface="Times New Roman" panose="02020603050405020304" pitchFamily="18" charset="0"/>
                  <a:cs typeface="Times New Roman" panose="02020603050405020304" pitchFamily="18" charset="0"/>
                </a:rPr>
                <a:t>N</a:t>
              </a:r>
              <a:endParaRPr lang="en-IN" sz="2400" b="1">
                <a:latin typeface="Times New Roman" panose="02020603050405020304" pitchFamily="18" charset="0"/>
                <a:cs typeface="Times New Roman" panose="02020603050405020304" pitchFamily="18" charset="0"/>
              </a:endParaRPr>
            </a:p>
          </xdr:txBody>
        </xdr:sp>
      </xdr:grpSp>
      <xdr:grpSp>
        <xdr:nvGrpSpPr>
          <xdr:cNvPr id="10" name="Group 9"/>
          <xdr:cNvGrpSpPr/>
        </xdr:nvGrpSpPr>
        <xdr:grpSpPr>
          <a:xfrm rot="5400000">
            <a:off x="1568823" y="65115076"/>
            <a:ext cx="497545" cy="655384"/>
            <a:chOff x="141426" y="-157281"/>
            <a:chExt cx="474784" cy="1083380"/>
          </a:xfrm>
        </xdr:grpSpPr>
        <xdr:sp macro="" textlink="">
          <xdr:nvSpPr>
            <xdr:cNvPr id="11" name="Right Arrow 10"/>
            <xdr:cNvSpPr/>
          </xdr:nvSpPr>
          <xdr:spPr>
            <a:xfrm rot="16200000">
              <a:off x="215550" y="630633"/>
              <a:ext cx="386861" cy="204072"/>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r"/>
              <a:endParaRPr lang="en-IN" sz="1400"/>
            </a:p>
          </xdr:txBody>
        </xdr:sp>
        <xdr:sp macro="" textlink="">
          <xdr:nvSpPr>
            <xdr:cNvPr id="12" name="TextBox 7"/>
            <xdr:cNvSpPr txBox="1"/>
          </xdr:nvSpPr>
          <xdr:spPr>
            <a:xfrm>
              <a:off x="141426" y="-157281"/>
              <a:ext cx="474784" cy="76315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2400" b="1">
                  <a:latin typeface="Times New Roman" panose="02020603050405020304" pitchFamily="18" charset="0"/>
                  <a:cs typeface="Times New Roman" panose="02020603050405020304" pitchFamily="18" charset="0"/>
                </a:rPr>
                <a:t>N</a:t>
              </a:r>
              <a:endParaRPr lang="en-IN" sz="2400" b="1">
                <a:latin typeface="Times New Roman" panose="02020603050405020304" pitchFamily="18" charset="0"/>
                <a:cs typeface="Times New Roman" panose="02020603050405020304" pitchFamily="18" charset="0"/>
              </a:endParaRPr>
            </a:p>
          </xdr:txBody>
        </xdr:sp>
      </xdr:grpSp>
    </xdr:grpSp>
    <xdr:clientData/>
  </xdr:twoCellAnchor>
  <xdr:twoCellAnchor>
    <xdr:from>
      <xdr:col>0</xdr:col>
      <xdr:colOff>196664</xdr:colOff>
      <xdr:row>263</xdr:row>
      <xdr:rowOff>147028</xdr:rowOff>
    </xdr:from>
    <xdr:to>
      <xdr:col>7</xdr:col>
      <xdr:colOff>387165</xdr:colOff>
      <xdr:row>302</xdr:row>
      <xdr:rowOff>179292</xdr:rowOff>
    </xdr:to>
    <xdr:grpSp>
      <xdr:nvGrpSpPr>
        <xdr:cNvPr id="16" name="Group 15"/>
        <xdr:cNvGrpSpPr/>
      </xdr:nvGrpSpPr>
      <xdr:grpSpPr>
        <a:xfrm>
          <a:off x="196664" y="48612469"/>
          <a:ext cx="5771030" cy="7898794"/>
          <a:chOff x="196664" y="67302419"/>
          <a:chExt cx="5772979" cy="7782155"/>
        </a:xfrm>
      </xdr:grpSpPr>
      <xdr:pic>
        <xdr:nvPicPr>
          <xdr:cNvPr id="3" name="Picture 2"/>
          <xdr:cNvPicPr>
            <a:picLocks noChangeAspect="1"/>
          </xdr:cNvPicPr>
        </xdr:nvPicPr>
        <xdr:blipFill rotWithShape="1">
          <a:blip xmlns:r="http://schemas.openxmlformats.org/officeDocument/2006/relationships" r:embed="rId4"/>
          <a:srcRect l="9266" t="7743" r="2238" b="8477"/>
          <a:stretch/>
        </xdr:blipFill>
        <xdr:spPr>
          <a:xfrm>
            <a:off x="196664" y="67302419"/>
            <a:ext cx="5772979" cy="4026968"/>
          </a:xfrm>
          <a:prstGeom prst="rect">
            <a:avLst/>
          </a:prstGeom>
          <a:ln>
            <a:solidFill>
              <a:schemeClr val="tx1"/>
            </a:solidFill>
          </a:ln>
        </xdr:spPr>
      </xdr:pic>
      <xdr:pic>
        <xdr:nvPicPr>
          <xdr:cNvPr id="4" name="Picture 3"/>
          <xdr:cNvPicPr>
            <a:picLocks noChangeAspect="1"/>
          </xdr:cNvPicPr>
        </xdr:nvPicPr>
        <xdr:blipFill rotWithShape="1">
          <a:blip xmlns:r="http://schemas.openxmlformats.org/officeDocument/2006/relationships" r:embed="rId5"/>
          <a:srcRect l="6152" t="2827" r="8464" b="9416"/>
          <a:stretch/>
        </xdr:blipFill>
        <xdr:spPr>
          <a:xfrm>
            <a:off x="410656" y="71441239"/>
            <a:ext cx="5366331" cy="3643335"/>
          </a:xfrm>
          <a:prstGeom prst="rect">
            <a:avLst/>
          </a:prstGeom>
          <a:ln>
            <a:solidFill>
              <a:schemeClr val="tx1"/>
            </a:solidFill>
          </a:ln>
        </xdr:spPr>
      </xdr:pic>
      <xdr:sp macro="" textlink="">
        <xdr:nvSpPr>
          <xdr:cNvPr id="14" name="Freeform 13"/>
          <xdr:cNvSpPr/>
        </xdr:nvSpPr>
        <xdr:spPr>
          <a:xfrm>
            <a:off x="2268291" y="69746134"/>
            <a:ext cx="969637" cy="456686"/>
          </a:xfrm>
          <a:custGeom>
            <a:avLst/>
            <a:gdLst>
              <a:gd name="connsiteX0" fmla="*/ 0 w 965638"/>
              <a:gd name="connsiteY0" fmla="*/ 223345 h 387569"/>
              <a:gd name="connsiteX1" fmla="*/ 729155 w 965638"/>
              <a:gd name="connsiteY1" fmla="*/ 0 h 387569"/>
              <a:gd name="connsiteX2" fmla="*/ 965638 w 965638"/>
              <a:gd name="connsiteY2" fmla="*/ 387569 h 387569"/>
              <a:gd name="connsiteX3" fmla="*/ 0 w 965638"/>
              <a:gd name="connsiteY3" fmla="*/ 295604 h 387569"/>
              <a:gd name="connsiteX4" fmla="*/ 0 w 965638"/>
              <a:gd name="connsiteY4" fmla="*/ 223345 h 38756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65638" h="387569">
                <a:moveTo>
                  <a:pt x="0" y="223345"/>
                </a:moveTo>
                <a:lnTo>
                  <a:pt x="729155" y="0"/>
                </a:lnTo>
                <a:lnTo>
                  <a:pt x="965638" y="387569"/>
                </a:lnTo>
                <a:lnTo>
                  <a:pt x="0" y="295604"/>
                </a:lnTo>
                <a:lnTo>
                  <a:pt x="0" y="223345"/>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5" name="Rectangle 14"/>
          <xdr:cNvSpPr/>
        </xdr:nvSpPr>
        <xdr:spPr>
          <a:xfrm rot="20445847">
            <a:off x="2020955" y="69474520"/>
            <a:ext cx="1906163" cy="29880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FF00"/>
                </a:solidFill>
                <a:latin typeface="Times New Roman" panose="02020603050405020304" pitchFamily="18" charset="0"/>
                <a:cs typeface="Times New Roman" panose="02020603050405020304" pitchFamily="18" charset="0"/>
              </a:rPr>
              <a:t>Elements Phase 2</a:t>
            </a:r>
            <a:endParaRPr lang="en-IN" sz="1400" b="1">
              <a:solidFill>
                <a:srgbClr val="FFFF00"/>
              </a:solidFill>
              <a:latin typeface="Times New Roman" panose="02020603050405020304" pitchFamily="18" charset="0"/>
              <a:cs typeface="Times New Roman" panose="02020603050405020304" pitchFamily="18" charset="0"/>
            </a:endParaRPr>
          </a:p>
        </xdr:txBody>
      </xdr:sp>
    </xdr:grpSp>
    <xdr:clientData/>
  </xdr:twoCellAnchor>
  <xdr:twoCellAnchor editAs="oneCell">
    <xdr:from>
      <xdr:col>8</xdr:col>
      <xdr:colOff>847725</xdr:colOff>
      <xdr:row>1</xdr:row>
      <xdr:rowOff>180975</xdr:rowOff>
    </xdr:from>
    <xdr:to>
      <xdr:col>14</xdr:col>
      <xdr:colOff>210191</xdr:colOff>
      <xdr:row>15</xdr:row>
      <xdr:rowOff>400470</xdr:rowOff>
    </xdr:to>
    <xdr:pic>
      <xdr:nvPicPr>
        <xdr:cNvPr id="17" name="Picture 16"/>
        <xdr:cNvPicPr>
          <a:picLocks noChangeAspect="1"/>
        </xdr:cNvPicPr>
      </xdr:nvPicPr>
      <xdr:blipFill>
        <a:blip xmlns:r="http://schemas.openxmlformats.org/officeDocument/2006/relationships" r:embed="rId6"/>
        <a:stretch>
          <a:fillRect/>
        </a:stretch>
      </xdr:blipFill>
      <xdr:spPr>
        <a:xfrm>
          <a:off x="7162800" y="771525"/>
          <a:ext cx="4591691" cy="3010320"/>
        </a:xfrm>
        <a:prstGeom prst="rect">
          <a:avLst/>
        </a:prstGeom>
      </xdr:spPr>
    </xdr:pic>
    <xdr:clientData/>
  </xdr:twoCellAnchor>
  <xdr:twoCellAnchor editAs="oneCell">
    <xdr:from>
      <xdr:col>8</xdr:col>
      <xdr:colOff>200025</xdr:colOff>
      <xdr:row>49</xdr:row>
      <xdr:rowOff>104775</xdr:rowOff>
    </xdr:from>
    <xdr:to>
      <xdr:col>11</xdr:col>
      <xdr:colOff>905347</xdr:colOff>
      <xdr:row>70</xdr:row>
      <xdr:rowOff>105223</xdr:rowOff>
    </xdr:to>
    <xdr:pic>
      <xdr:nvPicPr>
        <xdr:cNvPr id="18" name="Picture 17"/>
        <xdr:cNvPicPr>
          <a:picLocks noChangeAspect="1"/>
        </xdr:cNvPicPr>
      </xdr:nvPicPr>
      <xdr:blipFill>
        <a:blip xmlns:r="http://schemas.openxmlformats.org/officeDocument/2006/relationships" r:embed="rId7"/>
        <a:stretch>
          <a:fillRect/>
        </a:stretch>
      </xdr:blipFill>
      <xdr:spPr>
        <a:xfrm>
          <a:off x="6515100" y="10963275"/>
          <a:ext cx="3381847" cy="3210373"/>
        </a:xfrm>
        <a:prstGeom prst="rect">
          <a:avLst/>
        </a:prstGeom>
      </xdr:spPr>
    </xdr:pic>
    <xdr:clientData/>
  </xdr:twoCellAnchor>
  <xdr:twoCellAnchor>
    <xdr:from>
      <xdr:col>0</xdr:col>
      <xdr:colOff>114300</xdr:colOff>
      <xdr:row>175</xdr:row>
      <xdr:rowOff>161924</xdr:rowOff>
    </xdr:from>
    <xdr:to>
      <xdr:col>7</xdr:col>
      <xdr:colOff>504825</xdr:colOff>
      <xdr:row>213</xdr:row>
      <xdr:rowOff>34018</xdr:rowOff>
    </xdr:to>
    <xdr:grpSp>
      <xdr:nvGrpSpPr>
        <xdr:cNvPr id="19" name="Group 18"/>
        <xdr:cNvGrpSpPr/>
      </xdr:nvGrpSpPr>
      <xdr:grpSpPr>
        <a:xfrm>
          <a:off x="114300" y="30877248"/>
          <a:ext cx="5971054" cy="7536917"/>
          <a:chOff x="173903" y="109132"/>
          <a:chExt cx="6272219" cy="8210276"/>
        </a:xfrm>
      </xdr:grpSpPr>
      <xdr:pic>
        <xdr:nvPicPr>
          <xdr:cNvPr id="20" name="Picture 19" descr="https://vsjcllp.vsjadon.com/upload/insp-249031-1525.jpg"/>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b="8651"/>
          <a:stretch/>
        </xdr:blipFill>
        <xdr:spPr bwMode="auto">
          <a:xfrm>
            <a:off x="5125491" y="6556730"/>
            <a:ext cx="1320631" cy="173576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49031-845.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3903" y="6556731"/>
            <a:ext cx="2348371" cy="176267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49031-847.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653851" y="6556731"/>
            <a:ext cx="2340940" cy="176267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49031-862.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86998" y="109132"/>
            <a:ext cx="5414821" cy="406434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49031-87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58238" y="4272647"/>
            <a:ext cx="2877714" cy="21600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49031-860.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352516" y="4272647"/>
            <a:ext cx="2877714" cy="21600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11</xdr:col>
      <xdr:colOff>749267</xdr:colOff>
      <xdr:row>122</xdr:row>
      <xdr:rowOff>128411</xdr:rowOff>
    </xdr:from>
    <xdr:to>
      <xdr:col>20</xdr:col>
      <xdr:colOff>56837</xdr:colOff>
      <xdr:row>145</xdr:row>
      <xdr:rowOff>195647</xdr:rowOff>
    </xdr:to>
    <xdr:pic>
      <xdr:nvPicPr>
        <xdr:cNvPr id="26" name="Picture 25"/>
        <xdr:cNvPicPr>
          <a:picLocks noChangeAspect="1"/>
        </xdr:cNvPicPr>
      </xdr:nvPicPr>
      <xdr:blipFill>
        <a:blip xmlns:r="http://schemas.openxmlformats.org/officeDocument/2006/relationships" r:embed="rId14"/>
        <a:stretch>
          <a:fillRect/>
        </a:stretch>
      </xdr:blipFill>
      <xdr:spPr>
        <a:xfrm>
          <a:off x="9736385" y="21161852"/>
          <a:ext cx="6109540" cy="4706471"/>
        </a:xfrm>
        <a:prstGeom prst="rect">
          <a:avLst/>
        </a:prstGeom>
      </xdr:spPr>
    </xdr:pic>
    <xdr:clientData/>
  </xdr:twoCellAnchor>
  <xdr:twoCellAnchor editAs="oneCell">
    <xdr:from>
      <xdr:col>20</xdr:col>
      <xdr:colOff>576303</xdr:colOff>
      <xdr:row>107</xdr:row>
      <xdr:rowOff>176892</xdr:rowOff>
    </xdr:from>
    <xdr:to>
      <xdr:col>30</xdr:col>
      <xdr:colOff>442028</xdr:colOff>
      <xdr:row>138</xdr:row>
      <xdr:rowOff>77662</xdr:rowOff>
    </xdr:to>
    <xdr:pic>
      <xdr:nvPicPr>
        <xdr:cNvPr id="27" name="Picture 26"/>
        <xdr:cNvPicPr>
          <a:picLocks noChangeAspect="1"/>
        </xdr:cNvPicPr>
      </xdr:nvPicPr>
      <xdr:blipFill>
        <a:blip xmlns:r="http://schemas.openxmlformats.org/officeDocument/2006/relationships" r:embed="rId15"/>
        <a:stretch>
          <a:fillRect/>
        </a:stretch>
      </xdr:blipFill>
      <xdr:spPr>
        <a:xfrm>
          <a:off x="16374196" y="19757571"/>
          <a:ext cx="5988939" cy="4785734"/>
        </a:xfrm>
        <a:prstGeom prst="rect">
          <a:avLst/>
        </a:prstGeom>
      </xdr:spPr>
    </xdr:pic>
    <xdr:clientData/>
  </xdr:twoCellAnchor>
  <xdr:twoCellAnchor editAs="oneCell">
    <xdr:from>
      <xdr:col>9</xdr:col>
      <xdr:colOff>419099</xdr:colOff>
      <xdr:row>48</xdr:row>
      <xdr:rowOff>272862</xdr:rowOff>
    </xdr:from>
    <xdr:to>
      <xdr:col>16</xdr:col>
      <xdr:colOff>173864</xdr:colOff>
      <xdr:row>71</xdr:row>
      <xdr:rowOff>100852</xdr:rowOff>
    </xdr:to>
    <xdr:pic>
      <xdr:nvPicPr>
        <xdr:cNvPr id="28" name="Picture 27"/>
        <xdr:cNvPicPr>
          <a:picLocks noChangeAspect="1"/>
        </xdr:cNvPicPr>
      </xdr:nvPicPr>
      <xdr:blipFill>
        <a:blip xmlns:r="http://schemas.openxmlformats.org/officeDocument/2006/relationships" r:embed="rId16"/>
        <a:stretch>
          <a:fillRect/>
        </a:stretch>
      </xdr:blipFill>
      <xdr:spPr>
        <a:xfrm>
          <a:off x="7893423" y="10772774"/>
          <a:ext cx="5413735" cy="3682813"/>
        </a:xfrm>
        <a:prstGeom prst="rect">
          <a:avLst/>
        </a:prstGeom>
      </xdr:spPr>
    </xdr:pic>
    <xdr:clientData/>
  </xdr:twoCellAnchor>
  <xdr:twoCellAnchor editAs="oneCell">
    <xdr:from>
      <xdr:col>19</xdr:col>
      <xdr:colOff>263704</xdr:colOff>
      <xdr:row>139</xdr:row>
      <xdr:rowOff>184952</xdr:rowOff>
    </xdr:from>
    <xdr:to>
      <xdr:col>25</xdr:col>
      <xdr:colOff>605896</xdr:colOff>
      <xdr:row>156</xdr:row>
      <xdr:rowOff>106819</xdr:rowOff>
    </xdr:to>
    <xdr:pic>
      <xdr:nvPicPr>
        <xdr:cNvPr id="29" name="Picture 28"/>
        <xdr:cNvPicPr>
          <a:picLocks noChangeAspect="1"/>
        </xdr:cNvPicPr>
      </xdr:nvPicPr>
      <xdr:blipFill>
        <a:blip xmlns:r="http://schemas.openxmlformats.org/officeDocument/2006/relationships" r:embed="rId17"/>
        <a:stretch>
          <a:fillRect/>
        </a:stretch>
      </xdr:blipFill>
      <xdr:spPr>
        <a:xfrm>
          <a:off x="15340418" y="24854702"/>
          <a:ext cx="4124978" cy="3391688"/>
        </a:xfrm>
        <a:prstGeom prst="rect">
          <a:avLst/>
        </a:prstGeom>
      </xdr:spPr>
    </xdr:pic>
    <xdr:clientData/>
  </xdr:twoCellAnchor>
  <xdr:twoCellAnchor editAs="oneCell">
    <xdr:from>
      <xdr:col>11</xdr:col>
      <xdr:colOff>299357</xdr:colOff>
      <xdr:row>88</xdr:row>
      <xdr:rowOff>182494</xdr:rowOff>
    </xdr:from>
    <xdr:to>
      <xdr:col>19</xdr:col>
      <xdr:colOff>137539</xdr:colOff>
      <xdr:row>122</xdr:row>
      <xdr:rowOff>40983</xdr:rowOff>
    </xdr:to>
    <xdr:pic>
      <xdr:nvPicPr>
        <xdr:cNvPr id="30" name="Picture 29"/>
        <xdr:cNvPicPr>
          <a:picLocks noChangeAspect="1"/>
        </xdr:cNvPicPr>
      </xdr:nvPicPr>
      <xdr:blipFill>
        <a:blip xmlns:r="http://schemas.openxmlformats.org/officeDocument/2006/relationships" r:embed="rId18"/>
        <a:stretch>
          <a:fillRect/>
        </a:stretch>
      </xdr:blipFill>
      <xdr:spPr>
        <a:xfrm>
          <a:off x="9280071" y="18334423"/>
          <a:ext cx="5934182" cy="2906489"/>
        </a:xfrm>
        <a:prstGeom prst="rect">
          <a:avLst/>
        </a:prstGeom>
      </xdr:spPr>
    </xdr:pic>
    <xdr:clientData/>
  </xdr:twoCellAnchor>
  <xdr:twoCellAnchor editAs="oneCell">
    <xdr:from>
      <xdr:col>11</xdr:col>
      <xdr:colOff>272142</xdr:colOff>
      <xdr:row>91</xdr:row>
      <xdr:rowOff>81642</xdr:rowOff>
    </xdr:from>
    <xdr:to>
      <xdr:col>19</xdr:col>
      <xdr:colOff>44361</xdr:colOff>
      <xdr:row>125</xdr:row>
      <xdr:rowOff>83486</xdr:rowOff>
    </xdr:to>
    <xdr:pic>
      <xdr:nvPicPr>
        <xdr:cNvPr id="31" name="Picture 30"/>
        <xdr:cNvPicPr>
          <a:picLocks noChangeAspect="1"/>
        </xdr:cNvPicPr>
      </xdr:nvPicPr>
      <xdr:blipFill>
        <a:blip xmlns:r="http://schemas.openxmlformats.org/officeDocument/2006/relationships" r:embed="rId19"/>
        <a:stretch>
          <a:fillRect/>
        </a:stretch>
      </xdr:blipFill>
      <xdr:spPr>
        <a:xfrm>
          <a:off x="9252856" y="18437678"/>
          <a:ext cx="5868219" cy="3458058"/>
        </a:xfrm>
        <a:prstGeom prst="rect">
          <a:avLst/>
        </a:prstGeom>
      </xdr:spPr>
    </xdr:pic>
    <xdr:clientData/>
  </xdr:twoCellAnchor>
  <xdr:twoCellAnchor editAs="oneCell">
    <xdr:from>
      <xdr:col>17</xdr:col>
      <xdr:colOff>210291</xdr:colOff>
      <xdr:row>141</xdr:row>
      <xdr:rowOff>32163</xdr:rowOff>
    </xdr:from>
    <xdr:to>
      <xdr:col>27</xdr:col>
      <xdr:colOff>252743</xdr:colOff>
      <xdr:row>169</xdr:row>
      <xdr:rowOff>123627</xdr:rowOff>
    </xdr:to>
    <xdr:pic>
      <xdr:nvPicPr>
        <xdr:cNvPr id="32" name="Picture 31"/>
        <xdr:cNvPicPr>
          <a:picLocks noChangeAspect="1"/>
        </xdr:cNvPicPr>
      </xdr:nvPicPr>
      <xdr:blipFill>
        <a:blip xmlns:r="http://schemas.openxmlformats.org/officeDocument/2006/relationships" r:embed="rId20"/>
        <a:stretch>
          <a:fillRect/>
        </a:stretch>
      </xdr:blipFill>
      <xdr:spPr>
        <a:xfrm>
          <a:off x="13926291" y="25472572"/>
          <a:ext cx="6328952" cy="4871282"/>
        </a:xfrm>
        <a:prstGeom prst="rect">
          <a:avLst/>
        </a:prstGeom>
      </xdr:spPr>
    </xdr:pic>
    <xdr:clientData/>
  </xdr:twoCellAnchor>
  <xdr:twoCellAnchor editAs="oneCell">
    <xdr:from>
      <xdr:col>17</xdr:col>
      <xdr:colOff>110459</xdr:colOff>
      <xdr:row>99</xdr:row>
      <xdr:rowOff>4801</xdr:rowOff>
    </xdr:from>
    <xdr:to>
      <xdr:col>26</xdr:col>
      <xdr:colOff>602545</xdr:colOff>
      <xdr:row>126</xdr:row>
      <xdr:rowOff>186227</xdr:rowOff>
    </xdr:to>
    <xdr:pic>
      <xdr:nvPicPr>
        <xdr:cNvPr id="33" name="Picture 32"/>
        <xdr:cNvPicPr>
          <a:picLocks noChangeAspect="1"/>
        </xdr:cNvPicPr>
      </xdr:nvPicPr>
      <xdr:blipFill>
        <a:blip xmlns:r="http://schemas.openxmlformats.org/officeDocument/2006/relationships" r:embed="rId21"/>
        <a:stretch>
          <a:fillRect/>
        </a:stretch>
      </xdr:blipFill>
      <xdr:spPr>
        <a:xfrm>
          <a:off x="13853673" y="18973158"/>
          <a:ext cx="6220693" cy="3229426"/>
        </a:xfrm>
        <a:prstGeom prst="rect">
          <a:avLst/>
        </a:prstGeom>
      </xdr:spPr>
    </xdr:pic>
    <xdr:clientData/>
  </xdr:twoCellAnchor>
  <xdr:twoCellAnchor editAs="oneCell">
    <xdr:from>
      <xdr:col>17</xdr:col>
      <xdr:colOff>555493</xdr:colOff>
      <xdr:row>135</xdr:row>
      <xdr:rowOff>159139</xdr:rowOff>
    </xdr:from>
    <xdr:to>
      <xdr:col>29</xdr:col>
      <xdr:colOff>121799</xdr:colOff>
      <xdr:row>153</xdr:row>
      <xdr:rowOff>178356</xdr:rowOff>
    </xdr:to>
    <xdr:pic>
      <xdr:nvPicPr>
        <xdr:cNvPr id="34" name="Picture 33"/>
        <xdr:cNvPicPr>
          <a:picLocks noChangeAspect="1"/>
        </xdr:cNvPicPr>
      </xdr:nvPicPr>
      <xdr:blipFill>
        <a:blip xmlns:r="http://schemas.openxmlformats.org/officeDocument/2006/relationships" r:embed="rId22"/>
        <a:stretch>
          <a:fillRect/>
        </a:stretch>
      </xdr:blipFill>
      <xdr:spPr>
        <a:xfrm>
          <a:off x="14271493" y="24352639"/>
          <a:ext cx="7065079" cy="3552126"/>
        </a:xfrm>
        <a:prstGeom prst="rect">
          <a:avLst/>
        </a:prstGeom>
      </xdr:spPr>
    </xdr:pic>
    <xdr:clientData/>
  </xdr:twoCellAnchor>
  <xdr:twoCellAnchor editAs="oneCell">
    <xdr:from>
      <xdr:col>10</xdr:col>
      <xdr:colOff>78440</xdr:colOff>
      <xdr:row>83</xdr:row>
      <xdr:rowOff>199737</xdr:rowOff>
    </xdr:from>
    <xdr:to>
      <xdr:col>19</xdr:col>
      <xdr:colOff>487909</xdr:colOff>
      <xdr:row>121</xdr:row>
      <xdr:rowOff>15363</xdr:rowOff>
    </xdr:to>
    <xdr:pic>
      <xdr:nvPicPr>
        <xdr:cNvPr id="35" name="Picture 34"/>
        <xdr:cNvPicPr>
          <a:picLocks noChangeAspect="1"/>
        </xdr:cNvPicPr>
      </xdr:nvPicPr>
      <xdr:blipFill>
        <a:blip xmlns:r="http://schemas.openxmlformats.org/officeDocument/2006/relationships" r:embed="rId23"/>
        <a:stretch>
          <a:fillRect/>
        </a:stretch>
      </xdr:blipFill>
      <xdr:spPr>
        <a:xfrm>
          <a:off x="8314764" y="17187855"/>
          <a:ext cx="7245057" cy="36592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pavtewbNy7UGCE27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63"/>
  <sheetViews>
    <sheetView tabSelected="1" view="pageBreakPreview" topLeftCell="A62" zoomScale="85" zoomScaleNormal="100" zoomScaleSheetLayoutView="85" zoomScalePageLayoutView="85" workbookViewId="0">
      <selection activeCell="K73" sqref="K73"/>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26" t="s">
        <v>375</v>
      </c>
      <c r="B1" s="226"/>
      <c r="C1" s="226"/>
      <c r="D1" s="226"/>
      <c r="E1" s="226"/>
      <c r="F1" s="226"/>
      <c r="G1" s="226"/>
      <c r="H1" s="226"/>
    </row>
    <row r="2" spans="1:26" ht="16.5" customHeight="1" x14ac:dyDescent="0.25">
      <c r="A2" s="227" t="s">
        <v>0</v>
      </c>
      <c r="B2" s="227"/>
      <c r="C2" s="227"/>
      <c r="D2" s="227"/>
      <c r="E2" s="227"/>
      <c r="F2" s="227"/>
      <c r="G2" s="227"/>
      <c r="H2" s="227"/>
    </row>
    <row r="3" spans="1:26" x14ac:dyDescent="0.25">
      <c r="A3" s="182" t="s">
        <v>1</v>
      </c>
      <c r="B3" s="182"/>
      <c r="C3" s="182"/>
      <c r="D3" s="182"/>
      <c r="E3" s="182" t="str">
        <f ca="1">TEXT(TODAY(),"DD/MM/YYYY")</f>
        <v>27/09/2025</v>
      </c>
      <c r="F3" s="182"/>
      <c r="G3" s="182"/>
      <c r="H3" s="182"/>
      <c r="K3" s="56" t="s">
        <v>232</v>
      </c>
      <c r="L3" s="54" t="s">
        <v>230</v>
      </c>
      <c r="M3" s="54" t="s">
        <v>235</v>
      </c>
      <c r="N3" s="54" t="s">
        <v>384</v>
      </c>
      <c r="O3" s="54" t="s">
        <v>352</v>
      </c>
      <c r="P3" s="54" t="s">
        <v>378</v>
      </c>
    </row>
    <row r="4" spans="1:26" ht="15" customHeight="1" x14ac:dyDescent="0.25">
      <c r="A4" s="182" t="s">
        <v>229</v>
      </c>
      <c r="B4" s="182"/>
      <c r="C4" s="182"/>
      <c r="D4" s="182"/>
      <c r="E4" s="182" t="s">
        <v>230</v>
      </c>
      <c r="F4" s="182"/>
      <c r="G4" s="182"/>
      <c r="H4" s="182"/>
      <c r="K4" s="53" t="s">
        <v>231</v>
      </c>
      <c r="L4" s="54" t="s">
        <v>167</v>
      </c>
      <c r="M4" s="54" t="s">
        <v>240</v>
      </c>
      <c r="N4" s="54" t="s">
        <v>385</v>
      </c>
      <c r="O4" s="54" t="s">
        <v>337</v>
      </c>
      <c r="P4" s="54" t="s">
        <v>379</v>
      </c>
    </row>
    <row r="5" spans="1:26" ht="15" customHeight="1" x14ac:dyDescent="0.25">
      <c r="A5" s="182" t="s">
        <v>2</v>
      </c>
      <c r="B5" s="182"/>
      <c r="C5" s="182"/>
      <c r="D5" s="182"/>
      <c r="E5" s="182" t="s">
        <v>238</v>
      </c>
      <c r="F5" s="182"/>
      <c r="G5" s="182"/>
      <c r="H5" s="182"/>
      <c r="K5" s="53"/>
      <c r="L5" s="54" t="s">
        <v>237</v>
      </c>
      <c r="M5" s="54" t="s">
        <v>241</v>
      </c>
      <c r="N5" s="54" t="s">
        <v>243</v>
      </c>
      <c r="O5" s="54" t="s">
        <v>338</v>
      </c>
      <c r="P5" s="54"/>
    </row>
    <row r="6" spans="1:26" x14ac:dyDescent="0.25">
      <c r="A6" s="182" t="s">
        <v>3</v>
      </c>
      <c r="B6" s="182"/>
      <c r="C6" s="182"/>
      <c r="D6" s="182"/>
      <c r="E6" s="228">
        <v>45926</v>
      </c>
      <c r="F6" s="182"/>
      <c r="G6" s="182"/>
      <c r="H6" s="182"/>
      <c r="K6" s="53"/>
      <c r="L6" s="54" t="s">
        <v>238</v>
      </c>
      <c r="M6" s="54" t="s">
        <v>350</v>
      </c>
      <c r="N6" s="54"/>
      <c r="O6" s="54" t="s">
        <v>339</v>
      </c>
      <c r="P6" s="54"/>
    </row>
    <row r="7" spans="1:26" ht="16.5" customHeight="1" x14ac:dyDescent="0.25">
      <c r="A7" s="182" t="s">
        <v>4</v>
      </c>
      <c r="B7" s="182"/>
      <c r="C7" s="182"/>
      <c r="D7" s="182"/>
      <c r="E7" s="182" t="s">
        <v>389</v>
      </c>
      <c r="F7" s="182"/>
      <c r="G7" s="182"/>
      <c r="H7" s="182"/>
      <c r="K7" s="53"/>
      <c r="L7" s="54" t="s">
        <v>239</v>
      </c>
      <c r="M7" s="54"/>
      <c r="N7" s="54"/>
      <c r="O7" s="54" t="s">
        <v>339</v>
      </c>
      <c r="P7" s="54"/>
    </row>
    <row r="8" spans="1:26" ht="15" customHeight="1" x14ac:dyDescent="0.25">
      <c r="A8" s="182" t="s">
        <v>5</v>
      </c>
      <c r="B8" s="182"/>
      <c r="C8" s="182"/>
      <c r="D8" s="182"/>
      <c r="E8" s="182" t="str">
        <f>E7</f>
        <v>Uma Realty</v>
      </c>
      <c r="F8" s="182"/>
      <c r="G8" s="182"/>
      <c r="H8" s="182"/>
      <c r="K8" s="53"/>
      <c r="L8" s="54"/>
      <c r="M8" s="54"/>
      <c r="N8" s="54"/>
      <c r="O8" s="54" t="s">
        <v>340</v>
      </c>
      <c r="P8" s="54"/>
    </row>
    <row r="9" spans="1:26" x14ac:dyDescent="0.25">
      <c r="A9" s="182" t="s">
        <v>6</v>
      </c>
      <c r="B9" s="182"/>
      <c r="C9" s="182"/>
      <c r="D9" s="182"/>
      <c r="E9" s="201" t="s">
        <v>388</v>
      </c>
      <c r="F9" s="201"/>
      <c r="G9" s="201"/>
      <c r="H9" s="201"/>
      <c r="K9" s="53"/>
      <c r="L9" s="54"/>
      <c r="M9" s="54"/>
      <c r="N9" s="54"/>
      <c r="O9" s="54" t="s">
        <v>341</v>
      </c>
      <c r="P9" s="54"/>
    </row>
    <row r="10" spans="1:26" x14ac:dyDescent="0.25">
      <c r="A10" s="182" t="s">
        <v>164</v>
      </c>
      <c r="B10" s="182"/>
      <c r="C10" s="182"/>
      <c r="D10" s="182"/>
      <c r="E10" s="182" t="s">
        <v>390</v>
      </c>
      <c r="F10" s="182"/>
      <c r="G10" s="182"/>
      <c r="H10" s="182"/>
      <c r="K10" s="53"/>
      <c r="L10" s="54"/>
      <c r="M10" s="54"/>
      <c r="N10" s="54"/>
      <c r="O10" s="54" t="s">
        <v>342</v>
      </c>
      <c r="P10" s="54"/>
    </row>
    <row r="11" spans="1:26" x14ac:dyDescent="0.25">
      <c r="A11" s="182" t="s">
        <v>165</v>
      </c>
      <c r="B11" s="182"/>
      <c r="C11" s="182"/>
      <c r="D11" s="182"/>
      <c r="E11" s="182" t="s">
        <v>391</v>
      </c>
      <c r="F11" s="182"/>
      <c r="G11" s="182"/>
      <c r="H11" s="182"/>
      <c r="O11" s="54" t="s">
        <v>343</v>
      </c>
    </row>
    <row r="12" spans="1:26" x14ac:dyDescent="0.25">
      <c r="A12" s="182" t="s">
        <v>7</v>
      </c>
      <c r="B12" s="182"/>
      <c r="C12" s="182"/>
      <c r="D12" s="182"/>
      <c r="E12" s="182" t="s">
        <v>414</v>
      </c>
      <c r="F12" s="182"/>
      <c r="G12" s="182"/>
      <c r="H12" s="182"/>
    </row>
    <row r="13" spans="1:26" x14ac:dyDescent="0.25">
      <c r="A13" s="182" t="s">
        <v>168</v>
      </c>
      <c r="B13" s="182"/>
      <c r="C13" s="182"/>
      <c r="D13" s="182"/>
      <c r="E13" s="182" t="s">
        <v>28</v>
      </c>
      <c r="F13" s="182"/>
      <c r="G13" s="182"/>
      <c r="H13" s="182"/>
      <c r="S13" s="54" t="s">
        <v>176</v>
      </c>
      <c r="T13" s="54" t="s">
        <v>185</v>
      </c>
      <c r="U13" s="54" t="s">
        <v>169</v>
      </c>
      <c r="V13" s="54" t="s">
        <v>190</v>
      </c>
      <c r="W13" s="54" t="s">
        <v>208</v>
      </c>
      <c r="X13"/>
      <c r="Y13" t="s">
        <v>190</v>
      </c>
      <c r="Z13" t="e">
        <f ca="1">OFFSET($S$13,1,MATCH($G20,$S$13:$W$13,0)-1,15,1)</f>
        <v>#VALUE!</v>
      </c>
    </row>
    <row r="14" spans="1:26" x14ac:dyDescent="0.25">
      <c r="A14" s="182" t="s">
        <v>275</v>
      </c>
      <c r="B14" s="182"/>
      <c r="C14" s="182"/>
      <c r="D14" s="182"/>
      <c r="E14" s="152" t="s">
        <v>393</v>
      </c>
      <c r="F14" s="152"/>
      <c r="G14" s="152"/>
      <c r="H14" s="152"/>
      <c r="S14" s="54" t="s">
        <v>176</v>
      </c>
      <c r="T14" s="54" t="s">
        <v>183</v>
      </c>
      <c r="U14" s="54" t="s">
        <v>205</v>
      </c>
      <c r="V14" s="54" t="s">
        <v>191</v>
      </c>
      <c r="W14" s="54" t="s">
        <v>209</v>
      </c>
      <c r="X14"/>
      <c r="Y14"/>
      <c r="Z14"/>
    </row>
    <row r="15" spans="1:26" x14ac:dyDescent="0.25">
      <c r="A15" s="138" t="s">
        <v>8</v>
      </c>
      <c r="B15" s="138"/>
      <c r="C15" s="138"/>
      <c r="D15" s="138"/>
      <c r="E15" s="152" t="s">
        <v>392</v>
      </c>
      <c r="F15" s="182"/>
      <c r="G15" s="182"/>
      <c r="H15" s="182"/>
      <c r="I15" s="243" t="e">
        <f ca="1">OFFSET($D$5,1,MATCH($J13,$D$5:$H$5,0)-1,15,1)</f>
        <v>#N/A</v>
      </c>
      <c r="J15" s="244"/>
      <c r="K15" s="244"/>
      <c r="L15" s="244"/>
      <c r="M15" s="244"/>
      <c r="N15" s="244"/>
      <c r="O15" s="244"/>
      <c r="P15" s="244"/>
      <c r="S15" s="54" t="s">
        <v>177</v>
      </c>
      <c r="T15" s="54" t="s">
        <v>184</v>
      </c>
      <c r="U15" s="54" t="s">
        <v>206</v>
      </c>
      <c r="V15" s="54" t="s">
        <v>192</v>
      </c>
      <c r="W15" s="54" t="s">
        <v>222</v>
      </c>
      <c r="X15"/>
      <c r="Y15"/>
      <c r="Z15"/>
    </row>
    <row r="16" spans="1:26" ht="34.5" customHeight="1" x14ac:dyDescent="0.25">
      <c r="A16" s="152" t="s">
        <v>9</v>
      </c>
      <c r="B16" s="152"/>
      <c r="C16" s="152" t="str">
        <f>CONCATENATE((IF(OR(E9="",E9="NA"),"",E9)),", ",(IF(OR(A17="",A17="NA"),"",A17)),".",(IF(OR(C17="",C17="NA"),"",C17)),", near ",(IF(OR(C22="",C22="NA"),"",C22)),", ",(IF(OR(C19="",C19="NA"),"",C19)),", ",(IF(OR(C18="",C18="NA"),"",C18)),", ",(IF(OR(G19="",G19="NA"),"",G19)),", ",(IF(OR(C20="",C20="NA"),"",C20)),", ",(IF(OR(C21="",C21="NA"),"",C21)),", ",(IF(OR(G20="",G20="NA"),"",G20))," - ",(IF(OR(G21="",G21="NA"),"",G21)),".")</f>
        <v>Elements Phase 2, Survey No.28, H. No.12 &amp; 8, near Green woods, Elements Road, Diaghar, Diaghar, Nilaje West, Thane, Thane - 421204.</v>
      </c>
      <c r="D16" s="152"/>
      <c r="E16" s="152"/>
      <c r="F16" s="152"/>
      <c r="G16" s="152"/>
      <c r="H16" s="152"/>
      <c r="S16" s="54" t="s">
        <v>178</v>
      </c>
      <c r="T16" s="54" t="s">
        <v>186</v>
      </c>
      <c r="U16" s="54" t="s">
        <v>207</v>
      </c>
      <c r="V16" s="54" t="s">
        <v>193</v>
      </c>
      <c r="W16" s="54" t="s">
        <v>210</v>
      </c>
      <c r="X16"/>
      <c r="Y16"/>
      <c r="Z16"/>
    </row>
    <row r="17" spans="1:26" x14ac:dyDescent="0.25">
      <c r="A17" s="152" t="s">
        <v>394</v>
      </c>
      <c r="B17" s="152"/>
      <c r="C17" s="152" t="s">
        <v>395</v>
      </c>
      <c r="D17" s="152"/>
      <c r="E17" s="152"/>
      <c r="F17" s="152"/>
      <c r="G17" s="152"/>
      <c r="H17" s="152"/>
      <c r="S17" s="54" t="s">
        <v>179</v>
      </c>
      <c r="T17" s="54" t="s">
        <v>187</v>
      </c>
      <c r="U17" s="54" t="s">
        <v>169</v>
      </c>
      <c r="V17" s="54" t="s">
        <v>194</v>
      </c>
      <c r="W17" s="54" t="s">
        <v>211</v>
      </c>
      <c r="X17"/>
      <c r="Y17"/>
      <c r="Z17"/>
    </row>
    <row r="18" spans="1:26" ht="15.75" customHeight="1" x14ac:dyDescent="0.25">
      <c r="A18" s="152" t="s">
        <v>160</v>
      </c>
      <c r="B18" s="152"/>
      <c r="C18" s="152" t="s">
        <v>396</v>
      </c>
      <c r="D18" s="152"/>
      <c r="E18" s="152"/>
      <c r="F18" s="152"/>
      <c r="G18" s="152"/>
      <c r="H18" s="152"/>
      <c r="S18" s="54" t="s">
        <v>180</v>
      </c>
      <c r="T18" s="54" t="s">
        <v>185</v>
      </c>
      <c r="U18" s="54"/>
      <c r="V18" s="54" t="s">
        <v>195</v>
      </c>
      <c r="W18" s="54" t="s">
        <v>212</v>
      </c>
      <c r="X18"/>
      <c r="Y18"/>
      <c r="Z18"/>
    </row>
    <row r="19" spans="1:26" ht="15.75" customHeight="1" x14ac:dyDescent="0.25">
      <c r="A19" s="167" t="s">
        <v>10</v>
      </c>
      <c r="B19" s="167"/>
      <c r="C19" s="182" t="s">
        <v>398</v>
      </c>
      <c r="D19" s="182"/>
      <c r="E19" s="152" t="s">
        <v>69</v>
      </c>
      <c r="F19" s="152"/>
      <c r="G19" s="152" t="s">
        <v>396</v>
      </c>
      <c r="H19" s="152"/>
      <c r="S19" s="54" t="s">
        <v>181</v>
      </c>
      <c r="T19" s="54" t="s">
        <v>188</v>
      </c>
      <c r="U19" s="54"/>
      <c r="V19" s="54" t="s">
        <v>196</v>
      </c>
      <c r="W19" s="54" t="s">
        <v>213</v>
      </c>
      <c r="X19"/>
      <c r="Y19"/>
      <c r="Z19"/>
    </row>
    <row r="20" spans="1:26" x14ac:dyDescent="0.25">
      <c r="A20" s="138" t="s">
        <v>12</v>
      </c>
      <c r="B20" s="138"/>
      <c r="C20" s="152" t="s">
        <v>399</v>
      </c>
      <c r="D20" s="152"/>
      <c r="E20" s="152" t="s">
        <v>11</v>
      </c>
      <c r="F20" s="152"/>
      <c r="G20" s="224" t="s">
        <v>176</v>
      </c>
      <c r="H20" s="224"/>
      <c r="S20" s="54" t="s">
        <v>182</v>
      </c>
      <c r="T20" s="54" t="s">
        <v>189</v>
      </c>
      <c r="U20" s="54"/>
      <c r="V20" s="54" t="s">
        <v>197</v>
      </c>
      <c r="W20" s="54" t="s">
        <v>214</v>
      </c>
      <c r="X20"/>
      <c r="Y20"/>
      <c r="Z20"/>
    </row>
    <row r="21" spans="1:26" x14ac:dyDescent="0.25">
      <c r="A21" s="138" t="s">
        <v>70</v>
      </c>
      <c r="B21" s="138"/>
      <c r="C21" s="152" t="s">
        <v>176</v>
      </c>
      <c r="D21" s="152"/>
      <c r="E21" s="152" t="s">
        <v>13</v>
      </c>
      <c r="F21" s="152"/>
      <c r="G21" s="152">
        <v>421204</v>
      </c>
      <c r="H21" s="152"/>
      <c r="S21" s="54"/>
      <c r="T21" s="54"/>
      <c r="U21" s="54"/>
      <c r="V21" s="54" t="s">
        <v>198</v>
      </c>
      <c r="W21" s="54" t="s">
        <v>215</v>
      </c>
      <c r="X21"/>
      <c r="Y21"/>
      <c r="Z21"/>
    </row>
    <row r="22" spans="1:26" ht="32.25" customHeight="1" x14ac:dyDescent="0.25">
      <c r="A22" s="138" t="s">
        <v>119</v>
      </c>
      <c r="B22" s="138"/>
      <c r="C22" s="152" t="s">
        <v>400</v>
      </c>
      <c r="D22" s="152"/>
      <c r="E22" s="167" t="s">
        <v>14</v>
      </c>
      <c r="F22" s="167"/>
      <c r="G22" s="152" t="s">
        <v>397</v>
      </c>
      <c r="H22" s="152"/>
      <c r="S22" s="54"/>
      <c r="T22" s="54"/>
      <c r="U22" s="54"/>
      <c r="V22" s="54" t="s">
        <v>199</v>
      </c>
      <c r="W22" s="54" t="s">
        <v>216</v>
      </c>
      <c r="X22"/>
      <c r="Y22"/>
      <c r="Z22"/>
    </row>
    <row r="23" spans="1:26" ht="15" customHeight="1" x14ac:dyDescent="0.25">
      <c r="A23" s="167" t="s">
        <v>72</v>
      </c>
      <c r="B23" s="167"/>
      <c r="C23" s="167"/>
      <c r="D23" s="167"/>
      <c r="E23" s="182" t="s">
        <v>15</v>
      </c>
      <c r="F23" s="182"/>
      <c r="G23" s="182"/>
      <c r="H23" s="182"/>
      <c r="S23" s="54"/>
      <c r="T23" s="54"/>
      <c r="U23" s="54"/>
      <c r="V23" s="54" t="s">
        <v>200</v>
      </c>
      <c r="W23" s="54" t="s">
        <v>217</v>
      </c>
      <c r="X23"/>
      <c r="Y23"/>
      <c r="Z23"/>
    </row>
    <row r="24" spans="1:26" ht="18.75" customHeight="1" x14ac:dyDescent="0.25">
      <c r="A24" s="167"/>
      <c r="B24" s="167"/>
      <c r="C24" s="167"/>
      <c r="D24" s="167"/>
      <c r="E24" s="182"/>
      <c r="F24" s="182"/>
      <c r="G24" s="182"/>
      <c r="H24" s="182"/>
      <c r="S24" s="54"/>
      <c r="T24" s="54"/>
      <c r="U24" s="54"/>
      <c r="V24" s="54" t="s">
        <v>201</v>
      </c>
      <c r="W24" s="54" t="s">
        <v>218</v>
      </c>
      <c r="X24"/>
      <c r="Y24"/>
      <c r="Z24"/>
    </row>
    <row r="25" spans="1:26" ht="15" customHeight="1" x14ac:dyDescent="0.25">
      <c r="A25" s="167" t="s">
        <v>16</v>
      </c>
      <c r="B25" s="167"/>
      <c r="C25" s="167"/>
      <c r="D25" s="167"/>
      <c r="E25" s="152" t="s">
        <v>17</v>
      </c>
      <c r="F25" s="152"/>
      <c r="G25" s="152"/>
      <c r="H25" s="152"/>
      <c r="S25" s="54"/>
      <c r="T25" s="54"/>
      <c r="U25" s="54"/>
      <c r="V25" s="54" t="s">
        <v>202</v>
      </c>
      <c r="W25" s="54" t="s">
        <v>219</v>
      </c>
      <c r="X25"/>
      <c r="Y25"/>
      <c r="Z25"/>
    </row>
    <row r="26" spans="1:26" ht="15" customHeight="1" x14ac:dyDescent="0.25">
      <c r="A26" s="138" t="s">
        <v>18</v>
      </c>
      <c r="B26" s="138"/>
      <c r="C26" s="138"/>
      <c r="D26" s="138"/>
      <c r="E26" s="152" t="str">
        <f>IF(AND(G20="Mumbai"),"Upper Class","Middle Class")</f>
        <v>Middle Class</v>
      </c>
      <c r="F26" s="152"/>
      <c r="G26" s="152"/>
      <c r="H26" s="152"/>
      <c r="S26" s="54"/>
      <c r="T26" s="54"/>
      <c r="U26" s="54"/>
      <c r="V26" s="54" t="s">
        <v>203</v>
      </c>
      <c r="W26" s="54" t="s">
        <v>220</v>
      </c>
      <c r="X26"/>
      <c r="Y26"/>
      <c r="Z26"/>
    </row>
    <row r="27" spans="1:26" x14ac:dyDescent="0.25">
      <c r="A27" s="138" t="s">
        <v>19</v>
      </c>
      <c r="B27" s="138"/>
      <c r="C27" s="138"/>
      <c r="D27" s="138"/>
      <c r="E27" s="152" t="s">
        <v>20</v>
      </c>
      <c r="F27" s="152"/>
      <c r="G27" s="152"/>
      <c r="H27" s="152"/>
      <c r="S27" s="54"/>
      <c r="T27" s="54"/>
      <c r="U27" s="54"/>
      <c r="V27" s="54" t="s">
        <v>204</v>
      </c>
      <c r="W27" s="54" t="s">
        <v>221</v>
      </c>
      <c r="X27"/>
      <c r="Y27"/>
      <c r="Z27"/>
    </row>
    <row r="28" spans="1:26" ht="15.75" customHeight="1" x14ac:dyDescent="0.25">
      <c r="A28" s="138" t="s">
        <v>21</v>
      </c>
      <c r="B28" s="138"/>
      <c r="C28" s="138"/>
      <c r="D28" s="138"/>
      <c r="E28" s="152" t="str">
        <f>IF(AND(G20="Mumbai"),"Developed","Developing")</f>
        <v>Developing</v>
      </c>
      <c r="F28" s="152"/>
      <c r="G28" s="152"/>
      <c r="H28" s="152"/>
    </row>
    <row r="29" spans="1:26" x14ac:dyDescent="0.25">
      <c r="A29" s="138" t="s">
        <v>22</v>
      </c>
      <c r="B29" s="138"/>
      <c r="C29" s="138"/>
      <c r="D29" s="138"/>
      <c r="E29" s="152" t="s">
        <v>23</v>
      </c>
      <c r="F29" s="152"/>
      <c r="G29" s="152"/>
      <c r="H29" s="152"/>
    </row>
    <row r="30" spans="1:26" ht="15.75" customHeight="1" x14ac:dyDescent="0.25">
      <c r="A30" s="138" t="s">
        <v>77</v>
      </c>
      <c r="B30" s="138"/>
      <c r="C30" s="138"/>
      <c r="D30" s="138"/>
      <c r="E30" s="152" t="s">
        <v>78</v>
      </c>
      <c r="F30" s="152"/>
      <c r="G30" s="152"/>
      <c r="H30" s="152"/>
    </row>
    <row r="31" spans="1:26" ht="15" customHeight="1" x14ac:dyDescent="0.25">
      <c r="A31" s="138" t="s">
        <v>30</v>
      </c>
      <c r="B31" s="138"/>
      <c r="C31" s="138"/>
      <c r="D31" s="138"/>
      <c r="E31" s="152"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v>
      </c>
      <c r="F31" s="152"/>
      <c r="G31" s="152"/>
      <c r="H31" s="152"/>
    </row>
    <row r="32" spans="1:26" ht="15.75" customHeight="1" x14ac:dyDescent="0.25">
      <c r="A32" s="138" t="s">
        <v>89</v>
      </c>
      <c r="B32" s="138"/>
      <c r="C32" s="138"/>
      <c r="D32" s="138"/>
      <c r="E32" s="152" t="s">
        <v>31</v>
      </c>
      <c r="F32" s="152"/>
      <c r="G32" s="152"/>
      <c r="H32" s="152"/>
    </row>
    <row r="33" spans="1:19" s="22" customFormat="1" x14ac:dyDescent="0.25">
      <c r="A33" s="223" t="s">
        <v>90</v>
      </c>
      <c r="B33" s="223"/>
      <c r="C33" s="220" t="s">
        <v>170</v>
      </c>
      <c r="D33" s="221"/>
      <c r="E33" s="222"/>
      <c r="F33" s="220" t="s">
        <v>29</v>
      </c>
      <c r="G33" s="221"/>
      <c r="H33" s="222"/>
      <c r="S33" s="22" t="e">
        <f ca="1">OFFSET($S$13,1,MATCH($G20,$S$13:$W$13,0)-1,15,1)</f>
        <v>#VALUE!</v>
      </c>
    </row>
    <row r="34" spans="1:19" s="22" customFormat="1" x14ac:dyDescent="0.25">
      <c r="A34" s="219" t="s">
        <v>24</v>
      </c>
      <c r="B34" s="219" t="s">
        <v>28</v>
      </c>
      <c r="C34" s="168" t="s">
        <v>410</v>
      </c>
      <c r="D34" s="169"/>
      <c r="E34" s="170"/>
      <c r="F34" s="168" t="s">
        <v>407</v>
      </c>
      <c r="G34" s="169"/>
      <c r="H34" s="170"/>
    </row>
    <row r="35" spans="1:19" x14ac:dyDescent="0.25">
      <c r="A35" s="219" t="s">
        <v>25</v>
      </c>
      <c r="B35" s="219" t="s">
        <v>28</v>
      </c>
      <c r="C35" s="168" t="s">
        <v>409</v>
      </c>
      <c r="D35" s="169"/>
      <c r="E35" s="170"/>
      <c r="F35" s="168" t="s">
        <v>405</v>
      </c>
      <c r="G35" s="169"/>
      <c r="H35" s="170"/>
    </row>
    <row r="36" spans="1:19" s="22" customFormat="1" x14ac:dyDescent="0.25">
      <c r="A36" s="219" t="s">
        <v>27</v>
      </c>
      <c r="B36" s="219" t="s">
        <v>28</v>
      </c>
      <c r="C36" s="168" t="s">
        <v>408</v>
      </c>
      <c r="D36" s="169"/>
      <c r="E36" s="170"/>
      <c r="F36" s="168" t="s">
        <v>406</v>
      </c>
      <c r="G36" s="169"/>
      <c r="H36" s="170"/>
    </row>
    <row r="37" spans="1:19" x14ac:dyDescent="0.25">
      <c r="A37" s="219" t="s">
        <v>26</v>
      </c>
      <c r="B37" s="219" t="s">
        <v>28</v>
      </c>
      <c r="C37" s="168" t="s">
        <v>411</v>
      </c>
      <c r="D37" s="169"/>
      <c r="E37" s="170"/>
      <c r="F37" s="168" t="s">
        <v>398</v>
      </c>
      <c r="G37" s="169"/>
      <c r="H37" s="170"/>
    </row>
    <row r="38" spans="1:19" x14ac:dyDescent="0.25">
      <c r="A38" s="138" t="s">
        <v>276</v>
      </c>
      <c r="B38" s="138"/>
      <c r="C38" s="138"/>
      <c r="D38" s="138"/>
      <c r="E38" s="138"/>
      <c r="F38" s="138"/>
      <c r="G38" s="138"/>
      <c r="H38" s="138"/>
    </row>
    <row r="39" spans="1:19" ht="15.75" customHeight="1" x14ac:dyDescent="0.25">
      <c r="A39" s="138" t="s">
        <v>162</v>
      </c>
      <c r="B39" s="138"/>
      <c r="C39" s="173" t="s">
        <v>401</v>
      </c>
      <c r="D39" s="173"/>
      <c r="E39" s="173"/>
      <c r="F39" s="173"/>
      <c r="G39" s="173"/>
      <c r="H39" s="173"/>
    </row>
    <row r="40" spans="1:19" x14ac:dyDescent="0.25">
      <c r="A40" s="138" t="s">
        <v>159</v>
      </c>
      <c r="B40" s="138"/>
      <c r="C40" s="151" t="s">
        <v>402</v>
      </c>
      <c r="D40" s="152"/>
      <c r="E40" s="152"/>
      <c r="F40" s="152"/>
      <c r="G40" s="152"/>
      <c r="H40" s="152"/>
    </row>
    <row r="41" spans="1:19" x14ac:dyDescent="0.25">
      <c r="A41" s="173" t="s">
        <v>32</v>
      </c>
      <c r="B41" s="173"/>
      <c r="C41" s="173"/>
      <c r="D41" s="173"/>
      <c r="E41" s="173"/>
      <c r="F41" s="173"/>
      <c r="G41" s="173"/>
      <c r="H41" s="173"/>
    </row>
    <row r="42" spans="1:19" x14ac:dyDescent="0.25">
      <c r="A42" s="138" t="s">
        <v>33</v>
      </c>
      <c r="B42" s="138"/>
      <c r="C42" s="138"/>
      <c r="D42" s="138"/>
      <c r="E42" s="187">
        <v>1942.42</v>
      </c>
      <c r="F42" s="187"/>
      <c r="G42" s="187"/>
      <c r="H42" s="187"/>
    </row>
    <row r="43" spans="1:19" x14ac:dyDescent="0.25">
      <c r="A43" s="138" t="s">
        <v>34</v>
      </c>
      <c r="B43" s="138"/>
      <c r="C43" s="138"/>
      <c r="D43" s="138"/>
      <c r="E43" s="189">
        <f>2136.662/E42</f>
        <v>1.0999999999999999</v>
      </c>
      <c r="F43" s="189"/>
      <c r="G43" s="189"/>
      <c r="H43" s="189"/>
    </row>
    <row r="44" spans="1:19" x14ac:dyDescent="0.25">
      <c r="A44" s="138" t="s">
        <v>35</v>
      </c>
      <c r="B44" s="138"/>
      <c r="C44" s="138"/>
      <c r="D44" s="138"/>
      <c r="E44" s="189">
        <f>E46/E42-E43</f>
        <v>1.6190103067307791</v>
      </c>
      <c r="F44" s="189"/>
      <c r="G44" s="189"/>
      <c r="H44" s="189"/>
    </row>
    <row r="45" spans="1:19" x14ac:dyDescent="0.25">
      <c r="A45" s="138" t="s">
        <v>36</v>
      </c>
      <c r="B45" s="138"/>
      <c r="C45" s="138"/>
      <c r="D45" s="138"/>
      <c r="E45" s="189">
        <f>E43+E44</f>
        <v>2.7190103067307789</v>
      </c>
      <c r="F45" s="189"/>
      <c r="G45" s="189"/>
      <c r="H45" s="189"/>
    </row>
    <row r="46" spans="1:19" x14ac:dyDescent="0.25">
      <c r="A46" s="138" t="s">
        <v>88</v>
      </c>
      <c r="B46" s="138"/>
      <c r="C46" s="138"/>
      <c r="D46" s="138"/>
      <c r="E46" s="190">
        <v>5281.46</v>
      </c>
      <c r="F46" s="190"/>
      <c r="G46" s="190"/>
      <c r="H46" s="190"/>
    </row>
    <row r="47" spans="1:19" x14ac:dyDescent="0.25">
      <c r="A47" s="182" t="s">
        <v>37</v>
      </c>
      <c r="B47" s="182"/>
      <c r="C47" s="182"/>
      <c r="D47" s="182"/>
      <c r="E47" s="182" t="s">
        <v>118</v>
      </c>
      <c r="F47" s="182"/>
      <c r="G47" s="182"/>
      <c r="H47" s="182"/>
    </row>
    <row r="48" spans="1:19" x14ac:dyDescent="0.25">
      <c r="A48" s="173" t="s">
        <v>38</v>
      </c>
      <c r="B48" s="173"/>
      <c r="C48" s="173"/>
      <c r="D48" s="173"/>
      <c r="E48" s="173"/>
      <c r="F48" s="173"/>
      <c r="G48" s="173"/>
      <c r="H48" s="173"/>
    </row>
    <row r="49" spans="1:24" ht="33.75" customHeight="1" x14ac:dyDescent="0.25">
      <c r="A49" s="164" t="s">
        <v>148</v>
      </c>
      <c r="B49" s="166"/>
      <c r="C49" s="196" t="s">
        <v>353</v>
      </c>
      <c r="D49" s="197"/>
      <c r="E49" s="197"/>
      <c r="F49" s="197"/>
      <c r="G49" s="197"/>
      <c r="H49" s="198"/>
      <c r="R49" t="s">
        <v>249</v>
      </c>
      <c r="S49" s="57" t="s">
        <v>169</v>
      </c>
      <c r="T49" s="57" t="s">
        <v>176</v>
      </c>
      <c r="U49" s="57" t="s">
        <v>190</v>
      </c>
      <c r="V49" s="57" t="s">
        <v>185</v>
      </c>
    </row>
    <row r="50" spans="1:24" ht="15.75" customHeight="1" x14ac:dyDescent="0.25">
      <c r="A50" s="164" t="s">
        <v>39</v>
      </c>
      <c r="B50" s="166"/>
      <c r="C50" s="164" t="s">
        <v>412</v>
      </c>
      <c r="D50" s="165"/>
      <c r="E50" s="166"/>
      <c r="F50" s="18" t="s">
        <v>40</v>
      </c>
      <c r="G50" s="171">
        <v>45708</v>
      </c>
      <c r="H50" s="172"/>
      <c r="R50"/>
      <c r="S50" s="57" t="s">
        <v>250</v>
      </c>
      <c r="T50" s="57" t="s">
        <v>255</v>
      </c>
      <c r="U50" s="57" t="s">
        <v>266</v>
      </c>
      <c r="V50" s="57" t="s">
        <v>271</v>
      </c>
    </row>
    <row r="51" spans="1:24" x14ac:dyDescent="0.25">
      <c r="A51" s="164" t="s">
        <v>41</v>
      </c>
      <c r="B51" s="166"/>
      <c r="C51" s="164" t="str">
        <f>C50</f>
        <v xml:space="preserve">TMCB/B/2025/APL/01255 </v>
      </c>
      <c r="D51" s="165"/>
      <c r="E51" s="166"/>
      <c r="F51" s="18" t="s">
        <v>40</v>
      </c>
      <c r="G51" s="171">
        <f>G50</f>
        <v>45708</v>
      </c>
      <c r="H51" s="172"/>
      <c r="R51"/>
      <c r="S51" s="57" t="s">
        <v>251</v>
      </c>
      <c r="T51" s="57" t="s">
        <v>353</v>
      </c>
      <c r="U51" s="57" t="s">
        <v>264</v>
      </c>
      <c r="V51" s="57" t="s">
        <v>272</v>
      </c>
    </row>
    <row r="52" spans="1:24" s="23" customFormat="1" ht="15.75" customHeight="1" x14ac:dyDescent="0.25">
      <c r="A52" s="177" t="s">
        <v>152</v>
      </c>
      <c r="B52" s="178"/>
      <c r="C52" s="177" t="str">
        <f>C51</f>
        <v xml:space="preserve">TMCB/B/2025/APL/01255 </v>
      </c>
      <c r="D52" s="181"/>
      <c r="E52" s="178"/>
      <c r="F52" s="18" t="s">
        <v>40</v>
      </c>
      <c r="G52" s="171">
        <f>G51</f>
        <v>45708</v>
      </c>
      <c r="H52" s="172"/>
      <c r="I52" s="22" t="str">
        <f ca="1">IF(G52&gt;EDATE(E3,-48),"NO REMARK","CC REMARK FOR CC")</f>
        <v>NO REMARK</v>
      </c>
      <c r="J52" s="78"/>
      <c r="R52"/>
      <c r="S52" s="57" t="s">
        <v>252</v>
      </c>
      <c r="T52" s="57" t="s">
        <v>257</v>
      </c>
      <c r="U52" s="57" t="s">
        <v>254</v>
      </c>
      <c r="V52" s="57" t="s">
        <v>273</v>
      </c>
    </row>
    <row r="53" spans="1:24" s="23" customFormat="1" x14ac:dyDescent="0.25">
      <c r="A53" s="179"/>
      <c r="B53" s="180"/>
      <c r="C53" s="164" t="s">
        <v>413</v>
      </c>
      <c r="D53" s="165"/>
      <c r="E53" s="165"/>
      <c r="F53" s="165"/>
      <c r="G53" s="165"/>
      <c r="H53" s="166"/>
      <c r="R53"/>
      <c r="S53" s="57"/>
      <c r="T53" s="57"/>
      <c r="U53" s="57"/>
      <c r="V53" s="74"/>
    </row>
    <row r="54" spans="1:24" s="23" customFormat="1" hidden="1" x14ac:dyDescent="0.25">
      <c r="A54" s="183" t="s">
        <v>277</v>
      </c>
      <c r="B54" s="184"/>
      <c r="C54" s="164" t="e">
        <f>#REF!</f>
        <v>#REF!</v>
      </c>
      <c r="D54" s="165"/>
      <c r="E54" s="166"/>
      <c r="F54" s="18" t="s">
        <v>40</v>
      </c>
      <c r="G54" s="171"/>
      <c r="H54" s="172"/>
      <c r="K54" s="79">
        <f>EDATE(G52,-48)</f>
        <v>44247</v>
      </c>
      <c r="L54" s="23" t="str">
        <f ca="1">IF(G52&gt;EDATE(E3,-48),"NO REMARK","CC REMARK FOR CC")</f>
        <v>NO REMARK</v>
      </c>
      <c r="R54"/>
      <c r="S54" s="57" t="s">
        <v>252</v>
      </c>
      <c r="T54" s="57" t="s">
        <v>257</v>
      </c>
      <c r="U54" s="57" t="s">
        <v>254</v>
      </c>
      <c r="V54" s="57" t="s">
        <v>273</v>
      </c>
    </row>
    <row r="55" spans="1:24" s="23" customFormat="1" ht="32.25" hidden="1" customHeight="1" x14ac:dyDescent="0.25">
      <c r="A55" s="185"/>
      <c r="B55" s="186"/>
      <c r="C55" s="174"/>
      <c r="D55" s="175"/>
      <c r="E55" s="175"/>
      <c r="F55" s="175"/>
      <c r="G55" s="175"/>
      <c r="H55" s="176"/>
      <c r="R55"/>
      <c r="S55" s="57" t="s">
        <v>254</v>
      </c>
      <c r="T55" s="57" t="s">
        <v>258</v>
      </c>
      <c r="U55" s="57" t="s">
        <v>268</v>
      </c>
      <c r="V55" s="75"/>
      <c r="W55" s="21"/>
      <c r="X55" s="21"/>
    </row>
    <row r="56" spans="1:24" s="23" customFormat="1" ht="34.5" hidden="1" customHeight="1" x14ac:dyDescent="0.25">
      <c r="A56" s="183" t="s">
        <v>278</v>
      </c>
      <c r="B56" s="184"/>
      <c r="C56" s="164">
        <f>C55</f>
        <v>0</v>
      </c>
      <c r="D56" s="165"/>
      <c r="E56" s="166"/>
      <c r="F56" s="18" t="s">
        <v>40</v>
      </c>
      <c r="G56" s="171">
        <f>G55</f>
        <v>0</v>
      </c>
      <c r="H56" s="172"/>
      <c r="R56"/>
      <c r="S56" s="75"/>
      <c r="T56" s="57" t="s">
        <v>259</v>
      </c>
      <c r="U56" s="57" t="s">
        <v>269</v>
      </c>
      <c r="V56" s="75"/>
      <c r="W56" s="21"/>
      <c r="X56" s="21"/>
    </row>
    <row r="57" spans="1:24" s="23" customFormat="1" ht="41.25" hidden="1" customHeight="1" x14ac:dyDescent="0.25">
      <c r="A57" s="185"/>
      <c r="B57" s="186"/>
      <c r="C57" s="164"/>
      <c r="D57" s="165"/>
      <c r="E57" s="165"/>
      <c r="F57" s="165"/>
      <c r="G57" s="165"/>
      <c r="H57" s="166"/>
      <c r="R57"/>
      <c r="S57" s="75"/>
      <c r="T57" s="57" t="s">
        <v>261</v>
      </c>
      <c r="U57" s="57" t="s">
        <v>270</v>
      </c>
      <c r="V57" s="75"/>
      <c r="W57" s="21"/>
      <c r="X57" s="21"/>
    </row>
    <row r="58" spans="1:24" s="23" customFormat="1" ht="15.75" hidden="1" customHeight="1" x14ac:dyDescent="0.25">
      <c r="A58" s="183" t="s">
        <v>348</v>
      </c>
      <c r="B58" s="184"/>
      <c r="C58" s="213"/>
      <c r="D58" s="214"/>
      <c r="E58" s="215"/>
      <c r="F58" s="18" t="s">
        <v>40</v>
      </c>
      <c r="G58" s="171"/>
      <c r="H58" s="172"/>
      <c r="R58"/>
      <c r="S58" s="75"/>
      <c r="T58" s="57" t="s">
        <v>262</v>
      </c>
      <c r="U58" s="75" t="s">
        <v>292</v>
      </c>
      <c r="V58" s="75"/>
      <c r="W58" s="21"/>
      <c r="X58" s="21"/>
    </row>
    <row r="59" spans="1:24" s="23" customFormat="1" ht="33.75" hidden="1" customHeight="1" x14ac:dyDescent="0.25">
      <c r="A59" s="211"/>
      <c r="B59" s="212"/>
      <c r="C59" s="216"/>
      <c r="D59" s="217"/>
      <c r="E59" s="218"/>
      <c r="F59" s="18" t="s">
        <v>349</v>
      </c>
      <c r="G59" s="171"/>
      <c r="H59" s="172"/>
      <c r="R59"/>
      <c r="S59" s="75"/>
      <c r="T59" s="57" t="s">
        <v>263</v>
      </c>
      <c r="U59" s="75"/>
      <c r="V59" s="75"/>
      <c r="W59" s="21"/>
      <c r="X59" s="21"/>
    </row>
    <row r="60" spans="1:24" s="23" customFormat="1" ht="33.75" hidden="1" customHeight="1" x14ac:dyDescent="0.25">
      <c r="A60" s="185"/>
      <c r="B60" s="186"/>
      <c r="C60" s="164" t="s">
        <v>371</v>
      </c>
      <c r="D60" s="165"/>
      <c r="E60" s="165"/>
      <c r="F60" s="165"/>
      <c r="G60" s="165"/>
      <c r="H60" s="166"/>
      <c r="R60"/>
      <c r="S60" s="75"/>
      <c r="T60" s="57"/>
      <c r="U60" s="75"/>
      <c r="V60" s="75"/>
      <c r="W60" s="21"/>
      <c r="X60" s="21"/>
    </row>
    <row r="61" spans="1:24" x14ac:dyDescent="0.25">
      <c r="A61" s="246" t="s">
        <v>42</v>
      </c>
      <c r="B61" s="247"/>
      <c r="C61" s="246" t="s">
        <v>101</v>
      </c>
      <c r="D61" s="248"/>
      <c r="E61" s="247"/>
      <c r="F61" s="45" t="s">
        <v>40</v>
      </c>
      <c r="G61" s="249" t="s">
        <v>28</v>
      </c>
      <c r="H61" s="250"/>
      <c r="R61"/>
      <c r="S61" s="75"/>
      <c r="T61" s="57" t="s">
        <v>265</v>
      </c>
      <c r="U61" s="75"/>
      <c r="V61" s="75"/>
    </row>
    <row r="62" spans="1:24" x14ac:dyDescent="0.25">
      <c r="A62" s="199" t="s">
        <v>44</v>
      </c>
      <c r="B62" s="199"/>
      <c r="C62" s="199"/>
      <c r="D62" s="199"/>
      <c r="E62" s="199"/>
      <c r="F62" s="199"/>
      <c r="G62" s="199"/>
      <c r="H62" s="199"/>
      <c r="S62" s="75"/>
      <c r="T62" s="57" t="s">
        <v>274</v>
      </c>
      <c r="U62" s="75"/>
      <c r="V62" s="75"/>
    </row>
    <row r="63" spans="1:24" x14ac:dyDescent="0.25">
      <c r="A63" s="167" t="s">
        <v>87</v>
      </c>
      <c r="B63" s="167"/>
      <c r="C63" s="167"/>
      <c r="D63" s="182">
        <f>E46</f>
        <v>5281.46</v>
      </c>
      <c r="E63" s="182"/>
      <c r="F63" s="182"/>
      <c r="G63" s="182"/>
      <c r="H63" s="182"/>
      <c r="R63"/>
    </row>
    <row r="64" spans="1:24" x14ac:dyDescent="0.25">
      <c r="A64" s="152" t="s">
        <v>45</v>
      </c>
      <c r="B64" s="182"/>
      <c r="C64" s="182"/>
      <c r="D64" s="182" t="s">
        <v>438</v>
      </c>
      <c r="E64" s="182"/>
      <c r="F64" s="182"/>
      <c r="G64" s="182"/>
      <c r="H64" s="182"/>
      <c r="I64" s="24"/>
      <c r="R64"/>
    </row>
    <row r="65" spans="1:19" x14ac:dyDescent="0.25">
      <c r="A65" s="193" t="s">
        <v>46</v>
      </c>
      <c r="B65" s="194"/>
      <c r="C65" s="195"/>
      <c r="D65" s="191" t="s">
        <v>415</v>
      </c>
      <c r="E65" s="192"/>
      <c r="F65" s="192"/>
      <c r="G65" s="192"/>
      <c r="H65" s="192"/>
      <c r="R65"/>
    </row>
    <row r="66" spans="1:19" ht="15.75" customHeight="1" x14ac:dyDescent="0.25">
      <c r="A66" s="193" t="s">
        <v>85</v>
      </c>
      <c r="B66" s="194"/>
      <c r="C66" s="194"/>
      <c r="D66" s="193" t="s">
        <v>416</v>
      </c>
      <c r="E66" s="194"/>
      <c r="F66" s="194"/>
      <c r="G66" s="194"/>
      <c r="H66" s="195"/>
      <c r="R66"/>
    </row>
    <row r="67" spans="1:19" ht="15.75" customHeight="1" x14ac:dyDescent="0.25">
      <c r="A67" s="138" t="s">
        <v>43</v>
      </c>
      <c r="B67" s="138"/>
      <c r="C67" s="138"/>
      <c r="D67" s="152" t="s">
        <v>417</v>
      </c>
      <c r="E67" s="152"/>
      <c r="F67" s="152"/>
      <c r="G67" s="152"/>
      <c r="H67" s="152"/>
      <c r="J67" s="25"/>
      <c r="K67" s="24"/>
      <c r="N67" s="24"/>
      <c r="S67"/>
    </row>
    <row r="68" spans="1:19" ht="15.75" customHeight="1" x14ac:dyDescent="0.25">
      <c r="A68" s="138" t="s">
        <v>83</v>
      </c>
      <c r="B68" s="138"/>
      <c r="C68" s="138"/>
      <c r="D68" s="188" t="str">
        <f>(IF(G61="NA","60 Years After Completion",IF(G61&lt;&gt;"NA",""&amp;60-ROUNDDOWN((E3-G61)/360,0)&amp;" Years"," ")))</f>
        <v>60 Years After Completion</v>
      </c>
      <c r="E68" s="188"/>
      <c r="F68" s="188"/>
      <c r="G68" s="188"/>
      <c r="H68" s="188"/>
      <c r="N68" s="24"/>
      <c r="S68"/>
    </row>
    <row r="69" spans="1:19" ht="15.75" customHeight="1" x14ac:dyDescent="0.25">
      <c r="A69" s="138" t="s">
        <v>84</v>
      </c>
      <c r="B69" s="138"/>
      <c r="C69" s="138"/>
      <c r="D69" s="167" t="s">
        <v>23</v>
      </c>
      <c r="E69" s="167"/>
      <c r="F69" s="167"/>
      <c r="G69" s="167"/>
      <c r="H69" s="167"/>
      <c r="J69" s="26"/>
      <c r="K69" s="26"/>
      <c r="S69"/>
    </row>
    <row r="70" spans="1:19" ht="48" customHeight="1" x14ac:dyDescent="0.25">
      <c r="A70" s="182" t="s">
        <v>418</v>
      </c>
      <c r="B70" s="182"/>
      <c r="C70" s="182"/>
      <c r="D70" s="152" t="s">
        <v>433</v>
      </c>
      <c r="E70" s="152"/>
      <c r="F70" s="152"/>
      <c r="G70" s="152"/>
      <c r="H70" s="152"/>
      <c r="S70"/>
    </row>
    <row r="71" spans="1:19" x14ac:dyDescent="0.25">
      <c r="A71" s="167" t="s">
        <v>145</v>
      </c>
      <c r="B71" s="167"/>
      <c r="C71" s="167"/>
      <c r="D71" s="167" t="s">
        <v>28</v>
      </c>
      <c r="E71" s="167"/>
      <c r="F71" s="167"/>
      <c r="G71" s="167"/>
      <c r="H71" s="167"/>
      <c r="I71" s="27"/>
      <c r="J71" s="27"/>
      <c r="K71" s="27"/>
      <c r="L71" s="27"/>
      <c r="M71" s="27"/>
      <c r="N71" s="27"/>
    </row>
    <row r="72" spans="1:19" ht="15.75" customHeight="1" x14ac:dyDescent="0.25">
      <c r="A72" s="210" t="s">
        <v>82</v>
      </c>
      <c r="B72" s="210"/>
      <c r="C72" s="210"/>
      <c r="D72" s="191" t="str">
        <f ca="1">(IF(G78&gt;95%,"Nothing",IF(G78&gt;0%,"Cement, Aggregate, Steel, etc",IF(G78=0%,"Work not yet Started"))))</f>
        <v>Cement, Aggregate, Steel, etc</v>
      </c>
      <c r="E72" s="191"/>
      <c r="F72" s="191"/>
      <c r="G72" s="191"/>
      <c r="H72" s="191"/>
      <c r="J72" s="26"/>
      <c r="S72"/>
    </row>
    <row r="73" spans="1:19" ht="33.75" customHeight="1" thickBot="1" x14ac:dyDescent="0.3">
      <c r="A73" s="209" t="s">
        <v>114</v>
      </c>
      <c r="B73" s="209"/>
      <c r="C73" s="209"/>
      <c r="D73" s="191" t="str">
        <f ca="1">(IF(D72="Nothing","Yes",IF(D72="Cement, Aggregate, Steel, etc","Under Construction",IF(D72="Work not yet Started","Work not yet Started"))))</f>
        <v>Under Construction</v>
      </c>
      <c r="E73" s="191"/>
      <c r="F73" s="191" t="str">
        <f ca="1">(IF(D72="Nothing","Yes",IF(D72="Cement, Aggregate, Steel, etc","Under Construction",IF(D72="Work not yet Started","Work not yet Started"))))</f>
        <v>Under Construction</v>
      </c>
      <c r="G73" s="191"/>
      <c r="H73" s="191"/>
      <c r="S73"/>
    </row>
    <row r="74" spans="1:19" ht="15.75" customHeight="1" x14ac:dyDescent="0.25">
      <c r="A74" s="202" t="s">
        <v>137</v>
      </c>
      <c r="B74" s="203"/>
      <c r="C74" s="204" t="str">
        <f>D66</f>
        <v>Building A (Akash) = Gr + 1st to 22nd Floor</v>
      </c>
      <c r="D74" s="205"/>
      <c r="E74" s="205"/>
      <c r="F74" s="205"/>
      <c r="G74" s="205"/>
      <c r="H74" s="206"/>
      <c r="I74" s="49" t="str">
        <f ca="1">IF(D87=100%,"All work Completed. Possession granted to the Building.",IF(D86=100%,"All work Completed, Waiting for OC",I75&amp;""&amp;I76&amp;""&amp;J75&amp;""&amp;J74&amp;" "&amp;J76))</f>
        <v xml:space="preserve">Excavation, Plinth Completed </v>
      </c>
      <c r="J74" s="50"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c>
      <c r="S74"/>
    </row>
    <row r="75" spans="1:19" x14ac:dyDescent="0.25">
      <c r="A75" s="16" t="s">
        <v>139</v>
      </c>
      <c r="B75" s="47">
        <f>IF(AND(ISNUMBER(SEARCH("1B",C74))),1,IF(AND(ISNUMBER(SEARCH("2B",C74))),2,IF(AND(ISNUMBER(SEARCH("3B",C74))),3,IF(AND(ISNUMBER(SEARCH("4B",C74))),4,IF(ISNUMBER(SEARCH("5B",C74)),5,0)))))</f>
        <v>0</v>
      </c>
      <c r="C75" s="47" t="s">
        <v>68</v>
      </c>
      <c r="D75" s="47">
        <v>1</v>
      </c>
      <c r="E75" s="47" t="s">
        <v>67</v>
      </c>
      <c r="F75" s="47">
        <v>0</v>
      </c>
      <c r="G75" s="47" t="s">
        <v>76</v>
      </c>
      <c r="H75" s="17">
        <f ca="1">--TRIM(RIGHT(SUBSTITUTE(LEFT(C74,_xlfn.AGGREGATE(16,6,FIND({0,1,2,3,4,5,6,7,8,9},C74,ROW(INDIRECT("1:"&amp;LEN(C74)))),1))," ",REPT(" ",LEN(C74))),LEN(C74)))</f>
        <v>22</v>
      </c>
      <c r="I75" s="51" t="str">
        <f ca="1">IF(D78=100%,"Excavation","")&amp;IF(D79=100%,", Plinth","")&amp;IF(D80=100%,", RCC Slab","")&amp;IF(D81=100%,", Brickwork","")&amp;IF(D82=100%,", Internal Plaster","")&amp;IF(D83=100%,", External Plaster","")&amp;IF(D84=100%,", Flooring","")&amp;IF(D85=100%,", Painting","")&amp;IF(D86=100%,", Building common Amenities","")</f>
        <v>Excavation, Plinth</v>
      </c>
      <c r="J75" s="52"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x14ac:dyDescent="0.25">
      <c r="A76" s="200" t="s">
        <v>86</v>
      </c>
      <c r="B76" s="201"/>
      <c r="C76" s="207" t="str">
        <f ca="1">I74</f>
        <v xml:space="preserve">Excavation, Plinth Completed </v>
      </c>
      <c r="D76" s="207"/>
      <c r="E76" s="207"/>
      <c r="F76" s="207"/>
      <c r="G76" s="207"/>
      <c r="H76" s="208"/>
      <c r="I76" s="51" t="str">
        <f ca="1">IF(I75&lt;&gt;""," Completed","")</f>
        <v xml:space="preserve"> Completed</v>
      </c>
      <c r="J76" s="52" t="str">
        <f ca="1">IF(J74&lt;&gt;"","Completed","")</f>
        <v/>
      </c>
      <c r="S76"/>
    </row>
    <row r="77" spans="1:19" ht="15.75" customHeight="1" x14ac:dyDescent="0.25">
      <c r="A77" s="127" t="s">
        <v>47</v>
      </c>
      <c r="B77" s="128"/>
      <c r="C77" s="99" t="s">
        <v>136</v>
      </c>
      <c r="D77" s="99" t="s">
        <v>79</v>
      </c>
      <c r="E77" s="128" t="s">
        <v>81</v>
      </c>
      <c r="F77" s="128"/>
      <c r="G77" s="128" t="s">
        <v>80</v>
      </c>
      <c r="H77" s="253"/>
      <c r="I77" s="13" t="s">
        <v>138</v>
      </c>
      <c r="J77" s="28">
        <f ca="1">H75*25%</f>
        <v>5.5</v>
      </c>
      <c r="S77"/>
    </row>
    <row r="78" spans="1:19" x14ac:dyDescent="0.25">
      <c r="A78" s="127" t="s">
        <v>125</v>
      </c>
      <c r="B78" s="128"/>
      <c r="C78" s="99">
        <f ca="1">J79</f>
        <v>22</v>
      </c>
      <c r="D78" s="100">
        <f ca="1">((100/H75)*C78)/100</f>
        <v>1.0000000000000002</v>
      </c>
      <c r="E78" s="129">
        <f ca="1">(((C79/H75*10)+(40/(D75+F75+H75)*C80)+(7.5/(H75)*C81)+(7.5/(H75)*C82)+(10/H75*C83)+(10/H75*C84)+(5/H75*C85)+(5/H75*C86)+(5/H75*C87))/100)</f>
        <v>0.1</v>
      </c>
      <c r="F78" s="130"/>
      <c r="G78" s="129">
        <f ca="1">((((C78/H75)*20)+((C79/H75)*25)+(30/(H75+F75+D75)*C80)+(5/H75*C81)+(5/H75*C82)+(5/H75*C83)+(5/H75*C84)+(0/H75*C85)+(0/H75*C86)+(5/H75*C87))/100)</f>
        <v>0.45</v>
      </c>
      <c r="H78" s="135"/>
      <c r="I78" s="13" t="s">
        <v>96</v>
      </c>
      <c r="J78" s="29">
        <f ca="1">H75*50%</f>
        <v>11</v>
      </c>
    </row>
    <row r="79" spans="1:19" x14ac:dyDescent="0.25">
      <c r="A79" s="127" t="s">
        <v>48</v>
      </c>
      <c r="B79" s="128"/>
      <c r="C79" s="99">
        <f ca="1">J87</f>
        <v>22</v>
      </c>
      <c r="D79" s="100">
        <f ca="1">((100/H75)*C79)/100</f>
        <v>1.0000000000000002</v>
      </c>
      <c r="E79" s="131"/>
      <c r="F79" s="132"/>
      <c r="G79" s="131"/>
      <c r="H79" s="136"/>
      <c r="I79" s="13" t="s">
        <v>97</v>
      </c>
      <c r="J79" s="29">
        <f ca="1">H75</f>
        <v>22</v>
      </c>
      <c r="L79" s="95"/>
      <c r="S79"/>
    </row>
    <row r="80" spans="1:19" ht="15.75" customHeight="1" x14ac:dyDescent="0.25">
      <c r="A80" s="127" t="s">
        <v>126</v>
      </c>
      <c r="B80" s="128"/>
      <c r="C80" s="99">
        <v>0</v>
      </c>
      <c r="D80" s="100">
        <f ca="1">((100/(D75+F75+H75))*C80)/100</f>
        <v>0</v>
      </c>
      <c r="E80" s="131"/>
      <c r="F80" s="132"/>
      <c r="G80" s="131"/>
      <c r="H80" s="136"/>
      <c r="I80" s="13" t="s">
        <v>98</v>
      </c>
      <c r="J80" s="30">
        <f ca="1">(IF(B75&gt;1,(H75/(B75+2)),H75/4))</f>
        <v>5.5</v>
      </c>
      <c r="S80"/>
    </row>
    <row r="81" spans="1:22" ht="15.75" customHeight="1" x14ac:dyDescent="0.25">
      <c r="A81" s="127" t="s">
        <v>133</v>
      </c>
      <c r="B81" s="128" t="s">
        <v>127</v>
      </c>
      <c r="C81" s="99">
        <v>0</v>
      </c>
      <c r="D81" s="100">
        <f ca="1">((100/H75)*C81)/100</f>
        <v>0</v>
      </c>
      <c r="E81" s="131"/>
      <c r="F81" s="132"/>
      <c r="G81" s="131"/>
      <c r="H81" s="136"/>
      <c r="I81" s="13" t="s">
        <v>99</v>
      </c>
      <c r="J81" s="30">
        <f ca="1">(IF(B75&gt;1,(H75/(B75+2)+J80),H75/4+J80))</f>
        <v>11</v>
      </c>
    </row>
    <row r="82" spans="1:22" ht="15.75" customHeight="1" x14ac:dyDescent="0.25">
      <c r="A82" s="127" t="s">
        <v>134</v>
      </c>
      <c r="B82" s="128" t="s">
        <v>127</v>
      </c>
      <c r="C82" s="99">
        <v>0</v>
      </c>
      <c r="D82" s="100">
        <f ca="1">((100/H75)*C82)/100</f>
        <v>0</v>
      </c>
      <c r="E82" s="131"/>
      <c r="F82" s="132"/>
      <c r="G82" s="131"/>
      <c r="H82" s="136"/>
      <c r="I82" s="13" t="s">
        <v>143</v>
      </c>
      <c r="J82" s="30">
        <f>(IF(B75&gt;1,(H75/(B75+2)+J81),0))</f>
        <v>0</v>
      </c>
    </row>
    <row r="83" spans="1:22" ht="15" customHeight="1" x14ac:dyDescent="0.25">
      <c r="A83" s="127" t="s">
        <v>132</v>
      </c>
      <c r="B83" s="128" t="s">
        <v>129</v>
      </c>
      <c r="C83" s="99">
        <v>0</v>
      </c>
      <c r="D83" s="100">
        <f ca="1">((100/(H75))*C83)/100</f>
        <v>0</v>
      </c>
      <c r="E83" s="131"/>
      <c r="F83" s="132"/>
      <c r="G83" s="131"/>
      <c r="H83" s="136"/>
      <c r="I83" s="13" t="s">
        <v>140</v>
      </c>
      <c r="J83" s="30">
        <f>(IF(B75&gt;2,(H75/(B75+2)+J82),0))</f>
        <v>0</v>
      </c>
    </row>
    <row r="84" spans="1:22" ht="15.75" customHeight="1" x14ac:dyDescent="0.25">
      <c r="A84" s="127" t="s">
        <v>128</v>
      </c>
      <c r="B84" s="128" t="s">
        <v>128</v>
      </c>
      <c r="C84" s="99">
        <v>0</v>
      </c>
      <c r="D84" s="100">
        <f ca="1">((100/H75)*C84)/100</f>
        <v>0</v>
      </c>
      <c r="E84" s="131"/>
      <c r="F84" s="132"/>
      <c r="G84" s="131"/>
      <c r="H84" s="136"/>
      <c r="I84" s="13" t="s">
        <v>141</v>
      </c>
      <c r="J84" s="31">
        <f>(IF(B75&gt;3,(H75/(B75+2)+J83),0))</f>
        <v>0</v>
      </c>
    </row>
    <row r="85" spans="1:22" ht="15.75" customHeight="1" x14ac:dyDescent="0.25">
      <c r="A85" s="127" t="s">
        <v>135</v>
      </c>
      <c r="B85" s="128"/>
      <c r="C85" s="99">
        <v>0</v>
      </c>
      <c r="D85" s="100">
        <f ca="1">((100/H75)*C85)/100</f>
        <v>0</v>
      </c>
      <c r="E85" s="131"/>
      <c r="F85" s="132"/>
      <c r="G85" s="131"/>
      <c r="H85" s="136"/>
      <c r="I85" s="13" t="s">
        <v>142</v>
      </c>
      <c r="J85" s="30">
        <f>(IF(B75&gt;4,(H75/(B75+2)+J84),0))</f>
        <v>0</v>
      </c>
    </row>
    <row r="86" spans="1:22" ht="15.75" customHeight="1" x14ac:dyDescent="0.25">
      <c r="A86" s="127" t="s">
        <v>130</v>
      </c>
      <c r="B86" s="128" t="s">
        <v>130</v>
      </c>
      <c r="C86" s="99">
        <v>0</v>
      </c>
      <c r="D86" s="100">
        <f ca="1">((100/(H75))*C86)/100</f>
        <v>0</v>
      </c>
      <c r="E86" s="131"/>
      <c r="F86" s="132"/>
      <c r="G86" s="131"/>
      <c r="H86" s="136"/>
      <c r="I86" s="13" t="s">
        <v>144</v>
      </c>
      <c r="J86" s="30">
        <f ca="1">(IF(B75=1,(H75/(B75+3)+J81),IF(B75=0,(H75/4+J81),IF(B75&gt;1,0))))</f>
        <v>16.5</v>
      </c>
    </row>
    <row r="87" spans="1:22" ht="16.5" thickBot="1" x14ac:dyDescent="0.3">
      <c r="A87" s="254" t="s">
        <v>131</v>
      </c>
      <c r="B87" s="255"/>
      <c r="C87" s="101">
        <v>0</v>
      </c>
      <c r="D87" s="102">
        <f ca="1">((100/(H75))*C87)/100</f>
        <v>0</v>
      </c>
      <c r="E87" s="133"/>
      <c r="F87" s="134"/>
      <c r="G87" s="133"/>
      <c r="H87" s="137"/>
      <c r="I87" s="15" t="s">
        <v>100</v>
      </c>
      <c r="J87" s="32">
        <f ca="1">(IF(B75&gt;1.5,(H75/(B75+2)+J81+MAX(0,J82-J81)+MAX(0,J83-J82)+MAX(0,J84-J83)+MAX(0,J85-J84)+MAX(0,J86-J85)),IF(B75=1,(H75/(B75+3)+J86),IF(B75=0,H75/4+J86))))</f>
        <v>22</v>
      </c>
    </row>
    <row r="88" spans="1:22" x14ac:dyDescent="0.25">
      <c r="A88" s="236" t="s">
        <v>154</v>
      </c>
      <c r="B88" s="236"/>
      <c r="C88" s="236"/>
      <c r="D88" s="236"/>
      <c r="E88" s="236"/>
      <c r="F88" s="237" t="s">
        <v>158</v>
      </c>
      <c r="G88" s="237"/>
      <c r="H88" s="237"/>
      <c r="R88" t="s">
        <v>249</v>
      </c>
      <c r="S88" t="s">
        <v>169</v>
      </c>
      <c r="T88" t="s">
        <v>176</v>
      </c>
      <c r="U88" t="s">
        <v>190</v>
      </c>
      <c r="V88" t="s">
        <v>185</v>
      </c>
    </row>
    <row r="89" spans="1:22" x14ac:dyDescent="0.25">
      <c r="A89" s="138" t="s">
        <v>156</v>
      </c>
      <c r="B89" s="138"/>
      <c r="C89" s="138"/>
      <c r="D89" s="138"/>
      <c r="E89" s="138"/>
      <c r="F89" s="162">
        <v>5500</v>
      </c>
      <c r="G89" s="162"/>
      <c r="H89" s="162"/>
      <c r="R89"/>
      <c r="S89">
        <v>800000</v>
      </c>
      <c r="T89">
        <v>150000</v>
      </c>
      <c r="U89">
        <v>100000</v>
      </c>
      <c r="V89">
        <v>100000</v>
      </c>
    </row>
    <row r="90" spans="1:22" hidden="1" x14ac:dyDescent="0.25">
      <c r="A90" s="138" t="s">
        <v>155</v>
      </c>
      <c r="B90" s="138"/>
      <c r="C90" s="138"/>
      <c r="D90" s="138"/>
      <c r="E90" s="138"/>
      <c r="F90" s="162"/>
      <c r="G90" s="162"/>
      <c r="H90" s="162"/>
      <c r="R90"/>
      <c r="S90">
        <v>900000</v>
      </c>
      <c r="T90">
        <v>200000</v>
      </c>
      <c r="U90">
        <v>150000</v>
      </c>
      <c r="V90">
        <v>150000</v>
      </c>
    </row>
    <row r="91" spans="1:22" hidden="1" x14ac:dyDescent="0.25">
      <c r="A91" s="138" t="s">
        <v>157</v>
      </c>
      <c r="B91" s="138"/>
      <c r="C91" s="138"/>
      <c r="D91" s="138"/>
      <c r="E91" s="138"/>
      <c r="F91" s="162"/>
      <c r="G91" s="162"/>
      <c r="H91" s="162"/>
      <c r="R91"/>
      <c r="S91">
        <v>1000000</v>
      </c>
      <c r="T91">
        <v>250000</v>
      </c>
      <c r="U91">
        <v>200000</v>
      </c>
      <c r="V91">
        <v>200000</v>
      </c>
    </row>
    <row r="92" spans="1:22" s="33" customFormat="1" x14ac:dyDescent="0.25">
      <c r="A92" s="138" t="s">
        <v>91</v>
      </c>
      <c r="B92" s="138"/>
      <c r="C92" s="138"/>
      <c r="D92" s="138"/>
      <c r="E92" s="138"/>
      <c r="F92" s="162">
        <v>200000</v>
      </c>
      <c r="G92" s="162"/>
      <c r="H92" s="162"/>
      <c r="R92"/>
      <c r="S92">
        <v>1100000</v>
      </c>
      <c r="T92">
        <v>300000</v>
      </c>
      <c r="U92">
        <v>250000</v>
      </c>
      <c r="V92" s="23">
        <v>250000</v>
      </c>
    </row>
    <row r="93" spans="1:22" s="33" customFormat="1" x14ac:dyDescent="0.25">
      <c r="A93" s="138" t="s">
        <v>437</v>
      </c>
      <c r="B93" s="138"/>
      <c r="C93" s="138"/>
      <c r="D93" s="138"/>
      <c r="E93" s="138"/>
      <c r="F93" s="162">
        <v>15000</v>
      </c>
      <c r="G93" s="162"/>
      <c r="H93" s="162"/>
      <c r="R93"/>
      <c r="S93">
        <v>1200000</v>
      </c>
      <c r="T93">
        <v>350000</v>
      </c>
      <c r="U93">
        <v>300000</v>
      </c>
      <c r="V93">
        <v>300000</v>
      </c>
    </row>
    <row r="94" spans="1:22" s="33" customFormat="1" hidden="1" x14ac:dyDescent="0.25">
      <c r="A94" s="138" t="s">
        <v>171</v>
      </c>
      <c r="B94" s="138"/>
      <c r="C94" s="138"/>
      <c r="D94" s="138"/>
      <c r="E94" s="138"/>
      <c r="F94" s="162"/>
      <c r="G94" s="162"/>
      <c r="H94" s="162"/>
      <c r="R94"/>
      <c r="S94">
        <v>1300000</v>
      </c>
      <c r="T94">
        <v>400000</v>
      </c>
      <c r="U94">
        <v>350000</v>
      </c>
      <c r="V94" s="23">
        <v>400000</v>
      </c>
    </row>
    <row r="95" spans="1:22" s="33" customFormat="1" hidden="1" x14ac:dyDescent="0.25">
      <c r="A95" s="138" t="s">
        <v>92</v>
      </c>
      <c r="B95" s="138"/>
      <c r="C95" s="138"/>
      <c r="D95" s="138"/>
      <c r="E95" s="138"/>
      <c r="F95" s="162"/>
      <c r="G95" s="162"/>
      <c r="H95" s="162"/>
      <c r="R95"/>
      <c r="S95">
        <v>1400000</v>
      </c>
      <c r="T95">
        <v>500000</v>
      </c>
      <c r="U95">
        <v>400000</v>
      </c>
      <c r="V95"/>
    </row>
    <row r="96" spans="1:22" s="33" customFormat="1" hidden="1" x14ac:dyDescent="0.25">
      <c r="A96" s="138" t="s">
        <v>93</v>
      </c>
      <c r="B96" s="138"/>
      <c r="C96" s="138"/>
      <c r="D96" s="138"/>
      <c r="E96" s="138"/>
      <c r="F96" s="162"/>
      <c r="G96" s="162"/>
      <c r="H96" s="162"/>
      <c r="R96"/>
      <c r="S96">
        <v>1500000</v>
      </c>
      <c r="T96">
        <v>600000</v>
      </c>
      <c r="U96">
        <v>500000</v>
      </c>
      <c r="V96" s="23"/>
    </row>
    <row r="97" spans="1:22" s="33" customFormat="1" hidden="1" x14ac:dyDescent="0.25">
      <c r="A97" s="138" t="s">
        <v>94</v>
      </c>
      <c r="B97" s="138"/>
      <c r="C97" s="138"/>
      <c r="D97" s="138"/>
      <c r="E97" s="138"/>
      <c r="F97" s="162"/>
      <c r="G97" s="162"/>
      <c r="H97" s="162"/>
      <c r="R97"/>
      <c r="S97">
        <v>1600000</v>
      </c>
      <c r="T97">
        <v>700000</v>
      </c>
      <c r="U97">
        <v>600000</v>
      </c>
      <c r="V97"/>
    </row>
    <row r="98" spans="1:22" s="33" customFormat="1" hidden="1" x14ac:dyDescent="0.25">
      <c r="A98" s="138" t="s">
        <v>95</v>
      </c>
      <c r="B98" s="138"/>
      <c r="C98" s="138"/>
      <c r="D98" s="138"/>
      <c r="E98" s="138"/>
      <c r="F98" s="162"/>
      <c r="G98" s="162"/>
      <c r="H98" s="162"/>
      <c r="R98"/>
      <c r="S98">
        <v>1700000</v>
      </c>
      <c r="T98">
        <v>800000</v>
      </c>
      <c r="U98"/>
      <c r="V98" s="23"/>
    </row>
    <row r="99" spans="1:22" x14ac:dyDescent="0.25">
      <c r="A99" s="138" t="s">
        <v>49</v>
      </c>
      <c r="B99" s="138"/>
      <c r="C99" s="138"/>
      <c r="D99" s="138"/>
      <c r="E99" s="138"/>
      <c r="F99" s="162">
        <v>300000</v>
      </c>
      <c r="G99" s="162"/>
      <c r="H99" s="162"/>
      <c r="R99"/>
      <c r="S99">
        <v>1800000</v>
      </c>
      <c r="T99">
        <v>900000</v>
      </c>
      <c r="U99"/>
    </row>
    <row r="100" spans="1:22" s="34" customFormat="1" x14ac:dyDescent="0.25">
      <c r="A100" s="173" t="s">
        <v>50</v>
      </c>
      <c r="B100" s="173"/>
      <c r="C100" s="173"/>
      <c r="D100" s="173"/>
      <c r="E100" s="173"/>
      <c r="F100" s="162">
        <f>F89*0.8</f>
        <v>4400</v>
      </c>
      <c r="G100" s="162"/>
      <c r="H100" s="162"/>
      <c r="R100" s="21"/>
      <c r="S100" s="21"/>
      <c r="T100">
        <v>1000000</v>
      </c>
      <c r="U100"/>
      <c r="V100" s="21"/>
    </row>
    <row r="101" spans="1:22" s="35" customFormat="1" ht="15.75" hidden="1" customHeight="1" x14ac:dyDescent="0.25">
      <c r="A101" s="139" t="s">
        <v>71</v>
      </c>
      <c r="B101" s="139"/>
      <c r="C101" s="139"/>
      <c r="D101" s="139"/>
      <c r="E101" s="139"/>
      <c r="F101" s="139"/>
      <c r="G101" s="139"/>
      <c r="H101" s="139"/>
      <c r="R101"/>
      <c r="S101" s="21"/>
      <c r="T101"/>
      <c r="U101"/>
      <c r="V101" s="21"/>
    </row>
    <row r="102" spans="1:22" s="35" customFormat="1" ht="15.75" hidden="1" customHeight="1" x14ac:dyDescent="0.25">
      <c r="A102" s="142" t="s">
        <v>51</v>
      </c>
      <c r="B102" s="142"/>
      <c r="C102" s="146" t="s">
        <v>74</v>
      </c>
      <c r="D102" s="146"/>
      <c r="E102" s="141" t="s">
        <v>52</v>
      </c>
      <c r="F102" s="141"/>
      <c r="G102" s="142" t="s">
        <v>53</v>
      </c>
      <c r="H102" s="142"/>
      <c r="R102"/>
      <c r="S102" s="21"/>
      <c r="T102"/>
      <c r="U102" s="21"/>
      <c r="V102" s="21"/>
    </row>
    <row r="103" spans="1:22" s="35" customFormat="1" hidden="1" x14ac:dyDescent="0.25">
      <c r="A103" s="232"/>
      <c r="B103" s="232"/>
      <c r="C103" s="143"/>
      <c r="D103" s="143"/>
      <c r="E103" s="144"/>
      <c r="F103" s="144"/>
      <c r="G103" s="145"/>
      <c r="H103" s="145"/>
      <c r="R103"/>
      <c r="S103" s="21"/>
      <c r="T103"/>
      <c r="U103" s="21"/>
      <c r="V103" s="21"/>
    </row>
    <row r="104" spans="1:22" s="35" customFormat="1" hidden="1" x14ac:dyDescent="0.25">
      <c r="A104" s="232"/>
      <c r="B104" s="232"/>
      <c r="C104" s="143"/>
      <c r="D104" s="143"/>
      <c r="E104" s="144"/>
      <c r="F104" s="144"/>
      <c r="G104" s="145"/>
      <c r="H104" s="145"/>
      <c r="R104"/>
      <c r="S104" s="21"/>
      <c r="T104"/>
      <c r="U104" s="21"/>
      <c r="V104" s="21"/>
    </row>
    <row r="105" spans="1:22" s="35" customFormat="1" hidden="1" x14ac:dyDescent="0.25">
      <c r="A105" s="139" t="s">
        <v>147</v>
      </c>
      <c r="B105" s="139"/>
      <c r="C105" s="146"/>
      <c r="D105" s="146"/>
      <c r="E105" s="141"/>
      <c r="F105" s="141"/>
      <c r="G105" s="142"/>
      <c r="H105" s="142"/>
      <c r="R105"/>
      <c r="S105" s="21"/>
      <c r="T105"/>
      <c r="U105" s="21"/>
      <c r="V105" s="21"/>
    </row>
    <row r="106" spans="1:22" s="35" customFormat="1" x14ac:dyDescent="0.25">
      <c r="A106" s="139" t="s">
        <v>66</v>
      </c>
      <c r="B106" s="139"/>
      <c r="C106" s="139"/>
      <c r="D106" s="139"/>
      <c r="E106" s="139"/>
      <c r="F106" s="139"/>
      <c r="G106" s="139"/>
      <c r="H106" s="139"/>
      <c r="T106"/>
    </row>
    <row r="107" spans="1:22" s="35" customFormat="1" ht="15.75" customHeight="1" x14ac:dyDescent="0.25">
      <c r="A107" s="142" t="s">
        <v>51</v>
      </c>
      <c r="B107" s="142"/>
      <c r="C107" s="146" t="s">
        <v>74</v>
      </c>
      <c r="D107" s="146"/>
      <c r="E107" s="141" t="s">
        <v>52</v>
      </c>
      <c r="F107" s="141"/>
      <c r="G107" s="142" t="s">
        <v>53</v>
      </c>
      <c r="H107" s="142"/>
      <c r="T107"/>
    </row>
    <row r="108" spans="1:22" s="35" customFormat="1" x14ac:dyDescent="0.25">
      <c r="A108" s="232" t="s">
        <v>414</v>
      </c>
      <c r="B108" s="232"/>
      <c r="C108" s="143">
        <f>COUNT(F126:F127,F129)+COUNT(F131:F134)*12+COUNT(F136:F138)*2+COUNT(F141:F142)+COUNT(F144:F145)</f>
        <v>61</v>
      </c>
      <c r="D108" s="143"/>
      <c r="E108" s="159">
        <f>SUM(F126:F127,F129)+SUM(F131:F134)*12+SUM(F136:F138)*2+SUM(F141:F142)+SUM(F144:F145)</f>
        <v>42016.735799999995</v>
      </c>
      <c r="F108" s="159"/>
      <c r="G108" s="159">
        <f>SUM(H126:H127,H129)+SUM(H131:H134)*12+SUM(H136:H138)*2+SUM(H141:H142)+SUM(H144:H145)</f>
        <v>63239.145839999997</v>
      </c>
      <c r="H108" s="159"/>
      <c r="I108" s="35">
        <f>59+2</f>
        <v>61</v>
      </c>
      <c r="T108"/>
    </row>
    <row r="109" spans="1:22" s="35" customFormat="1" x14ac:dyDescent="0.25">
      <c r="A109" s="139" t="s">
        <v>147</v>
      </c>
      <c r="B109" s="139"/>
      <c r="C109" s="239">
        <f t="shared" ref="C109:G109" si="0">SUM(C108)</f>
        <v>61</v>
      </c>
      <c r="D109" s="146"/>
      <c r="E109" s="140">
        <f t="shared" si="0"/>
        <v>42016.735799999995</v>
      </c>
      <c r="F109" s="141"/>
      <c r="G109" s="142">
        <f t="shared" si="0"/>
        <v>63239.145839999997</v>
      </c>
      <c r="H109" s="142"/>
      <c r="T109"/>
    </row>
    <row r="110" spans="1:22" s="35" customFormat="1" ht="16.5" hidden="1" thickBot="1" x14ac:dyDescent="0.3">
      <c r="A110" s="234" t="s">
        <v>163</v>
      </c>
      <c r="B110" s="235"/>
      <c r="C110" s="225">
        <f>C105+C109</f>
        <v>61</v>
      </c>
      <c r="D110" s="225"/>
      <c r="E110" s="163">
        <f>E105+E109</f>
        <v>42016.735799999995</v>
      </c>
      <c r="F110" s="163"/>
      <c r="G110" s="157">
        <f>G105+G109</f>
        <v>63239.145839999997</v>
      </c>
      <c r="H110" s="158"/>
      <c r="T110"/>
    </row>
    <row r="111" spans="1:22" s="34" customFormat="1" x14ac:dyDescent="0.25">
      <c r="A111" s="237" t="s">
        <v>351</v>
      </c>
      <c r="B111" s="237"/>
      <c r="C111" s="237"/>
      <c r="D111" s="237"/>
      <c r="E111" s="237"/>
      <c r="F111" s="237"/>
      <c r="G111" s="237"/>
      <c r="H111" s="237"/>
      <c r="T111" s="35"/>
    </row>
    <row r="112" spans="1:22" x14ac:dyDescent="0.25">
      <c r="A112" s="245" t="s">
        <v>421</v>
      </c>
      <c r="B112" s="245"/>
      <c r="C112" s="245"/>
      <c r="D112" s="245"/>
      <c r="E112" s="245"/>
      <c r="F112" s="245"/>
      <c r="G112" s="245"/>
      <c r="H112" s="245"/>
      <c r="T112" s="35"/>
    </row>
    <row r="113" spans="1:20" ht="47.25" hidden="1" customHeight="1" x14ac:dyDescent="0.25">
      <c r="A113" s="120" t="s">
        <v>116</v>
      </c>
      <c r="B113" s="153" t="s">
        <v>172</v>
      </c>
      <c r="C113" s="120" t="s">
        <v>54</v>
      </c>
      <c r="D113" s="153" t="s">
        <v>228</v>
      </c>
      <c r="E113" s="160" t="s">
        <v>153</v>
      </c>
      <c r="F113" s="120" t="s">
        <v>55</v>
      </c>
      <c r="G113" s="155" t="s">
        <v>56</v>
      </c>
      <c r="H113" s="64" t="s">
        <v>146</v>
      </c>
      <c r="T113" s="35"/>
    </row>
    <row r="114" spans="1:20" s="37" customFormat="1" hidden="1" x14ac:dyDescent="0.25">
      <c r="A114" s="121"/>
      <c r="B114" s="154"/>
      <c r="C114" s="121"/>
      <c r="D114" s="154"/>
      <c r="E114" s="161"/>
      <c r="F114" s="121"/>
      <c r="G114" s="156"/>
      <c r="H114" s="55">
        <v>0.45</v>
      </c>
      <c r="T114" s="35"/>
    </row>
    <row r="115" spans="1:20" s="37" customFormat="1" hidden="1" x14ac:dyDescent="0.25">
      <c r="A115" s="109" t="s">
        <v>115</v>
      </c>
      <c r="B115" s="110"/>
      <c r="C115" s="110"/>
      <c r="D115" s="110"/>
      <c r="E115" s="110"/>
      <c r="F115" s="110"/>
      <c r="G115" s="110"/>
      <c r="H115" s="111"/>
      <c r="J115" s="36"/>
      <c r="T115" s="35"/>
    </row>
    <row r="116" spans="1:20" s="37" customFormat="1" ht="15.75" hidden="1" customHeight="1" x14ac:dyDescent="0.25">
      <c r="A116" s="112">
        <v>1</v>
      </c>
      <c r="B116" s="114"/>
      <c r="C116" s="42"/>
      <c r="D116" s="42">
        <v>0</v>
      </c>
      <c r="E116" s="42">
        <v>0</v>
      </c>
      <c r="F116" s="42">
        <f>D116+(IF(E116&lt;201,E116,IF(E116&lt;301,E116/2,E116/3)))</f>
        <v>0</v>
      </c>
      <c r="G116" s="42">
        <v>0</v>
      </c>
      <c r="H116" s="42">
        <f>(F116+(IF(G116&lt;101,G116,IF(G116&lt;201,G116/2,IF(G116&lt;=301,G116/3,G116/4)))))*(($H$114)+1)</f>
        <v>0</v>
      </c>
      <c r="I116" s="36"/>
      <c r="L116" s="150"/>
      <c r="M116" s="150"/>
      <c r="N116" s="36"/>
      <c r="T116" s="35"/>
    </row>
    <row r="117" spans="1:20" s="37" customFormat="1" ht="15.75" hidden="1" customHeight="1" x14ac:dyDescent="0.25">
      <c r="A117" s="112">
        <f>A116+1</f>
        <v>2</v>
      </c>
      <c r="B117" s="114"/>
      <c r="C117" s="42"/>
      <c r="D117" s="42"/>
      <c r="E117" s="42">
        <v>0</v>
      </c>
      <c r="F117" s="42">
        <f>D117+(IF(E117&lt;201,E117,IF(E117&lt;301,E117/2,E117/3)))</f>
        <v>0</v>
      </c>
      <c r="G117" s="42">
        <v>0</v>
      </c>
      <c r="H117" s="42">
        <f>(F117+(IF(G117&lt;101,G117,IF(G117&lt;201,G117/2,IF(G117&lt;=301,G117/3,G117/4)))))*(($H$114)+1)</f>
        <v>0</v>
      </c>
      <c r="I117" s="36"/>
      <c r="L117" s="150"/>
      <c r="M117" s="150"/>
      <c r="N117" s="36"/>
      <c r="T117" s="34"/>
    </row>
    <row r="118" spans="1:20" s="37" customFormat="1" ht="15.75" hidden="1" customHeight="1" x14ac:dyDescent="0.25">
      <c r="A118" s="112">
        <f>A117+1</f>
        <v>3</v>
      </c>
      <c r="B118" s="114"/>
      <c r="C118" s="42"/>
      <c r="D118" s="42"/>
      <c r="E118" s="42">
        <v>0</v>
      </c>
      <c r="F118" s="42">
        <f>D118+(IF(E118&lt;201,E118,IF(E118&lt;301,E118/2,E118/3)))</f>
        <v>0</v>
      </c>
      <c r="G118" s="42">
        <v>0</v>
      </c>
      <c r="H118" s="42">
        <f>(F118+(IF(G118&lt;101,G118,IF(G118&lt;201,G118/2,IF(G118&lt;=301,G118/3,G118/4)))))*(($H$114)+1)</f>
        <v>0</v>
      </c>
      <c r="I118" s="36"/>
      <c r="L118" s="150"/>
      <c r="M118" s="150"/>
      <c r="N118" s="36"/>
      <c r="T118" s="21"/>
    </row>
    <row r="119" spans="1:20" s="37" customFormat="1" ht="15.75" hidden="1" customHeight="1" x14ac:dyDescent="0.25">
      <c r="A119" s="112">
        <f>A118+1</f>
        <v>4</v>
      </c>
      <c r="B119" s="114"/>
      <c r="C119" s="42"/>
      <c r="D119" s="42"/>
      <c r="E119" s="42">
        <v>0</v>
      </c>
      <c r="F119" s="42">
        <f>D119+(IF(E119&lt;201,E119,IF(E119&lt;301,E119/2,E119/3)))</f>
        <v>0</v>
      </c>
      <c r="G119" s="42">
        <v>0</v>
      </c>
      <c r="H119" s="42">
        <f>(F119+(IF(G119&lt;101,G119,IF(G119&lt;201,G119/2,IF(G119&lt;=301,G119/3,G119/4)))))*(($H$114)+1)</f>
        <v>0</v>
      </c>
      <c r="I119" s="36"/>
      <c r="L119" s="150"/>
      <c r="M119" s="150"/>
      <c r="N119" s="36"/>
      <c r="T119" s="21"/>
    </row>
    <row r="120" spans="1:20" s="37" customFormat="1" hidden="1" x14ac:dyDescent="0.25">
      <c r="A120" s="112"/>
      <c r="B120" s="113"/>
      <c r="C120" s="113"/>
      <c r="D120" s="113"/>
      <c r="E120" s="113"/>
      <c r="F120" s="113"/>
      <c r="G120" s="113"/>
      <c r="H120" s="114"/>
      <c r="I120" s="36"/>
      <c r="N120" s="36"/>
    </row>
    <row r="121" spans="1:20" ht="47.25" customHeight="1" x14ac:dyDescent="0.25">
      <c r="A121" s="256" t="s">
        <v>117</v>
      </c>
      <c r="B121" s="122" t="s">
        <v>173</v>
      </c>
      <c r="C121" s="120" t="s">
        <v>54</v>
      </c>
      <c r="D121" s="122" t="s">
        <v>372</v>
      </c>
      <c r="E121" s="122" t="s">
        <v>424</v>
      </c>
      <c r="F121" s="120" t="s">
        <v>55</v>
      </c>
      <c r="G121" s="155" t="s">
        <v>56</v>
      </c>
      <c r="H121" s="106" t="s">
        <v>146</v>
      </c>
      <c r="I121" s="36"/>
      <c r="T121" s="37"/>
    </row>
    <row r="122" spans="1:20" s="37" customFormat="1" x14ac:dyDescent="0.25">
      <c r="A122" s="257"/>
      <c r="B122" s="123"/>
      <c r="C122" s="121"/>
      <c r="D122" s="123"/>
      <c r="E122" s="123"/>
      <c r="F122" s="121"/>
      <c r="G122" s="156"/>
      <c r="H122" s="107">
        <v>0.5</v>
      </c>
      <c r="I122" s="104">
        <v>10.763999999999999</v>
      </c>
    </row>
    <row r="123" spans="1:20" s="37" customFormat="1" x14ac:dyDescent="0.25">
      <c r="A123" s="240" t="s">
        <v>414</v>
      </c>
      <c r="B123" s="241"/>
      <c r="C123" s="241"/>
      <c r="D123" s="241"/>
      <c r="E123" s="241"/>
      <c r="F123" s="241"/>
      <c r="G123" s="241"/>
      <c r="H123" s="242"/>
      <c r="J123" s="36"/>
    </row>
    <row r="124" spans="1:20" s="37" customFormat="1" ht="15.75" customHeight="1" x14ac:dyDescent="0.25">
      <c r="A124" s="109" t="s">
        <v>420</v>
      </c>
      <c r="B124" s="110"/>
      <c r="C124" s="110"/>
      <c r="D124" s="110"/>
      <c r="E124" s="110"/>
      <c r="F124" s="110"/>
      <c r="G124" s="110"/>
      <c r="H124" s="111"/>
      <c r="I124" s="36"/>
      <c r="L124" s="150"/>
      <c r="M124" s="150"/>
      <c r="N124" s="36"/>
    </row>
    <row r="125" spans="1:20" s="37" customFormat="1" ht="15.75" customHeight="1" x14ac:dyDescent="0.25">
      <c r="A125" s="109" t="s">
        <v>426</v>
      </c>
      <c r="B125" s="110"/>
      <c r="C125" s="110"/>
      <c r="D125" s="110"/>
      <c r="E125" s="110"/>
      <c r="F125" s="110"/>
      <c r="G125" s="110"/>
      <c r="H125" s="111"/>
      <c r="I125" s="36"/>
      <c r="L125" s="150"/>
      <c r="M125" s="150"/>
      <c r="N125" s="36"/>
    </row>
    <row r="126" spans="1:20" s="37" customFormat="1" ht="15.75" customHeight="1" x14ac:dyDescent="0.25">
      <c r="A126" s="112">
        <v>1</v>
      </c>
      <c r="B126" s="114"/>
      <c r="C126" s="42" t="s">
        <v>422</v>
      </c>
      <c r="D126" s="104">
        <f>(59.55)*10.764</f>
        <v>640.99619999999993</v>
      </c>
      <c r="E126" s="104">
        <f>(4.11+2.82)*10.764</f>
        <v>74.594519999999989</v>
      </c>
      <c r="F126" s="42">
        <f>D126+E126</f>
        <v>715.59071999999992</v>
      </c>
      <c r="G126" s="42">
        <v>0</v>
      </c>
      <c r="H126" s="42">
        <f>F126*(($H$122)+1)+(IF(G126&lt;101,G126,IF(G126&lt;201,G126/2,IF(G126&lt;=301,G126/3,G126/4))))</f>
        <v>1073.3860799999998</v>
      </c>
      <c r="I126" s="36">
        <f>5.55*2.82+3.25*1.18+3.15*1.95+3.15*2.67+4.2*3+0.9*2.1+0.9*1.8+1.2*2.1+1.34*2.2</f>
        <v>55.616999999999997</v>
      </c>
      <c r="L126" s="150"/>
      <c r="M126" s="150"/>
      <c r="N126" s="36"/>
    </row>
    <row r="127" spans="1:20" s="37" customFormat="1" ht="15.75" customHeight="1" x14ac:dyDescent="0.25">
      <c r="A127" s="112">
        <f>A126+1</f>
        <v>2</v>
      </c>
      <c r="B127" s="114"/>
      <c r="C127" s="98" t="s">
        <v>422</v>
      </c>
      <c r="D127" s="104">
        <f>(59.55)*10.764</f>
        <v>640.99619999999993</v>
      </c>
      <c r="E127" s="104">
        <f>(4.11+2.82)*10.764</f>
        <v>74.594519999999989</v>
      </c>
      <c r="F127" s="42">
        <f>D127+E127</f>
        <v>715.59071999999992</v>
      </c>
      <c r="G127" s="42">
        <v>0</v>
      </c>
      <c r="H127" s="42">
        <f>F127*(($H$122)+1)+(IF(G127&lt;101,G127,IF(G127&lt;201,G127/2,IF(G127&lt;=301,G127/3,G127/4))))</f>
        <v>1073.3860799999998</v>
      </c>
      <c r="I127" s="36"/>
      <c r="L127" s="150"/>
      <c r="M127" s="150"/>
      <c r="N127" s="36"/>
      <c r="T127" s="21"/>
    </row>
    <row r="128" spans="1:20" s="37" customFormat="1" x14ac:dyDescent="0.25">
      <c r="A128" s="112">
        <f>A127+1</f>
        <v>3</v>
      </c>
      <c r="B128" s="114"/>
      <c r="C128" s="112" t="s">
        <v>425</v>
      </c>
      <c r="D128" s="113"/>
      <c r="E128" s="113"/>
      <c r="F128" s="113"/>
      <c r="G128" s="113"/>
      <c r="H128" s="114"/>
      <c r="I128" s="36"/>
      <c r="L128" s="150"/>
      <c r="M128" s="150"/>
    </row>
    <row r="129" spans="1:14" s="37" customFormat="1" x14ac:dyDescent="0.25">
      <c r="A129" s="112">
        <f>A128+1</f>
        <v>4</v>
      </c>
      <c r="B129" s="114"/>
      <c r="C129" s="98" t="s">
        <v>423</v>
      </c>
      <c r="D129" s="104">
        <f>(76.4)*10.764</f>
        <v>822.36959999999999</v>
      </c>
      <c r="E129" s="104">
        <f>(2.87)*10.764</f>
        <v>30.892679999999999</v>
      </c>
      <c r="F129" s="42">
        <f>D129+E129</f>
        <v>853.26228000000003</v>
      </c>
      <c r="G129" s="42">
        <v>0</v>
      </c>
      <c r="H129" s="42">
        <f>F129*(($H$122)+1)+(IF(G129&lt;101,G129,IF(G129&lt;201,G129/2,IF(G129&lt;=301,G129/3,G129/4))))</f>
        <v>1279.8934200000001</v>
      </c>
      <c r="I129" s="36"/>
      <c r="N129" s="36"/>
    </row>
    <row r="130" spans="1:14" s="37" customFormat="1" x14ac:dyDescent="0.25">
      <c r="A130" s="231" t="s">
        <v>427</v>
      </c>
      <c r="B130" s="231"/>
      <c r="C130" s="231"/>
      <c r="D130" s="231"/>
      <c r="E130" s="231"/>
      <c r="F130" s="231"/>
      <c r="G130" s="231"/>
      <c r="H130" s="231"/>
      <c r="I130" s="36">
        <f>4500000-(4500000*0.08)</f>
        <v>4140000</v>
      </c>
      <c r="J130" s="37">
        <v>5500</v>
      </c>
      <c r="K130" s="37">
        <f>200000+15000</f>
        <v>215000</v>
      </c>
      <c r="N130" s="36"/>
    </row>
    <row r="131" spans="1:14" s="37" customFormat="1" x14ac:dyDescent="0.25">
      <c r="A131" s="116">
        <v>1</v>
      </c>
      <c r="B131" s="116"/>
      <c r="C131" s="98" t="s">
        <v>422</v>
      </c>
      <c r="D131" s="104">
        <f>(59.55)*10.764</f>
        <v>640.99619999999993</v>
      </c>
      <c r="E131" s="104">
        <f>(4.11+2.82)*10.764</f>
        <v>74.594519999999989</v>
      </c>
      <c r="F131" s="42">
        <f>D131+E131</f>
        <v>715.59071999999992</v>
      </c>
      <c r="G131" s="42">
        <v>0</v>
      </c>
      <c r="H131" s="42">
        <f>F131*(($H$122)+1)+(IF(G131&lt;101,G131,IF(G131&lt;201,G131/2,IF(G131&lt;=301,G131/3,G131/4))))</f>
        <v>1073.3860799999998</v>
      </c>
      <c r="I131" s="36"/>
      <c r="J131" s="36">
        <f>H131*$J$130</f>
        <v>5903623.4399999985</v>
      </c>
      <c r="K131" s="37">
        <f>J131+$K$130</f>
        <v>6118623.4399999985</v>
      </c>
      <c r="N131" s="36"/>
    </row>
    <row r="132" spans="1:14" s="37" customFormat="1" x14ac:dyDescent="0.25">
      <c r="A132" s="116">
        <f>A131+1</f>
        <v>2</v>
      </c>
      <c r="B132" s="116"/>
      <c r="C132" s="98" t="s">
        <v>422</v>
      </c>
      <c r="D132" s="104">
        <f>(59.55)*10.764</f>
        <v>640.99619999999993</v>
      </c>
      <c r="E132" s="104">
        <f>(4.11+2.82)*10.764</f>
        <v>74.594519999999989</v>
      </c>
      <c r="F132" s="42">
        <f>D132+E132</f>
        <v>715.59071999999992</v>
      </c>
      <c r="G132" s="42">
        <v>0</v>
      </c>
      <c r="H132" s="42">
        <f>F132*(($H$122)+1)+(IF(G132&lt;101,G132,IF(G132&lt;201,G132/2,IF(G132&lt;=301,G132/3,G132/4))))</f>
        <v>1073.3860799999998</v>
      </c>
      <c r="I132" s="36"/>
      <c r="J132" s="36">
        <f t="shared" ref="J132:J134" si="1">H132*$J$130</f>
        <v>5903623.4399999985</v>
      </c>
      <c r="K132" s="97">
        <f t="shared" ref="K132:K134" si="2">J132+$K$130</f>
        <v>6118623.4399999985</v>
      </c>
      <c r="N132" s="36"/>
    </row>
    <row r="133" spans="1:14" s="37" customFormat="1" x14ac:dyDescent="0.25">
      <c r="A133" s="116">
        <f>A132+1</f>
        <v>3</v>
      </c>
      <c r="B133" s="116"/>
      <c r="C133" s="98" t="s">
        <v>428</v>
      </c>
      <c r="D133" s="104">
        <f>(43.52)*10.764</f>
        <v>468.44927999999999</v>
      </c>
      <c r="E133" s="104">
        <v>0</v>
      </c>
      <c r="F133" s="42">
        <f>D133+E133</f>
        <v>468.44927999999999</v>
      </c>
      <c r="G133" s="42">
        <v>0</v>
      </c>
      <c r="H133" s="42">
        <f>F133*(($H$122)+1)+(IF(G133&lt;101,G133,IF(G133&lt;201,G133/2,IF(G133&lt;=301,G133/3,G133/4))))</f>
        <v>702.67391999999995</v>
      </c>
      <c r="I133" s="36">
        <f>4100000/H133</f>
        <v>5834.8543802508002</v>
      </c>
      <c r="J133" s="36">
        <f t="shared" si="1"/>
        <v>3864706.5599999996</v>
      </c>
      <c r="K133" s="108">
        <f t="shared" si="2"/>
        <v>4079706.5599999996</v>
      </c>
      <c r="N133" s="36"/>
    </row>
    <row r="134" spans="1:14" s="37" customFormat="1" ht="15.75" customHeight="1" x14ac:dyDescent="0.25">
      <c r="A134" s="116">
        <f>A133+1</f>
        <v>4</v>
      </c>
      <c r="B134" s="116"/>
      <c r="C134" s="98" t="s">
        <v>422</v>
      </c>
      <c r="D134" s="104">
        <f>(63.31)*10.764</f>
        <v>681.46884</v>
      </c>
      <c r="E134" s="104">
        <f>(2.87)*10.764</f>
        <v>30.892679999999999</v>
      </c>
      <c r="F134" s="42">
        <f>D134+E134</f>
        <v>712.36152000000004</v>
      </c>
      <c r="G134" s="42">
        <v>0</v>
      </c>
      <c r="H134" s="42">
        <f>F134*(($H$122)+1)+(IF(G134&lt;101,G134,IF(G134&lt;201,G134/2,IF(G134&lt;=301,G134/3,G134/4))))</f>
        <v>1068.5422800000001</v>
      </c>
      <c r="I134" s="36">
        <f>6459200/H134</f>
        <v>6044.8707747904928</v>
      </c>
      <c r="J134" s="36">
        <f t="shared" si="1"/>
        <v>5876982.540000001</v>
      </c>
      <c r="K134" s="108">
        <f t="shared" si="2"/>
        <v>6091982.540000001</v>
      </c>
    </row>
    <row r="135" spans="1:14" s="37" customFormat="1" ht="15.75" customHeight="1" x14ac:dyDescent="0.25">
      <c r="A135" s="231" t="s">
        <v>429</v>
      </c>
      <c r="B135" s="231"/>
      <c r="C135" s="231"/>
      <c r="D135" s="231"/>
      <c r="E135" s="231"/>
      <c r="F135" s="231"/>
      <c r="G135" s="231"/>
      <c r="H135" s="231"/>
      <c r="I135" s="36"/>
    </row>
    <row r="136" spans="1:14" s="37" customFormat="1" ht="15.75" customHeight="1" x14ac:dyDescent="0.25">
      <c r="A136" s="116">
        <v>1</v>
      </c>
      <c r="B136" s="116"/>
      <c r="C136" s="98" t="s">
        <v>422</v>
      </c>
      <c r="D136" s="104">
        <f>(59.55)*10.764</f>
        <v>640.99619999999993</v>
      </c>
      <c r="E136" s="104">
        <f>(4.11+2.82)*10.764</f>
        <v>74.594519999999989</v>
      </c>
      <c r="F136" s="98">
        <f>D136+E136</f>
        <v>715.59071999999992</v>
      </c>
      <c r="G136" s="98">
        <v>0</v>
      </c>
      <c r="H136" s="98">
        <f>F136*(($H$122)+1)+(IF(G136&lt;101,G136,IF(G136&lt;201,G136/2,IF(G136&lt;=301,G136/3,G136/4))))</f>
        <v>1073.3860799999998</v>
      </c>
      <c r="I136" s="36"/>
    </row>
    <row r="137" spans="1:14" s="37" customFormat="1" ht="15.75" customHeight="1" x14ac:dyDescent="0.25">
      <c r="A137" s="116">
        <f>A136+1</f>
        <v>2</v>
      </c>
      <c r="B137" s="116"/>
      <c r="C137" s="98" t="s">
        <v>422</v>
      </c>
      <c r="D137" s="104">
        <f>(59.55)*10.764</f>
        <v>640.99619999999993</v>
      </c>
      <c r="E137" s="104">
        <f>(4.11+2.82)*10.764</f>
        <v>74.594519999999989</v>
      </c>
      <c r="F137" s="98">
        <f>D137+E137</f>
        <v>715.59071999999992</v>
      </c>
      <c r="G137" s="98">
        <v>0</v>
      </c>
      <c r="H137" s="98">
        <f>F137*(($H$122)+1)+(IF(G137&lt;101,G137,IF(G137&lt;201,G137/2,IF(G137&lt;=301,G137/3,G137/4))))</f>
        <v>1073.3860799999998</v>
      </c>
      <c r="I137" s="36"/>
    </row>
    <row r="138" spans="1:14" s="37" customFormat="1" ht="15.75" customHeight="1" x14ac:dyDescent="0.25">
      <c r="A138" s="116">
        <f>A137+1</f>
        <v>3</v>
      </c>
      <c r="B138" s="116"/>
      <c r="C138" s="98" t="s">
        <v>423</v>
      </c>
      <c r="D138" s="104">
        <f>(84.26)*10.764</f>
        <v>906.97464000000002</v>
      </c>
      <c r="E138" s="104">
        <f>(2.87)*10.764</f>
        <v>30.892679999999999</v>
      </c>
      <c r="F138" s="98">
        <f>D138+E138</f>
        <v>937.86732000000006</v>
      </c>
      <c r="G138" s="98">
        <v>0</v>
      </c>
      <c r="H138" s="98">
        <f>F138*(($H$122)+1)+(IF(G138&lt;101,G138,IF(G138&lt;201,G138/2,IF(G138&lt;=301,G138/3,G138/4))))</f>
        <v>1406.80098</v>
      </c>
      <c r="I138" s="36"/>
    </row>
    <row r="139" spans="1:14" s="37" customFormat="1" ht="15.75" customHeight="1" x14ac:dyDescent="0.25">
      <c r="A139" s="116" t="s">
        <v>430</v>
      </c>
      <c r="B139" s="116"/>
      <c r="C139" s="112" t="s">
        <v>431</v>
      </c>
      <c r="D139" s="113"/>
      <c r="E139" s="113"/>
      <c r="F139" s="113"/>
      <c r="G139" s="113"/>
      <c r="H139" s="114"/>
      <c r="I139" s="36"/>
    </row>
    <row r="140" spans="1:14" s="37" customFormat="1" ht="15.75" customHeight="1" x14ac:dyDescent="0.25">
      <c r="A140" s="231" t="s">
        <v>432</v>
      </c>
      <c r="B140" s="231"/>
      <c r="C140" s="231"/>
      <c r="D140" s="231"/>
      <c r="E140" s="231"/>
      <c r="F140" s="231"/>
      <c r="G140" s="231"/>
      <c r="H140" s="231"/>
      <c r="I140" s="36"/>
    </row>
    <row r="141" spans="1:14" s="37" customFormat="1" ht="15.75" customHeight="1" x14ac:dyDescent="0.25">
      <c r="A141" s="116">
        <v>1</v>
      </c>
      <c r="B141" s="116"/>
      <c r="C141" s="98" t="s">
        <v>423</v>
      </c>
      <c r="D141" s="104">
        <f>(76.67)*10.764</f>
        <v>825.27587999999992</v>
      </c>
      <c r="E141" s="104">
        <f>(5.32+2.82)*10.764</f>
        <v>87.618960000000001</v>
      </c>
      <c r="F141" s="98">
        <f>D141+E141</f>
        <v>912.89483999999993</v>
      </c>
      <c r="G141" s="104">
        <f>(4.2*2.2+6.4*3+3*5.5)*10.764</f>
        <v>483.73416000000003</v>
      </c>
      <c r="H141" s="98">
        <f>F141*(($H$122)+1)+(IF(G141&lt;101,G141,IF(G141&lt;201,G141/2,IF(G141&lt;=301,G141/3,G141/4))))</f>
        <v>1490.2757999999999</v>
      </c>
      <c r="I141" s="36"/>
    </row>
    <row r="142" spans="1:14" s="37" customFormat="1" ht="15.75" customHeight="1" x14ac:dyDescent="0.25">
      <c r="A142" s="116">
        <f>A141+1</f>
        <v>2</v>
      </c>
      <c r="B142" s="116"/>
      <c r="C142" s="98" t="s">
        <v>423</v>
      </c>
      <c r="D142" s="104">
        <f>(78.84)*10.764</f>
        <v>848.63375999999994</v>
      </c>
      <c r="E142" s="104">
        <f>(5.91)*10.764</f>
        <v>63.61524</v>
      </c>
      <c r="F142" s="98">
        <f>D142+E142</f>
        <v>912.24899999999991</v>
      </c>
      <c r="G142" s="104">
        <f>(25.95)*10.764</f>
        <v>279.32579999999996</v>
      </c>
      <c r="H142" s="98">
        <f>F142*(($H$122)+1)+(IF(G142&lt;101,G142,IF(G142&lt;201,G142/2,IF(G142&lt;=301,G142/3,G142/4))))</f>
        <v>1461.4820999999999</v>
      </c>
      <c r="I142" s="36"/>
      <c r="J142" s="37">
        <f>5.2*2.6+4.4*2.2</f>
        <v>23.200000000000003</v>
      </c>
    </row>
    <row r="143" spans="1:14" s="37" customFormat="1" ht="15.75" customHeight="1" x14ac:dyDescent="0.25">
      <c r="A143" s="115" t="s">
        <v>434</v>
      </c>
      <c r="B143" s="115"/>
      <c r="C143" s="115"/>
      <c r="D143" s="115"/>
      <c r="E143" s="115"/>
      <c r="F143" s="115"/>
      <c r="G143" s="115"/>
      <c r="H143" s="115"/>
      <c r="I143" s="36"/>
    </row>
    <row r="144" spans="1:14" s="37" customFormat="1" x14ac:dyDescent="0.25">
      <c r="A144" s="252">
        <v>1</v>
      </c>
      <c r="B144" s="252"/>
      <c r="C144" s="103" t="s">
        <v>423</v>
      </c>
      <c r="D144" s="104">
        <f>(76.67)*10.764</f>
        <v>825.27587999999992</v>
      </c>
      <c r="E144" s="104">
        <f>(5.32+2.82)*10.764</f>
        <v>87.618960000000001</v>
      </c>
      <c r="F144" s="103">
        <f>D144+E144</f>
        <v>912.89483999999993</v>
      </c>
      <c r="G144" s="103">
        <v>0</v>
      </c>
      <c r="H144" s="103">
        <f>F144*(($H$122)+1)+(IF(G144&lt;101,G144,IF(G144&lt;201,G144/2,IF(G144&lt;=301,G144/3,G144/4))))</f>
        <v>1369.3422599999999</v>
      </c>
      <c r="I144" s="36"/>
    </row>
    <row r="145" spans="1:20" s="37" customFormat="1" ht="15.75" customHeight="1" x14ac:dyDescent="0.25">
      <c r="A145" s="252">
        <f>A144+1</f>
        <v>2</v>
      </c>
      <c r="B145" s="252"/>
      <c r="C145" s="103" t="s">
        <v>423</v>
      </c>
      <c r="D145" s="104">
        <f>(78.84)*10.764</f>
        <v>848.63375999999994</v>
      </c>
      <c r="E145" s="104">
        <f>(5.91)*10.764</f>
        <v>63.61524</v>
      </c>
      <c r="F145" s="103">
        <f>D145+E145</f>
        <v>912.24899999999991</v>
      </c>
      <c r="G145" s="103">
        <v>0</v>
      </c>
      <c r="H145" s="103">
        <f>F145*(($H$122)+1)+(IF(G145&lt;101,G145,IF(G145&lt;201,G145/2,IF(G145&lt;=301,G145/3,G145/4))))</f>
        <v>1368.3734999999999</v>
      </c>
      <c r="I145" s="36"/>
    </row>
    <row r="146" spans="1:20" s="97" customFormat="1" ht="15.75" customHeight="1" x14ac:dyDescent="0.25">
      <c r="A146" s="116" t="s">
        <v>430</v>
      </c>
      <c r="B146" s="116"/>
      <c r="C146" s="112" t="s">
        <v>431</v>
      </c>
      <c r="D146" s="113"/>
      <c r="E146" s="113"/>
      <c r="F146" s="113"/>
      <c r="G146" s="113"/>
      <c r="H146" s="114"/>
      <c r="I146" s="36"/>
    </row>
    <row r="147" spans="1:20" s="35" customFormat="1" x14ac:dyDescent="0.25">
      <c r="A147" s="251" t="s">
        <v>64</v>
      </c>
      <c r="B147" s="251"/>
      <c r="C147" s="251"/>
      <c r="D147" s="251"/>
      <c r="E147" s="251"/>
      <c r="F147" s="251"/>
      <c r="G147" s="251"/>
      <c r="H147" s="251"/>
      <c r="T147" s="37"/>
    </row>
    <row r="148" spans="1:20" s="35" customFormat="1" x14ac:dyDescent="0.25">
      <c r="A148" s="46" t="s">
        <v>150</v>
      </c>
      <c r="B148" s="117" t="s">
        <v>419</v>
      </c>
      <c r="C148" s="118"/>
      <c r="D148" s="118"/>
      <c r="E148" s="118"/>
      <c r="F148" s="118"/>
      <c r="G148" s="118"/>
      <c r="H148" s="119"/>
      <c r="T148" s="37"/>
    </row>
    <row r="149" spans="1:20" s="35" customFormat="1" x14ac:dyDescent="0.25">
      <c r="A149" s="46" t="s">
        <v>150</v>
      </c>
      <c r="B149" s="117" t="str">
        <f>(IF(H121="Saleable area Loading :","We have considered Saleable area of Flats as per our Calculation.","We considered Saleable area of Flat as per Builder area Sheet."))</f>
        <v>We have considered Saleable area of Flats as per our Calculation.</v>
      </c>
      <c r="C149" s="118"/>
      <c r="D149" s="118"/>
      <c r="E149" s="118"/>
      <c r="F149" s="118"/>
      <c r="G149" s="118"/>
      <c r="H149" s="119"/>
      <c r="T149" s="37"/>
    </row>
    <row r="150" spans="1:20" s="35" customFormat="1" hidden="1" x14ac:dyDescent="0.25">
      <c r="A150" s="46" t="s">
        <v>150</v>
      </c>
      <c r="B150" s="124" t="str">
        <f>(IF(H113="Saleable area Loading :","We have considered Saleable area of Commercial as per our Calculation.","We considered Saleable area of Commercial as per Builder area Sheet."))</f>
        <v>We have considered Saleable area of Commercial as per our Calculation.</v>
      </c>
      <c r="C150" s="125"/>
      <c r="D150" s="125"/>
      <c r="E150" s="125"/>
      <c r="F150" s="125"/>
      <c r="G150" s="125"/>
      <c r="H150" s="126"/>
      <c r="T150" s="37"/>
    </row>
    <row r="151" spans="1:20" s="35" customFormat="1" x14ac:dyDescent="0.25">
      <c r="A151" s="46" t="s">
        <v>150</v>
      </c>
      <c r="B151" s="117" t="s">
        <v>120</v>
      </c>
      <c r="C151" s="118"/>
      <c r="D151" s="118"/>
      <c r="E151" s="118"/>
      <c r="F151" s="118"/>
      <c r="G151" s="118"/>
      <c r="H151" s="119"/>
    </row>
    <row r="152" spans="1:20" s="35" customFormat="1" x14ac:dyDescent="0.25">
      <c r="A152" s="46" t="s">
        <v>150</v>
      </c>
      <c r="B152" s="117" t="s">
        <v>435</v>
      </c>
      <c r="C152" s="118"/>
      <c r="D152" s="118"/>
      <c r="E152" s="118"/>
      <c r="F152" s="118"/>
      <c r="G152" s="118"/>
      <c r="H152" s="119"/>
    </row>
    <row r="153" spans="1:20" s="35" customFormat="1" x14ac:dyDescent="0.25">
      <c r="A153" s="46" t="s">
        <v>150</v>
      </c>
      <c r="B153" s="117" t="s">
        <v>149</v>
      </c>
      <c r="C153" s="118"/>
      <c r="D153" s="118"/>
      <c r="E153" s="118"/>
      <c r="F153" s="118"/>
      <c r="G153" s="118"/>
      <c r="H153" s="119"/>
    </row>
    <row r="154" spans="1:20" s="35" customFormat="1" x14ac:dyDescent="0.25">
      <c r="A154" s="46" t="s">
        <v>150</v>
      </c>
      <c r="B154" s="117" t="s">
        <v>121</v>
      </c>
      <c r="C154" s="118"/>
      <c r="D154" s="118"/>
      <c r="E154" s="118"/>
      <c r="F154" s="118"/>
      <c r="G154" s="118"/>
      <c r="H154" s="119"/>
    </row>
    <row r="155" spans="1:20" s="35" customFormat="1" ht="32.25" customHeight="1" x14ac:dyDescent="0.25">
      <c r="A155" s="105" t="s">
        <v>150</v>
      </c>
      <c r="B155" s="117" t="s">
        <v>151</v>
      </c>
      <c r="C155" s="118"/>
      <c r="D155" s="118"/>
      <c r="E155" s="118"/>
      <c r="F155" s="118"/>
      <c r="G155" s="118"/>
      <c r="H155" s="119"/>
    </row>
    <row r="156" spans="1:20" s="35" customFormat="1" x14ac:dyDescent="0.25">
      <c r="A156" s="46" t="s">
        <v>150</v>
      </c>
      <c r="B156" s="147" t="s">
        <v>122</v>
      </c>
      <c r="C156" s="148"/>
      <c r="D156" s="148"/>
      <c r="E156" s="148"/>
      <c r="F156" s="148"/>
      <c r="G156" s="148"/>
      <c r="H156" s="149"/>
    </row>
    <row r="157" spans="1:20" s="35" customFormat="1" x14ac:dyDescent="0.25">
      <c r="A157" s="105" t="s">
        <v>150</v>
      </c>
      <c r="B157" s="117" t="s">
        <v>436</v>
      </c>
      <c r="C157" s="118"/>
      <c r="D157" s="118"/>
      <c r="E157" s="118"/>
      <c r="F157" s="118"/>
      <c r="G157" s="118"/>
      <c r="H157" s="119"/>
    </row>
    <row r="158" spans="1:20" s="35" customFormat="1" hidden="1" x14ac:dyDescent="0.25">
      <c r="A158" s="105" t="s">
        <v>150</v>
      </c>
      <c r="B158" s="117" t="s">
        <v>174</v>
      </c>
      <c r="C158" s="118"/>
      <c r="D158" s="118"/>
      <c r="E158" s="118"/>
      <c r="F158" s="118"/>
      <c r="G158" s="118"/>
      <c r="H158" s="119"/>
    </row>
    <row r="159" spans="1:20" s="35" customFormat="1" ht="81.75" hidden="1" customHeight="1" x14ac:dyDescent="0.25">
      <c r="A159" s="105" t="s">
        <v>150</v>
      </c>
      <c r="B159" s="117" t="s">
        <v>345</v>
      </c>
      <c r="C159" s="118"/>
      <c r="D159" s="118"/>
      <c r="E159" s="118"/>
      <c r="F159" s="118"/>
      <c r="G159" s="118"/>
      <c r="H159" s="119"/>
    </row>
    <row r="160" spans="1:20" hidden="1" x14ac:dyDescent="0.25">
      <c r="A160" s="105" t="s">
        <v>150</v>
      </c>
      <c r="B160" s="117" t="s">
        <v>346</v>
      </c>
      <c r="C160" s="118"/>
      <c r="D160" s="118"/>
      <c r="E160" s="118"/>
      <c r="F160" s="118"/>
      <c r="G160" s="118"/>
      <c r="H160" s="119"/>
      <c r="T160" s="35"/>
    </row>
    <row r="161" spans="1:20" hidden="1" x14ac:dyDescent="0.25">
      <c r="A161" s="105" t="s">
        <v>150</v>
      </c>
      <c r="B161" s="117" t="str">
        <f ca="1">IF(G52&gt;EDATE(E3,-48),"NO REMARK FOR CC","REMARK FOR CC")</f>
        <v>NO REMARK FOR CC</v>
      </c>
      <c r="C161" s="118"/>
      <c r="D161" s="118"/>
      <c r="E161" s="118"/>
      <c r="F161" s="118"/>
      <c r="G161" s="118"/>
      <c r="H161" s="119"/>
      <c r="T161" s="35"/>
    </row>
    <row r="162" spans="1:20" ht="15.75" hidden="1" customHeight="1" x14ac:dyDescent="0.25">
      <c r="A162" s="105" t="s">
        <v>150</v>
      </c>
      <c r="B162" s="117" t="s">
        <v>347</v>
      </c>
      <c r="C162" s="118"/>
      <c r="D162" s="118"/>
      <c r="E162" s="118"/>
      <c r="F162" s="118"/>
      <c r="G162" s="118"/>
      <c r="H162" s="119"/>
      <c r="T162" s="35"/>
    </row>
    <row r="163" spans="1:20" x14ac:dyDescent="0.25">
      <c r="A163" s="233" t="s">
        <v>57</v>
      </c>
      <c r="B163" s="233"/>
      <c r="C163" s="233"/>
      <c r="D163" s="233"/>
      <c r="E163" s="233"/>
      <c r="F163" s="233"/>
      <c r="G163" s="233"/>
      <c r="H163" s="233"/>
      <c r="T163" s="35"/>
    </row>
    <row r="164" spans="1:20" x14ac:dyDescent="0.25">
      <c r="A164" s="138" t="s">
        <v>58</v>
      </c>
      <c r="B164" s="138"/>
      <c r="C164" s="138"/>
      <c r="D164" s="138"/>
      <c r="E164" s="138"/>
      <c r="F164" s="138"/>
      <c r="G164" s="138"/>
      <c r="H164" s="138"/>
      <c r="T164" s="35"/>
    </row>
    <row r="165" spans="1:20" x14ac:dyDescent="0.25">
      <c r="A165" s="238" t="s">
        <v>59</v>
      </c>
      <c r="B165" s="238"/>
      <c r="C165" s="238"/>
      <c r="D165" s="238"/>
      <c r="E165" s="238"/>
      <c r="F165" s="238"/>
      <c r="G165" s="238"/>
      <c r="H165" s="238"/>
      <c r="T165" s="35"/>
    </row>
    <row r="166" spans="1:20" x14ac:dyDescent="0.25">
      <c r="A166" s="138" t="s">
        <v>60</v>
      </c>
      <c r="B166" s="138"/>
      <c r="C166" s="138"/>
      <c r="D166" s="138"/>
      <c r="E166" s="138"/>
      <c r="F166" s="138"/>
      <c r="G166" s="138"/>
      <c r="H166" s="138"/>
    </row>
    <row r="167" spans="1:20" x14ac:dyDescent="0.25">
      <c r="A167" s="138" t="s">
        <v>61</v>
      </c>
      <c r="B167" s="138"/>
      <c r="C167" s="138"/>
      <c r="D167" s="138"/>
      <c r="E167" s="138"/>
      <c r="F167" s="138"/>
      <c r="G167" s="138"/>
      <c r="H167" s="138"/>
    </row>
    <row r="168" spans="1:20" x14ac:dyDescent="0.25">
      <c r="A168" s="138" t="s">
        <v>123</v>
      </c>
      <c r="B168" s="138"/>
      <c r="C168" s="138"/>
      <c r="D168" s="138"/>
      <c r="E168" s="138"/>
      <c r="F168" s="138"/>
      <c r="G168" s="138"/>
      <c r="H168" s="138"/>
    </row>
    <row r="169" spans="1:20" x14ac:dyDescent="0.25">
      <c r="A169" s="167" t="s">
        <v>124</v>
      </c>
      <c r="B169" s="167"/>
      <c r="C169" s="167"/>
      <c r="D169" s="167"/>
      <c r="E169" s="167"/>
      <c r="F169" s="167"/>
      <c r="G169" s="167"/>
      <c r="H169" s="167"/>
    </row>
    <row r="170" spans="1:20" x14ac:dyDescent="0.25">
      <c r="A170" s="230" t="s">
        <v>73</v>
      </c>
      <c r="B170" s="230"/>
      <c r="C170" s="230" t="s">
        <v>404</v>
      </c>
      <c r="D170" s="230"/>
      <c r="E170" s="230" t="s">
        <v>102</v>
      </c>
      <c r="F170" s="230"/>
      <c r="G170" s="230" t="s">
        <v>403</v>
      </c>
      <c r="H170" s="230"/>
    </row>
    <row r="171" spans="1:20" x14ac:dyDescent="0.25">
      <c r="A171" s="229" t="s">
        <v>75</v>
      </c>
      <c r="B171" s="229"/>
      <c r="C171" s="229"/>
      <c r="D171" s="229"/>
      <c r="E171" s="229"/>
      <c r="F171" s="229"/>
      <c r="G171" s="229"/>
      <c r="H171" s="229"/>
    </row>
    <row r="172" spans="1:20" x14ac:dyDescent="0.25">
      <c r="A172" s="229"/>
      <c r="B172" s="229"/>
      <c r="C172" s="229"/>
      <c r="D172" s="229"/>
      <c r="E172" s="229"/>
      <c r="F172" s="229"/>
      <c r="G172" s="229"/>
      <c r="H172" s="229"/>
    </row>
    <row r="173" spans="1:20" x14ac:dyDescent="0.25">
      <c r="A173" s="229"/>
      <c r="B173" s="229"/>
      <c r="C173" s="229"/>
      <c r="D173" s="229"/>
      <c r="E173" s="229"/>
      <c r="F173" s="229"/>
      <c r="G173" s="229"/>
      <c r="H173" s="229"/>
    </row>
    <row r="174" spans="1:20" x14ac:dyDescent="0.25">
      <c r="A174" s="229"/>
      <c r="B174" s="229"/>
      <c r="C174" s="229"/>
      <c r="D174" s="229"/>
      <c r="E174" s="229"/>
      <c r="F174" s="229"/>
      <c r="G174" s="229"/>
      <c r="H174" s="229"/>
    </row>
    <row r="175" spans="1:20" ht="15" customHeight="1" x14ac:dyDescent="0.25">
      <c r="A175" s="38" t="s">
        <v>62</v>
      </c>
      <c r="B175" s="39"/>
      <c r="C175" s="39"/>
      <c r="D175" s="38" t="str">
        <f>E9</f>
        <v>Elements Phase 2</v>
      </c>
      <c r="F175" s="39"/>
      <c r="G175" s="39"/>
      <c r="H175" s="39"/>
    </row>
    <row r="176" spans="1:20" x14ac:dyDescent="0.25">
      <c r="A176" s="39"/>
      <c r="B176" s="39"/>
      <c r="C176" s="39"/>
      <c r="D176" s="39"/>
      <c r="E176" s="39"/>
      <c r="F176" s="39"/>
      <c r="G176" s="39"/>
      <c r="H176" s="39"/>
    </row>
    <row r="177" spans="1:8" x14ac:dyDescent="0.25">
      <c r="A177" s="39"/>
      <c r="B177" s="39"/>
      <c r="C177" s="39"/>
      <c r="D177" s="39"/>
      <c r="E177" s="39"/>
      <c r="F177" s="39"/>
      <c r="G177" s="39"/>
      <c r="H177" s="39"/>
    </row>
    <row r="219" spans="1:1" x14ac:dyDescent="0.25">
      <c r="A219" s="41" t="s">
        <v>161</v>
      </c>
    </row>
    <row r="263" spans="1:1" x14ac:dyDescent="0.25">
      <c r="A263" s="41" t="s">
        <v>63</v>
      </c>
    </row>
  </sheetData>
  <mergeCells count="319">
    <mergeCell ref="A78:B78"/>
    <mergeCell ref="G77:H77"/>
    <mergeCell ref="A86:B86"/>
    <mergeCell ref="A87:B87"/>
    <mergeCell ref="A82:B82"/>
    <mergeCell ref="A81:B81"/>
    <mergeCell ref="E77:F77"/>
    <mergeCell ref="A79:B79"/>
    <mergeCell ref="E107:F107"/>
    <mergeCell ref="A84:B84"/>
    <mergeCell ref="I15:P15"/>
    <mergeCell ref="F93:H93"/>
    <mergeCell ref="F97:H97"/>
    <mergeCell ref="A137:B137"/>
    <mergeCell ref="A112:H112"/>
    <mergeCell ref="G102:H102"/>
    <mergeCell ref="A98:E98"/>
    <mergeCell ref="A117:B117"/>
    <mergeCell ref="A61:B61"/>
    <mergeCell ref="C61:E61"/>
    <mergeCell ref="D63:H63"/>
    <mergeCell ref="F98:H98"/>
    <mergeCell ref="E102:F102"/>
    <mergeCell ref="A102:B102"/>
    <mergeCell ref="A104:B104"/>
    <mergeCell ref="C107:D107"/>
    <mergeCell ref="D71:H71"/>
    <mergeCell ref="D64:H64"/>
    <mergeCell ref="G61:H61"/>
    <mergeCell ref="A54:B55"/>
    <mergeCell ref="A120:H120"/>
    <mergeCell ref="A83:B83"/>
    <mergeCell ref="A50:B50"/>
    <mergeCell ref="A168:H168"/>
    <mergeCell ref="A165:H165"/>
    <mergeCell ref="A131:B131"/>
    <mergeCell ref="A107:B107"/>
    <mergeCell ref="D121:D122"/>
    <mergeCell ref="E121:E122"/>
    <mergeCell ref="F89:H89"/>
    <mergeCell ref="G103:H103"/>
    <mergeCell ref="F96:H96"/>
    <mergeCell ref="C102:D102"/>
    <mergeCell ref="C109:D109"/>
    <mergeCell ref="A123:H123"/>
    <mergeCell ref="A139:B139"/>
    <mergeCell ref="B152:H152"/>
    <mergeCell ref="B161:H161"/>
    <mergeCell ref="B160:H160"/>
    <mergeCell ref="F91:H91"/>
    <mergeCell ref="A96:E96"/>
    <mergeCell ref="A164:H164"/>
    <mergeCell ref="A95:E95"/>
    <mergeCell ref="A147:H147"/>
    <mergeCell ref="A144:B144"/>
    <mergeCell ref="A145:B145"/>
    <mergeCell ref="A140:H140"/>
    <mergeCell ref="D113:D114"/>
    <mergeCell ref="B158:H158"/>
    <mergeCell ref="A110:B110"/>
    <mergeCell ref="A91:E91"/>
    <mergeCell ref="A88:E88"/>
    <mergeCell ref="F94:H94"/>
    <mergeCell ref="A94:E94"/>
    <mergeCell ref="A129:B129"/>
    <mergeCell ref="B155:H155"/>
    <mergeCell ref="G113:G114"/>
    <mergeCell ref="A142:B142"/>
    <mergeCell ref="B148:H148"/>
    <mergeCell ref="B149:H149"/>
    <mergeCell ref="B151:H151"/>
    <mergeCell ref="F88:H88"/>
    <mergeCell ref="F92:H92"/>
    <mergeCell ref="A126:B126"/>
    <mergeCell ref="A119:B119"/>
    <mergeCell ref="A118:B118"/>
    <mergeCell ref="F95:H95"/>
    <mergeCell ref="A135:H135"/>
    <mergeCell ref="A111:H111"/>
    <mergeCell ref="A121:A122"/>
    <mergeCell ref="F121:F122"/>
    <mergeCell ref="A11:D11"/>
    <mergeCell ref="E11:H11"/>
    <mergeCell ref="A23:D24"/>
    <mergeCell ref="A97:E97"/>
    <mergeCell ref="A171:H174"/>
    <mergeCell ref="A170:B170"/>
    <mergeCell ref="E170:F170"/>
    <mergeCell ref="C170:D170"/>
    <mergeCell ref="G170:H170"/>
    <mergeCell ref="A101:H101"/>
    <mergeCell ref="A99:E99"/>
    <mergeCell ref="F99:H99"/>
    <mergeCell ref="A100:E100"/>
    <mergeCell ref="F100:H100"/>
    <mergeCell ref="A130:H130"/>
    <mergeCell ref="A108:B108"/>
    <mergeCell ref="A138:B138"/>
    <mergeCell ref="A103:B103"/>
    <mergeCell ref="A166:H166"/>
    <mergeCell ref="A106:H106"/>
    <mergeCell ref="A169:H169"/>
    <mergeCell ref="A167:H167"/>
    <mergeCell ref="A163:H163"/>
    <mergeCell ref="G107:H107"/>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E14:H14"/>
    <mergeCell ref="A15:D15"/>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E43:H43"/>
    <mergeCell ref="A43:D4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A76:B76"/>
    <mergeCell ref="A74:B74"/>
    <mergeCell ref="C74:H74"/>
    <mergeCell ref="A69:C69"/>
    <mergeCell ref="D69:H69"/>
    <mergeCell ref="C76:H76"/>
    <mergeCell ref="A70:C70"/>
    <mergeCell ref="D70:H70"/>
    <mergeCell ref="A73:C73"/>
    <mergeCell ref="D73:H73"/>
    <mergeCell ref="A72:C72"/>
    <mergeCell ref="A71:C71"/>
    <mergeCell ref="D72:H72"/>
    <mergeCell ref="D65:H65"/>
    <mergeCell ref="A65:C65"/>
    <mergeCell ref="A45:D45"/>
    <mergeCell ref="A49:B49"/>
    <mergeCell ref="C49:H49"/>
    <mergeCell ref="A66:C66"/>
    <mergeCell ref="D66:H66"/>
    <mergeCell ref="G52:H52"/>
    <mergeCell ref="A62:H62"/>
    <mergeCell ref="A58:B60"/>
    <mergeCell ref="C60:H60"/>
    <mergeCell ref="C58:E59"/>
    <mergeCell ref="F37:H37"/>
    <mergeCell ref="C51:E51"/>
    <mergeCell ref="C50:E50"/>
    <mergeCell ref="G50:H50"/>
    <mergeCell ref="A51:B51"/>
    <mergeCell ref="G56:H56"/>
    <mergeCell ref="G58:H58"/>
    <mergeCell ref="G51:H51"/>
    <mergeCell ref="A39:B39"/>
    <mergeCell ref="C39:H39"/>
    <mergeCell ref="C55:H55"/>
    <mergeCell ref="A52:B53"/>
    <mergeCell ref="C54:E54"/>
    <mergeCell ref="C52:E52"/>
    <mergeCell ref="C56:E56"/>
    <mergeCell ref="G54:H54"/>
    <mergeCell ref="A56:B57"/>
    <mergeCell ref="E42:H42"/>
    <mergeCell ref="A41:H41"/>
    <mergeCell ref="A46:D46"/>
    <mergeCell ref="A47:D47"/>
    <mergeCell ref="A44:D44"/>
    <mergeCell ref="E44:H44"/>
    <mergeCell ref="E45:H45"/>
    <mergeCell ref="A38:H38"/>
    <mergeCell ref="L119:M119"/>
    <mergeCell ref="L118:M118"/>
    <mergeCell ref="L117:M117"/>
    <mergeCell ref="L116:M116"/>
    <mergeCell ref="A85:B85"/>
    <mergeCell ref="C108:D108"/>
    <mergeCell ref="E108:F108"/>
    <mergeCell ref="G108:H108"/>
    <mergeCell ref="A89:E89"/>
    <mergeCell ref="A115:H115"/>
    <mergeCell ref="E113:E114"/>
    <mergeCell ref="F90:H90"/>
    <mergeCell ref="A90:E90"/>
    <mergeCell ref="E110:F110"/>
    <mergeCell ref="C53:H53"/>
    <mergeCell ref="A63:C63"/>
    <mergeCell ref="A67:C67"/>
    <mergeCell ref="A68:C68"/>
    <mergeCell ref="D67:H67"/>
    <mergeCell ref="A64:C64"/>
    <mergeCell ref="G59:H59"/>
    <mergeCell ref="A77:B77"/>
    <mergeCell ref="D68:H68"/>
    <mergeCell ref="L128:M128"/>
    <mergeCell ref="A132:B132"/>
    <mergeCell ref="A133:B133"/>
    <mergeCell ref="A141:B141"/>
    <mergeCell ref="A40:B40"/>
    <mergeCell ref="C40:H40"/>
    <mergeCell ref="F113:F114"/>
    <mergeCell ref="C103:D103"/>
    <mergeCell ref="E103:F103"/>
    <mergeCell ref="B113:B114"/>
    <mergeCell ref="A113:A114"/>
    <mergeCell ref="C121:C122"/>
    <mergeCell ref="G121:G122"/>
    <mergeCell ref="L127:M127"/>
    <mergeCell ref="L124:M124"/>
    <mergeCell ref="A127:B127"/>
    <mergeCell ref="G110:H110"/>
    <mergeCell ref="L125:M125"/>
    <mergeCell ref="A128:B128"/>
    <mergeCell ref="L126:M126"/>
    <mergeCell ref="E46:H46"/>
    <mergeCell ref="E47:H47"/>
    <mergeCell ref="C57:H57"/>
    <mergeCell ref="A48:H48"/>
    <mergeCell ref="B162:H162"/>
    <mergeCell ref="C113:C114"/>
    <mergeCell ref="B121:B122"/>
    <mergeCell ref="B150:H150"/>
    <mergeCell ref="A80:B80"/>
    <mergeCell ref="E78:F87"/>
    <mergeCell ref="G78:H87"/>
    <mergeCell ref="B159:H159"/>
    <mergeCell ref="A92:E92"/>
    <mergeCell ref="A109:B109"/>
    <mergeCell ref="E109:F109"/>
    <mergeCell ref="A93:E93"/>
    <mergeCell ref="G109:H109"/>
    <mergeCell ref="C104:D104"/>
    <mergeCell ref="E104:F104"/>
    <mergeCell ref="G104:H104"/>
    <mergeCell ref="A105:B105"/>
    <mergeCell ref="C105:D105"/>
    <mergeCell ref="E105:F105"/>
    <mergeCell ref="G105:H105"/>
    <mergeCell ref="B156:H156"/>
    <mergeCell ref="B154:H154"/>
    <mergeCell ref="A116:B116"/>
    <mergeCell ref="C110:D110"/>
    <mergeCell ref="A124:H124"/>
    <mergeCell ref="A125:H125"/>
    <mergeCell ref="C128:H128"/>
    <mergeCell ref="C139:H139"/>
    <mergeCell ref="A143:H143"/>
    <mergeCell ref="A146:B146"/>
    <mergeCell ref="C146:H146"/>
    <mergeCell ref="B157:H157"/>
    <mergeCell ref="A136:B136"/>
    <mergeCell ref="B153:H153"/>
    <mergeCell ref="A134:B134"/>
  </mergeCells>
  <dataValidations disablePrompts="1"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3:E114">
      <formula1>"Attached Loft area,Attached Otla area,Attached Mezzanine area"</formula1>
    </dataValidation>
    <dataValidation type="list" allowBlank="1" showInputMessage="1" showErrorMessage="1" sqref="G170:H170">
      <formula1>"Kunal Kadam,Pranita Mhatre,Shruti Fule,Pooja Kawale,Gaurav Panchal,Shruti Tathare, Dipti Gothawade,Saurav Panse, Sachin Sawant"</formula1>
    </dataValidation>
    <dataValidation type="list" allowBlank="1" showInputMessage="1" showErrorMessage="1" sqref="F88:H88">
      <formula1>"On Saleable Area,On Builtup Area,On Carpet Area,On Plot Area"</formula1>
    </dataValidation>
    <dataValidation type="list" allowBlank="1" showInputMessage="1" showErrorMessage="1" sqref="F99:H99">
      <formula1>OFFSET($S$88,1,MATCH($G20,$S$88:$W$88,0)-1,15,1)</formula1>
    </dataValidation>
    <dataValidation type="list" allowBlank="1" showInputMessage="1" showErrorMessage="1" sqref="B113:B114">
      <formula1>"Shop No. (Sale Plan),Sale / Rehab,Sale / Mhada"</formula1>
    </dataValidation>
    <dataValidation type="list" allowBlank="1" showInputMessage="1" showErrorMessage="1" sqref="B121:B12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1:E122">
      <formula1>"Fungible area,S.D + Balcony Area,Chajja Area,Cornice Area,AP Area,WS Area"</formula1>
    </dataValidation>
    <dataValidation type="list" allowBlank="1" showInputMessage="1" showErrorMessage="1" sqref="H114 H12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13 H121">
      <formula1>"Saleable area Loading :,Builder Saleable Area"</formula1>
    </dataValidation>
    <dataValidation type="list" allowBlank="1" showInputMessage="1" showErrorMessage="1" sqref="D113:D114">
      <formula1>"Carpet area,RERA Carpet area"</formula1>
    </dataValidation>
    <dataValidation type="list" allowBlank="1" showInputMessage="1" showErrorMessage="1" sqref="D121:D122">
      <formula1>"Carpet Area,Carpet + Encl Balcony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9" fitToHeight="0" orientation="portrait" r:id="rId2"/>
  <headerFooter>
    <oddHeader>&amp;C&amp;G</oddHeader>
    <oddFooter>&amp;L&amp;"Times New Roman,Bold"&amp;12Ref No: &amp;F&amp;C&amp;G&amp;R&amp;"Times New Roman,Bold"&amp;12&amp;P</oddFooter>
  </headerFooter>
  <rowBreaks count="6" manualBreakCount="6">
    <brk id="40" max="7" man="1"/>
    <brk id="87" max="7" man="1"/>
    <brk id="146" max="7" man="1"/>
    <brk id="174" max="7" man="1"/>
    <brk id="218" max="7" man="1"/>
    <brk id="262"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8" t="s">
        <v>103</v>
      </c>
      <c r="C3" s="258"/>
      <c r="D3" s="258"/>
      <c r="E3" s="258"/>
      <c r="F3" s="258"/>
      <c r="G3" s="258"/>
      <c r="H3" s="258"/>
    </row>
    <row r="4" spans="1:9" x14ac:dyDescent="0.25">
      <c r="A4" s="2"/>
      <c r="B4" s="3" t="s">
        <v>104</v>
      </c>
      <c r="C4" s="3" t="s">
        <v>105</v>
      </c>
      <c r="D4" s="3" t="s">
        <v>65</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11</v>
      </c>
      <c r="D4" s="54" t="s">
        <v>175</v>
      </c>
      <c r="E4" s="54" t="s">
        <v>185</v>
      </c>
      <c r="F4" s="54" t="s">
        <v>169</v>
      </c>
      <c r="G4" s="54" t="s">
        <v>190</v>
      </c>
      <c r="H4" s="54" t="s">
        <v>208</v>
      </c>
      <c r="J4" t="s">
        <v>190</v>
      </c>
      <c r="K4" t="s">
        <v>206</v>
      </c>
    </row>
    <row r="5" spans="2:11" x14ac:dyDescent="0.25">
      <c r="B5" s="53"/>
      <c r="C5" s="53"/>
      <c r="D5" s="54" t="s">
        <v>176</v>
      </c>
      <c r="E5" s="54" t="s">
        <v>183</v>
      </c>
      <c r="F5" s="54" t="s">
        <v>205</v>
      </c>
      <c r="G5" s="54" t="s">
        <v>191</v>
      </c>
      <c r="H5" s="54" t="s">
        <v>209</v>
      </c>
    </row>
    <row r="6" spans="2:11" x14ac:dyDescent="0.25">
      <c r="B6" s="53"/>
      <c r="C6" s="53"/>
      <c r="D6" s="54" t="s">
        <v>177</v>
      </c>
      <c r="E6" s="54" t="s">
        <v>184</v>
      </c>
      <c r="F6" s="54" t="s">
        <v>206</v>
      </c>
      <c r="G6" s="54" t="s">
        <v>192</v>
      </c>
      <c r="H6" s="54" t="s">
        <v>222</v>
      </c>
    </row>
    <row r="7" spans="2:11" x14ac:dyDescent="0.25">
      <c r="B7" s="53"/>
      <c r="C7" s="53"/>
      <c r="D7" s="54" t="s">
        <v>178</v>
      </c>
      <c r="E7" s="54" t="s">
        <v>186</v>
      </c>
      <c r="F7" s="54" t="s">
        <v>207</v>
      </c>
      <c r="G7" s="54" t="s">
        <v>193</v>
      </c>
      <c r="H7" s="54" t="s">
        <v>210</v>
      </c>
    </row>
    <row r="8" spans="2:11" x14ac:dyDescent="0.25">
      <c r="B8" s="53"/>
      <c r="C8" s="53"/>
      <c r="D8" s="54" t="s">
        <v>179</v>
      </c>
      <c r="E8" s="54" t="s">
        <v>187</v>
      </c>
      <c r="F8" s="54"/>
      <c r="G8" s="54" t="s">
        <v>194</v>
      </c>
      <c r="H8" s="54" t="s">
        <v>211</v>
      </c>
    </row>
    <row r="9" spans="2:11" x14ac:dyDescent="0.25">
      <c r="B9" s="53"/>
      <c r="C9" s="53"/>
      <c r="D9" s="54" t="s">
        <v>180</v>
      </c>
      <c r="E9" s="54" t="s">
        <v>185</v>
      </c>
      <c r="F9" s="54"/>
      <c r="G9" s="54" t="s">
        <v>195</v>
      </c>
      <c r="H9" s="54" t="s">
        <v>212</v>
      </c>
    </row>
    <row r="10" spans="2:11" x14ac:dyDescent="0.25">
      <c r="B10" s="53"/>
      <c r="C10" s="53"/>
      <c r="D10" s="54" t="s">
        <v>181</v>
      </c>
      <c r="E10" s="54" t="s">
        <v>188</v>
      </c>
      <c r="F10" s="54"/>
      <c r="G10" s="54" t="s">
        <v>196</v>
      </c>
      <c r="H10" s="54" t="s">
        <v>213</v>
      </c>
    </row>
    <row r="11" spans="2:11" x14ac:dyDescent="0.25">
      <c r="B11" s="53"/>
      <c r="C11" s="53"/>
      <c r="D11" s="54" t="s">
        <v>182</v>
      </c>
      <c r="E11" s="54" t="s">
        <v>189</v>
      </c>
      <c r="F11" s="54"/>
      <c r="G11" s="54" t="s">
        <v>197</v>
      </c>
      <c r="H11" s="54" t="s">
        <v>214</v>
      </c>
    </row>
    <row r="12" spans="2:11" x14ac:dyDescent="0.25">
      <c r="B12" s="53"/>
      <c r="C12" s="53"/>
      <c r="D12" s="54"/>
      <c r="E12" s="54"/>
      <c r="F12" s="54"/>
      <c r="G12" s="54" t="s">
        <v>198</v>
      </c>
      <c r="H12" s="54" t="s">
        <v>215</v>
      </c>
    </row>
    <row r="13" spans="2:11" x14ac:dyDescent="0.25">
      <c r="B13" s="53"/>
      <c r="C13" s="53"/>
      <c r="D13" s="54"/>
      <c r="E13" s="54"/>
      <c r="F13" s="54"/>
      <c r="G13" s="54" t="s">
        <v>199</v>
      </c>
      <c r="H13" s="54" t="s">
        <v>216</v>
      </c>
    </row>
    <row r="14" spans="2:11" x14ac:dyDescent="0.25">
      <c r="B14" s="53"/>
      <c r="C14" s="53"/>
      <c r="D14" s="54"/>
      <c r="E14" s="54"/>
      <c r="F14" s="54"/>
      <c r="G14" s="54" t="s">
        <v>200</v>
      </c>
      <c r="H14" s="54" t="s">
        <v>217</v>
      </c>
    </row>
    <row r="15" spans="2:11" x14ac:dyDescent="0.25">
      <c r="B15" s="53"/>
      <c r="C15" s="53"/>
      <c r="D15" s="54"/>
      <c r="E15" s="54"/>
      <c r="F15" s="54"/>
      <c r="G15" s="54" t="s">
        <v>201</v>
      </c>
      <c r="H15" s="54" t="s">
        <v>218</v>
      </c>
    </row>
    <row r="16" spans="2:11" x14ac:dyDescent="0.25">
      <c r="B16" s="53"/>
      <c r="C16" s="53"/>
      <c r="D16" s="54"/>
      <c r="E16" s="54"/>
      <c r="F16" s="54"/>
      <c r="G16" s="54" t="s">
        <v>202</v>
      </c>
      <c r="H16" s="54" t="s">
        <v>219</v>
      </c>
    </row>
    <row r="17" spans="2:8" x14ac:dyDescent="0.25">
      <c r="B17" s="53"/>
      <c r="C17" s="53"/>
      <c r="D17" s="54"/>
      <c r="E17" s="54"/>
      <c r="F17" s="54"/>
      <c r="G17" s="54" t="s">
        <v>203</v>
      </c>
      <c r="H17" s="54" t="s">
        <v>220</v>
      </c>
    </row>
    <row r="18" spans="2:8" x14ac:dyDescent="0.25">
      <c r="B18" s="53"/>
      <c r="C18" s="53"/>
      <c r="D18" s="54"/>
      <c r="E18" s="54"/>
      <c r="F18" s="54"/>
      <c r="G18" s="54" t="s">
        <v>204</v>
      </c>
      <c r="H18" s="54" t="s">
        <v>221</v>
      </c>
    </row>
    <row r="24" spans="2:8" x14ac:dyDescent="0.25">
      <c r="C24" t="s">
        <v>166</v>
      </c>
    </row>
    <row r="25" spans="2:8" x14ac:dyDescent="0.25">
      <c r="C25" t="s">
        <v>223</v>
      </c>
    </row>
    <row r="26" spans="2:8" x14ac:dyDescent="0.25">
      <c r="C26" t="s">
        <v>224</v>
      </c>
    </row>
    <row r="27" spans="2:8" x14ac:dyDescent="0.25">
      <c r="C27" t="s">
        <v>225</v>
      </c>
    </row>
    <row r="28" spans="2:8" x14ac:dyDescent="0.25">
      <c r="C28" t="s">
        <v>226</v>
      </c>
    </row>
    <row r="29" spans="2:8" x14ac:dyDescent="0.25">
      <c r="C29" t="s">
        <v>227</v>
      </c>
    </row>
    <row r="30" spans="2:8" x14ac:dyDescent="0.25">
      <c r="C30" t="s">
        <v>166</v>
      </c>
    </row>
    <row r="33" spans="3:11" x14ac:dyDescent="0.25">
      <c r="J33">
        <v>1</v>
      </c>
      <c r="K33">
        <v>2</v>
      </c>
    </row>
    <row r="34" spans="3:11" x14ac:dyDescent="0.25">
      <c r="C34" s="56" t="s">
        <v>232</v>
      </c>
      <c r="D34" s="54" t="s">
        <v>230</v>
      </c>
      <c r="E34" s="54" t="s">
        <v>235</v>
      </c>
      <c r="F34" s="54" t="s">
        <v>233</v>
      </c>
      <c r="G34" s="54" t="s">
        <v>234</v>
      </c>
      <c r="H34" s="54" t="s">
        <v>236</v>
      </c>
      <c r="J34" t="s">
        <v>190</v>
      </c>
      <c r="K34" t="s">
        <v>206</v>
      </c>
    </row>
    <row r="35" spans="3:11" x14ac:dyDescent="0.25">
      <c r="C35" s="53" t="s">
        <v>231</v>
      </c>
      <c r="D35" s="54" t="s">
        <v>167</v>
      </c>
      <c r="E35" s="54" t="s">
        <v>240</v>
      </c>
      <c r="F35" s="54" t="s">
        <v>242</v>
      </c>
      <c r="G35" s="54" t="s">
        <v>244</v>
      </c>
      <c r="H35" s="54"/>
    </row>
    <row r="36" spans="3:11" x14ac:dyDescent="0.25">
      <c r="C36" s="53"/>
      <c r="D36" s="54" t="s">
        <v>237</v>
      </c>
      <c r="E36" s="54" t="s">
        <v>241</v>
      </c>
      <c r="F36" s="54" t="s">
        <v>243</v>
      </c>
      <c r="G36" s="54" t="s">
        <v>245</v>
      </c>
      <c r="H36" s="54"/>
    </row>
    <row r="37" spans="3:11" x14ac:dyDescent="0.25">
      <c r="C37" s="53"/>
      <c r="D37" s="54" t="s">
        <v>238</v>
      </c>
      <c r="E37" s="54"/>
      <c r="F37" s="54"/>
      <c r="G37" s="54" t="s">
        <v>246</v>
      </c>
      <c r="H37" s="54"/>
    </row>
    <row r="38" spans="3:11" x14ac:dyDescent="0.25">
      <c r="C38" s="53"/>
      <c r="D38" s="54" t="s">
        <v>239</v>
      </c>
      <c r="E38" s="54"/>
      <c r="F38" s="54"/>
      <c r="G38" s="54" t="s">
        <v>246</v>
      </c>
      <c r="H38" s="54"/>
    </row>
    <row r="39" spans="3:11" x14ac:dyDescent="0.25">
      <c r="C39" s="53"/>
      <c r="D39" s="54"/>
      <c r="E39" s="54"/>
      <c r="F39" s="54"/>
      <c r="G39" s="54" t="s">
        <v>247</v>
      </c>
      <c r="H39" s="54"/>
    </row>
    <row r="40" spans="3:11" x14ac:dyDescent="0.25">
      <c r="C40" s="53"/>
      <c r="D40" s="54"/>
      <c r="E40" s="54"/>
      <c r="F40" s="54"/>
      <c r="G40" s="54" t="s">
        <v>248</v>
      </c>
      <c r="H40" s="54"/>
    </row>
    <row r="41" spans="3:11" x14ac:dyDescent="0.25">
      <c r="C41" s="53"/>
      <c r="D41" s="54"/>
      <c r="E41" s="54"/>
      <c r="F41" s="54"/>
      <c r="G41" s="54"/>
      <c r="H41" s="54"/>
    </row>
    <row r="43" spans="3:11" x14ac:dyDescent="0.25">
      <c r="C43" t="s">
        <v>249</v>
      </c>
    </row>
    <row r="44" spans="3:11" x14ac:dyDescent="0.25">
      <c r="C44" t="s">
        <v>169</v>
      </c>
      <c r="D44" t="s">
        <v>250</v>
      </c>
    </row>
    <row r="45" spans="3:11" x14ac:dyDescent="0.25">
      <c r="D45" t="s">
        <v>251</v>
      </c>
    </row>
    <row r="46" spans="3:11" x14ac:dyDescent="0.25">
      <c r="D46" t="s">
        <v>252</v>
      </c>
    </row>
    <row r="47" spans="3:11" x14ac:dyDescent="0.25">
      <c r="D47" t="s">
        <v>253</v>
      </c>
    </row>
    <row r="48" spans="3:11" x14ac:dyDescent="0.25">
      <c r="D48" t="s">
        <v>254</v>
      </c>
    </row>
    <row r="49" spans="3:4" x14ac:dyDescent="0.25">
      <c r="C49" t="s">
        <v>175</v>
      </c>
      <c r="D49" t="s">
        <v>255</v>
      </c>
    </row>
    <row r="50" spans="3:4" x14ac:dyDescent="0.25">
      <c r="D50" t="s">
        <v>256</v>
      </c>
    </row>
    <row r="51" spans="3:4" x14ac:dyDescent="0.25">
      <c r="D51" t="s">
        <v>257</v>
      </c>
    </row>
    <row r="52" spans="3:4" x14ac:dyDescent="0.25">
      <c r="D52" t="s">
        <v>260</v>
      </c>
    </row>
    <row r="53" spans="3:4" x14ac:dyDescent="0.25">
      <c r="D53" t="s">
        <v>258</v>
      </c>
    </row>
    <row r="54" spans="3:4" x14ac:dyDescent="0.25">
      <c r="D54" t="s">
        <v>259</v>
      </c>
    </row>
    <row r="55" spans="3:4" x14ac:dyDescent="0.25">
      <c r="D55" t="s">
        <v>261</v>
      </c>
    </row>
    <row r="56" spans="3:4" x14ac:dyDescent="0.25">
      <c r="D56" t="s">
        <v>262</v>
      </c>
    </row>
    <row r="57" spans="3:4" x14ac:dyDescent="0.25">
      <c r="D57" t="s">
        <v>263</v>
      </c>
    </row>
    <row r="58" spans="3:4" x14ac:dyDescent="0.25">
      <c r="D58" t="s">
        <v>265</v>
      </c>
    </row>
    <row r="59" spans="3:4" x14ac:dyDescent="0.25">
      <c r="D59" t="s">
        <v>274</v>
      </c>
    </row>
    <row r="60" spans="3:4" x14ac:dyDescent="0.25">
      <c r="C60" t="s">
        <v>190</v>
      </c>
      <c r="D60" t="s">
        <v>266</v>
      </c>
    </row>
    <row r="61" spans="3:4" x14ac:dyDescent="0.25">
      <c r="D61" t="s">
        <v>264</v>
      </c>
    </row>
    <row r="62" spans="3:4" x14ac:dyDescent="0.25">
      <c r="D62" t="s">
        <v>254</v>
      </c>
    </row>
    <row r="63" spans="3:4" x14ac:dyDescent="0.25">
      <c r="D63" t="s">
        <v>267</v>
      </c>
    </row>
    <row r="64" spans="3:4" x14ac:dyDescent="0.25">
      <c r="D64" t="s">
        <v>268</v>
      </c>
    </row>
    <row r="65" spans="3:4" x14ac:dyDescent="0.25">
      <c r="D65" t="s">
        <v>269</v>
      </c>
    </row>
    <row r="66" spans="3:4" x14ac:dyDescent="0.25">
      <c r="D66" t="s">
        <v>270</v>
      </c>
    </row>
    <row r="67" spans="3:4" x14ac:dyDescent="0.25">
      <c r="C67" t="s">
        <v>185</v>
      </c>
      <c r="D67" t="s">
        <v>271</v>
      </c>
    </row>
    <row r="68" spans="3:4" x14ac:dyDescent="0.25">
      <c r="D68" t="s">
        <v>272</v>
      </c>
    </row>
    <row r="69" spans="3:4" x14ac:dyDescent="0.25">
      <c r="D69" t="s">
        <v>273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F55"/>
  <sheetViews>
    <sheetView topLeftCell="A52" zoomScaleNormal="100" workbookViewId="0">
      <selection activeCell="C40" sqref="C40"/>
    </sheetView>
  </sheetViews>
  <sheetFormatPr defaultRowHeight="15" x14ac:dyDescent="0.25"/>
  <cols>
    <col min="2" max="2" width="3" bestFit="1" customWidth="1"/>
    <col min="3" max="3" width="155.28515625" customWidth="1"/>
  </cols>
  <sheetData>
    <row r="2" spans="2:3" ht="15" customHeight="1" x14ac:dyDescent="0.25">
      <c r="B2" s="57">
        <v>1</v>
      </c>
      <c r="C2" s="59" t="s">
        <v>279</v>
      </c>
    </row>
    <row r="3" spans="2:3" x14ac:dyDescent="0.25">
      <c r="B3" s="57">
        <v>2</v>
      </c>
      <c r="C3" s="58" t="s">
        <v>280</v>
      </c>
    </row>
    <row r="4" spans="2:3" x14ac:dyDescent="0.25">
      <c r="B4" s="57">
        <v>3</v>
      </c>
      <c r="C4" s="57" t="s">
        <v>281</v>
      </c>
    </row>
    <row r="5" spans="2:3" x14ac:dyDescent="0.25">
      <c r="B5" s="57">
        <v>4</v>
      </c>
      <c r="C5" s="58" t="s">
        <v>282</v>
      </c>
    </row>
    <row r="6" spans="2:3" x14ac:dyDescent="0.25">
      <c r="B6" s="57">
        <v>5</v>
      </c>
      <c r="C6" s="57" t="s">
        <v>283</v>
      </c>
    </row>
    <row r="7" spans="2:3" ht="30" x14ac:dyDescent="0.25">
      <c r="B7" s="57">
        <v>6</v>
      </c>
      <c r="C7" s="58" t="s">
        <v>284</v>
      </c>
    </row>
    <row r="8" spans="2:3" ht="75" x14ac:dyDescent="0.25">
      <c r="B8" s="57">
        <v>7</v>
      </c>
      <c r="C8" s="58" t="s">
        <v>285</v>
      </c>
    </row>
    <row r="9" spans="2:3" x14ac:dyDescent="0.25">
      <c r="B9" s="57">
        <v>8</v>
      </c>
      <c r="C9" s="57" t="s">
        <v>286</v>
      </c>
    </row>
    <row r="10" spans="2:3" x14ac:dyDescent="0.25">
      <c r="B10" s="57">
        <v>9</v>
      </c>
      <c r="C10" s="57" t="s">
        <v>287</v>
      </c>
    </row>
    <row r="11" spans="2:3" x14ac:dyDescent="0.25">
      <c r="B11" s="57">
        <v>10</v>
      </c>
      <c r="C11" s="57" t="s">
        <v>288</v>
      </c>
    </row>
    <row r="12" spans="2:3" x14ac:dyDescent="0.25">
      <c r="B12" s="57">
        <v>11</v>
      </c>
      <c r="C12" s="57" t="s">
        <v>289</v>
      </c>
    </row>
    <row r="13" spans="2:3" x14ac:dyDescent="0.25">
      <c r="B13" s="57">
        <v>12</v>
      </c>
      <c r="C13" s="57" t="s">
        <v>290</v>
      </c>
    </row>
    <row r="14" spans="2:3" x14ac:dyDescent="0.25">
      <c r="B14" s="57">
        <v>13</v>
      </c>
      <c r="C14" s="57" t="s">
        <v>291</v>
      </c>
    </row>
    <row r="15" spans="2:3" x14ac:dyDescent="0.25">
      <c r="B15" s="57">
        <v>14</v>
      </c>
      <c r="C15" s="57" t="s">
        <v>281</v>
      </c>
    </row>
    <row r="16" spans="2:3" x14ac:dyDescent="0.25">
      <c r="B16" s="57">
        <v>15</v>
      </c>
      <c r="C16" s="57" t="s">
        <v>293</v>
      </c>
    </row>
    <row r="17" spans="2:3" x14ac:dyDescent="0.25">
      <c r="B17" s="77">
        <v>16</v>
      </c>
      <c r="C17" s="63" t="s">
        <v>294</v>
      </c>
    </row>
    <row r="18" spans="2:3" x14ac:dyDescent="0.25">
      <c r="B18" s="62">
        <v>17</v>
      </c>
      <c r="C18" s="63" t="s">
        <v>295</v>
      </c>
    </row>
    <row r="19" spans="2:3" x14ac:dyDescent="0.25">
      <c r="B19" s="61">
        <v>18</v>
      </c>
      <c r="C19" s="57" t="s">
        <v>296</v>
      </c>
    </row>
    <row r="20" spans="2:3" x14ac:dyDescent="0.25">
      <c r="B20" s="62">
        <v>19</v>
      </c>
      <c r="C20" s="57" t="s">
        <v>332</v>
      </c>
    </row>
    <row r="21" spans="2:3" x14ac:dyDescent="0.25">
      <c r="B21" s="57">
        <v>20</v>
      </c>
      <c r="C21" s="57" t="s">
        <v>297</v>
      </c>
    </row>
    <row r="22" spans="2:3" x14ac:dyDescent="0.25">
      <c r="B22" s="62">
        <v>21</v>
      </c>
      <c r="C22" s="57" t="s">
        <v>296</v>
      </c>
    </row>
    <row r="23" spans="2:3" s="72" customFormat="1" ht="29.25" customHeight="1" x14ac:dyDescent="0.25">
      <c r="B23" s="71">
        <v>22</v>
      </c>
      <c r="C23" s="59" t="s">
        <v>324</v>
      </c>
    </row>
    <row r="24" spans="2:3" s="72" customFormat="1" ht="30.75" customHeight="1" x14ac:dyDescent="0.25">
      <c r="B24" s="73">
        <v>23</v>
      </c>
      <c r="C24" s="59" t="s">
        <v>325</v>
      </c>
    </row>
    <row r="25" spans="2:3" x14ac:dyDescent="0.25">
      <c r="B25" s="57">
        <v>24</v>
      </c>
      <c r="C25" s="57" t="s">
        <v>328</v>
      </c>
    </row>
    <row r="26" spans="2:3" x14ac:dyDescent="0.25">
      <c r="B26" s="62">
        <v>25</v>
      </c>
      <c r="C26" s="57" t="s">
        <v>326</v>
      </c>
    </row>
    <row r="27" spans="2:3" x14ac:dyDescent="0.25">
      <c r="B27" s="73">
        <v>26</v>
      </c>
      <c r="C27" s="57" t="s">
        <v>327</v>
      </c>
    </row>
    <row r="28" spans="2:3" x14ac:dyDescent="0.25">
      <c r="B28" s="62">
        <v>27</v>
      </c>
      <c r="C28" s="57" t="s">
        <v>329</v>
      </c>
    </row>
    <row r="29" spans="2:3" ht="60" x14ac:dyDescent="0.25">
      <c r="B29" s="76">
        <v>28</v>
      </c>
      <c r="C29" s="58" t="s">
        <v>330</v>
      </c>
    </row>
    <row r="30" spans="2:3" x14ac:dyDescent="0.25">
      <c r="B30" s="73">
        <v>29</v>
      </c>
      <c r="C30" s="57" t="s">
        <v>331</v>
      </c>
    </row>
    <row r="31" spans="2:3" ht="30" x14ac:dyDescent="0.25">
      <c r="B31" s="73">
        <v>30</v>
      </c>
      <c r="C31" s="58" t="s">
        <v>333</v>
      </c>
    </row>
    <row r="32" spans="2:3" x14ac:dyDescent="0.25">
      <c r="B32" s="73">
        <v>31</v>
      </c>
      <c r="C32" s="57" t="s">
        <v>334</v>
      </c>
    </row>
    <row r="33" spans="2:4" x14ac:dyDescent="0.25">
      <c r="B33" s="73">
        <v>32</v>
      </c>
      <c r="C33" s="57" t="s">
        <v>335</v>
      </c>
    </row>
    <row r="34" spans="2:4" ht="36.75" customHeight="1" x14ac:dyDescent="0.25">
      <c r="B34" s="73">
        <v>33</v>
      </c>
      <c r="C34" s="63" t="s">
        <v>336</v>
      </c>
    </row>
    <row r="35" spans="2:4" x14ac:dyDescent="0.25">
      <c r="B35" s="71">
        <v>34</v>
      </c>
      <c r="C35" s="57" t="s">
        <v>344</v>
      </c>
    </row>
    <row r="36" spans="2:4" ht="60" x14ac:dyDescent="0.25">
      <c r="B36" s="71">
        <v>35</v>
      </c>
      <c r="C36" s="58" t="s">
        <v>347</v>
      </c>
    </row>
    <row r="37" spans="2:4" x14ac:dyDescent="0.25">
      <c r="B37" s="57">
        <v>36</v>
      </c>
      <c r="C37" s="58" t="s">
        <v>358</v>
      </c>
    </row>
    <row r="38" spans="2:4" x14ac:dyDescent="0.25">
      <c r="B38" s="57">
        <f t="shared" ref="B38:B44" si="0">B37+1</f>
        <v>37</v>
      </c>
      <c r="C38" s="57" t="s">
        <v>354</v>
      </c>
    </row>
    <row r="39" spans="2:4" x14ac:dyDescent="0.25">
      <c r="B39" s="57">
        <f t="shared" si="0"/>
        <v>38</v>
      </c>
      <c r="C39" s="57" t="s">
        <v>355</v>
      </c>
    </row>
    <row r="40" spans="2:4" x14ac:dyDescent="0.25">
      <c r="B40" s="57">
        <f t="shared" si="0"/>
        <v>39</v>
      </c>
      <c r="C40" s="57" t="s">
        <v>356</v>
      </c>
    </row>
    <row r="41" spans="2:4" x14ac:dyDescent="0.25">
      <c r="B41" s="57">
        <f t="shared" si="0"/>
        <v>40</v>
      </c>
      <c r="C41" s="57" t="s">
        <v>357</v>
      </c>
    </row>
    <row r="42" spans="2:4" ht="30.75" thickBot="1" x14ac:dyDescent="0.3">
      <c r="B42" s="80">
        <f t="shared" si="0"/>
        <v>41</v>
      </c>
      <c r="C42" s="81" t="s">
        <v>359</v>
      </c>
    </row>
    <row r="43" spans="2:4" ht="30" x14ac:dyDescent="0.25">
      <c r="B43" s="84">
        <f t="shared" si="0"/>
        <v>42</v>
      </c>
      <c r="C43" s="89" t="s">
        <v>364</v>
      </c>
      <c r="D43" t="s">
        <v>365</v>
      </c>
    </row>
    <row r="44" spans="2:4" ht="15.75" thickBot="1" x14ac:dyDescent="0.3">
      <c r="B44" s="86">
        <f t="shared" si="0"/>
        <v>43</v>
      </c>
      <c r="C44" s="88" t="s">
        <v>360</v>
      </c>
    </row>
    <row r="45" spans="2:4" ht="15.75" thickBot="1" x14ac:dyDescent="0.3">
      <c r="B45" s="82">
        <f t="shared" ref="B45:B54" si="1">B44+1</f>
        <v>44</v>
      </c>
      <c r="C45" s="83" t="s">
        <v>361</v>
      </c>
    </row>
    <row r="46" spans="2:4" ht="30" x14ac:dyDescent="0.25">
      <c r="B46" s="84">
        <f t="shared" si="1"/>
        <v>45</v>
      </c>
      <c r="C46" s="85" t="s">
        <v>362</v>
      </c>
    </row>
    <row r="47" spans="2:4" ht="15.75" thickBot="1" x14ac:dyDescent="0.3">
      <c r="B47" s="86">
        <f t="shared" si="1"/>
        <v>46</v>
      </c>
      <c r="C47" s="87" t="s">
        <v>363</v>
      </c>
    </row>
    <row r="48" spans="2:4" x14ac:dyDescent="0.25">
      <c r="B48" s="90">
        <f t="shared" si="1"/>
        <v>47</v>
      </c>
      <c r="C48" s="91" t="s">
        <v>366</v>
      </c>
    </row>
    <row r="49" spans="2:6" x14ac:dyDescent="0.25">
      <c r="B49" s="90">
        <f t="shared" si="1"/>
        <v>48</v>
      </c>
      <c r="C49" s="91" t="s">
        <v>367</v>
      </c>
    </row>
    <row r="50" spans="2:6" x14ac:dyDescent="0.25">
      <c r="B50" s="90">
        <f t="shared" si="1"/>
        <v>49</v>
      </c>
      <c r="C50" s="91" t="s">
        <v>369</v>
      </c>
      <c r="D50" t="s">
        <v>368</v>
      </c>
    </row>
    <row r="51" spans="2:6" ht="30" x14ac:dyDescent="0.25">
      <c r="B51" s="92">
        <f t="shared" si="1"/>
        <v>50</v>
      </c>
      <c r="C51" s="93" t="s">
        <v>370</v>
      </c>
    </row>
    <row r="52" spans="2:6" x14ac:dyDescent="0.25">
      <c r="B52" s="92">
        <f t="shared" si="1"/>
        <v>51</v>
      </c>
      <c r="C52" s="94" t="s">
        <v>373</v>
      </c>
      <c r="D52" t="s">
        <v>374</v>
      </c>
    </row>
    <row r="53" spans="2:6" x14ac:dyDescent="0.25">
      <c r="B53" s="92">
        <f t="shared" si="1"/>
        <v>52</v>
      </c>
      <c r="C53" s="94" t="s">
        <v>376</v>
      </c>
      <c r="D53" t="s">
        <v>377</v>
      </c>
    </row>
    <row r="54" spans="2:6" ht="45" x14ac:dyDescent="0.25">
      <c r="B54" s="92">
        <f t="shared" si="1"/>
        <v>53</v>
      </c>
      <c r="C54" s="63" t="s">
        <v>381</v>
      </c>
      <c r="D54" t="s">
        <v>380</v>
      </c>
    </row>
    <row r="55" spans="2:6" ht="30" x14ac:dyDescent="0.25">
      <c r="B55">
        <v>54</v>
      </c>
      <c r="C55" s="96" t="s">
        <v>382</v>
      </c>
      <c r="D55" s="259" t="s">
        <v>383</v>
      </c>
      <c r="E55" s="260"/>
      <c r="F55" s="260"/>
    </row>
  </sheetData>
  <mergeCells count="1">
    <mergeCell ref="D55:F55"/>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3"/>
    <col min="2" max="2" width="12.28515625" style="53" customWidth="1"/>
    <col min="3" max="16384" width="9.140625" style="53"/>
  </cols>
  <sheetData>
    <row r="2" spans="1:12" x14ac:dyDescent="0.25">
      <c r="B2" s="65" t="s">
        <v>298</v>
      </c>
      <c r="C2" s="261"/>
      <c r="D2" s="261"/>
    </row>
    <row r="3" spans="1:12" x14ac:dyDescent="0.25">
      <c r="D3" s="66"/>
      <c r="E3" s="66"/>
      <c r="F3" s="66"/>
      <c r="G3" s="66"/>
      <c r="H3" s="66"/>
      <c r="I3" s="66"/>
    </row>
    <row r="4" spans="1:12" x14ac:dyDescent="0.25">
      <c r="A4" s="65" t="s">
        <v>65</v>
      </c>
      <c r="B4" s="67" t="s">
        <v>299</v>
      </c>
      <c r="C4" s="262" t="s">
        <v>300</v>
      </c>
      <c r="D4" s="262"/>
      <c r="E4" s="262"/>
      <c r="F4" s="67"/>
      <c r="G4" s="263" t="s">
        <v>301</v>
      </c>
      <c r="H4" s="263"/>
      <c r="I4" s="263"/>
      <c r="J4" s="264" t="s">
        <v>302</v>
      </c>
      <c r="K4" s="264"/>
      <c r="L4" s="264"/>
    </row>
    <row r="5" spans="1:12" x14ac:dyDescent="0.25">
      <c r="A5" s="65"/>
      <c r="B5" s="67"/>
      <c r="C5" s="67" t="s">
        <v>303</v>
      </c>
      <c r="D5" s="67" t="s">
        <v>304</v>
      </c>
      <c r="E5" s="67" t="s">
        <v>305</v>
      </c>
      <c r="F5" s="67"/>
      <c r="G5" s="67" t="s">
        <v>303</v>
      </c>
      <c r="H5" s="67" t="s">
        <v>304</v>
      </c>
      <c r="I5" s="67" t="s">
        <v>305</v>
      </c>
      <c r="J5" s="67" t="s">
        <v>303</v>
      </c>
      <c r="K5" s="67" t="s">
        <v>304</v>
      </c>
      <c r="L5" s="67" t="s">
        <v>305</v>
      </c>
    </row>
    <row r="6" spans="1:12" x14ac:dyDescent="0.25">
      <c r="B6" s="54" t="s">
        <v>306</v>
      </c>
      <c r="C6" s="54"/>
      <c r="D6" s="54"/>
      <c r="E6" s="54">
        <f>C6*D6</f>
        <v>0</v>
      </c>
      <c r="F6" s="54" t="s">
        <v>323</v>
      </c>
      <c r="G6" s="54"/>
      <c r="H6" s="54"/>
      <c r="I6" s="54">
        <f>G6*H6</f>
        <v>0</v>
      </c>
      <c r="J6" s="54"/>
      <c r="K6" s="54"/>
      <c r="L6" s="54">
        <f>J6*K6</f>
        <v>0</v>
      </c>
    </row>
    <row r="7" spans="1:12" x14ac:dyDescent="0.25">
      <c r="B7" s="54"/>
      <c r="C7" s="54"/>
      <c r="D7" s="54"/>
      <c r="E7" s="54">
        <f t="shared" ref="E7:E41" si="0">C7*D7</f>
        <v>0</v>
      </c>
      <c r="F7" s="54" t="s">
        <v>323</v>
      </c>
      <c r="G7" s="54"/>
      <c r="H7" s="54"/>
      <c r="I7" s="54">
        <f t="shared" ref="I7:I35" si="1">G7*H7</f>
        <v>0</v>
      </c>
      <c r="J7" s="54"/>
      <c r="K7" s="54"/>
      <c r="L7" s="54">
        <f t="shared" ref="L7:L35" si="2">J7*K7</f>
        <v>0</v>
      </c>
    </row>
    <row r="8" spans="1:12" x14ac:dyDescent="0.25">
      <c r="B8" s="54"/>
      <c r="C8" s="54"/>
      <c r="D8" s="54"/>
      <c r="E8" s="54">
        <f t="shared" si="0"/>
        <v>0</v>
      </c>
      <c r="F8" s="54"/>
      <c r="G8" s="54"/>
      <c r="H8" s="54"/>
      <c r="I8" s="54">
        <f t="shared" si="1"/>
        <v>0</v>
      </c>
      <c r="J8" s="54"/>
      <c r="K8" s="54"/>
      <c r="L8" s="54">
        <f t="shared" si="2"/>
        <v>0</v>
      </c>
    </row>
    <row r="9" spans="1:12" x14ac:dyDescent="0.25">
      <c r="B9" s="54"/>
      <c r="C9" s="54"/>
      <c r="D9" s="54"/>
      <c r="E9" s="54">
        <f t="shared" si="0"/>
        <v>0</v>
      </c>
      <c r="F9" s="54" t="s">
        <v>307</v>
      </c>
      <c r="G9" s="54"/>
      <c r="H9" s="54"/>
      <c r="I9" s="54">
        <f t="shared" si="1"/>
        <v>0</v>
      </c>
      <c r="J9" s="54"/>
      <c r="K9" s="54"/>
      <c r="L9" s="54">
        <f t="shared" si="2"/>
        <v>0</v>
      </c>
    </row>
    <row r="10" spans="1:12" x14ac:dyDescent="0.25">
      <c r="B10" s="54" t="s">
        <v>308</v>
      </c>
      <c r="C10" s="54"/>
      <c r="D10" s="54"/>
      <c r="E10" s="54">
        <f t="shared" si="0"/>
        <v>0</v>
      </c>
      <c r="F10" s="54" t="s">
        <v>307</v>
      </c>
      <c r="G10" s="54"/>
      <c r="H10" s="54"/>
      <c r="I10" s="54">
        <f t="shared" si="1"/>
        <v>0</v>
      </c>
      <c r="J10" s="54"/>
      <c r="K10" s="54"/>
      <c r="L10" s="54">
        <f t="shared" si="2"/>
        <v>0</v>
      </c>
    </row>
    <row r="11" spans="1:12" x14ac:dyDescent="0.25">
      <c r="B11" s="54"/>
      <c r="C11" s="54"/>
      <c r="D11" s="54"/>
      <c r="E11" s="54">
        <f t="shared" si="0"/>
        <v>0</v>
      </c>
      <c r="F11" s="54" t="s">
        <v>309</v>
      </c>
      <c r="G11" s="54"/>
      <c r="H11" s="54"/>
      <c r="I11" s="54">
        <f t="shared" si="1"/>
        <v>0</v>
      </c>
      <c r="J11" s="54"/>
      <c r="K11" s="54"/>
      <c r="L11" s="54">
        <f t="shared" si="2"/>
        <v>0</v>
      </c>
    </row>
    <row r="12" spans="1:12" x14ac:dyDescent="0.25">
      <c r="B12" s="54"/>
      <c r="C12" s="54"/>
      <c r="D12" s="54"/>
      <c r="E12" s="54">
        <f t="shared" si="0"/>
        <v>0</v>
      </c>
      <c r="F12" s="54"/>
      <c r="G12" s="54"/>
      <c r="H12" s="54"/>
      <c r="I12" s="54">
        <f t="shared" si="1"/>
        <v>0</v>
      </c>
      <c r="J12" s="54"/>
      <c r="K12" s="54"/>
      <c r="L12" s="54">
        <f t="shared" si="2"/>
        <v>0</v>
      </c>
    </row>
    <row r="13" spans="1:12" x14ac:dyDescent="0.25">
      <c r="B13" s="54"/>
      <c r="C13" s="54"/>
      <c r="D13" s="54"/>
      <c r="E13" s="54">
        <f t="shared" si="0"/>
        <v>0</v>
      </c>
      <c r="F13" s="54"/>
      <c r="G13" s="54"/>
      <c r="H13" s="54"/>
      <c r="I13" s="54">
        <f t="shared" si="1"/>
        <v>0</v>
      </c>
      <c r="J13" s="54"/>
      <c r="K13" s="54"/>
      <c r="L13" s="54">
        <f t="shared" si="2"/>
        <v>0</v>
      </c>
    </row>
    <row r="14" spans="1:12" x14ac:dyDescent="0.25">
      <c r="B14" s="54" t="s">
        <v>310</v>
      </c>
      <c r="C14" s="54"/>
      <c r="D14" s="54"/>
      <c r="E14" s="54">
        <f t="shared" si="0"/>
        <v>0</v>
      </c>
      <c r="F14" s="54" t="s">
        <v>307</v>
      </c>
      <c r="G14" s="54"/>
      <c r="H14" s="54"/>
      <c r="I14" s="54">
        <f t="shared" si="1"/>
        <v>0</v>
      </c>
      <c r="J14" s="54"/>
      <c r="K14" s="54"/>
      <c r="L14" s="54">
        <f t="shared" si="2"/>
        <v>0</v>
      </c>
    </row>
    <row r="15" spans="1:12" x14ac:dyDescent="0.25">
      <c r="B15" s="54"/>
      <c r="C15" s="54"/>
      <c r="D15" s="54"/>
      <c r="E15" s="54">
        <f t="shared" si="0"/>
        <v>0</v>
      </c>
      <c r="F15" s="54" t="s">
        <v>309</v>
      </c>
      <c r="G15" s="54"/>
      <c r="H15" s="54"/>
      <c r="I15" s="54">
        <f t="shared" si="1"/>
        <v>0</v>
      </c>
      <c r="J15" s="54"/>
      <c r="K15" s="54"/>
      <c r="L15" s="54">
        <f t="shared" si="2"/>
        <v>0</v>
      </c>
    </row>
    <row r="16" spans="1:12" x14ac:dyDescent="0.25">
      <c r="B16" s="54"/>
      <c r="C16" s="54"/>
      <c r="D16" s="54"/>
      <c r="E16" s="54">
        <f t="shared" si="0"/>
        <v>0</v>
      </c>
      <c r="F16" s="54"/>
      <c r="G16" s="54"/>
      <c r="H16" s="54"/>
      <c r="I16" s="54">
        <f t="shared" si="1"/>
        <v>0</v>
      </c>
      <c r="J16" s="54"/>
      <c r="K16" s="54"/>
      <c r="L16" s="54">
        <f t="shared" si="2"/>
        <v>0</v>
      </c>
    </row>
    <row r="17" spans="2:12" x14ac:dyDescent="0.25">
      <c r="B17" s="54"/>
      <c r="C17" s="54"/>
      <c r="D17" s="54"/>
      <c r="E17" s="54">
        <f t="shared" si="0"/>
        <v>0</v>
      </c>
      <c r="F17" s="54"/>
      <c r="G17" s="54"/>
      <c r="H17" s="54"/>
      <c r="I17" s="54">
        <f t="shared" si="1"/>
        <v>0</v>
      </c>
      <c r="J17" s="54"/>
      <c r="K17" s="54"/>
      <c r="L17" s="54">
        <f t="shared" si="2"/>
        <v>0</v>
      </c>
    </row>
    <row r="18" spans="2:12" x14ac:dyDescent="0.25">
      <c r="B18" s="54" t="s">
        <v>311</v>
      </c>
      <c r="C18" s="54"/>
      <c r="D18" s="54"/>
      <c r="E18" s="54">
        <f t="shared" si="0"/>
        <v>0</v>
      </c>
      <c r="F18" s="54" t="s">
        <v>307</v>
      </c>
      <c r="G18" s="54"/>
      <c r="H18" s="54"/>
      <c r="I18" s="54">
        <f t="shared" si="1"/>
        <v>0</v>
      </c>
      <c r="J18" s="54"/>
      <c r="K18" s="54"/>
      <c r="L18" s="54">
        <f t="shared" si="2"/>
        <v>0</v>
      </c>
    </row>
    <row r="19" spans="2:12" x14ac:dyDescent="0.25">
      <c r="B19" s="54"/>
      <c r="C19" s="54"/>
      <c r="D19" s="54"/>
      <c r="E19" s="54">
        <f t="shared" si="0"/>
        <v>0</v>
      </c>
      <c r="F19" s="54" t="s">
        <v>309</v>
      </c>
      <c r="G19" s="54"/>
      <c r="H19" s="54"/>
      <c r="I19" s="54">
        <f t="shared" si="1"/>
        <v>0</v>
      </c>
      <c r="J19" s="54"/>
      <c r="K19" s="54"/>
      <c r="L19" s="54">
        <f t="shared" si="2"/>
        <v>0</v>
      </c>
    </row>
    <row r="20" spans="2:12" x14ac:dyDescent="0.25">
      <c r="B20" s="54"/>
      <c r="C20" s="54"/>
      <c r="D20" s="54"/>
      <c r="E20" s="54">
        <f t="shared" si="0"/>
        <v>0</v>
      </c>
      <c r="F20" s="54"/>
      <c r="G20" s="54"/>
      <c r="H20" s="54"/>
      <c r="I20" s="54">
        <f t="shared" si="1"/>
        <v>0</v>
      </c>
      <c r="J20" s="54"/>
      <c r="K20" s="54"/>
      <c r="L20" s="54">
        <f t="shared" si="2"/>
        <v>0</v>
      </c>
    </row>
    <row r="21" spans="2:12" x14ac:dyDescent="0.25">
      <c r="B21" s="54" t="s">
        <v>312</v>
      </c>
      <c r="C21" s="54"/>
      <c r="D21" s="54"/>
      <c r="E21" s="54">
        <f t="shared" si="0"/>
        <v>0</v>
      </c>
      <c r="F21" s="54" t="s">
        <v>307</v>
      </c>
      <c r="G21" s="54"/>
      <c r="H21" s="54"/>
      <c r="I21" s="54">
        <f t="shared" si="1"/>
        <v>0</v>
      </c>
      <c r="J21" s="54"/>
      <c r="K21" s="54"/>
      <c r="L21" s="54">
        <f t="shared" si="2"/>
        <v>0</v>
      </c>
    </row>
    <row r="22" spans="2:12" x14ac:dyDescent="0.25">
      <c r="B22" s="54"/>
      <c r="C22" s="54"/>
      <c r="D22" s="54"/>
      <c r="E22" s="54">
        <f t="shared" si="0"/>
        <v>0</v>
      </c>
      <c r="F22" s="54" t="s">
        <v>309</v>
      </c>
      <c r="G22" s="54"/>
      <c r="H22" s="54"/>
      <c r="I22" s="54">
        <f t="shared" si="1"/>
        <v>0</v>
      </c>
      <c r="J22" s="54"/>
      <c r="K22" s="54"/>
      <c r="L22" s="54">
        <f t="shared" si="2"/>
        <v>0</v>
      </c>
    </row>
    <row r="23" spans="2:12" x14ac:dyDescent="0.25">
      <c r="B23" s="54"/>
      <c r="C23" s="54"/>
      <c r="D23" s="54"/>
      <c r="E23" s="54">
        <f t="shared" si="0"/>
        <v>0</v>
      </c>
      <c r="F23" s="54"/>
      <c r="G23" s="54"/>
      <c r="H23" s="54"/>
      <c r="I23" s="54">
        <f t="shared" si="1"/>
        <v>0</v>
      </c>
      <c r="J23" s="54"/>
      <c r="K23" s="54"/>
      <c r="L23" s="54">
        <f t="shared" si="2"/>
        <v>0</v>
      </c>
    </row>
    <row r="24" spans="2:12" x14ac:dyDescent="0.25">
      <c r="B24" s="54" t="s">
        <v>313</v>
      </c>
      <c r="C24" s="54"/>
      <c r="D24" s="54"/>
      <c r="E24" s="54">
        <f t="shared" si="0"/>
        <v>0</v>
      </c>
      <c r="F24" s="54" t="s">
        <v>314</v>
      </c>
      <c r="G24" s="54"/>
      <c r="H24" s="54"/>
      <c r="I24" s="54">
        <f t="shared" si="1"/>
        <v>0</v>
      </c>
      <c r="J24" s="54"/>
      <c r="K24" s="54"/>
      <c r="L24" s="54">
        <f t="shared" si="2"/>
        <v>0</v>
      </c>
    </row>
    <row r="25" spans="2:12" x14ac:dyDescent="0.25">
      <c r="B25" s="54"/>
      <c r="C25" s="54"/>
      <c r="D25" s="54"/>
      <c r="E25" s="54">
        <f>C25*D25</f>
        <v>0</v>
      </c>
      <c r="F25" s="54" t="s">
        <v>314</v>
      </c>
      <c r="G25" s="54"/>
      <c r="H25" s="54"/>
      <c r="I25" s="54">
        <f>G25*H25</f>
        <v>0</v>
      </c>
      <c r="J25" s="54"/>
      <c r="K25" s="54"/>
      <c r="L25" s="54">
        <f>J25*K25</f>
        <v>0</v>
      </c>
    </row>
    <row r="26" spans="2:12" x14ac:dyDescent="0.25">
      <c r="B26" s="54"/>
      <c r="C26" s="54"/>
      <c r="D26" s="54"/>
      <c r="E26" s="54">
        <f>C26*D26</f>
        <v>0</v>
      </c>
      <c r="F26" s="54" t="s">
        <v>314</v>
      </c>
      <c r="G26" s="54"/>
      <c r="H26" s="54"/>
      <c r="I26" s="54">
        <f>G26*H26</f>
        <v>0</v>
      </c>
      <c r="J26" s="54"/>
      <c r="K26" s="54"/>
      <c r="L26" s="54">
        <f>J26*K26</f>
        <v>0</v>
      </c>
    </row>
    <row r="27" spans="2:12" x14ac:dyDescent="0.25">
      <c r="B27" s="54"/>
      <c r="C27" s="54"/>
      <c r="D27" s="54"/>
      <c r="E27" s="54">
        <f>C27*D27</f>
        <v>0</v>
      </c>
      <c r="F27" s="54" t="s">
        <v>314</v>
      </c>
      <c r="G27" s="54"/>
      <c r="H27" s="54"/>
      <c r="I27" s="54">
        <f>G27*H27</f>
        <v>0</v>
      </c>
      <c r="J27" s="54"/>
      <c r="K27" s="54"/>
      <c r="L27" s="54">
        <f>J27*K27</f>
        <v>0</v>
      </c>
    </row>
    <row r="28" spans="2:12" x14ac:dyDescent="0.25">
      <c r="B28" s="54" t="s">
        <v>315</v>
      </c>
      <c r="C28" s="54"/>
      <c r="D28" s="54"/>
      <c r="E28" s="54">
        <f t="shared" si="0"/>
        <v>0</v>
      </c>
      <c r="F28" s="54" t="s">
        <v>314</v>
      </c>
      <c r="G28" s="54"/>
      <c r="H28" s="54"/>
      <c r="I28" s="54">
        <f t="shared" si="1"/>
        <v>0</v>
      </c>
      <c r="J28" s="54"/>
      <c r="K28" s="54"/>
      <c r="L28" s="54">
        <f t="shared" si="2"/>
        <v>0</v>
      </c>
    </row>
    <row r="29" spans="2:12" x14ac:dyDescent="0.25">
      <c r="B29" s="54" t="s">
        <v>316</v>
      </c>
      <c r="C29" s="54"/>
      <c r="D29" s="54"/>
      <c r="E29" s="54">
        <f t="shared" si="0"/>
        <v>0</v>
      </c>
      <c r="F29" s="54" t="s">
        <v>314</v>
      </c>
      <c r="G29" s="54"/>
      <c r="H29" s="54"/>
      <c r="I29" s="54">
        <f t="shared" si="1"/>
        <v>0</v>
      </c>
      <c r="J29" s="54"/>
      <c r="K29" s="54"/>
      <c r="L29" s="54">
        <f t="shared" si="2"/>
        <v>0</v>
      </c>
    </row>
    <row r="30" spans="2:12" x14ac:dyDescent="0.25">
      <c r="B30" s="54" t="s">
        <v>320</v>
      </c>
      <c r="C30" s="54"/>
      <c r="D30" s="54"/>
      <c r="E30" s="54">
        <f t="shared" si="0"/>
        <v>0</v>
      </c>
      <c r="F30" s="54"/>
      <c r="G30" s="54"/>
      <c r="H30" s="54"/>
      <c r="I30" s="54">
        <f t="shared" si="1"/>
        <v>0</v>
      </c>
      <c r="J30" s="54"/>
      <c r="K30" s="54"/>
      <c r="L30" s="54">
        <f t="shared" si="2"/>
        <v>0</v>
      </c>
    </row>
    <row r="31" spans="2:12" x14ac:dyDescent="0.25">
      <c r="B31" s="54"/>
      <c r="C31" s="54"/>
      <c r="D31" s="54"/>
      <c r="E31" s="54">
        <f>C31*D31</f>
        <v>0</v>
      </c>
      <c r="F31" s="54"/>
      <c r="G31" s="54"/>
      <c r="H31" s="54"/>
      <c r="I31" s="54">
        <f>G31*H31</f>
        <v>0</v>
      </c>
      <c r="J31" s="54"/>
      <c r="K31" s="54"/>
      <c r="L31" s="54">
        <f>J31*K31</f>
        <v>0</v>
      </c>
    </row>
    <row r="32" spans="2:12" x14ac:dyDescent="0.25">
      <c r="B32" s="54"/>
      <c r="C32" s="54"/>
      <c r="D32" s="54"/>
      <c r="E32" s="54">
        <f>C32*D32</f>
        <v>0</v>
      </c>
      <c r="F32" s="54"/>
      <c r="G32" s="54"/>
      <c r="H32" s="54"/>
      <c r="I32" s="54">
        <f>G32*H32</f>
        <v>0</v>
      </c>
      <c r="J32" s="54"/>
      <c r="K32" s="54"/>
      <c r="L32" s="54">
        <f>J32*K32</f>
        <v>0</v>
      </c>
    </row>
    <row r="33" spans="2:12" x14ac:dyDescent="0.25">
      <c r="B33" s="54" t="s">
        <v>317</v>
      </c>
      <c r="C33" s="54"/>
      <c r="D33" s="54"/>
      <c r="E33" s="54">
        <f t="shared" si="0"/>
        <v>0</v>
      </c>
      <c r="F33" s="54"/>
      <c r="G33" s="54"/>
      <c r="H33" s="54"/>
      <c r="I33" s="54">
        <f t="shared" si="1"/>
        <v>0</v>
      </c>
      <c r="J33" s="54"/>
      <c r="K33" s="54"/>
      <c r="L33" s="54">
        <f t="shared" si="2"/>
        <v>0</v>
      </c>
    </row>
    <row r="34" spans="2:12" x14ac:dyDescent="0.25">
      <c r="B34" s="54" t="s">
        <v>321</v>
      </c>
      <c r="C34" s="54"/>
      <c r="D34" s="54"/>
      <c r="E34" s="54">
        <f t="shared" si="0"/>
        <v>0</v>
      </c>
      <c r="F34" s="54"/>
      <c r="G34" s="54"/>
      <c r="H34" s="54"/>
      <c r="I34" s="54">
        <f t="shared" si="1"/>
        <v>0</v>
      </c>
      <c r="J34" s="54"/>
      <c r="K34" s="54"/>
      <c r="L34" s="54">
        <f t="shared" si="2"/>
        <v>0</v>
      </c>
    </row>
    <row r="35" spans="2:12" x14ac:dyDescent="0.25">
      <c r="B35" s="54" t="s">
        <v>318</v>
      </c>
      <c r="C35" s="54"/>
      <c r="D35" s="54"/>
      <c r="E35" s="54">
        <f t="shared" si="0"/>
        <v>0</v>
      </c>
      <c r="F35" s="54"/>
      <c r="G35" s="54"/>
      <c r="H35" s="54"/>
      <c r="I35" s="54">
        <f t="shared" si="1"/>
        <v>0</v>
      </c>
      <c r="J35" s="54"/>
      <c r="K35" s="54"/>
      <c r="L35" s="54">
        <f t="shared" si="2"/>
        <v>0</v>
      </c>
    </row>
    <row r="36" spans="2:12" x14ac:dyDescent="0.25">
      <c r="B36" s="54" t="s">
        <v>319</v>
      </c>
      <c r="C36" s="54"/>
      <c r="D36" s="54"/>
      <c r="E36" s="54">
        <f t="shared" si="0"/>
        <v>0</v>
      </c>
      <c r="F36" s="54"/>
      <c r="G36" s="54"/>
      <c r="H36" s="54"/>
      <c r="I36" s="54">
        <f t="shared" ref="I36:I41" si="3">G36*H36</f>
        <v>0</v>
      </c>
      <c r="J36" s="54"/>
      <c r="K36" s="54"/>
      <c r="L36" s="54">
        <f t="shared" ref="L36:L41" si="4">J36*K36</f>
        <v>0</v>
      </c>
    </row>
    <row r="37" spans="2:12" x14ac:dyDescent="0.25">
      <c r="B37" s="54"/>
      <c r="C37" s="54"/>
      <c r="D37" s="54"/>
      <c r="E37" s="54">
        <f>C37*D37</f>
        <v>0</v>
      </c>
      <c r="F37" s="54"/>
      <c r="G37" s="54"/>
      <c r="H37" s="54"/>
      <c r="I37" s="54">
        <f t="shared" si="3"/>
        <v>0</v>
      </c>
      <c r="J37" s="54"/>
      <c r="K37" s="54"/>
      <c r="L37" s="54">
        <f t="shared" si="4"/>
        <v>0</v>
      </c>
    </row>
    <row r="38" spans="2:12" x14ac:dyDescent="0.25">
      <c r="B38" s="54" t="s">
        <v>322</v>
      </c>
      <c r="C38" s="54"/>
      <c r="D38" s="54"/>
      <c r="E38" s="54">
        <f>C38*D38</f>
        <v>0</v>
      </c>
      <c r="F38" s="54"/>
      <c r="G38" s="54"/>
      <c r="H38" s="54"/>
      <c r="I38" s="54">
        <f t="shared" si="3"/>
        <v>0</v>
      </c>
      <c r="J38" s="54"/>
      <c r="K38" s="54"/>
      <c r="L38" s="54">
        <f t="shared" si="4"/>
        <v>0</v>
      </c>
    </row>
    <row r="39" spans="2:12" x14ac:dyDescent="0.25">
      <c r="B39" s="54"/>
      <c r="C39" s="54"/>
      <c r="D39" s="54"/>
      <c r="E39" s="54">
        <f t="shared" si="0"/>
        <v>0</v>
      </c>
      <c r="F39" s="54"/>
      <c r="G39" s="54"/>
      <c r="H39" s="54"/>
      <c r="I39" s="54">
        <f t="shared" si="3"/>
        <v>0</v>
      </c>
      <c r="J39" s="54"/>
      <c r="K39" s="54"/>
      <c r="L39" s="54">
        <f t="shared" si="4"/>
        <v>0</v>
      </c>
    </row>
    <row r="40" spans="2:12" x14ac:dyDescent="0.25">
      <c r="B40" s="54"/>
      <c r="C40" s="54"/>
      <c r="D40" s="54"/>
      <c r="E40" s="54">
        <f t="shared" si="0"/>
        <v>0</v>
      </c>
      <c r="F40" s="54"/>
      <c r="G40" s="54"/>
      <c r="H40" s="54"/>
      <c r="I40" s="54">
        <f t="shared" si="3"/>
        <v>0</v>
      </c>
      <c r="J40" s="54"/>
      <c r="K40" s="54"/>
      <c r="L40" s="54">
        <f t="shared" si="4"/>
        <v>0</v>
      </c>
    </row>
    <row r="41" spans="2:12" x14ac:dyDescent="0.25">
      <c r="B41" s="54"/>
      <c r="C41" s="54"/>
      <c r="D41" s="54"/>
      <c r="E41" s="54">
        <f t="shared" si="0"/>
        <v>0</v>
      </c>
      <c r="F41" s="54"/>
      <c r="G41" s="54"/>
      <c r="H41" s="54"/>
      <c r="I41" s="54">
        <f t="shared" si="3"/>
        <v>0</v>
      </c>
      <c r="J41" s="54"/>
      <c r="K41" s="54"/>
      <c r="L41" s="54">
        <f t="shared" si="4"/>
        <v>0</v>
      </c>
    </row>
    <row r="42" spans="2:12" x14ac:dyDescent="0.25">
      <c r="B42" s="54" t="s">
        <v>147</v>
      </c>
      <c r="C42" s="54"/>
      <c r="D42" s="54">
        <f>E42*10.764</f>
        <v>0</v>
      </c>
      <c r="E42" s="70">
        <f>SUM(E6:E41)</f>
        <v>0</v>
      </c>
      <c r="F42" s="54"/>
      <c r="G42" s="54"/>
      <c r="H42" s="54">
        <f>I42*10.764</f>
        <v>0</v>
      </c>
      <c r="I42" s="69">
        <f>SUM(I6:I41)</f>
        <v>0</v>
      </c>
      <c r="J42" s="54"/>
      <c r="K42" s="54">
        <f>L42*10.764</f>
        <v>0</v>
      </c>
      <c r="L42" s="68">
        <f>SUM(L6:L41)</f>
        <v>0</v>
      </c>
    </row>
    <row r="44" spans="2:12" x14ac:dyDescent="0.25">
      <c r="D44" s="53">
        <f>D42+H42</f>
        <v>0</v>
      </c>
      <c r="E44" s="53">
        <f>E42+I42</f>
        <v>0</v>
      </c>
    </row>
  </sheetData>
  <mergeCells count="4">
    <mergeCell ref="C2:D2"/>
    <mergeCell ref="C4:E4"/>
    <mergeCell ref="G4:I4"/>
    <mergeCell ref="J4:L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6"/>
  <sheetViews>
    <sheetView workbookViewId="0">
      <selection activeCell="A3" sqref="A3:XFD16"/>
    </sheetView>
  </sheetViews>
  <sheetFormatPr defaultRowHeight="15" x14ac:dyDescent="0.25"/>
  <cols>
    <col min="1" max="8" width="11.5703125" customWidth="1"/>
    <col min="9" max="10" width="21.28515625" customWidth="1"/>
  </cols>
  <sheetData>
    <row r="2" spans="1:10" ht="15.75" thickBot="1" x14ac:dyDescent="0.3">
      <c r="A2" s="273" t="s">
        <v>387</v>
      </c>
      <c r="B2" s="273"/>
      <c r="C2" s="273"/>
      <c r="D2" s="273"/>
      <c r="E2" s="273"/>
      <c r="F2" s="273"/>
      <c r="G2" s="273"/>
      <c r="H2" s="273"/>
    </row>
    <row r="3" spans="1:10" ht="15.75" x14ac:dyDescent="0.25">
      <c r="A3" s="283" t="s">
        <v>137</v>
      </c>
      <c r="B3" s="284"/>
      <c r="C3" s="265" t="s">
        <v>386</v>
      </c>
      <c r="D3" s="266"/>
      <c r="E3" s="266"/>
      <c r="F3" s="266"/>
      <c r="G3" s="266"/>
      <c r="H3" s="267"/>
      <c r="I3" s="49" t="str">
        <f ca="1">IF(D16=100%,"All work Completed. Possession granted to the Building.",IF(D15=100%,"All work Completed, Waiting for OC",I4&amp;""&amp;I5&amp;""&amp;J4&amp;""&amp;J3&amp;" "&amp;J5))</f>
        <v xml:space="preserve">Excavation, Plinth, RCC Slab, Brickwork Completed </v>
      </c>
      <c r="J3" s="50" t="str">
        <f ca="1">(IF(C9=(D4+F4+H4),"",IF(C9&gt;0,", RCC upto "&amp;C9&amp;" Slab","")))&amp;(IF(C10=H4,"",IF(C10&gt;0,", Brickwork upto "&amp;C10&amp;" Floor","")))&amp;(IF(C11=H4,"",IF(C11&gt;0,", Internal Plaster upto "&amp;C11&amp;" Floor","")))&amp;(IF(C12=H4,"",IF(C12&gt;0,", External Plaster upto "&amp;C12&amp;" Floor","")))&amp;(IF(C13=H4,"",IF(C13&gt;0,", Flooring upto "&amp;C13&amp;" Floor","")))&amp;(IF(C14=H4,"",IF(C14&gt;0,", Painting upto "&amp;C14&amp;" Floor","")))&amp;(IF(C15=H4,"",IF(C15&gt;0,", Finishing upto "&amp;C15&amp;" Floor","")))&amp;(IF(C16=H4,"",IF(C16&gt;0,", Possession upto "&amp;C16&amp;" Floor","")))</f>
        <v/>
      </c>
    </row>
    <row r="4" spans="1:10" ht="15.75" x14ac:dyDescent="0.25">
      <c r="A4" s="16" t="s">
        <v>139</v>
      </c>
      <c r="B4" s="47">
        <f>IF(AND(ISNUMBER(SEARCH("1B",C3))),1,IF(AND(ISNUMBER(SEARCH("2B",C3))),2,IF(AND(ISNUMBER(SEARCH("3B",C3))),3,IF(AND(ISNUMBER(SEARCH("4B",C3))),4,IF(ISNUMBER(SEARCH("5B",C3)),5,0)))))</f>
        <v>0</v>
      </c>
      <c r="C4" s="47" t="s">
        <v>68</v>
      </c>
      <c r="D4" s="47">
        <v>1</v>
      </c>
      <c r="E4" s="47" t="s">
        <v>67</v>
      </c>
      <c r="F4" s="14">
        <v>0</v>
      </c>
      <c r="G4" s="48" t="s">
        <v>76</v>
      </c>
      <c r="H4" s="17">
        <f ca="1">--TRIM(RIGHT(SUBSTITUTE(LEFT(C3,_xlfn.AGGREGATE(16,6,FIND({0,1,2,3,4,5,6,7,8,9},C3,ROW(INDIRECT("1:"&amp;LEN(C3)))),1))," ",REPT(" ",LEN(C3))),LEN(C3)))</f>
        <v>20</v>
      </c>
      <c r="I4" s="51" t="str">
        <f ca="1">IF(D7=100%,"Excavation","")&amp;IF(D8=100%,", Plinth","")&amp;IF(D9=100%,", RCC Slab","")&amp;IF(D10=100%,", Brickwork","")&amp;IF(D11=100%,", Internal Plaster","")&amp;IF(D12=100%,", External Plaster","")&amp;IF(D13=100%,", Flooring","")&amp;IF(D14=100%,", Painting","")&amp;IF(D15=100%,", Building common Amenities","")</f>
        <v>Excavation, Plinth, RCC Slab, Brickwork</v>
      </c>
      <c r="J4" s="52" t="str">
        <f ca="1">(IF(C7=0,"Work not yet Started.",IF(D7=25%,"Piling work in process",IF(D7=50%,"Excavation work in process",IF(D7=100%,"","0")))))&amp;(IF(C8=0%,"",IF(C8=J9,", Footing work is process",IF(C8=J10,", Footing work Completed",IF(C8=J11,", 1st Basement Completed",IF(C8=J12,", 1st &amp; 2nd Basement Completed",IF(C8=J13,", 1st to 3rd Basement Completed",IF(C8=J14,", 1st to 4th Basement Completed",IF(C8=J15,", Plinth work is process",IF(C8=J16,"","0"))))))))))</f>
        <v/>
      </c>
    </row>
    <row r="5" spans="1:10" ht="15.75" x14ac:dyDescent="0.25">
      <c r="A5" s="200" t="s">
        <v>86</v>
      </c>
      <c r="B5" s="201"/>
      <c r="C5" s="207" t="str">
        <f ca="1">I3</f>
        <v xml:space="preserve">Excavation, Plinth, RCC Slab, Brickwork Completed </v>
      </c>
      <c r="D5" s="207"/>
      <c r="E5" s="207"/>
      <c r="F5" s="207"/>
      <c r="G5" s="207"/>
      <c r="H5" s="208"/>
      <c r="I5" s="51" t="str">
        <f ca="1">IF(I4&lt;&gt;""," Completed","")</f>
        <v xml:space="preserve"> Completed</v>
      </c>
      <c r="J5" s="52" t="str">
        <f ca="1">IF(J3&lt;&gt;"","Completed","")</f>
        <v/>
      </c>
    </row>
    <row r="6" spans="1:10" ht="31.5" x14ac:dyDescent="0.25">
      <c r="A6" s="268" t="s">
        <v>47</v>
      </c>
      <c r="B6" s="269"/>
      <c r="C6" s="43" t="s">
        <v>136</v>
      </c>
      <c r="D6" s="43" t="s">
        <v>79</v>
      </c>
      <c r="E6" s="269" t="s">
        <v>81</v>
      </c>
      <c r="F6" s="269"/>
      <c r="G6" s="269" t="s">
        <v>80</v>
      </c>
      <c r="H6" s="270"/>
      <c r="I6" s="13" t="s">
        <v>138</v>
      </c>
      <c r="J6" s="28">
        <f ca="1">H4*25%</f>
        <v>5</v>
      </c>
    </row>
    <row r="7" spans="1:10" ht="15.75" x14ac:dyDescent="0.25">
      <c r="A7" s="268" t="s">
        <v>125</v>
      </c>
      <c r="B7" s="269"/>
      <c r="C7" s="60">
        <f ca="1">J8</f>
        <v>20</v>
      </c>
      <c r="D7" s="19">
        <f ca="1">((100/H4)*C7)/100</f>
        <v>1</v>
      </c>
      <c r="E7" s="274">
        <f ca="1">(((C8/H4*20)+(30/(D4+F4+H4)*C9)+(15/(H4)*C10)+(5/(H4)*C11)+(5/H4*C12)+(10/H4*C13)+(5/H4*C14)+(5/H4*C15)+(5/H4*C16))/100)</f>
        <v>0.65</v>
      </c>
      <c r="F7" s="275"/>
      <c r="G7" s="274">
        <f ca="1">((((C7/H4)*10)+((C8/H4)*30)+(25/(H4+F4+D4)*C9)+(15/H4*C10)+(5/H4*C11)+(5/H4*C12)+(5/H4*C13)+(0/H4*C14)+(0/H4*C15)+(5/H4*C16))/100)</f>
        <v>0.8</v>
      </c>
      <c r="H7" s="280"/>
      <c r="I7" s="13" t="s">
        <v>96</v>
      </c>
      <c r="J7" s="29">
        <f ca="1">H4*50%</f>
        <v>10</v>
      </c>
    </row>
    <row r="8" spans="1:10" ht="15.75" x14ac:dyDescent="0.25">
      <c r="A8" s="268" t="s">
        <v>48</v>
      </c>
      <c r="B8" s="269"/>
      <c r="C8" s="43">
        <v>20</v>
      </c>
      <c r="D8" s="19">
        <f ca="1">((100/H4)*C8)/100</f>
        <v>1</v>
      </c>
      <c r="E8" s="276"/>
      <c r="F8" s="277"/>
      <c r="G8" s="276"/>
      <c r="H8" s="281"/>
      <c r="I8" s="13" t="s">
        <v>97</v>
      </c>
      <c r="J8" s="29">
        <f ca="1">H4</f>
        <v>20</v>
      </c>
    </row>
    <row r="9" spans="1:10" ht="15.75" x14ac:dyDescent="0.25">
      <c r="A9" s="268" t="s">
        <v>126</v>
      </c>
      <c r="B9" s="269"/>
      <c r="C9" s="43">
        <v>21</v>
      </c>
      <c r="D9" s="19">
        <f ca="1">((100/(D4+F4+H4))*C9)/100</f>
        <v>1</v>
      </c>
      <c r="E9" s="276"/>
      <c r="F9" s="277"/>
      <c r="G9" s="276"/>
      <c r="H9" s="281"/>
      <c r="I9" s="13" t="s">
        <v>98</v>
      </c>
      <c r="J9" s="30">
        <f ca="1">(IF(B4&gt;1,(H4/(B4+2)),H4/4))</f>
        <v>5</v>
      </c>
    </row>
    <row r="10" spans="1:10" ht="15.75" x14ac:dyDescent="0.25">
      <c r="A10" s="268" t="s">
        <v>133</v>
      </c>
      <c r="B10" s="269" t="s">
        <v>127</v>
      </c>
      <c r="C10" s="43">
        <v>20</v>
      </c>
      <c r="D10" s="19">
        <f ca="1">((100/H4)*C10)/100</f>
        <v>1</v>
      </c>
      <c r="E10" s="276"/>
      <c r="F10" s="277"/>
      <c r="G10" s="276"/>
      <c r="H10" s="281"/>
      <c r="I10" s="13" t="s">
        <v>99</v>
      </c>
      <c r="J10" s="30">
        <f ca="1">(IF(B4&gt;1,(H4/(B4+2)+J9),H4/4+J9))</f>
        <v>10</v>
      </c>
    </row>
    <row r="11" spans="1:10" ht="15.75" x14ac:dyDescent="0.25">
      <c r="A11" s="268" t="s">
        <v>134</v>
      </c>
      <c r="B11" s="269" t="s">
        <v>127</v>
      </c>
      <c r="C11" s="43">
        <v>0</v>
      </c>
      <c r="D11" s="19">
        <f ca="1">((100/H4)*C11)/100</f>
        <v>0</v>
      </c>
      <c r="E11" s="276"/>
      <c r="F11" s="277"/>
      <c r="G11" s="276"/>
      <c r="H11" s="281"/>
      <c r="I11" s="13" t="s">
        <v>143</v>
      </c>
      <c r="J11" s="30">
        <f>(IF(B4&gt;1,(H4/(B4+2)+J10),0))</f>
        <v>0</v>
      </c>
    </row>
    <row r="12" spans="1:10" ht="15.75" x14ac:dyDescent="0.25">
      <c r="A12" s="268" t="s">
        <v>132</v>
      </c>
      <c r="B12" s="269" t="s">
        <v>129</v>
      </c>
      <c r="C12" s="43">
        <v>0</v>
      </c>
      <c r="D12" s="19">
        <f ca="1">((100/(H4))*C12)/100</f>
        <v>0</v>
      </c>
      <c r="E12" s="276"/>
      <c r="F12" s="277"/>
      <c r="G12" s="276"/>
      <c r="H12" s="281"/>
      <c r="I12" s="13" t="s">
        <v>140</v>
      </c>
      <c r="J12" s="30">
        <f>(IF(B4&gt;2,(H4/(B4+2)+J11),0))</f>
        <v>0</v>
      </c>
    </row>
    <row r="13" spans="1:10" ht="15.75" x14ac:dyDescent="0.25">
      <c r="A13" s="268" t="s">
        <v>128</v>
      </c>
      <c r="B13" s="269" t="s">
        <v>128</v>
      </c>
      <c r="C13" s="43">
        <v>0</v>
      </c>
      <c r="D13" s="19">
        <f ca="1">((100/H4)*C13)/100</f>
        <v>0</v>
      </c>
      <c r="E13" s="276"/>
      <c r="F13" s="277"/>
      <c r="G13" s="276"/>
      <c r="H13" s="281"/>
      <c r="I13" s="13" t="s">
        <v>141</v>
      </c>
      <c r="J13" s="31">
        <f>(IF(B4&gt;3,(H4/(B4+2)+J12),0))</f>
        <v>0</v>
      </c>
    </row>
    <row r="14" spans="1:10" ht="15.75" x14ac:dyDescent="0.25">
      <c r="A14" s="268" t="s">
        <v>135</v>
      </c>
      <c r="B14" s="269"/>
      <c r="C14" s="43">
        <v>0</v>
      </c>
      <c r="D14" s="19">
        <f ca="1">((100/H4)*C14)/100</f>
        <v>0</v>
      </c>
      <c r="E14" s="276"/>
      <c r="F14" s="277"/>
      <c r="G14" s="276"/>
      <c r="H14" s="281"/>
      <c r="I14" s="13" t="s">
        <v>142</v>
      </c>
      <c r="J14" s="30">
        <f>(IF(B4&gt;4,(H4/(B4+2)+J13),0))</f>
        <v>0</v>
      </c>
    </row>
    <row r="15" spans="1:10" ht="15.75" x14ac:dyDescent="0.25">
      <c r="A15" s="268" t="s">
        <v>130</v>
      </c>
      <c r="B15" s="269" t="s">
        <v>130</v>
      </c>
      <c r="C15" s="43">
        <v>0</v>
      </c>
      <c r="D15" s="19">
        <f ca="1">((100/(H4))*C15)/100</f>
        <v>0</v>
      </c>
      <c r="E15" s="276"/>
      <c r="F15" s="277"/>
      <c r="G15" s="276"/>
      <c r="H15" s="281"/>
      <c r="I15" s="13" t="s">
        <v>144</v>
      </c>
      <c r="J15" s="30">
        <f ca="1">(IF(B4=1,(H4/(B4+3)+J10),IF(B4=0,(H4/4+J10),IF(B4&gt;1,0))))</f>
        <v>15</v>
      </c>
    </row>
    <row r="16" spans="1:10" ht="16.5" thickBot="1" x14ac:dyDescent="0.3">
      <c r="A16" s="271" t="s">
        <v>131</v>
      </c>
      <c r="B16" s="272"/>
      <c r="C16" s="44">
        <v>0</v>
      </c>
      <c r="D16" s="20">
        <f ca="1">((100/(H4))*C16)/100</f>
        <v>0</v>
      </c>
      <c r="E16" s="278"/>
      <c r="F16" s="279"/>
      <c r="G16" s="278"/>
      <c r="H16" s="282"/>
      <c r="I16" s="15" t="s">
        <v>100</v>
      </c>
      <c r="J16" s="32">
        <f ca="1">(IF(B4&gt;1.5,(H4/(B4+2)+J10+MAX(0,J11-J10)+MAX(0,J12-J11)+MAX(0,J13-J12)+MAX(0,J14-J13)+MAX(0,J15-J14)),IF(B4=1,(H4/(B4+3)+J15),IF(B4=0,H4/4+J15))))</f>
        <v>20</v>
      </c>
    </row>
  </sheetData>
  <mergeCells count="20">
    <mergeCell ref="A15:B15"/>
    <mergeCell ref="A16:B16"/>
    <mergeCell ref="A2:H2"/>
    <mergeCell ref="A7:B7"/>
    <mergeCell ref="E7:F16"/>
    <mergeCell ref="G7:H16"/>
    <mergeCell ref="A8:B8"/>
    <mergeCell ref="A9:B9"/>
    <mergeCell ref="A10:B10"/>
    <mergeCell ref="A11:B11"/>
    <mergeCell ref="A12:B12"/>
    <mergeCell ref="A13:B13"/>
    <mergeCell ref="A14:B14"/>
    <mergeCell ref="A3:B3"/>
    <mergeCell ref="C3:H3"/>
    <mergeCell ref="A5:B5"/>
    <mergeCell ref="C5:H5"/>
    <mergeCell ref="A6:B6"/>
    <mergeCell ref="E6:F6"/>
    <mergeCell ref="G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valuation</vt:lpstr>
      <vt:lpstr>Research</vt:lpstr>
      <vt:lpstr>Remarks</vt:lpstr>
      <vt:lpstr>Area Calculation</vt:lpstr>
      <vt:lpstr>Construction Table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2025-09-27T13:21:28Z</cp:lastPrinted>
  <dcterms:created xsi:type="dcterms:W3CDTF">2019-07-16T09:29:46Z</dcterms:created>
  <dcterms:modified xsi:type="dcterms:W3CDTF">2025-09-27T13:30:31Z</dcterms:modified>
</cp:coreProperties>
</file>