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codeName="ThisWorkbook"/>
  <mc:AlternateContent xmlns:mc="http://schemas.openxmlformats.org/markup-compatibility/2006">
    <mc:Choice Requires="x15">
      <x15ac:absPath xmlns:x15ac="http://schemas.microsoft.com/office/spreadsheetml/2010/11/ac" url="Z:\APF\25-26\Sep 2025\Samman\New\Gaurav\Sansaara\"/>
    </mc:Choice>
  </mc:AlternateContent>
  <xr:revisionPtr revIDLastSave="0" documentId="13_ncr:1_{174A32F8-D084-4A48-B34E-5A9DEAC35E23}" xr6:coauthVersionLast="36" xr6:coauthVersionMax="36" xr10:uidLastSave="{00000000-0000-0000-0000-000000000000}"/>
  <bookViews>
    <workbookView xWindow="-105" yWindow="-105" windowWidth="23250" windowHeight="12450" tabRatio="725" xr2:uid="{00000000-000D-0000-FFFF-FFFF00000000}"/>
  </bookViews>
  <sheets>
    <sheet name="Report" sheetId="1" r:id="rId1"/>
    <sheet name="valuation" sheetId="5" r:id="rId2"/>
    <sheet name="Research" sheetId="4" r:id="rId3"/>
    <sheet name="Remarks" sheetId="6" r:id="rId4"/>
    <sheet name="Area Calculation" sheetId="7" r:id="rId5"/>
    <sheet name="Construction Table" sheetId="8" r:id="rId6"/>
  </sheets>
  <definedNames>
    <definedName name="_xlnm.Print_Area" localSheetId="0">Report!$A$1:$H$414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98" i="1" l="1"/>
  <c r="I200" i="1"/>
  <c r="E233" i="1"/>
  <c r="D233" i="1"/>
  <c r="F233" i="1" s="1"/>
  <c r="H233" i="1" s="1"/>
  <c r="J145" i="1" l="1"/>
  <c r="J136" i="1"/>
  <c r="J137" i="1"/>
  <c r="J138" i="1"/>
  <c r="J139" i="1"/>
  <c r="J140" i="1"/>
  <c r="J141" i="1"/>
  <c r="J142" i="1"/>
  <c r="J143" i="1"/>
  <c r="J144" i="1"/>
  <c r="J135" i="1"/>
  <c r="J134" i="1"/>
  <c r="I175" i="1"/>
  <c r="E236" i="1"/>
  <c r="D236" i="1"/>
  <c r="E235" i="1"/>
  <c r="D235" i="1"/>
  <c r="E234" i="1"/>
  <c r="D234" i="1"/>
  <c r="E232" i="1"/>
  <c r="D232" i="1"/>
  <c r="E230" i="1"/>
  <c r="D230" i="1"/>
  <c r="F230" i="1" s="1"/>
  <c r="H230" i="1" s="1"/>
  <c r="E229" i="1"/>
  <c r="D229" i="1"/>
  <c r="E228" i="1"/>
  <c r="D228" i="1"/>
  <c r="F228" i="1" s="1"/>
  <c r="H228" i="1" s="1"/>
  <c r="E227" i="1"/>
  <c r="D227" i="1"/>
  <c r="E226" i="1"/>
  <c r="D226" i="1"/>
  <c r="F226" i="1" s="1"/>
  <c r="H226" i="1" s="1"/>
  <c r="E225" i="1"/>
  <c r="D225" i="1"/>
  <c r="A226" i="1"/>
  <c r="A227" i="1" s="1"/>
  <c r="A228" i="1" s="1"/>
  <c r="A229" i="1" s="1"/>
  <c r="A230" i="1" s="1"/>
  <c r="E221" i="1"/>
  <c r="D221" i="1"/>
  <c r="F221" i="1" s="1"/>
  <c r="H221" i="1" s="1"/>
  <c r="E220" i="1"/>
  <c r="D220" i="1"/>
  <c r="F220" i="1" s="1"/>
  <c r="H220" i="1" s="1"/>
  <c r="E219" i="1"/>
  <c r="D219" i="1"/>
  <c r="F219" i="1" s="1"/>
  <c r="H219" i="1" s="1"/>
  <c r="E218" i="1"/>
  <c r="D218" i="1"/>
  <c r="E217" i="1"/>
  <c r="D217" i="1"/>
  <c r="F217" i="1" s="1"/>
  <c r="H217" i="1" s="1"/>
  <c r="A217" i="1"/>
  <c r="A218" i="1" s="1"/>
  <c r="A219" i="1" s="1"/>
  <c r="A220" i="1" s="1"/>
  <c r="A221" i="1" s="1"/>
  <c r="I210" i="1"/>
  <c r="I209" i="1"/>
  <c r="E214" i="1"/>
  <c r="D214" i="1"/>
  <c r="E213" i="1"/>
  <c r="D213" i="1"/>
  <c r="E212" i="1"/>
  <c r="D212" i="1"/>
  <c r="F212" i="1" s="1"/>
  <c r="H212" i="1" s="1"/>
  <c r="E211" i="1"/>
  <c r="D211" i="1"/>
  <c r="F211" i="1" s="1"/>
  <c r="H211" i="1" s="1"/>
  <c r="E210" i="1"/>
  <c r="D210" i="1"/>
  <c r="F210" i="1" s="1"/>
  <c r="H210" i="1" s="1"/>
  <c r="E209" i="1"/>
  <c r="D209" i="1"/>
  <c r="D203" i="1"/>
  <c r="D196" i="1"/>
  <c r="D193" i="1"/>
  <c r="D184" i="1"/>
  <c r="D180" i="1"/>
  <c r="E203" i="1"/>
  <c r="E196" i="1"/>
  <c r="E193" i="1"/>
  <c r="E184" i="1"/>
  <c r="E180" i="1"/>
  <c r="E177" i="1"/>
  <c r="D177" i="1"/>
  <c r="A210" i="1"/>
  <c r="A211" i="1" s="1"/>
  <c r="A212" i="1" s="1"/>
  <c r="A213" i="1" s="1"/>
  <c r="A214" i="1" s="1"/>
  <c r="E204" i="1"/>
  <c r="D204" i="1"/>
  <c r="F204" i="1" s="1"/>
  <c r="H204" i="1" s="1"/>
  <c r="E202" i="1"/>
  <c r="D202" i="1"/>
  <c r="E201" i="1"/>
  <c r="D201" i="1"/>
  <c r="E199" i="1"/>
  <c r="D199" i="1"/>
  <c r="E197" i="1"/>
  <c r="D197" i="1"/>
  <c r="E195" i="1"/>
  <c r="D195" i="1"/>
  <c r="E194" i="1"/>
  <c r="D194" i="1"/>
  <c r="E192" i="1"/>
  <c r="D192" i="1"/>
  <c r="A200" i="1"/>
  <c r="A201" i="1" s="1"/>
  <c r="A202" i="1" s="1"/>
  <c r="A203" i="1" s="1"/>
  <c r="A204" i="1" s="1"/>
  <c r="E188" i="1"/>
  <c r="D188" i="1"/>
  <c r="E186" i="1"/>
  <c r="D186" i="1"/>
  <c r="E185" i="1"/>
  <c r="D185" i="1"/>
  <c r="E183" i="1"/>
  <c r="D183" i="1"/>
  <c r="E181" i="1"/>
  <c r="D181" i="1"/>
  <c r="E179" i="1"/>
  <c r="D179" i="1"/>
  <c r="E178" i="1"/>
  <c r="D178" i="1"/>
  <c r="E176" i="1"/>
  <c r="D176" i="1"/>
  <c r="F188" i="1"/>
  <c r="H188" i="1" s="1"/>
  <c r="F186" i="1"/>
  <c r="H186" i="1" s="1"/>
  <c r="F185" i="1"/>
  <c r="H185" i="1" s="1"/>
  <c r="A184" i="1"/>
  <c r="A185" i="1" s="1"/>
  <c r="A186" i="1" s="1"/>
  <c r="A187" i="1" s="1"/>
  <c r="A188" i="1" s="1"/>
  <c r="C154" i="1" l="1"/>
  <c r="F225" i="1"/>
  <c r="C157" i="1"/>
  <c r="C155" i="1"/>
  <c r="F183" i="1"/>
  <c r="H183" i="1" s="1"/>
  <c r="F214" i="1"/>
  <c r="H214" i="1" s="1"/>
  <c r="F209" i="1"/>
  <c r="C156" i="1"/>
  <c r="F199" i="1"/>
  <c r="H199" i="1" s="1"/>
  <c r="I199" i="1" s="1"/>
  <c r="F202" i="1"/>
  <c r="H202" i="1" s="1"/>
  <c r="I202" i="1" s="1"/>
  <c r="F218" i="1"/>
  <c r="H218" i="1" s="1"/>
  <c r="F184" i="1"/>
  <c r="H184" i="1" s="1"/>
  <c r="F213" i="1"/>
  <c r="H213" i="1" s="1"/>
  <c r="F227" i="1"/>
  <c r="H227" i="1" s="1"/>
  <c r="F201" i="1"/>
  <c r="H201" i="1" s="1"/>
  <c r="I201" i="1" s="1"/>
  <c r="F229" i="1"/>
  <c r="H229" i="1" s="1"/>
  <c r="F203" i="1"/>
  <c r="H203" i="1" s="1"/>
  <c r="F181" i="1"/>
  <c r="H181" i="1" s="1"/>
  <c r="F180" i="1"/>
  <c r="H180" i="1" s="1"/>
  <c r="F179" i="1"/>
  <c r="H179" i="1" s="1"/>
  <c r="F178" i="1"/>
  <c r="H178" i="1" s="1"/>
  <c r="F177" i="1"/>
  <c r="H177" i="1" s="1"/>
  <c r="A177" i="1"/>
  <c r="A178" i="1" s="1"/>
  <c r="A179" i="1" s="1"/>
  <c r="A180" i="1" s="1"/>
  <c r="A181" i="1" s="1"/>
  <c r="F176" i="1"/>
  <c r="F197" i="1"/>
  <c r="H197" i="1" s="1"/>
  <c r="I197" i="1" s="1"/>
  <c r="F196" i="1"/>
  <c r="H196" i="1" s="1"/>
  <c r="I196" i="1" s="1"/>
  <c r="C120" i="1"/>
  <c r="C106" i="1"/>
  <c r="C78" i="1"/>
  <c r="H4" i="8"/>
  <c r="H225" i="1" l="1"/>
  <c r="C158" i="1"/>
  <c r="C159" i="1" s="1"/>
  <c r="H176" i="1"/>
  <c r="G154" i="1" s="1"/>
  <c r="E154" i="1"/>
  <c r="H209" i="1"/>
  <c r="G156" i="1" s="1"/>
  <c r="E156" i="1"/>
  <c r="J6" i="8"/>
  <c r="D16" i="8"/>
  <c r="D10" i="8"/>
  <c r="D11" i="8"/>
  <c r="D15" i="8"/>
  <c r="D9" i="8"/>
  <c r="J8" i="8"/>
  <c r="C7" i="8" s="1"/>
  <c r="D14" i="8"/>
  <c r="D13" i="8"/>
  <c r="J7" i="8"/>
  <c r="J3" i="8"/>
  <c r="J5" i="8" s="1"/>
  <c r="D12" i="8"/>
  <c r="B4" i="8"/>
  <c r="F165" i="1"/>
  <c r="B38" i="6"/>
  <c r="B39" i="6" s="1"/>
  <c r="B40" i="6" s="1"/>
  <c r="B41" i="6" s="1"/>
  <c r="B42" i="6" s="1"/>
  <c r="B43" i="6" s="1"/>
  <c r="B44" i="6" s="1"/>
  <c r="B45" i="6" s="1"/>
  <c r="B46" i="6" s="1"/>
  <c r="B47" i="6" s="1"/>
  <c r="B48" i="6" s="1"/>
  <c r="B49" i="6" s="1"/>
  <c r="B50" i="6" s="1"/>
  <c r="B51" i="6" s="1"/>
  <c r="B52" i="6" s="1"/>
  <c r="B53" i="6" s="1"/>
  <c r="B54" i="6" s="1"/>
  <c r="D7" i="8" l="1"/>
  <c r="J9" i="8"/>
  <c r="J10" i="8" s="1"/>
  <c r="J15" i="8" s="1"/>
  <c r="J16" i="8" s="1"/>
  <c r="E7" i="8" s="1"/>
  <c r="J14" i="8"/>
  <c r="J13" i="8"/>
  <c r="J11" i="8"/>
  <c r="J12" i="8"/>
  <c r="H165" i="1"/>
  <c r="G7" i="8" l="1"/>
  <c r="D8" i="8"/>
  <c r="I4" i="8" s="1"/>
  <c r="J4" i="8"/>
  <c r="L41" i="7"/>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283" i="1"/>
  <c r="B259" i="1"/>
  <c r="B258" i="1"/>
  <c r="F255" i="1"/>
  <c r="H255" i="1" s="1"/>
  <c r="F254" i="1"/>
  <c r="H254" i="1" s="1"/>
  <c r="F253" i="1"/>
  <c r="H253" i="1" s="1"/>
  <c r="F252" i="1"/>
  <c r="H252" i="1" s="1"/>
  <c r="F251" i="1"/>
  <c r="H251" i="1" s="1"/>
  <c r="F249" i="1"/>
  <c r="H249" i="1" s="1"/>
  <c r="F248" i="1"/>
  <c r="H248" i="1" s="1"/>
  <c r="F247" i="1"/>
  <c r="H247" i="1" s="1"/>
  <c r="F246" i="1"/>
  <c r="H246" i="1" s="1"/>
  <c r="F245" i="1"/>
  <c r="H245" i="1" s="1"/>
  <c r="F243" i="1"/>
  <c r="H243" i="1" s="1"/>
  <c r="F242" i="1"/>
  <c r="H242" i="1" s="1"/>
  <c r="F241" i="1"/>
  <c r="H241" i="1" s="1"/>
  <c r="F240" i="1"/>
  <c r="H240" i="1" s="1"/>
  <c r="F239" i="1"/>
  <c r="H239" i="1" s="1"/>
  <c r="F236" i="1"/>
  <c r="H236" i="1" s="1"/>
  <c r="F235" i="1"/>
  <c r="H235" i="1" s="1"/>
  <c r="F234" i="1"/>
  <c r="H234" i="1" s="1"/>
  <c r="F232" i="1"/>
  <c r="E157" i="1" s="1"/>
  <c r="A233" i="1"/>
  <c r="A234" i="1" s="1"/>
  <c r="A235" i="1" s="1"/>
  <c r="A236" i="1" s="1"/>
  <c r="A237" i="1" s="1"/>
  <c r="F195" i="1"/>
  <c r="H195" i="1" s="1"/>
  <c r="I195" i="1" s="1"/>
  <c r="F194" i="1"/>
  <c r="H194" i="1" s="1"/>
  <c r="I194" i="1" s="1"/>
  <c r="F193" i="1"/>
  <c r="H193" i="1" s="1"/>
  <c r="I193" i="1" s="1"/>
  <c r="A193" i="1"/>
  <c r="A194" i="1" s="1"/>
  <c r="A195" i="1" s="1"/>
  <c r="A196" i="1" s="1"/>
  <c r="A197" i="1" s="1"/>
  <c r="F192" i="1"/>
  <c r="F168" i="1"/>
  <c r="H168" i="1" s="1"/>
  <c r="F167" i="1"/>
  <c r="H167" i="1" s="1"/>
  <c r="F166" i="1"/>
  <c r="H166" i="1" s="1"/>
  <c r="A166" i="1"/>
  <c r="A167" i="1" s="1"/>
  <c r="A168" i="1" s="1"/>
  <c r="F146" i="1"/>
  <c r="C92" i="1"/>
  <c r="B79" i="1"/>
  <c r="D72" i="1"/>
  <c r="D64" i="1"/>
  <c r="G57" i="1"/>
  <c r="C57" i="1"/>
  <c r="K55" i="1"/>
  <c r="C55" i="1"/>
  <c r="G51" i="1"/>
  <c r="C51" i="1"/>
  <c r="E44" i="1"/>
  <c r="E45" i="1" s="1"/>
  <c r="S33" i="1"/>
  <c r="E31" i="1"/>
  <c r="E28" i="1"/>
  <c r="E26" i="1"/>
  <c r="C16" i="1"/>
  <c r="I15" i="1"/>
  <c r="Z13" i="1"/>
  <c r="E8" i="1"/>
  <c r="E3" i="1"/>
  <c r="B269" i="1" s="1"/>
  <c r="A245" i="1"/>
  <c r="H107" i="1"/>
  <c r="A239" i="1"/>
  <c r="A251" i="1"/>
  <c r="H93" i="1"/>
  <c r="H232" i="1" l="1"/>
  <c r="G157" i="1" s="1"/>
  <c r="H192" i="1"/>
  <c r="E155" i="1"/>
  <c r="I5" i="8"/>
  <c r="I3" i="8" s="1"/>
  <c r="C5" i="8" s="1"/>
  <c r="E42" i="7"/>
  <c r="J86" i="1"/>
  <c r="J87" i="1"/>
  <c r="B107" i="1"/>
  <c r="J115" i="1" s="1"/>
  <c r="I42" i="7"/>
  <c r="H42" i="7" s="1"/>
  <c r="L42" i="7"/>
  <c r="K42" i="7" s="1"/>
  <c r="J92" i="1"/>
  <c r="J94" i="1" s="1"/>
  <c r="D101" i="1"/>
  <c r="D100" i="1"/>
  <c r="D105" i="1"/>
  <c r="D99" i="1"/>
  <c r="J95" i="1"/>
  <c r="D104" i="1"/>
  <c r="J97" i="1"/>
  <c r="C96" i="1" s="1"/>
  <c r="D98" i="1"/>
  <c r="D103" i="1"/>
  <c r="J96" i="1"/>
  <c r="D102" i="1"/>
  <c r="D116" i="1"/>
  <c r="J110" i="1"/>
  <c r="J106" i="1"/>
  <c r="J108" i="1" s="1"/>
  <c r="J109" i="1"/>
  <c r="D114" i="1"/>
  <c r="D119" i="1"/>
  <c r="D113" i="1"/>
  <c r="D118" i="1"/>
  <c r="D112" i="1"/>
  <c r="D115" i="1"/>
  <c r="J111" i="1"/>
  <c r="C110" i="1" s="1"/>
  <c r="D110" i="1" s="1"/>
  <c r="D117" i="1"/>
  <c r="D42" i="7"/>
  <c r="L55" i="1"/>
  <c r="B93" i="1"/>
  <c r="J88" i="1"/>
  <c r="J89" i="1"/>
  <c r="I52" i="1"/>
  <c r="H79" i="1"/>
  <c r="A240" i="1"/>
  <c r="A252" i="1"/>
  <c r="A246" i="1"/>
  <c r="G155" i="1" l="1"/>
  <c r="G158" i="1" s="1"/>
  <c r="G159" i="1" s="1"/>
  <c r="I192" i="1"/>
  <c r="E158" i="1"/>
  <c r="E159" i="1" s="1"/>
  <c r="D90" i="1"/>
  <c r="D84" i="1"/>
  <c r="J84" i="1"/>
  <c r="J85" i="1" s="1"/>
  <c r="J90" i="1" s="1"/>
  <c r="J91" i="1" s="1"/>
  <c r="C83" i="1" s="1"/>
  <c r="E82" i="1" s="1"/>
  <c r="J83" i="1"/>
  <c r="C82" i="1" s="1"/>
  <c r="D82" i="1" s="1"/>
  <c r="D89" i="1"/>
  <c r="D88" i="1"/>
  <c r="J78" i="1"/>
  <c r="J80" i="1" s="1"/>
  <c r="D87" i="1"/>
  <c r="D91" i="1"/>
  <c r="D85" i="1"/>
  <c r="J82" i="1"/>
  <c r="J81" i="1"/>
  <c r="D86" i="1"/>
  <c r="J117" i="1"/>
  <c r="J116" i="1"/>
  <c r="D44" i="7"/>
  <c r="E44" i="7"/>
  <c r="J114" i="1"/>
  <c r="J112" i="1"/>
  <c r="J113" i="1" s="1"/>
  <c r="J118" i="1" s="1"/>
  <c r="J119" i="1" s="1"/>
  <c r="C111" i="1" s="1"/>
  <c r="G110" i="1" s="1"/>
  <c r="D96" i="1"/>
  <c r="J101" i="1"/>
  <c r="J98" i="1"/>
  <c r="J99" i="1" s="1"/>
  <c r="J104" i="1" s="1"/>
  <c r="J105" i="1" s="1"/>
  <c r="C97" i="1" s="1"/>
  <c r="J103" i="1"/>
  <c r="J100" i="1"/>
  <c r="J102" i="1"/>
  <c r="A241" i="1"/>
  <c r="A253" i="1"/>
  <c r="A247" i="1"/>
  <c r="B121" i="1" l="1"/>
  <c r="G82" i="1"/>
  <c r="D76" i="1" s="1"/>
  <c r="D77" i="1" s="1"/>
  <c r="D83" i="1"/>
  <c r="I79" i="1" s="1"/>
  <c r="I80" i="1" s="1"/>
  <c r="D111" i="1"/>
  <c r="I107" i="1" s="1"/>
  <c r="I108" i="1" s="1"/>
  <c r="J107" i="1"/>
  <c r="E110" i="1"/>
  <c r="J79" i="1"/>
  <c r="E96" i="1"/>
  <c r="D97" i="1"/>
  <c r="I93" i="1" s="1"/>
  <c r="J93" i="1"/>
  <c r="G96" i="1"/>
  <c r="A248" i="1"/>
  <c r="A242" i="1"/>
  <c r="H121" i="1"/>
  <c r="A254" i="1"/>
  <c r="J123" i="1" l="1"/>
  <c r="D127" i="1"/>
  <c r="D132" i="1"/>
  <c r="D126" i="1"/>
  <c r="J125" i="1"/>
  <c r="C124" i="1" s="1"/>
  <c r="D124" i="1" s="1"/>
  <c r="D131" i="1"/>
  <c r="D130" i="1"/>
  <c r="J124" i="1"/>
  <c r="J120" i="1"/>
  <c r="J122" i="1" s="1"/>
  <c r="D129" i="1"/>
  <c r="D133" i="1"/>
  <c r="D128" i="1"/>
  <c r="J126" i="1"/>
  <c r="J127" i="1" s="1"/>
  <c r="J132" i="1" s="1"/>
  <c r="J133" i="1" s="1"/>
  <c r="C125" i="1" s="1"/>
  <c r="J131" i="1"/>
  <c r="J130" i="1"/>
  <c r="J129" i="1"/>
  <c r="J128" i="1"/>
  <c r="F77" i="1"/>
  <c r="I106" i="1"/>
  <c r="C108" i="1" s="1"/>
  <c r="I78" i="1"/>
  <c r="C80" i="1" s="1"/>
  <c r="I94" i="1"/>
  <c r="I92" i="1" s="1"/>
  <c r="C94" i="1" s="1"/>
  <c r="A249" i="1"/>
  <c r="A255" i="1"/>
  <c r="A243" i="1"/>
  <c r="E124" i="1" l="1"/>
  <c r="D125" i="1"/>
  <c r="I121" i="1" s="1"/>
  <c r="I122" i="1" s="1"/>
  <c r="J121" i="1"/>
  <c r="G124" i="1"/>
  <c r="I120" i="1" l="1"/>
  <c r="C12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Sachin</author>
    <author>SACHIN</author>
  </authors>
  <commentList>
    <comment ref="E12" authorId="0" shapeId="0" xr:uid="{00000000-0006-0000-0000-000001000000}">
      <text>
        <r>
          <rPr>
            <b/>
            <sz val="9"/>
            <color indexed="81"/>
            <rFont val="Tahoma"/>
            <family val="2"/>
          </rPr>
          <t>Sachin:</t>
        </r>
        <r>
          <rPr>
            <sz val="9"/>
            <color indexed="81"/>
            <rFont val="Tahoma"/>
            <family val="2"/>
          </rPr>
          <t xml:space="preserve">
Building No. 
Tower No.
Wing 
Bunglow No., etc</t>
        </r>
      </text>
    </comment>
    <comment ref="E13" authorId="0" shapeId="0" xr:uid="{00000000-0006-0000-0000-000002000000}">
      <text>
        <r>
          <rPr>
            <b/>
            <sz val="9"/>
            <color indexed="81"/>
            <rFont val="Tahoma"/>
            <family val="2"/>
          </rPr>
          <t>Sachin:</t>
        </r>
        <r>
          <rPr>
            <sz val="9"/>
            <color indexed="81"/>
            <rFont val="Tahoma"/>
            <family val="2"/>
          </rPr>
          <t xml:space="preserve">
If exisiting Building is provided write it or else
NA</t>
        </r>
      </text>
    </comment>
    <comment ref="C56" authorId="1" shapeId="0" xr:uid="{00000000-0006-0000-0000-000003000000}">
      <text>
        <r>
          <rPr>
            <b/>
            <sz val="9"/>
            <color indexed="81"/>
            <rFont val="Tahoma"/>
            <family val="2"/>
          </rPr>
          <t>SACHIN:</t>
        </r>
        <r>
          <rPr>
            <sz val="9"/>
            <color indexed="81"/>
            <rFont val="Tahoma"/>
            <family val="2"/>
          </rPr>
          <t xml:space="preserve">
Floor with height</t>
        </r>
      </text>
    </comment>
    <comment ref="C58" authorId="1" shapeId="0" xr:uid="{00000000-0006-0000-0000-000004000000}">
      <text>
        <r>
          <rPr>
            <b/>
            <sz val="9"/>
            <color indexed="81"/>
            <rFont val="Tahoma"/>
            <family val="2"/>
          </rPr>
          <t>SACHIN:</t>
        </r>
        <r>
          <rPr>
            <sz val="9"/>
            <color indexed="81"/>
            <rFont val="Tahoma"/>
            <family val="2"/>
          </rPr>
          <t xml:space="preserve">
Survey Nos.</t>
        </r>
      </text>
    </comment>
    <comment ref="D64" authorId="0" shapeId="0" xr:uid="{00000000-0006-0000-0000-000005000000}">
      <text>
        <r>
          <rPr>
            <b/>
            <sz val="9"/>
            <color indexed="81"/>
            <rFont val="Tahoma"/>
            <family val="2"/>
          </rPr>
          <t>Sachin:</t>
        </r>
        <r>
          <rPr>
            <sz val="9"/>
            <color indexed="81"/>
            <rFont val="Tahoma"/>
            <family val="2"/>
          </rPr>
          <t xml:space="preserve">
If multiple building in project or complex just mention builtup of required building</t>
        </r>
      </text>
    </comment>
    <comment ref="F139" authorId="1" shapeId="0" xr:uid="{00000000-0006-0000-0000-00000600000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71" authorId="1" shapeId="0" xr:uid="{00000000-0006-0000-0000-00000700000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C9" authorId="0" shapeId="0" xr:uid="{00000000-0006-0000-0300-000001000000}">
      <text>
        <r>
          <rPr>
            <b/>
            <sz val="9"/>
            <color indexed="81"/>
            <rFont val="Tahoma"/>
            <family val="2"/>
          </rPr>
          <t>SACHIN:</t>
        </r>
        <r>
          <rPr>
            <sz val="9"/>
            <color indexed="81"/>
            <rFont val="Tahoma"/>
            <family val="2"/>
          </rPr>
          <t xml:space="preserve">
If banker changes the rate</t>
        </r>
      </text>
    </comment>
    <comment ref="C10" authorId="0" shapeId="0" xr:uid="{00000000-0006-0000-0300-00000200000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<sst xmlns="http://schemas.openxmlformats.org/spreadsheetml/2006/main" count="845" uniqueCount="452">
  <si>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</si>
  <si>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</si>
  <si>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</si>
  <si>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</si>
  <si>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</si>
  <si>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</si>
  <si>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</si>
  <si>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</si>
  <si>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</si>
  <si>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</si>
  <si>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</si>
  <si>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</si>
  <si>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</si>
  <si>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</si>
  <si>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</si>
  <si>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</si>
  <si>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</si>
  <si>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</si>
  <si>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</si>
  <si>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</si>
  <si>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</si>
  <si>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</si>
  <si>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</si>
  <si>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</si>
  <si>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</si>
  <si>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</si>
  <si>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</si>
  <si>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</si>
  <si>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</si>
  <si>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</si>
  <si>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</si>
  <si>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</si>
  <si>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</si>
  <si>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</si>
  <si>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</si>
  <si>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</si>
  <si>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</si>
  <si>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</si>
  <si>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</si>
  <si>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</si>
  <si>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</si>
  <si>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</si>
  <si>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</si>
  <si>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</si>
  <si>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</si>
  <si>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</si>
  <si>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</si>
  <si>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</si>
  <si>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</si>
  <si>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</si>
  <si>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</si>
  <si>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</si>
  <si>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</si>
  <si>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</si>
  <si>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</si>
  <si>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</si>
  <si>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</si>
  <si>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</si>
  <si>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</si>
  <si>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</si>
  <si>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</si>
  <si>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</si>
  <si>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</si>
  <si>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</si>
  <si>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</si>
  <si>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</si>
  <si>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</si>
  <si>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</si>
  <si>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</si>
  <si>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</si>
  <si>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</si>
  <si>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</si>
  <si>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</si>
  <si>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</si>
  <si>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</si>
  <si>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</si>
  <si>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</si>
  <si>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</si>
  <si>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</si>
  <si>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</si>
  <si>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</si>
  <si>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</si>
  <si>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</si>
  <si>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</si>
  <si>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</si>
  <si>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</si>
  <si>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</si>
  <si>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</si>
  <si>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</si>
  <si>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</si>
  <si>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</si>
  <si>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</si>
  <si>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</si>
  <si>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</si>
  <si>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</si>
  <si>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</si>
  <si>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</si>
  <si>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</si>
  <si>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</si>
  <si>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</si>
  <si>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</si>
  <si>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</si>
  <si>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</si>
  <si>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</si>
  <si>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</si>
  <si>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</si>
  <si>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</si>
  <si>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</si>
  <si>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</si>
  <si>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</si>
  <si>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</si>
  <si>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</si>
  <si>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</si>
  <si>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</si>
  <si>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</si>
  <si>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</si>
  <si>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</si>
  <si>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t>2nd Floor</t>
  </si>
  <si>
    <r>
      <t xml:space="preserve">Shop No.
</t>
    </r>
    <r>
      <rPr>
        <b/>
        <sz val="11"/>
        <color rgb="FF000000"/>
        <rFont val="Times New Roman"/>
        <family val="1"/>
      </rPr>
      <t>(Approved Plan)</t>
    </r>
  </si>
  <si>
    <r>
      <t xml:space="preserve">Flat No.
</t>
    </r>
    <r>
      <rPr>
        <b/>
        <sz val="11"/>
        <color rgb="FF000000"/>
        <rFont val="Times New Roman"/>
        <family val="1"/>
      </rPr>
      <t>(Approved Plan)</t>
    </r>
  </si>
  <si>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</si>
  <si>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</si>
  <si>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</si>
  <si>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</si>
  <si>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</si>
  <si>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</si>
  <si>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</si>
  <si>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</si>
  <si>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</si>
  <si>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</si>
  <si>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</si>
  <si>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</si>
  <si>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</si>
  <si>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</si>
  <si>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</si>
  <si>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</si>
  <si>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</si>
  <si>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</si>
  <si>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</si>
  <si>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</si>
  <si>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</si>
  <si>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</si>
  <si>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</si>
  <si>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</si>
  <si>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</si>
  <si>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</si>
  <si>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</si>
  <si>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</si>
  <si>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</si>
  <si>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</si>
  <si>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</si>
  <si>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</si>
  <si>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</si>
  <si>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</si>
  <si>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</si>
  <si>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</si>
  <si>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</si>
  <si>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</si>
  <si>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</si>
  <si>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</si>
  <si>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</si>
  <si>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</si>
  <si>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</si>
  <si>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</si>
  <si>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Construction work is in process at the time of Visit (labour found)
Construction work was not active at the time of Visit. (labour Not found)
All work completed. Wait for OC / OC received.
Work not yet Started.</t>
  </si>
  <si>
    <t>Layout :</t>
  </si>
  <si>
    <t>Latitude, Longitude</t>
  </si>
  <si>
    <t>Grand Total</t>
  </si>
  <si>
    <t>Provided Contact Details (Name &amp; Contact No.)</t>
  </si>
  <si>
    <t>Site Person - Contact Details (Name &amp; Contact No.)</t>
  </si>
  <si>
    <t>Approved Plans, CC, Sale Plans, Builder Saleable Area, Cost Sheet, Airport Noc, Railway Noc, OC</t>
  </si>
  <si>
    <t>Axis Goregaon</t>
  </si>
  <si>
    <t>Name / No of the Existing Building</t>
  </si>
  <si>
    <t>Mumbai</t>
  </si>
  <si>
    <t>As per Layout</t>
  </si>
  <si>
    <t>Floor Rise Rate from    Floor</t>
  </si>
  <si>
    <t>Shop No. (Sale Plan)</t>
  </si>
  <si>
    <t>Flat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</si>
  <si>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</si>
  <si>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</si>
  <si>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</si>
  <si>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</si>
  <si>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</si>
  <si>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</si>
  <si>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</si>
  <si>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</si>
  <si>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</si>
  <si>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</si>
  <si>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</si>
  <si>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</si>
  <si>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</si>
  <si>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</si>
  <si>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</si>
  <si>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</si>
  <si>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</si>
  <si>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</si>
  <si>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</si>
  <si>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</si>
  <si>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</si>
  <si>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</si>
  <si>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</si>
  <si>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</si>
  <si>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</si>
  <si>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</si>
  <si>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</si>
  <si>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</si>
  <si>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</si>
  <si>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</si>
  <si>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</si>
  <si>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</si>
  <si>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</si>
  <si>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</si>
  <si>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</si>
  <si>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</si>
  <si>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</si>
  <si>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</si>
  <si>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</si>
  <si>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</si>
  <si>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</si>
  <si>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</si>
  <si>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</si>
  <si>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</si>
  <si>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</si>
  <si>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</si>
  <si>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</si>
  <si>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</si>
  <si>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</si>
  <si>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</si>
  <si>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</si>
  <si>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</si>
  <si>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</si>
  <si>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</si>
  <si>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</si>
  <si>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</si>
  <si>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</si>
  <si>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</si>
  <si>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</si>
  <si>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</si>
  <si>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</si>
  <si>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</si>
  <si>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</si>
  <si>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</si>
  <si>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</si>
  <si>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</si>
  <si>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</si>
  <si>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</si>
  <si>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</si>
  <si>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</si>
  <si>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</si>
  <si>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</si>
  <si>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</si>
  <si>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</si>
  <si>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</si>
  <si>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</si>
  <si>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</si>
  <si>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</si>
  <si>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</si>
  <si>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</si>
  <si>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</si>
  <si>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</si>
  <si>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</si>
  <si>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</si>
  <si>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</si>
  <si>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</si>
  <si>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</si>
  <si>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</si>
  <si>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</si>
  <si>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</si>
  <si>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</si>
  <si>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</si>
  <si>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</si>
  <si>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</si>
  <si>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</si>
  <si>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</si>
  <si>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</si>
  <si>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</si>
  <si>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</si>
  <si>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</si>
  <si>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</si>
  <si>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</si>
  <si>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</si>
  <si>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</si>
  <si>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</si>
  <si>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</si>
  <si>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</si>
  <si>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</si>
  <si>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</si>
  <si>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</si>
  <si>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</si>
  <si>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</si>
  <si>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</si>
  <si>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</si>
  <si>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</si>
  <si>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</si>
  <si>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</si>
  <si>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</si>
  <si>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</si>
  <si>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</si>
  <si>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</si>
  <si>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</si>
  <si>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</si>
  <si>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</si>
  <si>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</si>
  <si>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</si>
  <si>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</si>
  <si>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</si>
  <si>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</si>
  <si>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</si>
  <si>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</si>
  <si>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</si>
  <si>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</si>
  <si>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</si>
  <si>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</si>
  <si>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</si>
  <si>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</si>
  <si>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</si>
  <si>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</si>
  <si>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</si>
  <si>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</si>
  <si>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</si>
  <si>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</si>
  <si>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</si>
  <si>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</si>
  <si>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</si>
  <si>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</si>
  <si>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</si>
  <si>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</si>
  <si>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</si>
  <si>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</si>
  <si>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</si>
  <si>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</si>
  <si>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</si>
  <si>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</si>
  <si>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</si>
  <si>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</si>
  <si>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</si>
  <si>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</si>
  <si>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</si>
  <si>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</si>
  <si>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</si>
  <si>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</si>
  <si>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</si>
  <si>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</si>
  <si>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</si>
  <si>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</si>
  <si>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</si>
  <si>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</si>
  <si>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</si>
  <si>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</si>
  <si>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Palghar Muncipal Council</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</si>
  <si>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</si>
  <si>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</si>
  <si>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</si>
  <si>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</si>
  <si>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</si>
  <si>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</si>
  <si>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</si>
  <si>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</si>
  <si>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</si>
  <si>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</si>
  <si>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</si>
  <si>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</si>
  <si>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</si>
  <si>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</si>
  <si>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</si>
  <si>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</si>
  <si>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</si>
  <si>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</si>
  <si>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</si>
  <si>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</si>
  <si>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</si>
  <si>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</si>
  <si>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</si>
  <si>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</si>
  <si>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</si>
  <si>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As per Google Maps, we have observed that some plants or trees are surrounding of theproject (it plants might be mangroves also).</t>
  </si>
  <si>
    <t>The Royal Bay</t>
  </si>
  <si>
    <t>Office No. 1031, Wing J, Akshar Business Park, Plot No. 03 Sector 25, Near APMC Market, Vashi, Navi Mumbai, Maharashtra 400703 TEL: 022-46090378/79/80
E mail : vsjcapf@gmail.com. Web site : www.vsjadon.com</t>
  </si>
  <si>
    <t xml:space="preserve">As per the revised approved plan dated 08/09/2022, the approved structure of Wing A is reduced to Gr + 1st to 14th Floor (earlier it was Wing A = Gr + 1st to 15th Floor) </t>
  </si>
  <si>
    <t>Balaji Govind</t>
  </si>
  <si>
    <t>Jio Finance</t>
  </si>
  <si>
    <t>JFL Koparkhairane</t>
  </si>
  <si>
    <t>The Domus Prive</t>
  </si>
  <si>
    <t>As per the approved floor plan dtd.22/07/2024, the building height is 61.55 Mtrs (Upto OHT), which is reached up to his maximum height limit of 61.73 Mtrs with reference to the airport
NOC.</t>
  </si>
  <si>
    <t>As per visit dtd 13/08/2025, we have observed that construction work of Shop no. 1, 2, 3, 6, 7, 8 from Building No. 1 and Shop no. 11, 12, 13, 16, 17 from Building No. 2 are Completed.Therefore it can be considered as Progress 100% and Disbursement 100%.</t>
  </si>
  <si>
    <t>Remark if shops construction is asked</t>
  </si>
  <si>
    <t>Truhome Finance</t>
  </si>
  <si>
    <t>Truhome Vasai</t>
  </si>
  <si>
    <t>Ground + 20th Floor</t>
  </si>
  <si>
    <t xml:space="preserve">Jio Finance Table </t>
  </si>
  <si>
    <t>Dhruv Land Developer</t>
  </si>
  <si>
    <t>Sansaaraa</t>
  </si>
  <si>
    <t>Building No. 8 &amp; 9</t>
  </si>
  <si>
    <t>P52000053768</t>
  </si>
  <si>
    <t>Survey No</t>
  </si>
  <si>
    <t>30/0</t>
  </si>
  <si>
    <t>Koynavele</t>
  </si>
  <si>
    <t>19.076651,73.112766</t>
  </si>
  <si>
    <t>https://maps.app.goo.gl/pRjdtDtPcgQyNnBQ9</t>
  </si>
  <si>
    <t>Open Plot</t>
  </si>
  <si>
    <t>Pratima Gold / Road</t>
  </si>
  <si>
    <t>12M Wide Internal Road</t>
  </si>
  <si>
    <t>Other Plot</t>
  </si>
  <si>
    <t>S No. 29/0</t>
  </si>
  <si>
    <t>S No. 2/0 / S No. 6/0</t>
  </si>
  <si>
    <t>PMC/TP/Koynavele/30/0/21-22/15985/1261/2022</t>
  </si>
  <si>
    <t xml:space="preserve">Commencement-CC No
Valid Up to: </t>
  </si>
  <si>
    <t>Building No. 8 &amp; Building No. 9 = G + 1st to 11th Floor
Total BUA = 16184.565 Sqmt,  (Residential Units - 260)</t>
  </si>
  <si>
    <t>Building No. 8 &amp; 9 = G + 1st to 11th Floor</t>
  </si>
  <si>
    <t>As per RERA - 30/06/2028</t>
  </si>
  <si>
    <r>
      <t xml:space="preserve">Proposed Amenities :                                                                                                                                                                                                                         </t>
    </r>
    <r>
      <rPr>
        <b/>
        <sz val="12"/>
        <color theme="1"/>
        <rFont val="Times New Roman"/>
        <family val="1"/>
      </rPr>
      <t xml:space="preserve">                                               </t>
    </r>
  </si>
  <si>
    <t>Building No. 8 (Wing B) = G + 1st to 11th Floor</t>
  </si>
  <si>
    <t>Building No. 9 (Wing A) = G + 1st to 11th Floor</t>
  </si>
  <si>
    <t>Building No. 9 (Wing B) = G + 1st to 11th Floor</t>
  </si>
  <si>
    <t xml:space="preserve">Details of Residential in Building   </t>
  </si>
  <si>
    <t>Building No. 8</t>
  </si>
  <si>
    <t>Ground Floor For Entrance Lobby, Meter Room &amp; Parking</t>
  </si>
  <si>
    <t>Wing A</t>
  </si>
  <si>
    <t>2BHK</t>
  </si>
  <si>
    <t>1BHK</t>
  </si>
  <si>
    <t>RERA Carpet area</t>
  </si>
  <si>
    <t>8th Floor (Part Refuge Area)</t>
  </si>
  <si>
    <t>Refuge Area</t>
  </si>
  <si>
    <t>Wing B</t>
  </si>
  <si>
    <t>Ground Floor For Entrance Lobby, Club House, Gymnasium, Society Office, Meter Room &amp; Parking</t>
  </si>
  <si>
    <t>Building No. 9</t>
  </si>
  <si>
    <t>Encl. Balcony + Proj. Balcony + CB Area</t>
  </si>
  <si>
    <t>1st to 7th &amp; 9th to 11th Floor For Residential</t>
  </si>
  <si>
    <t>Building No. 8 Wing A</t>
  </si>
  <si>
    <t>Building No. 8 Wing B</t>
  </si>
  <si>
    <t>Building No. 9 Wing B</t>
  </si>
  <si>
    <t>Building No. 9 Wing A</t>
  </si>
  <si>
    <t>Flats -260</t>
  </si>
  <si>
    <t>We considered Gross carpet area = Net carpet + Enclose balcony + Projected Balcony  + CB Area.</t>
  </si>
  <si>
    <t>Gaurav Panchal</t>
  </si>
  <si>
    <t>Sunil Peravi</t>
  </si>
  <si>
    <t>Ghotkamp</t>
  </si>
  <si>
    <t>Taloja Panchanand</t>
  </si>
  <si>
    <t>Internal Road</t>
  </si>
  <si>
    <t>Siddhivinayak Pratima Gold</t>
  </si>
  <si>
    <t>4.3KM from Taloja Panchanand Railway Station</t>
  </si>
  <si>
    <t>As per visitor</t>
  </si>
  <si>
    <t>Building No. 8 (Wing A &amp; B) = G + 1st to 11th Floor</t>
  </si>
  <si>
    <t>Ms.Priti Singh 8928909003</t>
  </si>
  <si>
    <t>Ms. Janvi Rathod 8828339610</t>
  </si>
  <si>
    <t>PMP/NRV/15985/J.K 1261/2022</t>
  </si>
  <si>
    <t>04 Wings</t>
  </si>
  <si>
    <t>Children Play Area, Senior Citizen Area, Amphitheatre, Opulent Garden, Kids Pool, Gym, Indoor Games Party hall, etc</t>
  </si>
  <si>
    <t>As per Sale plan provided by NBFC</t>
  </si>
  <si>
    <t>NAVI/WEST/B/020222/652071</t>
  </si>
  <si>
    <t>Site Elevation (AMSL) = 10.97m
Permissible Top Elevation (AMSL) = 50.97m</t>
  </si>
  <si>
    <t xml:space="preserve">Please check for Fire NOC.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</si>
</sst>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color rgb="FFFF0000"/>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1" fillId="0" borderId="0"/>
    <xf numFmtId="9" fontId="22" fillId="0" borderId="0" applyFont="0" applyFill="0" applyBorder="0" applyAlignment="0" applyProtection="0"/>
    <xf numFmtId="43" fontId="22" fillId="0" borderId="0" applyFont="0" applyFill="0" applyBorder="0" applyAlignment="0" applyProtection="0"/>
    <xf numFmtId="0" fontId="27" fillId="0" borderId="0" applyNumberFormat="0" applyFill="0" applyBorder="0" applyAlignment="0" applyProtection="0"/>
  </cellStyleXfs>
  <cellXfs count="293">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20"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9" fillId="0" borderId="1" xfId="5" applyNumberFormat="1" applyFont="1" applyBorder="1" applyAlignment="1">
      <alignment horizontal="center" vertical="center"/>
    </xf>
    <xf numFmtId="0" fontId="5" fillId="0" borderId="1" xfId="4" applyBorder="1" applyAlignment="1">
      <alignment horizontal="center" vertical="center"/>
    </xf>
    <xf numFmtId="0" fontId="18" fillId="0" borderId="0" xfId="0" applyFont="1" applyProtection="1">
      <protection hidden="1"/>
    </xf>
    <xf numFmtId="0" fontId="15" fillId="0" borderId="1" xfId="1" applyFont="1" applyBorder="1" applyAlignment="1" applyProtection="1">
      <alignment horizontal="center" vertical="top"/>
      <protection locked="0"/>
    </xf>
    <xf numFmtId="0" fontId="18" fillId="0" borderId="11" xfId="0" applyFont="1" applyBorder="1" applyProtection="1">
      <protection hidden="1"/>
    </xf>
    <xf numFmtId="0" fontId="12" fillId="0" borderId="4"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9" fontId="7" fillId="0" borderId="1" xfId="8" applyFont="1" applyFill="1" applyBorder="1" applyAlignment="1" applyProtection="1">
      <alignment horizontal="center" vertical="top" wrapText="1"/>
      <protection locked="0"/>
    </xf>
    <xf numFmtId="9" fontId="7" fillId="0" borderId="7" xfId="8" applyFont="1" applyFill="1" applyBorder="1" applyAlignment="1" applyProtection="1">
      <alignment horizontal="center"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4" fillId="0" borderId="0" xfId="1" applyFont="1"/>
    <xf numFmtId="0" fontId="7" fillId="0" borderId="10" xfId="1" applyFont="1" applyBorder="1"/>
    <xf numFmtId="0" fontId="18"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25" fillId="2" borderId="30" xfId="0" applyFont="1" applyFill="1" applyBorder="1"/>
    <xf numFmtId="0" fontId="26" fillId="0" borderId="31" xfId="0" applyFont="1" applyBorder="1"/>
    <xf numFmtId="0" fontId="26" fillId="0" borderId="1" xfId="0" applyFont="1" applyBorder="1"/>
    <xf numFmtId="0" fontId="26" fillId="0" borderId="5" xfId="0" applyFont="1" applyBorder="1"/>
    <xf numFmtId="0" fontId="0" fillId="0" borderId="0" xfId="0" applyAlignment="1">
      <alignment horizontal="center" vertical="center"/>
    </xf>
    <xf numFmtId="0" fontId="0" fillId="0" borderId="1" xfId="0" applyBorder="1" applyAlignment="1">
      <alignment horizontal="center" vertical="center"/>
    </xf>
    <xf numFmtId="9" fontId="17" fillId="0" borderId="16" xfId="8" applyFont="1" applyFill="1" applyBorder="1" applyAlignment="1" applyProtection="1">
      <alignment horizontal="center" vertical="top"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15" fillId="0" borderId="1" xfId="1" applyFont="1" applyBorder="1" applyAlignment="1" applyProtection="1">
      <alignment horizontal="center" vertical="top" wrapText="1"/>
      <protection locked="0"/>
    </xf>
    <xf numFmtId="0" fontId="0" fillId="0" borderId="25" xfId="0" applyBorder="1"/>
    <xf numFmtId="0" fontId="0" fillId="0" borderId="8" xfId="0" applyBorder="1"/>
    <xf numFmtId="0" fontId="0" fillId="0" borderId="1" xfId="0" applyBorder="1" applyAlignment="1">
      <alignment vertical="top" wrapText="1"/>
    </xf>
    <xf numFmtId="1" fontId="8" fillId="0" borderId="3" xfId="1" applyNumberFormat="1" applyFont="1" applyBorder="1" applyAlignment="1" applyProtection="1">
      <alignment horizontal="center" vertical="top" wrapText="1"/>
      <protection locked="0"/>
    </xf>
    <xf numFmtId="1" fontId="17" fillId="0" borderId="3" xfId="1" applyNumberFormat="1" applyFont="1" applyBorder="1" applyAlignment="1" applyProtection="1">
      <alignment horizontal="center" vertical="top" wrapText="1"/>
      <protection locked="0"/>
    </xf>
    <xf numFmtId="0" fontId="0" fillId="2" borderId="1" xfId="0" applyFill="1"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2" fillId="0" borderId="1" xfId="1" applyFont="1" applyBorder="1"/>
    <xf numFmtId="0" fontId="7" fillId="0" borderId="1" xfId="1" applyFont="1" applyBorder="1"/>
    <xf numFmtId="0" fontId="0" fillId="0" borderId="8" xfId="0" applyBorder="1" applyAlignment="1">
      <alignment vertical="top"/>
    </xf>
    <xf numFmtId="0" fontId="0" fillId="0" borderId="25" xfId="0" applyBorder="1" applyAlignment="1">
      <alignment horizontal="center" vertical="top"/>
    </xf>
    <xf numFmtId="0" fontId="15" fillId="2" borderId="0" xfId="1" applyFont="1" applyFill="1"/>
    <xf numFmtId="14" fontId="12" fillId="0" borderId="0" xfId="1" applyNumberFormat="1" applyFont="1"/>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4" xfId="0" applyBorder="1" applyAlignment="1">
      <alignment vertical="top"/>
    </xf>
    <xf numFmtId="0" fontId="0" fillId="0" borderId="35" xfId="0" applyBorder="1" applyAlignment="1">
      <alignment vertical="top" wrapText="1"/>
    </xf>
    <xf numFmtId="0" fontId="0" fillId="0" borderId="36"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5"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0" fillId="0" borderId="9" xfId="0" applyBorder="1" applyAlignment="1">
      <alignment vertical="top" wrapText="1"/>
    </xf>
    <xf numFmtId="16" fontId="7" fillId="0" borderId="0" xfId="1" applyNumberFormat="1" applyFont="1"/>
    <xf numFmtId="0" fontId="0" fillId="0" borderId="37" xfId="0" applyBorder="1" applyAlignment="1">
      <alignment vertical="top" wrapText="1"/>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6" fillId="0" borderId="1" xfId="1" applyNumberFormat="1" applyFont="1" applyBorder="1" applyAlignment="1" applyProtection="1">
      <alignment horizontal="center" vertical="center" wrapText="1"/>
      <protection locked="0"/>
    </xf>
    <xf numFmtId="0" fontId="7" fillId="0" borderId="0" xfId="1" applyFont="1" applyAlignment="1">
      <alignment horizontal="center" vertical="center"/>
    </xf>
    <xf numFmtId="0" fontId="7" fillId="0" borderId="0" xfId="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protection locked="0"/>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9" fontId="10" fillId="0" borderId="16" xfId="8" applyFont="1" applyFill="1" applyBorder="1" applyAlignment="1" applyProtection="1">
      <alignment horizontal="center" vertical="top" wrapText="1"/>
      <protection locked="0"/>
    </xf>
    <xf numFmtId="1" fontId="6" fillId="0" borderId="1" xfId="1" applyNumberFormat="1" applyFont="1" applyBorder="1" applyAlignment="1" applyProtection="1">
      <alignment horizontal="center" vertical="center" wrapText="1"/>
      <protection locked="0"/>
    </xf>
    <xf numFmtId="1" fontId="8" fillId="0" borderId="8"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1" fontId="7" fillId="0" borderId="1" xfId="0" applyNumberFormat="1" applyFont="1" applyBorder="1" applyAlignment="1" applyProtection="1">
      <alignment horizontal="center" vertical="center"/>
      <protection locked="0"/>
    </xf>
    <xf numFmtId="1" fontId="6" fillId="0" borderId="1" xfId="0" applyNumberFormat="1" applyFont="1" applyBorder="1" applyAlignment="1" applyProtection="1">
      <alignment horizontal="center" vertical="center" wrapText="1"/>
      <protection locked="0"/>
    </xf>
    <xf numFmtId="0" fontId="7" fillId="0" borderId="0" xfId="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1" fontId="6" fillId="0" borderId="8" xfId="1" applyNumberFormat="1" applyFont="1" applyBorder="1" applyAlignment="1" applyProtection="1">
      <alignment horizontal="center" vertical="center" wrapText="1"/>
      <protection locked="0"/>
    </xf>
    <xf numFmtId="1" fontId="6" fillId="0" borderId="21"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1" fontId="8" fillId="0" borderId="1" xfId="1" applyNumberFormat="1" applyFont="1" applyBorder="1" applyAlignment="1" applyProtection="1">
      <alignment horizontal="center" vertical="center" wrapText="1"/>
      <protection locked="0"/>
    </xf>
    <xf numFmtId="1" fontId="8" fillId="3" borderId="8" xfId="1" applyNumberFormat="1" applyFont="1" applyFill="1" applyBorder="1" applyAlignment="1" applyProtection="1">
      <alignment horizontal="center" vertical="center" wrapText="1"/>
      <protection locked="0"/>
    </xf>
    <xf numFmtId="1" fontId="8" fillId="3" borderId="21" xfId="1" applyNumberFormat="1" applyFont="1" applyFill="1" applyBorder="1" applyAlignment="1" applyProtection="1">
      <alignment horizontal="center" vertical="center" wrapText="1"/>
      <protection locked="0"/>
    </xf>
    <xf numFmtId="1" fontId="8" fillId="3" borderId="9" xfId="1" applyNumberFormat="1" applyFont="1" applyFill="1" applyBorder="1" applyAlignment="1" applyProtection="1">
      <alignment horizontal="center" vertical="center" wrapText="1"/>
      <protection locked="0"/>
    </xf>
    <xf numFmtId="1" fontId="17" fillId="0" borderId="8" xfId="0" applyNumberFormat="1" applyFont="1" applyBorder="1" applyAlignment="1" applyProtection="1">
      <alignment vertical="top" wrapText="1"/>
      <protection locked="0"/>
    </xf>
    <xf numFmtId="1" fontId="17" fillId="0" borderId="21" xfId="0" applyNumberFormat="1" applyFont="1" applyBorder="1" applyAlignment="1" applyProtection="1">
      <alignment vertical="top" wrapText="1"/>
      <protection locked="0"/>
    </xf>
    <xf numFmtId="1" fontId="17" fillId="0" borderId="9" xfId="0" applyNumberFormat="1" applyFont="1" applyBorder="1" applyAlignment="1" applyProtection="1">
      <alignment vertical="top" wrapText="1"/>
      <protection locked="0"/>
    </xf>
    <xf numFmtId="0" fontId="7" fillId="0" borderId="6"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1" fontId="10" fillId="0" borderId="3" xfId="1" applyNumberFormat="1" applyFont="1" applyBorder="1" applyAlignment="1" applyProtection="1">
      <alignment horizontal="center" vertical="top" wrapText="1"/>
      <protection locked="0"/>
    </xf>
    <xf numFmtId="1" fontId="10" fillId="0" borderId="16" xfId="1" applyNumberFormat="1" applyFont="1" applyBorder="1" applyAlignment="1" applyProtection="1">
      <alignment horizontal="center" vertical="top" wrapText="1"/>
      <protection locked="0"/>
    </xf>
    <xf numFmtId="0" fontId="7" fillId="0" borderId="4"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9" fontId="7" fillId="0" borderId="17" xfId="8" applyFont="1" applyFill="1" applyBorder="1" applyAlignment="1" applyProtection="1">
      <alignment horizontal="center" vertical="center" wrapText="1"/>
      <protection locked="0"/>
    </xf>
    <xf numFmtId="9" fontId="7" fillId="0" borderId="18" xfId="8" applyFont="1" applyFill="1" applyBorder="1" applyAlignment="1" applyProtection="1">
      <alignment horizontal="center" vertical="center" wrapText="1"/>
      <protection locked="0"/>
    </xf>
    <xf numFmtId="9" fontId="7" fillId="0" borderId="25" xfId="8" applyFont="1" applyFill="1" applyBorder="1" applyAlignment="1" applyProtection="1">
      <alignment horizontal="center" vertical="center" wrapText="1"/>
      <protection locked="0"/>
    </xf>
    <xf numFmtId="9" fontId="7" fillId="0" borderId="26" xfId="8" applyFont="1" applyFill="1" applyBorder="1" applyAlignment="1" applyProtection="1">
      <alignment horizontal="center" vertical="center" wrapText="1"/>
      <protection locked="0"/>
    </xf>
    <xf numFmtId="9" fontId="7" fillId="0" borderId="28" xfId="8" applyFont="1" applyFill="1" applyBorder="1" applyAlignment="1" applyProtection="1">
      <alignment horizontal="center" vertical="center" wrapText="1"/>
      <protection locked="0"/>
    </xf>
    <xf numFmtId="9" fontId="7" fillId="0" borderId="29" xfId="8" applyFont="1" applyFill="1" applyBorder="1" applyAlignment="1" applyProtection="1">
      <alignment horizontal="center" vertical="center" wrapText="1"/>
      <protection locked="0"/>
    </xf>
    <xf numFmtId="0" fontId="8" fillId="0" borderId="22" xfId="1" applyFont="1" applyBorder="1" applyAlignment="1" applyProtection="1">
      <alignment horizontal="left" vertical="top" wrapText="1"/>
      <protection locked="0"/>
    </xf>
    <xf numFmtId="0" fontId="8" fillId="0" borderId="15" xfId="1" applyFont="1" applyBorder="1" applyAlignment="1" applyProtection="1">
      <alignment horizontal="left" vertical="top" wrapText="1"/>
      <protection locked="0"/>
    </xf>
    <xf numFmtId="0" fontId="8" fillId="0" borderId="13" xfId="1" applyFont="1" applyBorder="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23" xfId="1" applyFont="1" applyBorder="1" applyAlignment="1" applyProtection="1">
      <alignment horizontal="left" vertical="top" wrapText="1"/>
      <protection locked="0"/>
    </xf>
    <xf numFmtId="0" fontId="13" fillId="0" borderId="4" xfId="1" applyFont="1" applyBorder="1" applyAlignment="1" applyProtection="1">
      <alignment horizontal="left" vertical="top"/>
      <protection locked="0"/>
    </xf>
    <xf numFmtId="0" fontId="13" fillId="0" borderId="1" xfId="1" applyFont="1" applyBorder="1" applyAlignment="1" applyProtection="1">
      <alignment horizontal="left" vertical="top"/>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0" fontId="7" fillId="0" borderId="5" xfId="1" applyFont="1" applyBorder="1" applyAlignment="1" applyProtection="1">
      <alignment horizontal="center" vertical="top" wrapText="1"/>
      <protection locked="0"/>
    </xf>
    <xf numFmtId="9" fontId="7" fillId="0" borderId="27" xfId="8" applyFont="1" applyFill="1" applyBorder="1" applyAlignment="1" applyProtection="1">
      <alignment horizontal="center" vertical="center" wrapText="1"/>
      <protection locked="0"/>
    </xf>
    <xf numFmtId="9" fontId="7" fillId="0" borderId="10" xfId="8" applyFont="1" applyFill="1" applyBorder="1" applyAlignment="1" applyProtection="1">
      <alignment horizontal="center" vertical="center" wrapText="1"/>
      <protection locked="0"/>
    </xf>
    <xf numFmtId="9" fontId="7" fillId="0" borderId="12" xfId="8" applyFont="1" applyFill="1" applyBorder="1" applyAlignment="1" applyProtection="1">
      <alignment horizontal="center" vertical="center" wrapText="1"/>
      <protection locked="0"/>
    </xf>
    <xf numFmtId="1" fontId="10" fillId="0" borderId="8" xfId="0" applyNumberFormat="1" applyFont="1" applyBorder="1" applyAlignment="1" applyProtection="1">
      <alignment vertical="top" wrapText="1"/>
      <protection locked="0"/>
    </xf>
    <xf numFmtId="1" fontId="10" fillId="0" borderId="21" xfId="0" applyNumberFormat="1" applyFont="1" applyBorder="1" applyAlignment="1" applyProtection="1">
      <alignment vertical="top" wrapText="1"/>
      <protection locked="0"/>
    </xf>
    <xf numFmtId="1" fontId="10" fillId="0" borderId="9" xfId="0" applyNumberFormat="1" applyFont="1" applyBorder="1" applyAlignment="1" applyProtection="1">
      <alignment vertical="top" wrapText="1"/>
      <protection locked="0"/>
    </xf>
    <xf numFmtId="0" fontId="6" fillId="0" borderId="1" xfId="1" applyFont="1" applyBorder="1" applyAlignment="1" applyProtection="1">
      <alignment horizontal="left" vertical="top"/>
      <protection locked="0"/>
    </xf>
    <xf numFmtId="1" fontId="8" fillId="0" borderId="3" xfId="0" applyNumberFormat="1" applyFont="1" applyBorder="1" applyAlignment="1" applyProtection="1">
      <alignment horizontal="center" vertical="center" wrapText="1"/>
      <protection locked="0"/>
    </xf>
    <xf numFmtId="1" fontId="10" fillId="0" borderId="3"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top" wrapText="1"/>
      <protection locked="0"/>
    </xf>
    <xf numFmtId="1" fontId="8" fillId="0" borderId="8" xfId="0" applyNumberFormat="1" applyFont="1" applyBorder="1" applyAlignment="1" applyProtection="1">
      <alignment vertical="top" wrapText="1"/>
      <protection locked="0"/>
    </xf>
    <xf numFmtId="1" fontId="8" fillId="0" borderId="21" xfId="0" applyNumberFormat="1" applyFont="1" applyBorder="1" applyAlignment="1" applyProtection="1">
      <alignment vertical="top" wrapText="1"/>
      <protection locked="0"/>
    </xf>
    <xf numFmtId="1" fontId="8" fillId="0" borderId="9" xfId="0" applyNumberFormat="1" applyFont="1" applyBorder="1" applyAlignment="1" applyProtection="1">
      <alignment vertical="top" wrapText="1"/>
      <protection locked="0"/>
    </xf>
    <xf numFmtId="0" fontId="27" fillId="0" borderId="1" xfId="10" applyFill="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1" fontId="17" fillId="0" borderId="3" xfId="1" applyNumberFormat="1" applyFont="1" applyBorder="1" applyAlignment="1" applyProtection="1">
      <alignment horizontal="center" vertical="top" wrapText="1"/>
      <protection locked="0"/>
    </xf>
    <xf numFmtId="1" fontId="17" fillId="0" borderId="16" xfId="1" applyNumberFormat="1" applyFont="1" applyBorder="1" applyAlignment="1" applyProtection="1">
      <alignment horizontal="center" vertical="top" wrapText="1"/>
      <protection locked="0"/>
    </xf>
    <xf numFmtId="1" fontId="4" fillId="0" borderId="3" xfId="1" applyNumberFormat="1" applyFont="1" applyBorder="1" applyAlignment="1" applyProtection="1">
      <alignment horizontal="center" vertical="top" wrapText="1"/>
      <protection locked="0"/>
    </xf>
    <xf numFmtId="1" fontId="4" fillId="0" borderId="16" xfId="1" applyNumberFormat="1" applyFont="1" applyBorder="1" applyAlignment="1" applyProtection="1">
      <alignment horizontal="center" vertical="top" wrapText="1"/>
      <protection locked="0"/>
    </xf>
    <xf numFmtId="0" fontId="6" fillId="0" borderId="8" xfId="1" applyFont="1" applyBorder="1" applyAlignment="1" applyProtection="1">
      <alignment horizontal="left" vertical="top" wrapText="1"/>
      <protection locked="0"/>
    </xf>
    <xf numFmtId="0" fontId="6" fillId="0" borderId="21"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7" fillId="0" borderId="16" xfId="1" applyFont="1" applyBorder="1" applyAlignment="1" applyProtection="1">
      <alignment horizontal="left" vertical="top" wrapText="1"/>
      <protection locked="0"/>
    </xf>
    <xf numFmtId="0" fontId="12" fillId="0" borderId="1" xfId="1" applyFont="1" applyBorder="1" applyAlignment="1" applyProtection="1">
      <alignment horizontal="left" vertical="top"/>
      <protection locked="0"/>
    </xf>
    <xf numFmtId="0" fontId="12" fillId="0" borderId="3" xfId="1" applyFont="1" applyBorder="1" applyAlignment="1" applyProtection="1">
      <alignment horizontal="left" vertical="top" wrapText="1"/>
      <protection locked="0"/>
    </xf>
    <xf numFmtId="0" fontId="6" fillId="0" borderId="3" xfId="1" applyFont="1" applyBorder="1" applyAlignment="1" applyProtection="1">
      <alignment horizontal="left" vertical="top"/>
      <protection locked="0"/>
    </xf>
    <xf numFmtId="14" fontId="6" fillId="0" borderId="8" xfId="1" applyNumberFormat="1" applyFont="1" applyBorder="1" applyAlignment="1" applyProtection="1">
      <alignment horizontal="left" vertical="top" wrapText="1"/>
      <protection locked="0"/>
    </xf>
    <xf numFmtId="14" fontId="6" fillId="0" borderId="9" xfId="1" applyNumberFormat="1" applyFont="1" applyBorder="1" applyAlignment="1" applyProtection="1">
      <alignment horizontal="left" vertical="top" wrapText="1"/>
      <protection locked="0"/>
    </xf>
    <xf numFmtId="1" fontId="6" fillId="0" borderId="1" xfId="1" applyNumberFormat="1" applyFont="1" applyBorder="1" applyAlignment="1" applyProtection="1">
      <alignment horizontal="left" vertical="top" wrapText="1"/>
      <protection locked="0"/>
    </xf>
    <xf numFmtId="2" fontId="6" fillId="0" borderId="1" xfId="1" applyNumberFormat="1" applyFont="1" applyBorder="1" applyAlignment="1" applyProtection="1">
      <alignment horizontal="left" vertical="top"/>
      <protection locked="0"/>
    </xf>
    <xf numFmtId="0" fontId="7" fillId="0" borderId="1" xfId="1" applyFont="1" applyBorder="1" applyAlignment="1" applyProtection="1">
      <alignment horizontal="left" vertical="top"/>
      <protection locked="0"/>
    </xf>
    <xf numFmtId="1" fontId="10" fillId="0" borderId="33" xfId="0" applyNumberFormat="1" applyFont="1" applyBorder="1" applyAlignment="1" applyProtection="1">
      <alignment horizontal="center" vertical="center"/>
      <protection locked="0"/>
    </xf>
    <xf numFmtId="0" fontId="17" fillId="0" borderId="22" xfId="1" applyFont="1" applyBorder="1" applyAlignment="1" applyProtection="1">
      <alignment horizontal="left" vertical="top" wrapText="1"/>
      <protection locked="0"/>
    </xf>
    <xf numFmtId="0" fontId="17" fillId="0" borderId="15" xfId="1" applyFont="1" applyBorder="1" applyAlignment="1" applyProtection="1">
      <alignment horizontal="left" vertical="top" wrapText="1"/>
      <protection locked="0"/>
    </xf>
    <xf numFmtId="0" fontId="17" fillId="0" borderId="13" xfId="1" applyFont="1" applyBorder="1" applyAlignment="1" applyProtection="1">
      <alignment horizontal="left" vertical="top" wrapText="1"/>
      <protection locked="0"/>
    </xf>
    <xf numFmtId="0" fontId="17" fillId="0" borderId="14" xfId="1" applyFont="1" applyBorder="1" applyAlignment="1" applyProtection="1">
      <alignment horizontal="left" vertical="top" wrapText="1"/>
      <protection locked="0"/>
    </xf>
    <xf numFmtId="0" fontId="17" fillId="0" borderId="23" xfId="1" applyFont="1" applyBorder="1" applyAlignment="1" applyProtection="1">
      <alignment horizontal="left" vertical="top" wrapText="1"/>
      <protection locked="0"/>
    </xf>
    <xf numFmtId="1" fontId="31" fillId="0" borderId="3" xfId="1" applyNumberFormat="1" applyFont="1" applyBorder="1" applyAlignment="1" applyProtection="1">
      <alignment horizontal="center" vertical="top" wrapText="1"/>
      <protection locked="0"/>
    </xf>
    <xf numFmtId="1" fontId="31" fillId="0" borderId="16" xfId="1" applyNumberFormat="1" applyFont="1" applyBorder="1" applyAlignment="1" applyProtection="1">
      <alignment horizontal="center" vertical="top" wrapText="1"/>
      <protection locked="0"/>
    </xf>
    <xf numFmtId="167" fontId="7" fillId="0" borderId="1" xfId="9" applyNumberFormat="1" applyFont="1" applyFill="1" applyBorder="1" applyAlignment="1" applyProtection="1">
      <alignment horizontal="left" vertical="top"/>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25" xfId="1" applyFont="1" applyBorder="1" applyAlignment="1" applyProtection="1">
      <alignment horizontal="left" vertical="top" wrapText="1"/>
      <protection locked="0"/>
    </xf>
    <xf numFmtId="0" fontId="6" fillId="0" borderId="26"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0" fontId="6" fillId="0" borderId="24" xfId="1" applyFont="1" applyBorder="1" applyAlignment="1" applyProtection="1">
      <alignment horizontal="left" vertical="top" wrapText="1"/>
      <protection locked="0"/>
    </xf>
    <xf numFmtId="0" fontId="6" fillId="0" borderId="2" xfId="1" applyFont="1" applyBorder="1" applyAlignment="1" applyProtection="1">
      <alignment horizontal="left" vertical="top" wrapText="1"/>
      <protection locked="0"/>
    </xf>
    <xf numFmtId="0" fontId="15" fillId="0" borderId="17" xfId="1" applyFont="1" applyBorder="1" applyAlignment="1" applyProtection="1">
      <alignment horizontal="left" vertical="top" wrapText="1"/>
      <protection locked="0"/>
    </xf>
    <xf numFmtId="0" fontId="15" fillId="0" borderId="18" xfId="1" applyFont="1" applyBorder="1" applyAlignment="1" applyProtection="1">
      <alignment horizontal="left" vertical="top" wrapText="1"/>
      <protection locked="0"/>
    </xf>
    <xf numFmtId="0" fontId="15" fillId="0" borderId="19" xfId="1" applyFont="1" applyBorder="1" applyAlignment="1" applyProtection="1">
      <alignment horizontal="left" vertical="top" wrapText="1"/>
      <protection locked="0"/>
    </xf>
    <xf numFmtId="0" fontId="15" fillId="0" borderId="20" xfId="1" applyFont="1" applyBorder="1" applyAlignment="1" applyProtection="1">
      <alignment horizontal="left" vertical="top" wrapText="1"/>
      <protection locked="0"/>
    </xf>
    <xf numFmtId="2" fontId="6" fillId="0" borderId="1" xfId="1" applyNumberFormat="1" applyFont="1" applyBorder="1" applyAlignment="1" applyProtection="1">
      <alignment horizontal="left" vertical="top" wrapText="1"/>
      <protection locked="0"/>
    </xf>
    <xf numFmtId="0" fontId="8" fillId="0" borderId="1" xfId="1" applyFont="1" applyBorder="1" applyAlignment="1" applyProtection="1">
      <alignment horizontal="left" vertical="top"/>
      <protection locked="0"/>
    </xf>
    <xf numFmtId="164" fontId="6" fillId="0" borderId="1" xfId="1" applyNumberFormat="1" applyFont="1" applyBorder="1" applyAlignment="1" applyProtection="1">
      <alignment horizontal="left" vertical="top"/>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7" fillId="0" borderId="3" xfId="1" applyFont="1" applyBorder="1" applyAlignment="1" applyProtection="1">
      <alignment horizontal="left" vertical="top" wrapText="1"/>
      <protection locked="0"/>
    </xf>
    <xf numFmtId="0" fontId="7" fillId="0" borderId="3" xfId="1" applyFont="1" applyBorder="1" applyAlignment="1" applyProtection="1">
      <alignment horizontal="left" vertical="top"/>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18" xfId="1" applyFont="1" applyBorder="1" applyAlignment="1" applyProtection="1">
      <alignment horizontal="left" vertical="top" wrapText="1"/>
      <protection locked="0"/>
    </xf>
    <xf numFmtId="0" fontId="10" fillId="0" borderId="8" xfId="1" applyFont="1" applyBorder="1" applyAlignment="1" applyProtection="1">
      <alignment horizontal="left" vertical="top"/>
      <protection locked="0"/>
    </xf>
    <xf numFmtId="0" fontId="10" fillId="0" borderId="21" xfId="1" applyFont="1" applyBorder="1" applyAlignment="1" applyProtection="1">
      <alignment horizontal="left" vertical="top"/>
      <protection locked="0"/>
    </xf>
    <xf numFmtId="0" fontId="10" fillId="0" borderId="9" xfId="1" applyFont="1" applyBorder="1" applyAlignment="1" applyProtection="1">
      <alignment horizontal="left" vertical="top"/>
      <protection locked="0"/>
    </xf>
    <xf numFmtId="0" fontId="12" fillId="0" borderId="25" xfId="1" applyFont="1" applyBorder="1" applyAlignment="1" applyProtection="1">
      <alignment horizontal="left" vertical="top" wrapText="1"/>
      <protection locked="0"/>
    </xf>
    <xf numFmtId="0" fontId="12" fillId="0" borderId="0" xfId="1" applyFont="1" applyAlignment="1" applyProtection="1">
      <alignment horizontal="left" vertical="top" wrapText="1"/>
      <protection locked="0"/>
    </xf>
    <xf numFmtId="0" fontId="12" fillId="0" borderId="19" xfId="1" applyFont="1" applyBorder="1" applyAlignment="1" applyProtection="1">
      <alignment horizontal="left" vertical="top" wrapText="1"/>
      <protection locked="0"/>
    </xf>
    <xf numFmtId="0" fontId="12" fillId="0" borderId="2"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0" fontId="6" fillId="0" borderId="16" xfId="1" applyFont="1" applyBorder="1" applyAlignment="1" applyProtection="1">
      <alignment horizontal="left" vertical="top" wrapText="1"/>
      <protection locked="0"/>
    </xf>
    <xf numFmtId="14" fontId="6" fillId="0" borderId="17" xfId="1" applyNumberFormat="1" applyFont="1" applyBorder="1" applyAlignment="1" applyProtection="1">
      <alignment horizontal="left" vertical="top" wrapText="1"/>
      <protection locked="0"/>
    </xf>
    <xf numFmtId="14" fontId="6" fillId="0" borderId="18" xfId="1" applyNumberFormat="1" applyFont="1" applyBorder="1" applyAlignment="1" applyProtection="1">
      <alignment horizontal="left" vertical="top" wrapText="1"/>
      <protection locked="0"/>
    </xf>
    <xf numFmtId="14" fontId="6" fillId="0" borderId="19" xfId="1" applyNumberFormat="1" applyFont="1" applyBorder="1" applyAlignment="1" applyProtection="1">
      <alignment horizontal="left" vertical="top" wrapText="1"/>
      <protection locked="0"/>
    </xf>
    <xf numFmtId="14" fontId="6" fillId="0" borderId="20" xfId="1" applyNumberFormat="1" applyFont="1" applyBorder="1" applyAlignment="1" applyProtection="1">
      <alignment horizontal="left" vertical="top" wrapText="1"/>
      <protection locked="0"/>
    </xf>
    <xf numFmtId="0" fontId="6" fillId="0" borderId="8" xfId="1" applyFont="1" applyBorder="1" applyAlignment="1" applyProtection="1">
      <alignment vertical="top" wrapText="1"/>
      <protection locked="0"/>
    </xf>
    <xf numFmtId="0" fontId="6" fillId="0" borderId="21" xfId="1" applyFont="1" applyBorder="1" applyAlignment="1" applyProtection="1">
      <alignment vertical="top" wrapText="1"/>
      <protection locked="0"/>
    </xf>
    <xf numFmtId="0" fontId="6" fillId="0" borderId="9" xfId="1" applyFont="1" applyBorder="1" applyAlignment="1" applyProtection="1">
      <alignment vertical="top" wrapText="1"/>
      <protection locked="0"/>
    </xf>
    <xf numFmtId="0" fontId="12" fillId="0" borderId="1" xfId="1" applyFont="1" applyBorder="1" applyAlignment="1" applyProtection="1">
      <alignment horizontal="center"/>
      <protection locked="0"/>
    </xf>
    <xf numFmtId="0" fontId="13" fillId="0" borderId="8" xfId="1" applyFont="1" applyBorder="1" applyAlignment="1" applyProtection="1">
      <alignment horizontal="center" vertical="top"/>
      <protection locked="0"/>
    </xf>
    <xf numFmtId="0" fontId="13" fillId="0" borderId="21" xfId="1" applyFont="1" applyBorder="1" applyAlignment="1" applyProtection="1">
      <alignment horizontal="center" vertical="top"/>
      <protection locked="0"/>
    </xf>
    <xf numFmtId="0" fontId="13" fillId="0" borderId="9" xfId="1" applyFont="1" applyBorder="1" applyAlignment="1" applyProtection="1">
      <alignment horizontal="center" vertical="top"/>
      <protection locked="0"/>
    </xf>
    <xf numFmtId="0" fontId="13" fillId="0" borderId="1" xfId="1" applyFont="1" applyBorder="1" applyAlignment="1" applyProtection="1">
      <alignment horizontal="center"/>
      <protection locked="0"/>
    </xf>
    <xf numFmtId="0" fontId="7" fillId="0" borderId="1" xfId="1" applyFont="1" applyBorder="1" applyAlignment="1" applyProtection="1">
      <alignment horizontal="left"/>
      <protection locked="0"/>
    </xf>
    <xf numFmtId="0" fontId="11" fillId="0" borderId="1" xfId="1"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14" fontId="12" fillId="0" borderId="1" xfId="1" applyNumberFormat="1" applyFont="1" applyBorder="1" applyAlignment="1" applyProtection="1">
      <alignment horizontal="left" vertical="top"/>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6" fillId="0" borderId="1" xfId="1" applyFont="1" applyBorder="1" applyAlignment="1" applyProtection="1">
      <alignment horizontal="center" vertical="top" wrapText="1"/>
      <protection locked="0"/>
    </xf>
    <xf numFmtId="167" fontId="12" fillId="0" borderId="1" xfId="9" applyNumberFormat="1" applyFont="1" applyFill="1" applyBorder="1" applyAlignment="1" applyProtection="1">
      <alignment horizontal="left" vertical="top"/>
      <protection locked="0"/>
    </xf>
    <xf numFmtId="0" fontId="8" fillId="0" borderId="1" xfId="1" applyFont="1" applyBorder="1" applyAlignment="1" applyProtection="1">
      <alignment vertical="top"/>
      <protection locked="0"/>
    </xf>
    <xf numFmtId="0" fontId="10" fillId="0" borderId="33" xfId="0" applyFont="1" applyBorder="1" applyAlignment="1" applyProtection="1">
      <alignment horizontal="center" vertical="center"/>
      <protection locked="0"/>
    </xf>
    <xf numFmtId="1" fontId="8" fillId="0" borderId="32" xfId="0" applyNumberFormat="1" applyFont="1" applyBorder="1" applyAlignment="1" applyProtection="1">
      <alignment horizontal="center" vertical="center" wrapText="1"/>
      <protection locked="0"/>
    </xf>
    <xf numFmtId="1" fontId="8" fillId="0" borderId="33" xfId="0" applyNumberFormat="1" applyFont="1" applyBorder="1" applyAlignment="1" applyProtection="1">
      <alignment horizontal="center" vertical="center" wrapText="1"/>
      <protection locked="0"/>
    </xf>
    <xf numFmtId="0" fontId="8" fillId="0" borderId="16" xfId="1" applyFont="1" applyBorder="1" applyAlignment="1" applyProtection="1">
      <alignment horizontal="left" vertical="top"/>
      <protection locked="0"/>
    </xf>
    <xf numFmtId="1" fontId="13" fillId="0" borderId="8" xfId="0" applyNumberFormat="1" applyFont="1" applyBorder="1" applyAlignment="1" applyProtection="1">
      <alignment vertical="top" wrapText="1"/>
      <protection locked="0"/>
    </xf>
    <xf numFmtId="1" fontId="13" fillId="0" borderId="21" xfId="0" applyNumberFormat="1" applyFont="1" applyBorder="1" applyAlignment="1" applyProtection="1">
      <alignment vertical="top" wrapText="1"/>
      <protection locked="0"/>
    </xf>
    <xf numFmtId="1" fontId="13" fillId="0" borderId="9" xfId="0" applyNumberFormat="1" applyFont="1" applyBorder="1" applyAlignment="1" applyProtection="1">
      <alignment vertical="top" wrapText="1"/>
      <protection locked="0"/>
    </xf>
    <xf numFmtId="0" fontId="10" fillId="0" borderId="16" xfId="1" applyFont="1" applyBorder="1" applyAlignment="1" applyProtection="1">
      <alignment horizontal="center" vertical="top"/>
      <protection locked="0"/>
    </xf>
    <xf numFmtId="1" fontId="8" fillId="0" borderId="1" xfId="0" applyNumberFormat="1" applyFont="1" applyBorder="1" applyAlignment="1" applyProtection="1">
      <alignment horizontal="left" vertical="top" wrapText="1"/>
      <protection locked="0"/>
    </xf>
    <xf numFmtId="0" fontId="6" fillId="0" borderId="1" xfId="1" applyFont="1" applyBorder="1" applyAlignment="1" applyProtection="1">
      <alignment vertical="top"/>
      <protection locked="0"/>
    </xf>
    <xf numFmtId="0" fontId="7" fillId="0" borderId="25" xfId="1" applyFont="1" applyBorder="1" applyAlignment="1">
      <alignment horizontal="center"/>
    </xf>
    <xf numFmtId="0" fontId="7" fillId="0" borderId="0" xfId="1" applyFont="1" applyAlignment="1">
      <alignment horizontal="center"/>
    </xf>
    <xf numFmtId="0" fontId="10" fillId="0" borderId="1" xfId="1" applyFont="1" applyBorder="1" applyAlignment="1" applyProtection="1">
      <alignment horizontal="center" vertical="top"/>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8" fillId="0" borderId="21" xfId="1" applyFont="1" applyBorder="1" applyAlignment="1" applyProtection="1">
      <alignment horizontal="left" vertical="top" wrapText="1"/>
      <protection locked="0"/>
    </xf>
    <xf numFmtId="14" fontId="8" fillId="0" borderId="8" xfId="1" applyNumberFormat="1" applyFont="1" applyBorder="1" applyAlignment="1" applyProtection="1">
      <alignment horizontal="left" vertical="top"/>
      <protection locked="0"/>
    </xf>
    <xf numFmtId="14" fontId="8" fillId="0" borderId="9" xfId="1" applyNumberFormat="1" applyFont="1" applyBorder="1" applyAlignment="1" applyProtection="1">
      <alignment horizontal="left" vertical="top"/>
      <protection locked="0"/>
    </xf>
    <xf numFmtId="0" fontId="8" fillId="0" borderId="16" xfId="1" applyFont="1" applyBorder="1" applyAlignment="1" applyProtection="1">
      <alignment horizontal="center" vertical="top"/>
      <protection locked="0"/>
    </xf>
    <xf numFmtId="1" fontId="8" fillId="0" borderId="17" xfId="1" applyNumberFormat="1" applyFont="1" applyBorder="1" applyAlignment="1" applyProtection="1">
      <alignment horizontal="center" vertical="top" wrapText="1"/>
      <protection locked="0"/>
    </xf>
    <xf numFmtId="1" fontId="8" fillId="0" borderId="19" xfId="1" applyNumberFormat="1" applyFont="1" applyBorder="1" applyAlignment="1" applyProtection="1">
      <alignment horizontal="center" vertical="top" wrapText="1"/>
      <protection locked="0"/>
    </xf>
    <xf numFmtId="9" fontId="8" fillId="0" borderId="13" xfId="1" applyNumberFormat="1" applyFont="1" applyBorder="1" applyAlignment="1" applyProtection="1">
      <alignment horizontal="left" vertical="top" wrapText="1"/>
      <protection locked="0"/>
    </xf>
    <xf numFmtId="0" fontId="10" fillId="0" borderId="22" xfId="1" applyFont="1" applyBorder="1" applyAlignment="1" applyProtection="1">
      <alignment horizontal="left" vertical="top" wrapText="1"/>
      <protection locked="0"/>
    </xf>
    <xf numFmtId="0" fontId="10" fillId="0" borderId="15" xfId="1" applyFont="1" applyBorder="1" applyAlignment="1" applyProtection="1">
      <alignment horizontal="left" vertical="top" wrapText="1"/>
      <protection locked="0"/>
    </xf>
    <xf numFmtId="0" fontId="10" fillId="0" borderId="13" xfId="1" applyFont="1" applyBorder="1" applyAlignment="1" applyProtection="1">
      <alignment horizontal="left" vertical="top" wrapText="1"/>
      <protection locked="0"/>
    </xf>
    <xf numFmtId="0" fontId="10" fillId="0" borderId="14" xfId="1" applyFont="1" applyBorder="1" applyAlignment="1" applyProtection="1">
      <alignment horizontal="left" vertical="top" wrapText="1"/>
      <protection locked="0"/>
    </xf>
    <xf numFmtId="0" fontId="10" fillId="0" borderId="23" xfId="1" applyFont="1" applyBorder="1" applyAlignment="1" applyProtection="1">
      <alignment horizontal="left" vertical="top" wrapText="1"/>
      <protection locked="0"/>
    </xf>
    <xf numFmtId="0" fontId="9" fillId="0" borderId="1" xfId="5" applyFont="1" applyBorder="1" applyAlignment="1">
      <alignment horizontal="left"/>
    </xf>
    <xf numFmtId="0" fontId="0" fillId="0" borderId="25" xfId="0"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horizontal="center"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xf numFmtId="0" fontId="0" fillId="0" borderId="11" xfId="0" applyBorder="1" applyAlignment="1">
      <alignment horizontal="center"/>
    </xf>
    <xf numFmtId="0" fontId="7" fillId="0" borderId="17" xfId="1" applyFont="1" applyBorder="1" applyAlignment="1" applyProtection="1">
      <alignment horizontal="left" vertical="top" wrapText="1"/>
      <protection locked="0"/>
    </xf>
    <xf numFmtId="0" fontId="7" fillId="0" borderId="18" xfId="1" applyFont="1" applyBorder="1" applyAlignment="1" applyProtection="1">
      <alignment horizontal="left" vertical="top" wrapText="1"/>
      <protection locked="0"/>
    </xf>
    <xf numFmtId="0" fontId="7" fillId="0" borderId="25" xfId="1" applyFont="1" applyBorder="1" applyAlignment="1" applyProtection="1">
      <alignment horizontal="left" vertical="top" wrapText="1"/>
      <protection locked="0"/>
    </xf>
    <xf numFmtId="0" fontId="7" fillId="0" borderId="26" xfId="1" applyFont="1" applyBorder="1" applyAlignment="1" applyProtection="1">
      <alignment horizontal="left" vertical="top" wrapText="1"/>
      <protection locked="0"/>
    </xf>
    <xf numFmtId="0" fontId="7" fillId="0" borderId="19"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cellXfs>
  <cellStyles count="11">
    <cellStyle name="Comma" xfId="9" builtinId="3"/>
    <cellStyle name="Comma 2" xfId="6" xr:uid="{00000000-0005-0000-0000-000001000000}"/>
    <cellStyle name="Excel Built-in Normal" xfId="2" xr:uid="{00000000-0005-0000-0000-000002000000}"/>
    <cellStyle name="Excel Built-in Normal 2" xfId="4" xr:uid="{00000000-0005-0000-0000-000003000000}"/>
    <cellStyle name="Hyperlink" xfId="10" builtinId="8"/>
    <cellStyle name="Normal" xfId="0" builtinId="0"/>
    <cellStyle name="Normal 2" xfId="3" xr:uid="{00000000-0005-0000-0000-000006000000}"/>
    <cellStyle name="Normal 3" xfId="1" xr:uid="{00000000-0005-0000-0000-000007000000}"/>
    <cellStyle name="Normal 3 3" xfId="7" xr:uid="{00000000-0005-0000-0000-000008000000}"/>
    <cellStyle name="Normal 4" xfId="5" xr:uid="{00000000-0005-0000-0000-000009000000}"/>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jpe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2.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8</xdr:col>
      <xdr:colOff>419100</xdr:colOff>
      <xdr:row>15</xdr:row>
      <xdr:rowOff>161926</xdr:rowOff>
    </xdr:from>
    <xdr:to>
      <xdr:col>12</xdr:col>
      <xdr:colOff>418650</xdr:colOff>
      <xdr:row>19</xdr:row>
      <xdr:rowOff>12590</xdr:rowOff>
    </xdr:to>
    <xdr:pic>
      <xdr:nvPicPr>
        <xdr:cNvPr id="2" name="Picture 1">
          <a:extLst>
            <a:ext uri="{FF2B5EF4-FFF2-40B4-BE49-F238E27FC236}">
              <a16:creationId xmlns:a16="http://schemas.microsoft.com/office/drawing/2014/main" id="{94E673E4-D45E-4E9A-86EE-741D91E2A79A}"/>
            </a:ext>
          </a:extLst>
        </xdr:cNvPr>
        <xdr:cNvPicPr>
          <a:picLocks noChangeAspect="1"/>
        </xdr:cNvPicPr>
      </xdr:nvPicPr>
      <xdr:blipFill>
        <a:blip xmlns:r="http://schemas.openxmlformats.org/officeDocument/2006/relationships" r:embed="rId1"/>
        <a:stretch>
          <a:fillRect/>
        </a:stretch>
      </xdr:blipFill>
      <xdr:spPr>
        <a:xfrm>
          <a:off x="6734175" y="3752851"/>
          <a:ext cx="3600000" cy="888889"/>
        </a:xfrm>
        <a:prstGeom prst="rect">
          <a:avLst/>
        </a:prstGeom>
      </xdr:spPr>
    </xdr:pic>
    <xdr:clientData/>
  </xdr:twoCellAnchor>
  <xdr:twoCellAnchor editAs="oneCell">
    <xdr:from>
      <xdr:col>8</xdr:col>
      <xdr:colOff>238125</xdr:colOff>
      <xdr:row>51</xdr:row>
      <xdr:rowOff>47625</xdr:rowOff>
    </xdr:from>
    <xdr:to>
      <xdr:col>12</xdr:col>
      <xdr:colOff>237675</xdr:colOff>
      <xdr:row>59</xdr:row>
      <xdr:rowOff>413023</xdr:rowOff>
    </xdr:to>
    <xdr:pic>
      <xdr:nvPicPr>
        <xdr:cNvPr id="3" name="Picture 2">
          <a:extLst>
            <a:ext uri="{FF2B5EF4-FFF2-40B4-BE49-F238E27FC236}">
              <a16:creationId xmlns:a16="http://schemas.microsoft.com/office/drawing/2014/main" id="{4E05FA5B-6D3E-4C2D-B665-72D8EAA171B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553200" y="11487150"/>
          <a:ext cx="3600000" cy="1432198"/>
        </a:xfrm>
        <a:prstGeom prst="rect">
          <a:avLst/>
        </a:prstGeom>
      </xdr:spPr>
    </xdr:pic>
    <xdr:clientData/>
  </xdr:twoCellAnchor>
  <xdr:twoCellAnchor editAs="oneCell">
    <xdr:from>
      <xdr:col>8</xdr:col>
      <xdr:colOff>209550</xdr:colOff>
      <xdr:row>41</xdr:row>
      <xdr:rowOff>171450</xdr:rowOff>
    </xdr:from>
    <xdr:to>
      <xdr:col>10</xdr:col>
      <xdr:colOff>85500</xdr:colOff>
      <xdr:row>50</xdr:row>
      <xdr:rowOff>197944</xdr:rowOff>
    </xdr:to>
    <xdr:pic>
      <xdr:nvPicPr>
        <xdr:cNvPr id="4" name="Picture 3">
          <a:extLst>
            <a:ext uri="{FF2B5EF4-FFF2-40B4-BE49-F238E27FC236}">
              <a16:creationId xmlns:a16="http://schemas.microsoft.com/office/drawing/2014/main" id="{DBD5473B-C3F5-4B10-9273-CF2C486D743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524625" y="9382125"/>
          <a:ext cx="1800000" cy="2055319"/>
        </a:xfrm>
        <a:prstGeom prst="rect">
          <a:avLst/>
        </a:prstGeom>
      </xdr:spPr>
    </xdr:pic>
    <xdr:clientData/>
  </xdr:twoCellAnchor>
  <xdr:twoCellAnchor editAs="oneCell">
    <xdr:from>
      <xdr:col>8</xdr:col>
      <xdr:colOff>933450</xdr:colOff>
      <xdr:row>170</xdr:row>
      <xdr:rowOff>9525</xdr:rowOff>
    </xdr:from>
    <xdr:to>
      <xdr:col>15</xdr:col>
      <xdr:colOff>324608</xdr:colOff>
      <xdr:row>179</xdr:row>
      <xdr:rowOff>66963</xdr:rowOff>
    </xdr:to>
    <xdr:pic>
      <xdr:nvPicPr>
        <xdr:cNvPr id="5" name="Picture 4">
          <a:extLst>
            <a:ext uri="{FF2B5EF4-FFF2-40B4-BE49-F238E27FC236}">
              <a16:creationId xmlns:a16="http://schemas.microsoft.com/office/drawing/2014/main" id="{FCA0E107-FB35-40DA-8A17-3E70E0719D7B}"/>
            </a:ext>
          </a:extLst>
        </xdr:cNvPr>
        <xdr:cNvPicPr>
          <a:picLocks noChangeAspect="1"/>
        </xdr:cNvPicPr>
      </xdr:nvPicPr>
      <xdr:blipFill>
        <a:blip xmlns:r="http://schemas.openxmlformats.org/officeDocument/2006/relationships" r:embed="rId4"/>
        <a:stretch>
          <a:fillRect/>
        </a:stretch>
      </xdr:blipFill>
      <xdr:spPr>
        <a:xfrm>
          <a:off x="7248525" y="32985075"/>
          <a:ext cx="5430008" cy="2067213"/>
        </a:xfrm>
        <a:prstGeom prst="rect">
          <a:avLst/>
        </a:prstGeom>
      </xdr:spPr>
    </xdr:pic>
    <xdr:clientData/>
  </xdr:twoCellAnchor>
  <xdr:twoCellAnchor editAs="oneCell">
    <xdr:from>
      <xdr:col>8</xdr:col>
      <xdr:colOff>1038225</xdr:colOff>
      <xdr:row>181</xdr:row>
      <xdr:rowOff>28575</xdr:rowOff>
    </xdr:from>
    <xdr:to>
      <xdr:col>17</xdr:col>
      <xdr:colOff>153313</xdr:colOff>
      <xdr:row>187</xdr:row>
      <xdr:rowOff>76374</xdr:rowOff>
    </xdr:to>
    <xdr:pic>
      <xdr:nvPicPr>
        <xdr:cNvPr id="6" name="Picture 5">
          <a:extLst>
            <a:ext uri="{FF2B5EF4-FFF2-40B4-BE49-F238E27FC236}">
              <a16:creationId xmlns:a16="http://schemas.microsoft.com/office/drawing/2014/main" id="{765537FA-62A9-4576-8F11-494A62207AAA}"/>
            </a:ext>
          </a:extLst>
        </xdr:cNvPr>
        <xdr:cNvPicPr>
          <a:picLocks noChangeAspect="1"/>
        </xdr:cNvPicPr>
      </xdr:nvPicPr>
      <xdr:blipFill>
        <a:blip xmlns:r="http://schemas.openxmlformats.org/officeDocument/2006/relationships" r:embed="rId5"/>
        <a:stretch>
          <a:fillRect/>
        </a:stretch>
      </xdr:blipFill>
      <xdr:spPr>
        <a:xfrm>
          <a:off x="7353300" y="35413950"/>
          <a:ext cx="6544588" cy="1247949"/>
        </a:xfrm>
        <a:prstGeom prst="rect">
          <a:avLst/>
        </a:prstGeom>
      </xdr:spPr>
    </xdr:pic>
    <xdr:clientData/>
  </xdr:twoCellAnchor>
  <xdr:twoCellAnchor editAs="oneCell">
    <xdr:from>
      <xdr:col>9</xdr:col>
      <xdr:colOff>476250</xdr:colOff>
      <xdr:row>189</xdr:row>
      <xdr:rowOff>123825</xdr:rowOff>
    </xdr:from>
    <xdr:to>
      <xdr:col>16</xdr:col>
      <xdr:colOff>218400</xdr:colOff>
      <xdr:row>199</xdr:row>
      <xdr:rowOff>15885</xdr:rowOff>
    </xdr:to>
    <xdr:pic>
      <xdr:nvPicPr>
        <xdr:cNvPr id="7" name="Picture 6">
          <a:extLst>
            <a:ext uri="{FF2B5EF4-FFF2-40B4-BE49-F238E27FC236}">
              <a16:creationId xmlns:a16="http://schemas.microsoft.com/office/drawing/2014/main" id="{EBB4E53D-FBFC-45F1-B429-2E1DC6946E15}"/>
            </a:ext>
          </a:extLst>
        </xdr:cNvPr>
        <xdr:cNvPicPr>
          <a:picLocks noChangeAspect="1"/>
        </xdr:cNvPicPr>
      </xdr:nvPicPr>
      <xdr:blipFill>
        <a:blip xmlns:r="http://schemas.openxmlformats.org/officeDocument/2006/relationships" r:embed="rId6"/>
        <a:stretch>
          <a:fillRect/>
        </a:stretch>
      </xdr:blipFill>
      <xdr:spPr>
        <a:xfrm>
          <a:off x="7953375" y="32042100"/>
          <a:ext cx="5400000" cy="2073285"/>
        </a:xfrm>
        <a:prstGeom prst="rect">
          <a:avLst/>
        </a:prstGeom>
      </xdr:spPr>
    </xdr:pic>
    <xdr:clientData/>
  </xdr:twoCellAnchor>
  <xdr:twoCellAnchor editAs="oneCell">
    <xdr:from>
      <xdr:col>9</xdr:col>
      <xdr:colOff>695325</xdr:colOff>
      <xdr:row>200</xdr:row>
      <xdr:rowOff>28575</xdr:rowOff>
    </xdr:from>
    <xdr:to>
      <xdr:col>16</xdr:col>
      <xdr:colOff>437475</xdr:colOff>
      <xdr:row>205</xdr:row>
      <xdr:rowOff>78450</xdr:rowOff>
    </xdr:to>
    <xdr:pic>
      <xdr:nvPicPr>
        <xdr:cNvPr id="8" name="Picture 7">
          <a:extLst>
            <a:ext uri="{FF2B5EF4-FFF2-40B4-BE49-F238E27FC236}">
              <a16:creationId xmlns:a16="http://schemas.microsoft.com/office/drawing/2014/main" id="{8BD71076-C84E-411E-88C2-24ED5CE67F37}"/>
            </a:ext>
          </a:extLst>
        </xdr:cNvPr>
        <xdr:cNvPicPr>
          <a:picLocks noChangeAspect="1"/>
        </xdr:cNvPicPr>
      </xdr:nvPicPr>
      <xdr:blipFill>
        <a:blip xmlns:r="http://schemas.openxmlformats.org/officeDocument/2006/relationships" r:embed="rId7"/>
        <a:stretch>
          <a:fillRect/>
        </a:stretch>
      </xdr:blipFill>
      <xdr:spPr>
        <a:xfrm>
          <a:off x="8172450" y="34328100"/>
          <a:ext cx="5400000" cy="1050000"/>
        </a:xfrm>
        <a:prstGeom prst="rect">
          <a:avLst/>
        </a:prstGeom>
      </xdr:spPr>
    </xdr:pic>
    <xdr:clientData/>
  </xdr:twoCellAnchor>
  <xdr:twoCellAnchor editAs="oneCell">
    <xdr:from>
      <xdr:col>8</xdr:col>
      <xdr:colOff>533400</xdr:colOff>
      <xdr:row>204</xdr:row>
      <xdr:rowOff>38101</xdr:rowOff>
    </xdr:from>
    <xdr:to>
      <xdr:col>14</xdr:col>
      <xdr:colOff>704175</xdr:colOff>
      <xdr:row>214</xdr:row>
      <xdr:rowOff>85318</xdr:rowOff>
    </xdr:to>
    <xdr:pic>
      <xdr:nvPicPr>
        <xdr:cNvPr id="9" name="Picture 8">
          <a:extLst>
            <a:ext uri="{FF2B5EF4-FFF2-40B4-BE49-F238E27FC236}">
              <a16:creationId xmlns:a16="http://schemas.microsoft.com/office/drawing/2014/main" id="{4EB0A701-F6E2-4D5A-B0B1-7A789F2FE286}"/>
            </a:ext>
          </a:extLst>
        </xdr:cNvPr>
        <xdr:cNvPicPr>
          <a:picLocks noChangeAspect="1"/>
        </xdr:cNvPicPr>
      </xdr:nvPicPr>
      <xdr:blipFill>
        <a:blip xmlns:r="http://schemas.openxmlformats.org/officeDocument/2006/relationships" r:embed="rId8"/>
        <a:stretch>
          <a:fillRect/>
        </a:stretch>
      </xdr:blipFill>
      <xdr:spPr>
        <a:xfrm>
          <a:off x="6848475" y="35137726"/>
          <a:ext cx="5400000" cy="2047467"/>
        </a:xfrm>
        <a:prstGeom prst="rect">
          <a:avLst/>
        </a:prstGeom>
      </xdr:spPr>
    </xdr:pic>
    <xdr:clientData/>
  </xdr:twoCellAnchor>
  <xdr:twoCellAnchor editAs="oneCell">
    <xdr:from>
      <xdr:col>8</xdr:col>
      <xdr:colOff>1114425</xdr:colOff>
      <xdr:row>216</xdr:row>
      <xdr:rowOff>76200</xdr:rowOff>
    </xdr:from>
    <xdr:to>
      <xdr:col>15</xdr:col>
      <xdr:colOff>475575</xdr:colOff>
      <xdr:row>221</xdr:row>
      <xdr:rowOff>100893</xdr:rowOff>
    </xdr:to>
    <xdr:pic>
      <xdr:nvPicPr>
        <xdr:cNvPr id="10" name="Picture 9">
          <a:extLst>
            <a:ext uri="{FF2B5EF4-FFF2-40B4-BE49-F238E27FC236}">
              <a16:creationId xmlns:a16="http://schemas.microsoft.com/office/drawing/2014/main" id="{2A4C39F4-83EB-4EED-B62E-B617F7A479E5}"/>
            </a:ext>
          </a:extLst>
        </xdr:cNvPr>
        <xdr:cNvPicPr>
          <a:picLocks noChangeAspect="1"/>
        </xdr:cNvPicPr>
      </xdr:nvPicPr>
      <xdr:blipFill>
        <a:blip xmlns:r="http://schemas.openxmlformats.org/officeDocument/2006/relationships" r:embed="rId9"/>
        <a:stretch>
          <a:fillRect/>
        </a:stretch>
      </xdr:blipFill>
      <xdr:spPr>
        <a:xfrm>
          <a:off x="7429500" y="37576125"/>
          <a:ext cx="5400000" cy="1024818"/>
        </a:xfrm>
        <a:prstGeom prst="rect">
          <a:avLst/>
        </a:prstGeom>
      </xdr:spPr>
    </xdr:pic>
    <xdr:clientData/>
  </xdr:twoCellAnchor>
  <xdr:twoCellAnchor editAs="oneCell">
    <xdr:from>
      <xdr:col>8</xdr:col>
      <xdr:colOff>1114425</xdr:colOff>
      <xdr:row>222</xdr:row>
      <xdr:rowOff>152400</xdr:rowOff>
    </xdr:from>
    <xdr:to>
      <xdr:col>16</xdr:col>
      <xdr:colOff>19849</xdr:colOff>
      <xdr:row>230</xdr:row>
      <xdr:rowOff>124044</xdr:rowOff>
    </xdr:to>
    <xdr:pic>
      <xdr:nvPicPr>
        <xdr:cNvPr id="11" name="Picture 10">
          <a:extLst>
            <a:ext uri="{FF2B5EF4-FFF2-40B4-BE49-F238E27FC236}">
              <a16:creationId xmlns:a16="http://schemas.microsoft.com/office/drawing/2014/main" id="{944059DD-6EE2-4286-B003-C7F441B5AC4E}"/>
            </a:ext>
          </a:extLst>
        </xdr:cNvPr>
        <xdr:cNvPicPr>
          <a:picLocks noChangeAspect="1"/>
        </xdr:cNvPicPr>
      </xdr:nvPicPr>
      <xdr:blipFill>
        <a:blip xmlns:r="http://schemas.openxmlformats.org/officeDocument/2006/relationships" r:embed="rId10"/>
        <a:stretch>
          <a:fillRect/>
        </a:stretch>
      </xdr:blipFill>
      <xdr:spPr>
        <a:xfrm>
          <a:off x="7429500" y="43919775"/>
          <a:ext cx="5725324" cy="1571844"/>
        </a:xfrm>
        <a:prstGeom prst="rect">
          <a:avLst/>
        </a:prstGeom>
      </xdr:spPr>
    </xdr:pic>
    <xdr:clientData/>
  </xdr:twoCellAnchor>
  <xdr:twoCellAnchor editAs="oneCell">
    <xdr:from>
      <xdr:col>8</xdr:col>
      <xdr:colOff>1114425</xdr:colOff>
      <xdr:row>231</xdr:row>
      <xdr:rowOff>38100</xdr:rowOff>
    </xdr:from>
    <xdr:to>
      <xdr:col>16</xdr:col>
      <xdr:colOff>48428</xdr:colOff>
      <xdr:row>236</xdr:row>
      <xdr:rowOff>152400</xdr:rowOff>
    </xdr:to>
    <xdr:pic>
      <xdr:nvPicPr>
        <xdr:cNvPr id="12" name="Picture 11">
          <a:extLst>
            <a:ext uri="{FF2B5EF4-FFF2-40B4-BE49-F238E27FC236}">
              <a16:creationId xmlns:a16="http://schemas.microsoft.com/office/drawing/2014/main" id="{6E0DC51F-EB65-4BA0-A3F2-4CBC6D5E67E3}"/>
            </a:ext>
          </a:extLst>
        </xdr:cNvPr>
        <xdr:cNvPicPr>
          <a:picLocks noChangeAspect="1"/>
        </xdr:cNvPicPr>
      </xdr:nvPicPr>
      <xdr:blipFill>
        <a:blip xmlns:r="http://schemas.openxmlformats.org/officeDocument/2006/relationships" r:embed="rId11"/>
        <a:stretch>
          <a:fillRect/>
        </a:stretch>
      </xdr:blipFill>
      <xdr:spPr>
        <a:xfrm>
          <a:off x="7429500" y="45605700"/>
          <a:ext cx="5753903" cy="1114425"/>
        </a:xfrm>
        <a:prstGeom prst="rect">
          <a:avLst/>
        </a:prstGeom>
      </xdr:spPr>
    </xdr:pic>
    <xdr:clientData/>
  </xdr:twoCellAnchor>
  <xdr:twoCellAnchor editAs="oneCell">
    <xdr:from>
      <xdr:col>8</xdr:col>
      <xdr:colOff>200025</xdr:colOff>
      <xdr:row>155</xdr:row>
      <xdr:rowOff>190500</xdr:rowOff>
    </xdr:from>
    <xdr:to>
      <xdr:col>14</xdr:col>
      <xdr:colOff>705650</xdr:colOff>
      <xdr:row>156</xdr:row>
      <xdr:rowOff>171475</xdr:rowOff>
    </xdr:to>
    <xdr:pic>
      <xdr:nvPicPr>
        <xdr:cNvPr id="13" name="Picture 12">
          <a:extLst>
            <a:ext uri="{FF2B5EF4-FFF2-40B4-BE49-F238E27FC236}">
              <a16:creationId xmlns:a16="http://schemas.microsoft.com/office/drawing/2014/main" id="{984B2036-1A27-48A5-857A-FDC80D6DACB4}"/>
            </a:ext>
          </a:extLst>
        </xdr:cNvPr>
        <xdr:cNvPicPr>
          <a:picLocks noChangeAspect="1"/>
        </xdr:cNvPicPr>
      </xdr:nvPicPr>
      <xdr:blipFill>
        <a:blip xmlns:r="http://schemas.openxmlformats.org/officeDocument/2006/relationships" r:embed="rId12"/>
        <a:stretch>
          <a:fillRect/>
        </a:stretch>
      </xdr:blipFill>
      <xdr:spPr>
        <a:xfrm>
          <a:off x="6515100" y="31346775"/>
          <a:ext cx="5734850" cy="181000"/>
        </a:xfrm>
        <a:prstGeom prst="rect">
          <a:avLst/>
        </a:prstGeom>
      </xdr:spPr>
    </xdr:pic>
    <xdr:clientData/>
  </xdr:twoCellAnchor>
  <xdr:twoCellAnchor editAs="oneCell">
    <xdr:from>
      <xdr:col>8</xdr:col>
      <xdr:colOff>171450</xdr:colOff>
      <xdr:row>153</xdr:row>
      <xdr:rowOff>190500</xdr:rowOff>
    </xdr:from>
    <xdr:to>
      <xdr:col>15</xdr:col>
      <xdr:colOff>734346</xdr:colOff>
      <xdr:row>155</xdr:row>
      <xdr:rowOff>104819</xdr:rowOff>
    </xdr:to>
    <xdr:pic>
      <xdr:nvPicPr>
        <xdr:cNvPr id="14" name="Picture 13">
          <a:extLst>
            <a:ext uri="{FF2B5EF4-FFF2-40B4-BE49-F238E27FC236}">
              <a16:creationId xmlns:a16="http://schemas.microsoft.com/office/drawing/2014/main" id="{B5B5F01E-30CA-4F50-AED2-C6F6DB4AB967}"/>
            </a:ext>
          </a:extLst>
        </xdr:cNvPr>
        <xdr:cNvPicPr>
          <a:picLocks noChangeAspect="1"/>
        </xdr:cNvPicPr>
      </xdr:nvPicPr>
      <xdr:blipFill>
        <a:blip xmlns:r="http://schemas.openxmlformats.org/officeDocument/2006/relationships" r:embed="rId13"/>
        <a:stretch>
          <a:fillRect/>
        </a:stretch>
      </xdr:blipFill>
      <xdr:spPr>
        <a:xfrm>
          <a:off x="6486525" y="29327475"/>
          <a:ext cx="6601746" cy="314369"/>
        </a:xfrm>
        <a:prstGeom prst="rect">
          <a:avLst/>
        </a:prstGeom>
      </xdr:spPr>
    </xdr:pic>
    <xdr:clientData/>
  </xdr:twoCellAnchor>
  <xdr:twoCellAnchor editAs="oneCell">
    <xdr:from>
      <xdr:col>1</xdr:col>
      <xdr:colOff>752475</xdr:colOff>
      <xdr:row>327</xdr:row>
      <xdr:rowOff>66675</xdr:rowOff>
    </xdr:from>
    <xdr:to>
      <xdr:col>5</xdr:col>
      <xdr:colOff>580095</xdr:colOff>
      <xdr:row>347</xdr:row>
      <xdr:rowOff>26175</xdr:rowOff>
    </xdr:to>
    <xdr:pic>
      <xdr:nvPicPr>
        <xdr:cNvPr id="15" name="Picture 14">
          <a:extLst>
            <a:ext uri="{FF2B5EF4-FFF2-40B4-BE49-F238E27FC236}">
              <a16:creationId xmlns:a16="http://schemas.microsoft.com/office/drawing/2014/main" id="{241A65D3-0181-4464-B20E-3CACD2517255}"/>
            </a:ext>
          </a:extLst>
        </xdr:cNvPr>
        <xdr:cNvPicPr>
          <a:picLocks noChangeAspect="1"/>
        </xdr:cNvPicPr>
      </xdr:nvPicPr>
      <xdr:blipFill>
        <a:blip xmlns:r="http://schemas.openxmlformats.org/officeDocument/2006/relationships" r:embed="rId14"/>
        <a:stretch>
          <a:fillRect/>
        </a:stretch>
      </xdr:blipFill>
      <xdr:spPr>
        <a:xfrm>
          <a:off x="1514475" y="61341000"/>
          <a:ext cx="3170895" cy="3960000"/>
        </a:xfrm>
        <a:prstGeom prst="rect">
          <a:avLst/>
        </a:prstGeom>
        <a:ln>
          <a:solidFill>
            <a:schemeClr val="tx1"/>
          </a:solidFill>
        </a:ln>
      </xdr:spPr>
    </xdr:pic>
    <xdr:clientData/>
  </xdr:twoCellAnchor>
  <xdr:twoCellAnchor editAs="oneCell">
    <xdr:from>
      <xdr:col>2</xdr:col>
      <xdr:colOff>280346</xdr:colOff>
      <xdr:row>348</xdr:row>
      <xdr:rowOff>102656</xdr:rowOff>
    </xdr:from>
    <xdr:to>
      <xdr:col>5</xdr:col>
      <xdr:colOff>252122</xdr:colOff>
      <xdr:row>368</xdr:row>
      <xdr:rowOff>103214</xdr:rowOff>
    </xdr:to>
    <xdr:pic>
      <xdr:nvPicPr>
        <xdr:cNvPr id="16" name="Picture 15">
          <a:extLst>
            <a:ext uri="{FF2B5EF4-FFF2-40B4-BE49-F238E27FC236}">
              <a16:creationId xmlns:a16="http://schemas.microsoft.com/office/drawing/2014/main" id="{6868694A-1D00-4CAC-AEC1-7D687B876648}"/>
            </a:ext>
          </a:extLst>
        </xdr:cNvPr>
        <xdr:cNvPicPr>
          <a:picLocks noChangeAspect="1"/>
        </xdr:cNvPicPr>
      </xdr:nvPicPr>
      <xdr:blipFill>
        <a:blip xmlns:r="http://schemas.openxmlformats.org/officeDocument/2006/relationships" r:embed="rId15"/>
        <a:stretch>
          <a:fillRect/>
        </a:stretch>
      </xdr:blipFill>
      <xdr:spPr>
        <a:xfrm>
          <a:off x="1842446" y="65577506"/>
          <a:ext cx="2514951" cy="4001058"/>
        </a:xfrm>
        <a:prstGeom prst="rect">
          <a:avLst/>
        </a:prstGeom>
        <a:ln>
          <a:solidFill>
            <a:schemeClr val="tx1"/>
          </a:solidFill>
        </a:ln>
      </xdr:spPr>
    </xdr:pic>
    <xdr:clientData/>
  </xdr:twoCellAnchor>
  <xdr:twoCellAnchor editAs="oneCell">
    <xdr:from>
      <xdr:col>1</xdr:col>
      <xdr:colOff>189550</xdr:colOff>
      <xdr:row>389</xdr:row>
      <xdr:rowOff>80530</xdr:rowOff>
    </xdr:from>
    <xdr:to>
      <xdr:col>6</xdr:col>
      <xdr:colOff>370525</xdr:colOff>
      <xdr:row>401</xdr:row>
      <xdr:rowOff>118631</xdr:rowOff>
    </xdr:to>
    <xdr:pic>
      <xdr:nvPicPr>
        <xdr:cNvPr id="17" name="Picture 16">
          <a:extLst>
            <a:ext uri="{FF2B5EF4-FFF2-40B4-BE49-F238E27FC236}">
              <a16:creationId xmlns:a16="http://schemas.microsoft.com/office/drawing/2014/main" id="{E758AE11-C8EB-4E87-B2CE-DCC58B93A8BA}"/>
            </a:ext>
          </a:extLst>
        </xdr:cNvPr>
        <xdr:cNvPicPr>
          <a:picLocks noChangeAspect="1"/>
        </xdr:cNvPicPr>
      </xdr:nvPicPr>
      <xdr:blipFill rotWithShape="1">
        <a:blip xmlns:r="http://schemas.openxmlformats.org/officeDocument/2006/relationships" r:embed="rId16" cstate="screen">
          <a:extLst>
            <a:ext uri="{28A0092B-C50C-407E-A947-70E740481C1C}">
              <a14:useLocalDpi xmlns:a14="http://schemas.microsoft.com/office/drawing/2010/main"/>
            </a:ext>
          </a:extLst>
        </a:blip>
        <a:srcRect/>
        <a:stretch/>
      </xdr:blipFill>
      <xdr:spPr>
        <a:xfrm>
          <a:off x="951550" y="73756405"/>
          <a:ext cx="4267200" cy="2438401"/>
        </a:xfrm>
        <a:prstGeom prst="rect">
          <a:avLst/>
        </a:prstGeom>
        <a:ln>
          <a:solidFill>
            <a:schemeClr val="tx1"/>
          </a:solidFill>
        </a:ln>
      </xdr:spPr>
    </xdr:pic>
    <xdr:clientData/>
  </xdr:twoCellAnchor>
  <xdr:twoCellAnchor>
    <xdr:from>
      <xdr:col>0</xdr:col>
      <xdr:colOff>495300</xdr:colOff>
      <xdr:row>371</xdr:row>
      <xdr:rowOff>171450</xdr:rowOff>
    </xdr:from>
    <xdr:to>
      <xdr:col>6</xdr:col>
      <xdr:colOff>687075</xdr:colOff>
      <xdr:row>388</xdr:row>
      <xdr:rowOff>2953</xdr:rowOff>
    </xdr:to>
    <xdr:grpSp>
      <xdr:nvGrpSpPr>
        <xdr:cNvPr id="18" name="Group 17">
          <a:extLst>
            <a:ext uri="{FF2B5EF4-FFF2-40B4-BE49-F238E27FC236}">
              <a16:creationId xmlns:a16="http://schemas.microsoft.com/office/drawing/2014/main" id="{5F8B48F3-3FA1-4071-8A70-E037EA40ED7B}"/>
            </a:ext>
          </a:extLst>
        </xdr:cNvPr>
        <xdr:cNvGrpSpPr/>
      </xdr:nvGrpSpPr>
      <xdr:grpSpPr>
        <a:xfrm>
          <a:off x="495300" y="66227325"/>
          <a:ext cx="5040000" cy="3231928"/>
          <a:chOff x="909000" y="591671"/>
          <a:chExt cx="5040000" cy="3231928"/>
        </a:xfrm>
      </xdr:grpSpPr>
      <xdr:pic>
        <xdr:nvPicPr>
          <xdr:cNvPr id="19" name="Picture 18">
            <a:extLst>
              <a:ext uri="{FF2B5EF4-FFF2-40B4-BE49-F238E27FC236}">
                <a16:creationId xmlns:a16="http://schemas.microsoft.com/office/drawing/2014/main" id="{8003DA10-2C44-47B1-A852-C3B660AF2A30}"/>
              </a:ext>
            </a:extLst>
          </xdr:cNvPr>
          <xdr:cNvPicPr>
            <a:picLocks noChangeAspect="1"/>
          </xdr:cNvPicPr>
        </xdr:nvPicPr>
        <xdr:blipFill rotWithShape="1">
          <a:blip xmlns:r="http://schemas.openxmlformats.org/officeDocument/2006/relationships" r:embed="rId17" cstate="screen">
            <a:extLst>
              <a:ext uri="{28A0092B-C50C-407E-A947-70E740481C1C}">
                <a14:useLocalDpi xmlns:a14="http://schemas.microsoft.com/office/drawing/2010/main"/>
              </a:ext>
            </a:extLst>
          </a:blip>
          <a:srcRect/>
          <a:stretch/>
        </xdr:blipFill>
        <xdr:spPr>
          <a:xfrm>
            <a:off x="909000" y="591671"/>
            <a:ext cx="5040000" cy="3231928"/>
          </a:xfrm>
          <a:prstGeom prst="rect">
            <a:avLst/>
          </a:prstGeom>
          <a:ln>
            <a:solidFill>
              <a:schemeClr val="tx1"/>
            </a:solidFill>
          </a:ln>
        </xdr:spPr>
      </xdr:pic>
      <xdr:sp macro="" textlink="">
        <xdr:nvSpPr>
          <xdr:cNvPr id="20" name="Rectangle 19">
            <a:extLst>
              <a:ext uri="{FF2B5EF4-FFF2-40B4-BE49-F238E27FC236}">
                <a16:creationId xmlns:a16="http://schemas.microsoft.com/office/drawing/2014/main" id="{D506B330-4E1A-4401-B1F0-313F26F06B33}"/>
              </a:ext>
            </a:extLst>
          </xdr:cNvPr>
          <xdr:cNvSpPr/>
        </xdr:nvSpPr>
        <xdr:spPr>
          <a:xfrm>
            <a:off x="3175000" y="2286450"/>
            <a:ext cx="647700" cy="913950"/>
          </a:xfrm>
          <a:prstGeom prst="rect">
            <a:avLst/>
          </a:prstGeom>
          <a:noFill/>
          <a:ln w="1905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1" name="TextBox 8">
            <a:extLst>
              <a:ext uri="{FF2B5EF4-FFF2-40B4-BE49-F238E27FC236}">
                <a16:creationId xmlns:a16="http://schemas.microsoft.com/office/drawing/2014/main" id="{127BF8C0-D66F-4925-9522-5820868ED2E0}"/>
              </a:ext>
            </a:extLst>
          </xdr:cNvPr>
          <xdr:cNvSpPr txBox="1"/>
        </xdr:nvSpPr>
        <xdr:spPr>
          <a:xfrm>
            <a:off x="3911600" y="2374900"/>
            <a:ext cx="1484381" cy="46801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400" b="1">
                <a:solidFill>
                  <a:srgbClr val="FFFF00"/>
                </a:solidFill>
              </a:rPr>
              <a:t>Sansaara </a:t>
            </a:r>
            <a:endParaRPr lang="en-IN" sz="2400" b="1">
              <a:solidFill>
                <a:srgbClr val="FFFF00"/>
              </a:solidFill>
            </a:endParaRPr>
          </a:p>
        </xdr:txBody>
      </xdr:sp>
    </xdr:grpSp>
    <xdr:clientData/>
  </xdr:twoCellAnchor>
  <xdr:twoCellAnchor editAs="oneCell">
    <xdr:from>
      <xdr:col>10</xdr:col>
      <xdr:colOff>142875</xdr:colOff>
      <xdr:row>125</xdr:row>
      <xdr:rowOff>161925</xdr:rowOff>
    </xdr:from>
    <xdr:to>
      <xdr:col>12</xdr:col>
      <xdr:colOff>266475</xdr:colOff>
      <xdr:row>144</xdr:row>
      <xdr:rowOff>47594</xdr:rowOff>
    </xdr:to>
    <xdr:pic>
      <xdr:nvPicPr>
        <xdr:cNvPr id="23" name="Picture 22">
          <a:extLst>
            <a:ext uri="{FF2B5EF4-FFF2-40B4-BE49-F238E27FC236}">
              <a16:creationId xmlns:a16="http://schemas.microsoft.com/office/drawing/2014/main" id="{27C78583-2CD0-4752-9C9B-4907E06901EB}"/>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8382000" y="26498550"/>
          <a:ext cx="1800000" cy="1885919"/>
        </a:xfrm>
        <a:prstGeom prst="rect">
          <a:avLst/>
        </a:prstGeom>
      </xdr:spPr>
    </xdr:pic>
    <xdr:clientData/>
  </xdr:twoCellAnchor>
  <xdr:twoCellAnchor editAs="oneCell">
    <xdr:from>
      <xdr:col>11</xdr:col>
      <xdr:colOff>590550</xdr:colOff>
      <xdr:row>131</xdr:row>
      <xdr:rowOff>38101</xdr:rowOff>
    </xdr:from>
    <xdr:to>
      <xdr:col>16</xdr:col>
      <xdr:colOff>47175</xdr:colOff>
      <xdr:row>152</xdr:row>
      <xdr:rowOff>110754</xdr:rowOff>
    </xdr:to>
    <xdr:pic>
      <xdr:nvPicPr>
        <xdr:cNvPr id="24" name="Picture 23">
          <a:extLst>
            <a:ext uri="{FF2B5EF4-FFF2-40B4-BE49-F238E27FC236}">
              <a16:creationId xmlns:a16="http://schemas.microsoft.com/office/drawing/2014/main" id="{B2C82C83-2770-4202-9E00-FA911EC1928A}"/>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9582150" y="27565351"/>
          <a:ext cx="3600000" cy="1482353"/>
        </a:xfrm>
        <a:prstGeom prst="rect">
          <a:avLst/>
        </a:prstGeom>
      </xdr:spPr>
    </xdr:pic>
    <xdr:clientData/>
  </xdr:twoCellAnchor>
  <xdr:twoCellAnchor>
    <xdr:from>
      <xdr:col>0</xdr:col>
      <xdr:colOff>114300</xdr:colOff>
      <xdr:row>284</xdr:row>
      <xdr:rowOff>0</xdr:rowOff>
    </xdr:from>
    <xdr:to>
      <xdr:col>7</xdr:col>
      <xdr:colOff>619125</xdr:colOff>
      <xdr:row>316</xdr:row>
      <xdr:rowOff>97801</xdr:rowOff>
    </xdr:to>
    <xdr:grpSp>
      <xdr:nvGrpSpPr>
        <xdr:cNvPr id="25" name="Group 24">
          <a:extLst>
            <a:ext uri="{FF2B5EF4-FFF2-40B4-BE49-F238E27FC236}">
              <a16:creationId xmlns:a16="http://schemas.microsoft.com/office/drawing/2014/main" id="{8677BC7C-E936-4FC1-A610-92EDC432F789}"/>
            </a:ext>
          </a:extLst>
        </xdr:cNvPr>
        <xdr:cNvGrpSpPr/>
      </xdr:nvGrpSpPr>
      <xdr:grpSpPr>
        <a:xfrm>
          <a:off x="114300" y="48663225"/>
          <a:ext cx="6086475" cy="6489076"/>
          <a:chOff x="-72149" y="457200"/>
          <a:chExt cx="6828071" cy="6879601"/>
        </a:xfrm>
      </xdr:grpSpPr>
      <xdr:grpSp>
        <xdr:nvGrpSpPr>
          <xdr:cNvPr id="26" name="Group 25">
            <a:extLst>
              <a:ext uri="{FF2B5EF4-FFF2-40B4-BE49-F238E27FC236}">
                <a16:creationId xmlns:a16="http://schemas.microsoft.com/office/drawing/2014/main" id="{DE8E4645-4154-40EC-A4AE-AC7F7FAA2CA7}"/>
              </a:ext>
            </a:extLst>
          </xdr:cNvPr>
          <xdr:cNvGrpSpPr/>
        </xdr:nvGrpSpPr>
        <xdr:grpSpPr>
          <a:xfrm>
            <a:off x="-72149" y="457200"/>
            <a:ext cx="6828071" cy="6879601"/>
            <a:chOff x="-72149" y="457200"/>
            <a:chExt cx="6828071" cy="6879601"/>
          </a:xfrm>
        </xdr:grpSpPr>
        <xdr:pic>
          <xdr:nvPicPr>
            <xdr:cNvPr id="32" name="Picture 31">
              <a:extLst>
                <a:ext uri="{FF2B5EF4-FFF2-40B4-BE49-F238E27FC236}">
                  <a16:creationId xmlns:a16="http://schemas.microsoft.com/office/drawing/2014/main" id="{AF894F41-2334-40E5-B222-DE267437E561}"/>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40092" y="457200"/>
              <a:ext cx="3312494" cy="2340000"/>
            </a:xfrm>
            <a:prstGeom prst="rect">
              <a:avLst/>
            </a:prstGeom>
            <a:ln>
              <a:solidFill>
                <a:schemeClr val="tx1"/>
              </a:solidFill>
            </a:ln>
          </xdr:spPr>
        </xdr:pic>
        <xdr:pic>
          <xdr:nvPicPr>
            <xdr:cNvPr id="33" name="Picture 32">
              <a:extLst>
                <a:ext uri="{FF2B5EF4-FFF2-40B4-BE49-F238E27FC236}">
                  <a16:creationId xmlns:a16="http://schemas.microsoft.com/office/drawing/2014/main" id="{774FD91A-E4B5-4CAB-BF2A-4BE102023991}"/>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3429000" y="457200"/>
              <a:ext cx="3316236" cy="2340000"/>
            </a:xfrm>
            <a:prstGeom prst="rect">
              <a:avLst/>
            </a:prstGeom>
            <a:ln>
              <a:solidFill>
                <a:schemeClr val="tx1"/>
              </a:solidFill>
            </a:ln>
          </xdr:spPr>
        </xdr:pic>
        <xdr:pic>
          <xdr:nvPicPr>
            <xdr:cNvPr id="34" name="Picture 33">
              <a:extLst>
                <a:ext uri="{FF2B5EF4-FFF2-40B4-BE49-F238E27FC236}">
                  <a16:creationId xmlns:a16="http://schemas.microsoft.com/office/drawing/2014/main" id="{9BE3C5A2-342D-4A05-B33C-77585FAA3CDD}"/>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3257550" y="5356801"/>
              <a:ext cx="1485000" cy="1980000"/>
            </a:xfrm>
            <a:prstGeom prst="rect">
              <a:avLst/>
            </a:prstGeom>
            <a:ln>
              <a:solidFill>
                <a:schemeClr val="tx1"/>
              </a:solidFill>
            </a:ln>
          </xdr:spPr>
        </xdr:pic>
        <xdr:pic>
          <xdr:nvPicPr>
            <xdr:cNvPr id="35" name="Picture 34">
              <a:extLst>
                <a:ext uri="{FF2B5EF4-FFF2-40B4-BE49-F238E27FC236}">
                  <a16:creationId xmlns:a16="http://schemas.microsoft.com/office/drawing/2014/main" id="{7C072246-73CD-4893-830A-070DD0BCA798}"/>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471300" y="5356801"/>
              <a:ext cx="2640000" cy="1980000"/>
            </a:xfrm>
            <a:prstGeom prst="rect">
              <a:avLst/>
            </a:prstGeom>
            <a:ln>
              <a:solidFill>
                <a:schemeClr val="tx1"/>
              </a:solidFill>
            </a:ln>
          </xdr:spPr>
        </xdr:pic>
        <xdr:pic>
          <xdr:nvPicPr>
            <xdr:cNvPr id="36" name="Picture 35">
              <a:extLst>
                <a:ext uri="{FF2B5EF4-FFF2-40B4-BE49-F238E27FC236}">
                  <a16:creationId xmlns:a16="http://schemas.microsoft.com/office/drawing/2014/main" id="{1334C1F3-C716-4064-9ABB-8BA9B4E60A48}"/>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72149" y="2997000"/>
              <a:ext cx="1618313" cy="2160000"/>
            </a:xfrm>
            <a:prstGeom prst="rect">
              <a:avLst/>
            </a:prstGeom>
            <a:ln>
              <a:solidFill>
                <a:schemeClr val="tx1"/>
              </a:solidFill>
            </a:ln>
          </xdr:spPr>
        </xdr:pic>
        <xdr:pic>
          <xdr:nvPicPr>
            <xdr:cNvPr id="37" name="Picture 36">
              <a:extLst>
                <a:ext uri="{FF2B5EF4-FFF2-40B4-BE49-F238E27FC236}">
                  <a16:creationId xmlns:a16="http://schemas.microsoft.com/office/drawing/2014/main" id="{96468427-652F-410C-ADCD-10900E57D148}"/>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1664437" y="2997000"/>
              <a:ext cx="1618313" cy="2160000"/>
            </a:xfrm>
            <a:prstGeom prst="rect">
              <a:avLst/>
            </a:prstGeom>
            <a:ln>
              <a:solidFill>
                <a:schemeClr val="tx1"/>
              </a:solidFill>
            </a:ln>
          </xdr:spPr>
        </xdr:pic>
        <xdr:pic>
          <xdr:nvPicPr>
            <xdr:cNvPr id="38" name="Picture 37">
              <a:extLst>
                <a:ext uri="{FF2B5EF4-FFF2-40B4-BE49-F238E27FC236}">
                  <a16:creationId xmlns:a16="http://schemas.microsoft.com/office/drawing/2014/main" id="{D47AB0E9-76DD-404A-AA11-2CC584AC1B8B}"/>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3401023" y="2997000"/>
              <a:ext cx="1618313" cy="2160000"/>
            </a:xfrm>
            <a:prstGeom prst="rect">
              <a:avLst/>
            </a:prstGeom>
            <a:ln>
              <a:solidFill>
                <a:schemeClr val="tx1"/>
              </a:solidFill>
            </a:ln>
          </xdr:spPr>
        </xdr:pic>
        <xdr:pic>
          <xdr:nvPicPr>
            <xdr:cNvPr id="39" name="Picture 38">
              <a:extLst>
                <a:ext uri="{FF2B5EF4-FFF2-40B4-BE49-F238E27FC236}">
                  <a16:creationId xmlns:a16="http://schemas.microsoft.com/office/drawing/2014/main" id="{292666AC-72D9-466A-ADC2-E407286BFE4C}"/>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5137609" y="2997000"/>
              <a:ext cx="1618313" cy="2160000"/>
            </a:xfrm>
            <a:prstGeom prst="rect">
              <a:avLst/>
            </a:prstGeom>
            <a:ln>
              <a:solidFill>
                <a:schemeClr val="tx1"/>
              </a:solidFill>
            </a:ln>
          </xdr:spPr>
        </xdr:pic>
        <xdr:pic>
          <xdr:nvPicPr>
            <xdr:cNvPr id="40" name="Picture 39">
              <a:extLst>
                <a:ext uri="{FF2B5EF4-FFF2-40B4-BE49-F238E27FC236}">
                  <a16:creationId xmlns:a16="http://schemas.microsoft.com/office/drawing/2014/main" id="{C891B6B4-80F3-4838-9EAC-24A7C19B1BA9}"/>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4888800" y="5356800"/>
              <a:ext cx="1483453" cy="1980000"/>
            </a:xfrm>
            <a:prstGeom prst="rect">
              <a:avLst/>
            </a:prstGeom>
            <a:ln>
              <a:solidFill>
                <a:schemeClr val="tx1"/>
              </a:solidFill>
            </a:ln>
          </xdr:spPr>
        </xdr:pic>
      </xdr:grpSp>
      <xdr:sp macro="" textlink="">
        <xdr:nvSpPr>
          <xdr:cNvPr id="27" name="TextBox 24">
            <a:extLst>
              <a:ext uri="{FF2B5EF4-FFF2-40B4-BE49-F238E27FC236}">
                <a16:creationId xmlns:a16="http://schemas.microsoft.com/office/drawing/2014/main" id="{A369C6ED-678F-4793-BC1C-427CEAF24781}"/>
              </a:ext>
            </a:extLst>
          </xdr:cNvPr>
          <xdr:cNvSpPr txBox="1"/>
        </xdr:nvSpPr>
        <xdr:spPr>
          <a:xfrm>
            <a:off x="227047" y="2192701"/>
            <a:ext cx="2161063" cy="39665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Bldg No. 8 Wing A</a:t>
            </a:r>
            <a:endParaRPr lang="en-IN" b="1">
              <a:solidFill>
                <a:srgbClr val="FFFF00"/>
              </a:solidFill>
            </a:endParaRPr>
          </a:p>
        </xdr:txBody>
      </xdr:sp>
      <xdr:sp macro="" textlink="">
        <xdr:nvSpPr>
          <xdr:cNvPr id="28" name="TextBox 25">
            <a:extLst>
              <a:ext uri="{FF2B5EF4-FFF2-40B4-BE49-F238E27FC236}">
                <a16:creationId xmlns:a16="http://schemas.microsoft.com/office/drawing/2014/main" id="{D498E19F-7E57-4C90-9DDD-73A40C055A35}"/>
              </a:ext>
            </a:extLst>
          </xdr:cNvPr>
          <xdr:cNvSpPr txBox="1"/>
        </xdr:nvSpPr>
        <xdr:spPr>
          <a:xfrm>
            <a:off x="3550255" y="1996532"/>
            <a:ext cx="2135822" cy="39665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Bldg No. 8 Wing B</a:t>
            </a:r>
            <a:endParaRPr lang="en-IN" b="1">
              <a:solidFill>
                <a:srgbClr val="FFFF00"/>
              </a:solidFill>
            </a:endParaRPr>
          </a:p>
        </xdr:txBody>
      </xdr:sp>
      <xdr:sp macro="" textlink="">
        <xdr:nvSpPr>
          <xdr:cNvPr id="29" name="TextBox 26">
            <a:extLst>
              <a:ext uri="{FF2B5EF4-FFF2-40B4-BE49-F238E27FC236}">
                <a16:creationId xmlns:a16="http://schemas.microsoft.com/office/drawing/2014/main" id="{62223940-79DD-44E0-AAA3-24ADD5AB5488}"/>
              </a:ext>
            </a:extLst>
          </xdr:cNvPr>
          <xdr:cNvSpPr txBox="1"/>
        </xdr:nvSpPr>
        <xdr:spPr>
          <a:xfrm>
            <a:off x="259714" y="4510669"/>
            <a:ext cx="1215397" cy="62894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solidFill>
                  <a:srgbClr val="FFFF00"/>
                </a:solidFill>
              </a:rPr>
              <a:t>Bldg No. 9 </a:t>
            </a:r>
          </a:p>
          <a:p>
            <a:r>
              <a:rPr lang="en-US" sz="1600" b="1">
                <a:solidFill>
                  <a:srgbClr val="FFFF00"/>
                </a:solidFill>
              </a:rPr>
              <a:t>Wing A</a:t>
            </a:r>
            <a:endParaRPr lang="en-IN" sz="1600" b="1">
              <a:solidFill>
                <a:srgbClr val="FFFF00"/>
              </a:solidFill>
            </a:endParaRPr>
          </a:p>
        </xdr:txBody>
      </xdr:sp>
      <xdr:sp macro="" textlink="">
        <xdr:nvSpPr>
          <xdr:cNvPr id="30" name="TextBox 27">
            <a:extLst>
              <a:ext uri="{FF2B5EF4-FFF2-40B4-BE49-F238E27FC236}">
                <a16:creationId xmlns:a16="http://schemas.microsoft.com/office/drawing/2014/main" id="{3D681B01-2F18-4988-BBB1-2511B153F22E}"/>
              </a:ext>
            </a:extLst>
          </xdr:cNvPr>
          <xdr:cNvSpPr txBox="1"/>
        </xdr:nvSpPr>
        <xdr:spPr>
          <a:xfrm>
            <a:off x="1865894" y="4495800"/>
            <a:ext cx="1215397" cy="62894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solidFill>
                  <a:srgbClr val="FFFF00"/>
                </a:solidFill>
              </a:rPr>
              <a:t>Bldg No. 9 </a:t>
            </a:r>
          </a:p>
          <a:p>
            <a:r>
              <a:rPr lang="en-US" sz="1600" b="1">
                <a:solidFill>
                  <a:srgbClr val="FFFF00"/>
                </a:solidFill>
              </a:rPr>
              <a:t>Wing B</a:t>
            </a:r>
            <a:endParaRPr lang="en-IN" sz="1600" b="1">
              <a:solidFill>
                <a:srgbClr val="FFFF00"/>
              </a:solidFill>
            </a:endParaRPr>
          </a:p>
        </xdr:txBody>
      </xdr:sp>
      <xdr:sp macro="" textlink="">
        <xdr:nvSpPr>
          <xdr:cNvPr id="31" name="TextBox 28">
            <a:extLst>
              <a:ext uri="{FF2B5EF4-FFF2-40B4-BE49-F238E27FC236}">
                <a16:creationId xmlns:a16="http://schemas.microsoft.com/office/drawing/2014/main" id="{936FA712-DD8D-4C4E-A189-B369819CD423}"/>
              </a:ext>
            </a:extLst>
          </xdr:cNvPr>
          <xdr:cNvSpPr txBox="1"/>
        </xdr:nvSpPr>
        <xdr:spPr>
          <a:xfrm>
            <a:off x="3602480" y="4514850"/>
            <a:ext cx="1215397" cy="62894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solidFill>
                  <a:srgbClr val="FFFF00"/>
                </a:solidFill>
              </a:rPr>
              <a:t>Bldg No. 9 </a:t>
            </a:r>
          </a:p>
          <a:p>
            <a:r>
              <a:rPr lang="en-US" sz="1600" b="1">
                <a:solidFill>
                  <a:srgbClr val="FFFF00"/>
                </a:solidFill>
              </a:rPr>
              <a:t>Wing B</a:t>
            </a:r>
            <a:endParaRPr lang="en-IN" sz="1600" b="1">
              <a:solidFill>
                <a:srgbClr val="FFFF00"/>
              </a:solidFill>
            </a:endParaRPr>
          </a:p>
        </xdr:txBody>
      </xdr:sp>
    </xdr:grpSp>
    <xdr:clientData/>
  </xdr:twoCellAnchor>
  <xdr:twoCellAnchor editAs="oneCell">
    <xdr:from>
      <xdr:col>8</xdr:col>
      <xdr:colOff>266700</xdr:colOff>
      <xdr:row>60</xdr:row>
      <xdr:rowOff>161926</xdr:rowOff>
    </xdr:from>
    <xdr:to>
      <xdr:col>12</xdr:col>
      <xdr:colOff>266250</xdr:colOff>
      <xdr:row>70</xdr:row>
      <xdr:rowOff>90562</xdr:rowOff>
    </xdr:to>
    <xdr:pic>
      <xdr:nvPicPr>
        <xdr:cNvPr id="22" name="Picture 21">
          <a:extLst>
            <a:ext uri="{FF2B5EF4-FFF2-40B4-BE49-F238E27FC236}">
              <a16:creationId xmlns:a16="http://schemas.microsoft.com/office/drawing/2014/main" id="{E0EA5030-F51C-405D-BFF1-CB7E8037F6E9}"/>
            </a:ext>
          </a:extLst>
        </xdr:cNvPr>
        <xdr:cNvPicPr>
          <a:picLocks noChangeAspect="1"/>
        </xdr:cNvPicPr>
      </xdr:nvPicPr>
      <xdr:blipFill>
        <a:blip xmlns:r="http://schemas.openxmlformats.org/officeDocument/2006/relationships" r:embed="rId29"/>
        <a:stretch>
          <a:fillRect/>
        </a:stretch>
      </xdr:blipFill>
      <xdr:spPr>
        <a:xfrm>
          <a:off x="6581775" y="13096876"/>
          <a:ext cx="3600000" cy="1957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pRjdtDtPcgQyNnBQ9"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Z371"/>
  <sheetViews>
    <sheetView tabSelected="1" view="pageBreakPreview" topLeftCell="A40" zoomScaleNormal="100" zoomScaleSheetLayoutView="100" zoomScalePageLayoutView="85" workbookViewId="0">
      <selection activeCell="I10" sqref="I10"/>
    </sheetView>
  </sheetViews>
  <sheetFormatPr defaultColWidth="9.140625" defaultRowHeight="15.75" x14ac:dyDescent="0.25"/>
  <cols>
    <col min="1" max="1" width="11.42578125" style="40" customWidth="1"/>
    <col min="2" max="2" width="12" style="40" customWidth="1"/>
    <col min="3" max="3" width="12.7109375" style="40" customWidth="1"/>
    <col min="4" max="4" width="13.7109375" style="40" customWidth="1"/>
    <col min="5" max="5" width="11.7109375" style="40" customWidth="1"/>
    <col min="6" max="6" width="11.140625" style="40" customWidth="1"/>
    <col min="7" max="8" width="11" style="40" customWidth="1"/>
    <col min="9" max="9" width="17.42578125" style="21" customWidth="1"/>
    <col min="10" max="10" width="11.42578125" style="21" customWidth="1"/>
    <col min="11" max="11" width="11.28515625" style="21" bestFit="1" customWidth="1"/>
    <col min="12" max="12" width="13.85546875" style="21" bestFit="1" customWidth="1"/>
    <col min="13" max="13" width="11.85546875" style="21" customWidth="1"/>
    <col min="14" max="14" width="12.5703125" style="21" customWidth="1"/>
    <col min="15" max="15" width="12.140625" style="21" customWidth="1"/>
    <col min="16" max="16" width="11.7109375" style="21" customWidth="1"/>
    <col min="17" max="18" width="9.140625" style="21"/>
    <col min="19" max="19" width="10.85546875" style="21" bestFit="1" customWidth="1"/>
    <col min="20" max="20" width="10.7109375" style="21" customWidth="1"/>
    <col min="21" max="247" width="9.140625" style="21"/>
    <col min="248" max="248" width="8.7109375" style="21" customWidth="1"/>
    <col min="249" max="249" width="9.85546875" style="21" customWidth="1"/>
    <col min="250" max="250" width="14.42578125" style="21" customWidth="1"/>
    <col min="251" max="251" width="7.28515625" style="21" customWidth="1"/>
    <col min="252" max="252" width="5.5703125" style="21" customWidth="1"/>
    <col min="253" max="253" width="9" style="21" customWidth="1"/>
    <col min="254" max="255" width="9.85546875" style="21" customWidth="1"/>
    <col min="256" max="256" width="11.140625" style="21" customWidth="1"/>
    <col min="257" max="257" width="2.85546875" style="21" customWidth="1"/>
    <col min="258" max="258" width="3.5703125" style="21" customWidth="1"/>
    <col min="259" max="503" width="9.140625" style="21"/>
    <col min="504" max="504" width="8.7109375" style="21" customWidth="1"/>
    <col min="505" max="505" width="9.85546875" style="21" customWidth="1"/>
    <col min="506" max="506" width="14.42578125" style="21" customWidth="1"/>
    <col min="507" max="507" width="7.28515625" style="21" customWidth="1"/>
    <col min="508" max="508" width="5.5703125" style="21" customWidth="1"/>
    <col min="509" max="509" width="9" style="21" customWidth="1"/>
    <col min="510" max="511" width="9.85546875" style="21" customWidth="1"/>
    <col min="512" max="512" width="11.140625" style="21" customWidth="1"/>
    <col min="513" max="513" width="2.85546875" style="21" customWidth="1"/>
    <col min="514" max="514" width="3.5703125" style="21" customWidth="1"/>
    <col min="515" max="759" width="9.140625" style="21"/>
    <col min="760" max="760" width="8.7109375" style="21" customWidth="1"/>
    <col min="761" max="761" width="9.85546875" style="21" customWidth="1"/>
    <col min="762" max="762" width="14.42578125" style="21" customWidth="1"/>
    <col min="763" max="763" width="7.28515625" style="21" customWidth="1"/>
    <col min="764" max="764" width="5.5703125" style="21" customWidth="1"/>
    <col min="765" max="765" width="9" style="21" customWidth="1"/>
    <col min="766" max="767" width="9.85546875" style="21" customWidth="1"/>
    <col min="768" max="768" width="11.140625" style="21" customWidth="1"/>
    <col min="769" max="769" width="2.85546875" style="21" customWidth="1"/>
    <col min="770" max="770" width="3.5703125" style="21" customWidth="1"/>
    <col min="771" max="1015" width="9.140625" style="21"/>
    <col min="1016" max="1016" width="8.7109375" style="21" customWidth="1"/>
    <col min="1017" max="1017" width="9.85546875" style="21" customWidth="1"/>
    <col min="1018" max="1018" width="14.42578125" style="21" customWidth="1"/>
    <col min="1019" max="1019" width="7.28515625" style="21" customWidth="1"/>
    <col min="1020" max="1020" width="5.5703125" style="21" customWidth="1"/>
    <col min="1021" max="1021" width="9" style="21" customWidth="1"/>
    <col min="1022" max="1023" width="9.85546875" style="21" customWidth="1"/>
    <col min="1024" max="1024" width="11.140625" style="21" customWidth="1"/>
    <col min="1025" max="1025" width="2.85546875" style="21" customWidth="1"/>
    <col min="1026" max="1026" width="3.5703125" style="21" customWidth="1"/>
    <col min="1027" max="1271" width="9.140625" style="21"/>
    <col min="1272" max="1272" width="8.7109375" style="21" customWidth="1"/>
    <col min="1273" max="1273" width="9.85546875" style="21" customWidth="1"/>
    <col min="1274" max="1274" width="14.42578125" style="21" customWidth="1"/>
    <col min="1275" max="1275" width="7.28515625" style="21" customWidth="1"/>
    <col min="1276" max="1276" width="5.5703125" style="21" customWidth="1"/>
    <col min="1277" max="1277" width="9" style="21" customWidth="1"/>
    <col min="1278" max="1279" width="9.85546875" style="21" customWidth="1"/>
    <col min="1280" max="1280" width="11.140625" style="21" customWidth="1"/>
    <col min="1281" max="1281" width="2.85546875" style="21" customWidth="1"/>
    <col min="1282" max="1282" width="3.5703125" style="21" customWidth="1"/>
    <col min="1283" max="1527" width="9.140625" style="21"/>
    <col min="1528" max="1528" width="8.7109375" style="21" customWidth="1"/>
    <col min="1529" max="1529" width="9.85546875" style="21" customWidth="1"/>
    <col min="1530" max="1530" width="14.42578125" style="21" customWidth="1"/>
    <col min="1531" max="1531" width="7.28515625" style="21" customWidth="1"/>
    <col min="1532" max="1532" width="5.5703125" style="21" customWidth="1"/>
    <col min="1533" max="1533" width="9" style="21" customWidth="1"/>
    <col min="1534" max="1535" width="9.85546875" style="21" customWidth="1"/>
    <col min="1536" max="1536" width="11.140625" style="21" customWidth="1"/>
    <col min="1537" max="1537" width="2.85546875" style="21" customWidth="1"/>
    <col min="1538" max="1538" width="3.5703125" style="21" customWidth="1"/>
    <col min="1539" max="1783" width="9.140625" style="21"/>
    <col min="1784" max="1784" width="8.7109375" style="21" customWidth="1"/>
    <col min="1785" max="1785" width="9.85546875" style="21" customWidth="1"/>
    <col min="1786" max="1786" width="14.42578125" style="21" customWidth="1"/>
    <col min="1787" max="1787" width="7.28515625" style="21" customWidth="1"/>
    <col min="1788" max="1788" width="5.5703125" style="21" customWidth="1"/>
    <col min="1789" max="1789" width="9" style="21" customWidth="1"/>
    <col min="1790" max="1791" width="9.85546875" style="21" customWidth="1"/>
    <col min="1792" max="1792" width="11.140625" style="21" customWidth="1"/>
    <col min="1793" max="1793" width="2.85546875" style="21" customWidth="1"/>
    <col min="1794" max="1794" width="3.5703125" style="21" customWidth="1"/>
    <col min="1795" max="2039" width="9.140625" style="21"/>
    <col min="2040" max="2040" width="8.7109375" style="21" customWidth="1"/>
    <col min="2041" max="2041" width="9.85546875" style="21" customWidth="1"/>
    <col min="2042" max="2042" width="14.42578125" style="21" customWidth="1"/>
    <col min="2043" max="2043" width="7.28515625" style="21" customWidth="1"/>
    <col min="2044" max="2044" width="5.5703125" style="21" customWidth="1"/>
    <col min="2045" max="2045" width="9" style="21" customWidth="1"/>
    <col min="2046" max="2047" width="9.85546875" style="21" customWidth="1"/>
    <col min="2048" max="2048" width="11.140625" style="21" customWidth="1"/>
    <col min="2049" max="2049" width="2.85546875" style="21" customWidth="1"/>
    <col min="2050" max="2050" width="3.5703125" style="21" customWidth="1"/>
    <col min="2051" max="2295" width="9.140625" style="21"/>
    <col min="2296" max="2296" width="8.7109375" style="21" customWidth="1"/>
    <col min="2297" max="2297" width="9.85546875" style="21" customWidth="1"/>
    <col min="2298" max="2298" width="14.42578125" style="21" customWidth="1"/>
    <col min="2299" max="2299" width="7.28515625" style="21" customWidth="1"/>
    <col min="2300" max="2300" width="5.5703125" style="21" customWidth="1"/>
    <col min="2301" max="2301" width="9" style="21" customWidth="1"/>
    <col min="2302" max="2303" width="9.85546875" style="21" customWidth="1"/>
    <col min="2304" max="2304" width="11.140625" style="21" customWidth="1"/>
    <col min="2305" max="2305" width="2.85546875" style="21" customWidth="1"/>
    <col min="2306" max="2306" width="3.5703125" style="21" customWidth="1"/>
    <col min="2307" max="2551" width="9.140625" style="21"/>
    <col min="2552" max="2552" width="8.7109375" style="21" customWidth="1"/>
    <col min="2553" max="2553" width="9.85546875" style="21" customWidth="1"/>
    <col min="2554" max="2554" width="14.42578125" style="21" customWidth="1"/>
    <col min="2555" max="2555" width="7.28515625" style="21" customWidth="1"/>
    <col min="2556" max="2556" width="5.5703125" style="21" customWidth="1"/>
    <col min="2557" max="2557" width="9" style="21" customWidth="1"/>
    <col min="2558" max="2559" width="9.85546875" style="21" customWidth="1"/>
    <col min="2560" max="2560" width="11.140625" style="21" customWidth="1"/>
    <col min="2561" max="2561" width="2.85546875" style="21" customWidth="1"/>
    <col min="2562" max="2562" width="3.5703125" style="21" customWidth="1"/>
    <col min="2563" max="2807" width="9.140625" style="21"/>
    <col min="2808" max="2808" width="8.7109375" style="21" customWidth="1"/>
    <col min="2809" max="2809" width="9.85546875" style="21" customWidth="1"/>
    <col min="2810" max="2810" width="14.42578125" style="21" customWidth="1"/>
    <col min="2811" max="2811" width="7.28515625" style="21" customWidth="1"/>
    <col min="2812" max="2812" width="5.5703125" style="21" customWidth="1"/>
    <col min="2813" max="2813" width="9" style="21" customWidth="1"/>
    <col min="2814" max="2815" width="9.85546875" style="21" customWidth="1"/>
    <col min="2816" max="2816" width="11.140625" style="21" customWidth="1"/>
    <col min="2817" max="2817" width="2.85546875" style="21" customWidth="1"/>
    <col min="2818" max="2818" width="3.5703125" style="21" customWidth="1"/>
    <col min="2819" max="3063" width="9.140625" style="21"/>
    <col min="3064" max="3064" width="8.7109375" style="21" customWidth="1"/>
    <col min="3065" max="3065" width="9.85546875" style="21" customWidth="1"/>
    <col min="3066" max="3066" width="14.42578125" style="21" customWidth="1"/>
    <col min="3067" max="3067" width="7.28515625" style="21" customWidth="1"/>
    <col min="3068" max="3068" width="5.5703125" style="21" customWidth="1"/>
    <col min="3069" max="3069" width="9" style="21" customWidth="1"/>
    <col min="3070" max="3071" width="9.85546875" style="21" customWidth="1"/>
    <col min="3072" max="3072" width="11.140625" style="21" customWidth="1"/>
    <col min="3073" max="3073" width="2.85546875" style="21" customWidth="1"/>
    <col min="3074" max="3074" width="3.5703125" style="21" customWidth="1"/>
    <col min="3075" max="3319" width="9.140625" style="21"/>
    <col min="3320" max="3320" width="8.7109375" style="21" customWidth="1"/>
    <col min="3321" max="3321" width="9.85546875" style="21" customWidth="1"/>
    <col min="3322" max="3322" width="14.42578125" style="21" customWidth="1"/>
    <col min="3323" max="3323" width="7.28515625" style="21" customWidth="1"/>
    <col min="3324" max="3324" width="5.5703125" style="21" customWidth="1"/>
    <col min="3325" max="3325" width="9" style="21" customWidth="1"/>
    <col min="3326" max="3327" width="9.85546875" style="21" customWidth="1"/>
    <col min="3328" max="3328" width="11.140625" style="21" customWidth="1"/>
    <col min="3329" max="3329" width="2.85546875" style="21" customWidth="1"/>
    <col min="3330" max="3330" width="3.5703125" style="21" customWidth="1"/>
    <col min="3331" max="3575" width="9.140625" style="21"/>
    <col min="3576" max="3576" width="8.7109375" style="21" customWidth="1"/>
    <col min="3577" max="3577" width="9.85546875" style="21" customWidth="1"/>
    <col min="3578" max="3578" width="14.42578125" style="21" customWidth="1"/>
    <col min="3579" max="3579" width="7.28515625" style="21" customWidth="1"/>
    <col min="3580" max="3580" width="5.5703125" style="21" customWidth="1"/>
    <col min="3581" max="3581" width="9" style="21" customWidth="1"/>
    <col min="3582" max="3583" width="9.85546875" style="21" customWidth="1"/>
    <col min="3584" max="3584" width="11.140625" style="21" customWidth="1"/>
    <col min="3585" max="3585" width="2.85546875" style="21" customWidth="1"/>
    <col min="3586" max="3586" width="3.5703125" style="21" customWidth="1"/>
    <col min="3587" max="3831" width="9.140625" style="21"/>
    <col min="3832" max="3832" width="8.7109375" style="21" customWidth="1"/>
    <col min="3833" max="3833" width="9.85546875" style="21" customWidth="1"/>
    <col min="3834" max="3834" width="14.42578125" style="21" customWidth="1"/>
    <col min="3835" max="3835" width="7.28515625" style="21" customWidth="1"/>
    <col min="3836" max="3836" width="5.5703125" style="21" customWidth="1"/>
    <col min="3837" max="3837" width="9" style="21" customWidth="1"/>
    <col min="3838" max="3839" width="9.85546875" style="21" customWidth="1"/>
    <col min="3840" max="3840" width="11.140625" style="21" customWidth="1"/>
    <col min="3841" max="3841" width="2.85546875" style="21" customWidth="1"/>
    <col min="3842" max="3842" width="3.5703125" style="21" customWidth="1"/>
    <col min="3843" max="4087" width="9.140625" style="21"/>
    <col min="4088" max="4088" width="8.7109375" style="21" customWidth="1"/>
    <col min="4089" max="4089" width="9.85546875" style="21" customWidth="1"/>
    <col min="4090" max="4090" width="14.42578125" style="21" customWidth="1"/>
    <col min="4091" max="4091" width="7.28515625" style="21" customWidth="1"/>
    <col min="4092" max="4092" width="5.5703125" style="21" customWidth="1"/>
    <col min="4093" max="4093" width="9" style="21" customWidth="1"/>
    <col min="4094" max="4095" width="9.85546875" style="21" customWidth="1"/>
    <col min="4096" max="4096" width="11.140625" style="21" customWidth="1"/>
    <col min="4097" max="4097" width="2.85546875" style="21" customWidth="1"/>
    <col min="4098" max="4098" width="3.5703125" style="21" customWidth="1"/>
    <col min="4099" max="4343" width="9.140625" style="21"/>
    <col min="4344" max="4344" width="8.7109375" style="21" customWidth="1"/>
    <col min="4345" max="4345" width="9.85546875" style="21" customWidth="1"/>
    <col min="4346" max="4346" width="14.42578125" style="21" customWidth="1"/>
    <col min="4347" max="4347" width="7.28515625" style="21" customWidth="1"/>
    <col min="4348" max="4348" width="5.5703125" style="21" customWidth="1"/>
    <col min="4349" max="4349" width="9" style="21" customWidth="1"/>
    <col min="4350" max="4351" width="9.85546875" style="21" customWidth="1"/>
    <col min="4352" max="4352" width="11.140625" style="21" customWidth="1"/>
    <col min="4353" max="4353" width="2.85546875" style="21" customWidth="1"/>
    <col min="4354" max="4354" width="3.5703125" style="21" customWidth="1"/>
    <col min="4355" max="4599" width="9.140625" style="21"/>
    <col min="4600" max="4600" width="8.7109375" style="21" customWidth="1"/>
    <col min="4601" max="4601" width="9.85546875" style="21" customWidth="1"/>
    <col min="4602" max="4602" width="14.42578125" style="21" customWidth="1"/>
    <col min="4603" max="4603" width="7.28515625" style="21" customWidth="1"/>
    <col min="4604" max="4604" width="5.5703125" style="21" customWidth="1"/>
    <col min="4605" max="4605" width="9" style="21" customWidth="1"/>
    <col min="4606" max="4607" width="9.85546875" style="21" customWidth="1"/>
    <col min="4608" max="4608" width="11.140625" style="21" customWidth="1"/>
    <col min="4609" max="4609" width="2.85546875" style="21" customWidth="1"/>
    <col min="4610" max="4610" width="3.5703125" style="21" customWidth="1"/>
    <col min="4611" max="4855" width="9.140625" style="21"/>
    <col min="4856" max="4856" width="8.7109375" style="21" customWidth="1"/>
    <col min="4857" max="4857" width="9.85546875" style="21" customWidth="1"/>
    <col min="4858" max="4858" width="14.42578125" style="21" customWidth="1"/>
    <col min="4859" max="4859" width="7.28515625" style="21" customWidth="1"/>
    <col min="4860" max="4860" width="5.5703125" style="21" customWidth="1"/>
    <col min="4861" max="4861" width="9" style="21" customWidth="1"/>
    <col min="4862" max="4863" width="9.85546875" style="21" customWidth="1"/>
    <col min="4864" max="4864" width="11.140625" style="21" customWidth="1"/>
    <col min="4865" max="4865" width="2.85546875" style="21" customWidth="1"/>
    <col min="4866" max="4866" width="3.5703125" style="21" customWidth="1"/>
    <col min="4867" max="5111" width="9.140625" style="21"/>
    <col min="5112" max="5112" width="8.7109375" style="21" customWidth="1"/>
    <col min="5113" max="5113" width="9.85546875" style="21" customWidth="1"/>
    <col min="5114" max="5114" width="14.42578125" style="21" customWidth="1"/>
    <col min="5115" max="5115" width="7.28515625" style="21" customWidth="1"/>
    <col min="5116" max="5116" width="5.5703125" style="21" customWidth="1"/>
    <col min="5117" max="5117" width="9" style="21" customWidth="1"/>
    <col min="5118" max="5119" width="9.85546875" style="21" customWidth="1"/>
    <col min="5120" max="5120" width="11.140625" style="21" customWidth="1"/>
    <col min="5121" max="5121" width="2.85546875" style="21" customWidth="1"/>
    <col min="5122" max="5122" width="3.5703125" style="21" customWidth="1"/>
    <col min="5123" max="5367" width="9.140625" style="21"/>
    <col min="5368" max="5368" width="8.7109375" style="21" customWidth="1"/>
    <col min="5369" max="5369" width="9.85546875" style="21" customWidth="1"/>
    <col min="5370" max="5370" width="14.42578125" style="21" customWidth="1"/>
    <col min="5371" max="5371" width="7.28515625" style="21" customWidth="1"/>
    <col min="5372" max="5372" width="5.5703125" style="21" customWidth="1"/>
    <col min="5373" max="5373" width="9" style="21" customWidth="1"/>
    <col min="5374" max="5375" width="9.85546875" style="21" customWidth="1"/>
    <col min="5376" max="5376" width="11.140625" style="21" customWidth="1"/>
    <col min="5377" max="5377" width="2.85546875" style="21" customWidth="1"/>
    <col min="5378" max="5378" width="3.5703125" style="21" customWidth="1"/>
    <col min="5379" max="5623" width="9.140625" style="21"/>
    <col min="5624" max="5624" width="8.7109375" style="21" customWidth="1"/>
    <col min="5625" max="5625" width="9.85546875" style="21" customWidth="1"/>
    <col min="5626" max="5626" width="14.42578125" style="21" customWidth="1"/>
    <col min="5627" max="5627" width="7.28515625" style="21" customWidth="1"/>
    <col min="5628" max="5628" width="5.5703125" style="21" customWidth="1"/>
    <col min="5629" max="5629" width="9" style="21" customWidth="1"/>
    <col min="5630" max="5631" width="9.85546875" style="21" customWidth="1"/>
    <col min="5632" max="5632" width="11.140625" style="21" customWidth="1"/>
    <col min="5633" max="5633" width="2.85546875" style="21" customWidth="1"/>
    <col min="5634" max="5634" width="3.5703125" style="21" customWidth="1"/>
    <col min="5635" max="5879" width="9.140625" style="21"/>
    <col min="5880" max="5880" width="8.7109375" style="21" customWidth="1"/>
    <col min="5881" max="5881" width="9.85546875" style="21" customWidth="1"/>
    <col min="5882" max="5882" width="14.42578125" style="21" customWidth="1"/>
    <col min="5883" max="5883" width="7.28515625" style="21" customWidth="1"/>
    <col min="5884" max="5884" width="5.5703125" style="21" customWidth="1"/>
    <col min="5885" max="5885" width="9" style="21" customWidth="1"/>
    <col min="5886" max="5887" width="9.85546875" style="21" customWidth="1"/>
    <col min="5888" max="5888" width="11.140625" style="21" customWidth="1"/>
    <col min="5889" max="5889" width="2.85546875" style="21" customWidth="1"/>
    <col min="5890" max="5890" width="3.5703125" style="21" customWidth="1"/>
    <col min="5891" max="6135" width="9.140625" style="21"/>
    <col min="6136" max="6136" width="8.7109375" style="21" customWidth="1"/>
    <col min="6137" max="6137" width="9.85546875" style="21" customWidth="1"/>
    <col min="6138" max="6138" width="14.42578125" style="21" customWidth="1"/>
    <col min="6139" max="6139" width="7.28515625" style="21" customWidth="1"/>
    <col min="6140" max="6140" width="5.5703125" style="21" customWidth="1"/>
    <col min="6141" max="6141" width="9" style="21" customWidth="1"/>
    <col min="6142" max="6143" width="9.85546875" style="21" customWidth="1"/>
    <col min="6144" max="6144" width="11.140625" style="21" customWidth="1"/>
    <col min="6145" max="6145" width="2.85546875" style="21" customWidth="1"/>
    <col min="6146" max="6146" width="3.5703125" style="21" customWidth="1"/>
    <col min="6147" max="6391" width="9.140625" style="21"/>
    <col min="6392" max="6392" width="8.7109375" style="21" customWidth="1"/>
    <col min="6393" max="6393" width="9.85546875" style="21" customWidth="1"/>
    <col min="6394" max="6394" width="14.42578125" style="21" customWidth="1"/>
    <col min="6395" max="6395" width="7.28515625" style="21" customWidth="1"/>
    <col min="6396" max="6396" width="5.5703125" style="21" customWidth="1"/>
    <col min="6397" max="6397" width="9" style="21" customWidth="1"/>
    <col min="6398" max="6399" width="9.85546875" style="21" customWidth="1"/>
    <col min="6400" max="6400" width="11.140625" style="21" customWidth="1"/>
    <col min="6401" max="6401" width="2.85546875" style="21" customWidth="1"/>
    <col min="6402" max="6402" width="3.5703125" style="21" customWidth="1"/>
    <col min="6403" max="6647" width="9.140625" style="21"/>
    <col min="6648" max="6648" width="8.7109375" style="21" customWidth="1"/>
    <col min="6649" max="6649" width="9.85546875" style="21" customWidth="1"/>
    <col min="6650" max="6650" width="14.42578125" style="21" customWidth="1"/>
    <col min="6651" max="6651" width="7.28515625" style="21" customWidth="1"/>
    <col min="6652" max="6652" width="5.5703125" style="21" customWidth="1"/>
    <col min="6653" max="6653" width="9" style="21" customWidth="1"/>
    <col min="6654" max="6655" width="9.85546875" style="21" customWidth="1"/>
    <col min="6656" max="6656" width="11.140625" style="21" customWidth="1"/>
    <col min="6657" max="6657" width="2.85546875" style="21" customWidth="1"/>
    <col min="6658" max="6658" width="3.5703125" style="21" customWidth="1"/>
    <col min="6659" max="6903" width="9.140625" style="21"/>
    <col min="6904" max="6904" width="8.7109375" style="21" customWidth="1"/>
    <col min="6905" max="6905" width="9.85546875" style="21" customWidth="1"/>
    <col min="6906" max="6906" width="14.42578125" style="21" customWidth="1"/>
    <col min="6907" max="6907" width="7.28515625" style="21" customWidth="1"/>
    <col min="6908" max="6908" width="5.5703125" style="21" customWidth="1"/>
    <col min="6909" max="6909" width="9" style="21" customWidth="1"/>
    <col min="6910" max="6911" width="9.85546875" style="21" customWidth="1"/>
    <col min="6912" max="6912" width="11.140625" style="21" customWidth="1"/>
    <col min="6913" max="6913" width="2.85546875" style="21" customWidth="1"/>
    <col min="6914" max="6914" width="3.5703125" style="21" customWidth="1"/>
    <col min="6915" max="7159" width="9.140625" style="21"/>
    <col min="7160" max="7160" width="8.7109375" style="21" customWidth="1"/>
    <col min="7161" max="7161" width="9.85546875" style="21" customWidth="1"/>
    <col min="7162" max="7162" width="14.42578125" style="21" customWidth="1"/>
    <col min="7163" max="7163" width="7.28515625" style="21" customWidth="1"/>
    <col min="7164" max="7164" width="5.5703125" style="21" customWidth="1"/>
    <col min="7165" max="7165" width="9" style="21" customWidth="1"/>
    <col min="7166" max="7167" width="9.85546875" style="21" customWidth="1"/>
    <col min="7168" max="7168" width="11.140625" style="21" customWidth="1"/>
    <col min="7169" max="7169" width="2.85546875" style="21" customWidth="1"/>
    <col min="7170" max="7170" width="3.5703125" style="21" customWidth="1"/>
    <col min="7171" max="7415" width="9.140625" style="21"/>
    <col min="7416" max="7416" width="8.7109375" style="21" customWidth="1"/>
    <col min="7417" max="7417" width="9.85546875" style="21" customWidth="1"/>
    <col min="7418" max="7418" width="14.42578125" style="21" customWidth="1"/>
    <col min="7419" max="7419" width="7.28515625" style="21" customWidth="1"/>
    <col min="7420" max="7420" width="5.5703125" style="21" customWidth="1"/>
    <col min="7421" max="7421" width="9" style="21" customWidth="1"/>
    <col min="7422" max="7423" width="9.85546875" style="21" customWidth="1"/>
    <col min="7424" max="7424" width="11.140625" style="21" customWidth="1"/>
    <col min="7425" max="7425" width="2.85546875" style="21" customWidth="1"/>
    <col min="7426" max="7426" width="3.5703125" style="21" customWidth="1"/>
    <col min="7427" max="7671" width="9.140625" style="21"/>
    <col min="7672" max="7672" width="8.7109375" style="21" customWidth="1"/>
    <col min="7673" max="7673" width="9.85546875" style="21" customWidth="1"/>
    <col min="7674" max="7674" width="14.42578125" style="21" customWidth="1"/>
    <col min="7675" max="7675" width="7.28515625" style="21" customWidth="1"/>
    <col min="7676" max="7676" width="5.5703125" style="21" customWidth="1"/>
    <col min="7677" max="7677" width="9" style="21" customWidth="1"/>
    <col min="7678" max="7679" width="9.85546875" style="21" customWidth="1"/>
    <col min="7680" max="7680" width="11.140625" style="21" customWidth="1"/>
    <col min="7681" max="7681" width="2.85546875" style="21" customWidth="1"/>
    <col min="7682" max="7682" width="3.5703125" style="21" customWidth="1"/>
    <col min="7683" max="7927" width="9.140625" style="21"/>
    <col min="7928" max="7928" width="8.7109375" style="21" customWidth="1"/>
    <col min="7929" max="7929" width="9.85546875" style="21" customWidth="1"/>
    <col min="7930" max="7930" width="14.42578125" style="21" customWidth="1"/>
    <col min="7931" max="7931" width="7.28515625" style="21" customWidth="1"/>
    <col min="7932" max="7932" width="5.5703125" style="21" customWidth="1"/>
    <col min="7933" max="7933" width="9" style="21" customWidth="1"/>
    <col min="7934" max="7935" width="9.85546875" style="21" customWidth="1"/>
    <col min="7936" max="7936" width="11.140625" style="21" customWidth="1"/>
    <col min="7937" max="7937" width="2.85546875" style="21" customWidth="1"/>
    <col min="7938" max="7938" width="3.5703125" style="21" customWidth="1"/>
    <col min="7939" max="8183" width="9.140625" style="21"/>
    <col min="8184" max="8184" width="8.7109375" style="21" customWidth="1"/>
    <col min="8185" max="8185" width="9.85546875" style="21" customWidth="1"/>
    <col min="8186" max="8186" width="14.42578125" style="21" customWidth="1"/>
    <col min="8187" max="8187" width="7.28515625" style="21" customWidth="1"/>
    <col min="8188" max="8188" width="5.5703125" style="21" customWidth="1"/>
    <col min="8189" max="8189" width="9" style="21" customWidth="1"/>
    <col min="8190" max="8191" width="9.85546875" style="21" customWidth="1"/>
    <col min="8192" max="8192" width="11.140625" style="21" customWidth="1"/>
    <col min="8193" max="8193" width="2.85546875" style="21" customWidth="1"/>
    <col min="8194" max="8194" width="3.5703125" style="21" customWidth="1"/>
    <col min="8195" max="8439" width="9.140625" style="21"/>
    <col min="8440" max="8440" width="8.7109375" style="21" customWidth="1"/>
    <col min="8441" max="8441" width="9.85546875" style="21" customWidth="1"/>
    <col min="8442" max="8442" width="14.42578125" style="21" customWidth="1"/>
    <col min="8443" max="8443" width="7.28515625" style="21" customWidth="1"/>
    <col min="8444" max="8444" width="5.5703125" style="21" customWidth="1"/>
    <col min="8445" max="8445" width="9" style="21" customWidth="1"/>
    <col min="8446" max="8447" width="9.85546875" style="21" customWidth="1"/>
    <col min="8448" max="8448" width="11.140625" style="21" customWidth="1"/>
    <col min="8449" max="8449" width="2.85546875" style="21" customWidth="1"/>
    <col min="8450" max="8450" width="3.5703125" style="21" customWidth="1"/>
    <col min="8451" max="8695" width="9.140625" style="21"/>
    <col min="8696" max="8696" width="8.7109375" style="21" customWidth="1"/>
    <col min="8697" max="8697" width="9.85546875" style="21" customWidth="1"/>
    <col min="8698" max="8698" width="14.42578125" style="21" customWidth="1"/>
    <col min="8699" max="8699" width="7.28515625" style="21" customWidth="1"/>
    <col min="8700" max="8700" width="5.5703125" style="21" customWidth="1"/>
    <col min="8701" max="8701" width="9" style="21" customWidth="1"/>
    <col min="8702" max="8703" width="9.85546875" style="21" customWidth="1"/>
    <col min="8704" max="8704" width="11.140625" style="21" customWidth="1"/>
    <col min="8705" max="8705" width="2.85546875" style="21" customWidth="1"/>
    <col min="8706" max="8706" width="3.5703125" style="21" customWidth="1"/>
    <col min="8707" max="8951" width="9.140625" style="21"/>
    <col min="8952" max="8952" width="8.7109375" style="21" customWidth="1"/>
    <col min="8953" max="8953" width="9.85546875" style="21" customWidth="1"/>
    <col min="8954" max="8954" width="14.42578125" style="21" customWidth="1"/>
    <col min="8955" max="8955" width="7.28515625" style="21" customWidth="1"/>
    <col min="8956" max="8956" width="5.5703125" style="21" customWidth="1"/>
    <col min="8957" max="8957" width="9" style="21" customWidth="1"/>
    <col min="8958" max="8959" width="9.85546875" style="21" customWidth="1"/>
    <col min="8960" max="8960" width="11.140625" style="21" customWidth="1"/>
    <col min="8961" max="8961" width="2.85546875" style="21" customWidth="1"/>
    <col min="8962" max="8962" width="3.5703125" style="21" customWidth="1"/>
    <col min="8963" max="9207" width="9.140625" style="21"/>
    <col min="9208" max="9208" width="8.7109375" style="21" customWidth="1"/>
    <col min="9209" max="9209" width="9.85546875" style="21" customWidth="1"/>
    <col min="9210" max="9210" width="14.42578125" style="21" customWidth="1"/>
    <col min="9211" max="9211" width="7.28515625" style="21" customWidth="1"/>
    <col min="9212" max="9212" width="5.5703125" style="21" customWidth="1"/>
    <col min="9213" max="9213" width="9" style="21" customWidth="1"/>
    <col min="9214" max="9215" width="9.85546875" style="21" customWidth="1"/>
    <col min="9216" max="9216" width="11.140625" style="21" customWidth="1"/>
    <col min="9217" max="9217" width="2.85546875" style="21" customWidth="1"/>
    <col min="9218" max="9218" width="3.5703125" style="21" customWidth="1"/>
    <col min="9219" max="9463" width="9.140625" style="21"/>
    <col min="9464" max="9464" width="8.7109375" style="21" customWidth="1"/>
    <col min="9465" max="9465" width="9.85546875" style="21" customWidth="1"/>
    <col min="9466" max="9466" width="14.42578125" style="21" customWidth="1"/>
    <col min="9467" max="9467" width="7.28515625" style="21" customWidth="1"/>
    <col min="9468" max="9468" width="5.5703125" style="21" customWidth="1"/>
    <col min="9469" max="9469" width="9" style="21" customWidth="1"/>
    <col min="9470" max="9471" width="9.85546875" style="21" customWidth="1"/>
    <col min="9472" max="9472" width="11.140625" style="21" customWidth="1"/>
    <col min="9473" max="9473" width="2.85546875" style="21" customWidth="1"/>
    <col min="9474" max="9474" width="3.5703125" style="21" customWidth="1"/>
    <col min="9475" max="9719" width="9.140625" style="21"/>
    <col min="9720" max="9720" width="8.7109375" style="21" customWidth="1"/>
    <col min="9721" max="9721" width="9.85546875" style="21" customWidth="1"/>
    <col min="9722" max="9722" width="14.42578125" style="21" customWidth="1"/>
    <col min="9723" max="9723" width="7.28515625" style="21" customWidth="1"/>
    <col min="9724" max="9724" width="5.5703125" style="21" customWidth="1"/>
    <col min="9725" max="9725" width="9" style="21" customWidth="1"/>
    <col min="9726" max="9727" width="9.85546875" style="21" customWidth="1"/>
    <col min="9728" max="9728" width="11.140625" style="21" customWidth="1"/>
    <col min="9729" max="9729" width="2.85546875" style="21" customWidth="1"/>
    <col min="9730" max="9730" width="3.5703125" style="21" customWidth="1"/>
    <col min="9731" max="9975" width="9.140625" style="21"/>
    <col min="9976" max="9976" width="8.7109375" style="21" customWidth="1"/>
    <col min="9977" max="9977" width="9.85546875" style="21" customWidth="1"/>
    <col min="9978" max="9978" width="14.42578125" style="21" customWidth="1"/>
    <col min="9979" max="9979" width="7.28515625" style="21" customWidth="1"/>
    <col min="9980" max="9980" width="5.5703125" style="21" customWidth="1"/>
    <col min="9981" max="9981" width="9" style="21" customWidth="1"/>
    <col min="9982" max="9983" width="9.85546875" style="21" customWidth="1"/>
    <col min="9984" max="9984" width="11.140625" style="21" customWidth="1"/>
    <col min="9985" max="9985" width="2.85546875" style="21" customWidth="1"/>
    <col min="9986" max="9986" width="3.5703125" style="21" customWidth="1"/>
    <col min="9987" max="10231" width="9.140625" style="21"/>
    <col min="10232" max="10232" width="8.7109375" style="21" customWidth="1"/>
    <col min="10233" max="10233" width="9.85546875" style="21" customWidth="1"/>
    <col min="10234" max="10234" width="14.42578125" style="21" customWidth="1"/>
    <col min="10235" max="10235" width="7.28515625" style="21" customWidth="1"/>
    <col min="10236" max="10236" width="5.5703125" style="21" customWidth="1"/>
    <col min="10237" max="10237" width="9" style="21" customWidth="1"/>
    <col min="10238" max="10239" width="9.85546875" style="21" customWidth="1"/>
    <col min="10240" max="10240" width="11.140625" style="21" customWidth="1"/>
    <col min="10241" max="10241" width="2.85546875" style="21" customWidth="1"/>
    <col min="10242" max="10242" width="3.5703125" style="21" customWidth="1"/>
    <col min="10243" max="10487" width="9.140625" style="21"/>
    <col min="10488" max="10488" width="8.7109375" style="21" customWidth="1"/>
    <col min="10489" max="10489" width="9.85546875" style="21" customWidth="1"/>
    <col min="10490" max="10490" width="14.42578125" style="21" customWidth="1"/>
    <col min="10491" max="10491" width="7.28515625" style="21" customWidth="1"/>
    <col min="10492" max="10492" width="5.5703125" style="21" customWidth="1"/>
    <col min="10493" max="10493" width="9" style="21" customWidth="1"/>
    <col min="10494" max="10495" width="9.85546875" style="21" customWidth="1"/>
    <col min="10496" max="10496" width="11.140625" style="21" customWidth="1"/>
    <col min="10497" max="10497" width="2.85546875" style="21" customWidth="1"/>
    <col min="10498" max="10498" width="3.5703125" style="21" customWidth="1"/>
    <col min="10499" max="10743" width="9.140625" style="21"/>
    <col min="10744" max="10744" width="8.7109375" style="21" customWidth="1"/>
    <col min="10745" max="10745" width="9.85546875" style="21" customWidth="1"/>
    <col min="10746" max="10746" width="14.42578125" style="21" customWidth="1"/>
    <col min="10747" max="10747" width="7.28515625" style="21" customWidth="1"/>
    <col min="10748" max="10748" width="5.5703125" style="21" customWidth="1"/>
    <col min="10749" max="10749" width="9" style="21" customWidth="1"/>
    <col min="10750" max="10751" width="9.85546875" style="21" customWidth="1"/>
    <col min="10752" max="10752" width="11.140625" style="21" customWidth="1"/>
    <col min="10753" max="10753" width="2.85546875" style="21" customWidth="1"/>
    <col min="10754" max="10754" width="3.5703125" style="21" customWidth="1"/>
    <col min="10755" max="10999" width="9.140625" style="21"/>
    <col min="11000" max="11000" width="8.7109375" style="21" customWidth="1"/>
    <col min="11001" max="11001" width="9.85546875" style="21" customWidth="1"/>
    <col min="11002" max="11002" width="14.42578125" style="21" customWidth="1"/>
    <col min="11003" max="11003" width="7.28515625" style="21" customWidth="1"/>
    <col min="11004" max="11004" width="5.5703125" style="21" customWidth="1"/>
    <col min="11005" max="11005" width="9" style="21" customWidth="1"/>
    <col min="11006" max="11007" width="9.85546875" style="21" customWidth="1"/>
    <col min="11008" max="11008" width="11.140625" style="21" customWidth="1"/>
    <col min="11009" max="11009" width="2.85546875" style="21" customWidth="1"/>
    <col min="11010" max="11010" width="3.5703125" style="21" customWidth="1"/>
    <col min="11011" max="11255" width="9.140625" style="21"/>
    <col min="11256" max="11256" width="8.7109375" style="21" customWidth="1"/>
    <col min="11257" max="11257" width="9.85546875" style="21" customWidth="1"/>
    <col min="11258" max="11258" width="14.42578125" style="21" customWidth="1"/>
    <col min="11259" max="11259" width="7.28515625" style="21" customWidth="1"/>
    <col min="11260" max="11260" width="5.5703125" style="21" customWidth="1"/>
    <col min="11261" max="11261" width="9" style="21" customWidth="1"/>
    <col min="11262" max="11263" width="9.85546875" style="21" customWidth="1"/>
    <col min="11264" max="11264" width="11.140625" style="21" customWidth="1"/>
    <col min="11265" max="11265" width="2.85546875" style="21" customWidth="1"/>
    <col min="11266" max="11266" width="3.5703125" style="21" customWidth="1"/>
    <col min="11267" max="11511" width="9.140625" style="21"/>
    <col min="11512" max="11512" width="8.7109375" style="21" customWidth="1"/>
    <col min="11513" max="11513" width="9.85546875" style="21" customWidth="1"/>
    <col min="11514" max="11514" width="14.42578125" style="21" customWidth="1"/>
    <col min="11515" max="11515" width="7.28515625" style="21" customWidth="1"/>
    <col min="11516" max="11516" width="5.5703125" style="21" customWidth="1"/>
    <col min="11517" max="11517" width="9" style="21" customWidth="1"/>
    <col min="11518" max="11519" width="9.85546875" style="21" customWidth="1"/>
    <col min="11520" max="11520" width="11.140625" style="21" customWidth="1"/>
    <col min="11521" max="11521" width="2.85546875" style="21" customWidth="1"/>
    <col min="11522" max="11522" width="3.5703125" style="21" customWidth="1"/>
    <col min="11523" max="11767" width="9.140625" style="21"/>
    <col min="11768" max="11768" width="8.7109375" style="21" customWidth="1"/>
    <col min="11769" max="11769" width="9.85546875" style="21" customWidth="1"/>
    <col min="11770" max="11770" width="14.42578125" style="21" customWidth="1"/>
    <col min="11771" max="11771" width="7.28515625" style="21" customWidth="1"/>
    <col min="11772" max="11772" width="5.5703125" style="21" customWidth="1"/>
    <col min="11773" max="11773" width="9" style="21" customWidth="1"/>
    <col min="11774" max="11775" width="9.85546875" style="21" customWidth="1"/>
    <col min="11776" max="11776" width="11.140625" style="21" customWidth="1"/>
    <col min="11777" max="11777" width="2.85546875" style="21" customWidth="1"/>
    <col min="11778" max="11778" width="3.5703125" style="21" customWidth="1"/>
    <col min="11779" max="12023" width="9.140625" style="21"/>
    <col min="12024" max="12024" width="8.7109375" style="21" customWidth="1"/>
    <col min="12025" max="12025" width="9.85546875" style="21" customWidth="1"/>
    <col min="12026" max="12026" width="14.42578125" style="21" customWidth="1"/>
    <col min="12027" max="12027" width="7.28515625" style="21" customWidth="1"/>
    <col min="12028" max="12028" width="5.5703125" style="21" customWidth="1"/>
    <col min="12029" max="12029" width="9" style="21" customWidth="1"/>
    <col min="12030" max="12031" width="9.85546875" style="21" customWidth="1"/>
    <col min="12032" max="12032" width="11.140625" style="21" customWidth="1"/>
    <col min="12033" max="12033" width="2.85546875" style="21" customWidth="1"/>
    <col min="12034" max="12034" width="3.5703125" style="21" customWidth="1"/>
    <col min="12035" max="12279" width="9.140625" style="21"/>
    <col min="12280" max="12280" width="8.7109375" style="21" customWidth="1"/>
    <col min="12281" max="12281" width="9.85546875" style="21" customWidth="1"/>
    <col min="12282" max="12282" width="14.42578125" style="21" customWidth="1"/>
    <col min="12283" max="12283" width="7.28515625" style="21" customWidth="1"/>
    <col min="12284" max="12284" width="5.5703125" style="21" customWidth="1"/>
    <col min="12285" max="12285" width="9" style="21" customWidth="1"/>
    <col min="12286" max="12287" width="9.85546875" style="21" customWidth="1"/>
    <col min="12288" max="12288" width="11.140625" style="21" customWidth="1"/>
    <col min="12289" max="12289" width="2.85546875" style="21" customWidth="1"/>
    <col min="12290" max="12290" width="3.5703125" style="21" customWidth="1"/>
    <col min="12291" max="12535" width="9.140625" style="21"/>
    <col min="12536" max="12536" width="8.7109375" style="21" customWidth="1"/>
    <col min="12537" max="12537" width="9.85546875" style="21" customWidth="1"/>
    <col min="12538" max="12538" width="14.42578125" style="21" customWidth="1"/>
    <col min="12539" max="12539" width="7.28515625" style="21" customWidth="1"/>
    <col min="12540" max="12540" width="5.5703125" style="21" customWidth="1"/>
    <col min="12541" max="12541" width="9" style="21" customWidth="1"/>
    <col min="12542" max="12543" width="9.85546875" style="21" customWidth="1"/>
    <col min="12544" max="12544" width="11.140625" style="21" customWidth="1"/>
    <col min="12545" max="12545" width="2.85546875" style="21" customWidth="1"/>
    <col min="12546" max="12546" width="3.5703125" style="21" customWidth="1"/>
    <col min="12547" max="12791" width="9.140625" style="21"/>
    <col min="12792" max="12792" width="8.7109375" style="21" customWidth="1"/>
    <col min="12793" max="12793" width="9.85546875" style="21" customWidth="1"/>
    <col min="12794" max="12794" width="14.42578125" style="21" customWidth="1"/>
    <col min="12795" max="12795" width="7.28515625" style="21" customWidth="1"/>
    <col min="12796" max="12796" width="5.5703125" style="21" customWidth="1"/>
    <col min="12797" max="12797" width="9" style="21" customWidth="1"/>
    <col min="12798" max="12799" width="9.85546875" style="21" customWidth="1"/>
    <col min="12800" max="12800" width="11.140625" style="21" customWidth="1"/>
    <col min="12801" max="12801" width="2.85546875" style="21" customWidth="1"/>
    <col min="12802" max="12802" width="3.5703125" style="21" customWidth="1"/>
    <col min="12803" max="13047" width="9.140625" style="21"/>
    <col min="13048" max="13048" width="8.7109375" style="21" customWidth="1"/>
    <col min="13049" max="13049" width="9.85546875" style="21" customWidth="1"/>
    <col min="13050" max="13050" width="14.42578125" style="21" customWidth="1"/>
    <col min="13051" max="13051" width="7.28515625" style="21" customWidth="1"/>
    <col min="13052" max="13052" width="5.5703125" style="21" customWidth="1"/>
    <col min="13053" max="13053" width="9" style="21" customWidth="1"/>
    <col min="13054" max="13055" width="9.85546875" style="21" customWidth="1"/>
    <col min="13056" max="13056" width="11.140625" style="21" customWidth="1"/>
    <col min="13057" max="13057" width="2.85546875" style="21" customWidth="1"/>
    <col min="13058" max="13058" width="3.5703125" style="21" customWidth="1"/>
    <col min="13059" max="13303" width="9.140625" style="21"/>
    <col min="13304" max="13304" width="8.7109375" style="21" customWidth="1"/>
    <col min="13305" max="13305" width="9.85546875" style="21" customWidth="1"/>
    <col min="13306" max="13306" width="14.42578125" style="21" customWidth="1"/>
    <col min="13307" max="13307" width="7.28515625" style="21" customWidth="1"/>
    <col min="13308" max="13308" width="5.5703125" style="21" customWidth="1"/>
    <col min="13309" max="13309" width="9" style="21" customWidth="1"/>
    <col min="13310" max="13311" width="9.85546875" style="21" customWidth="1"/>
    <col min="13312" max="13312" width="11.140625" style="21" customWidth="1"/>
    <col min="13313" max="13313" width="2.85546875" style="21" customWidth="1"/>
    <col min="13314" max="13314" width="3.5703125" style="21" customWidth="1"/>
    <col min="13315" max="13559" width="9.140625" style="21"/>
    <col min="13560" max="13560" width="8.7109375" style="21" customWidth="1"/>
    <col min="13561" max="13561" width="9.85546875" style="21" customWidth="1"/>
    <col min="13562" max="13562" width="14.42578125" style="21" customWidth="1"/>
    <col min="13563" max="13563" width="7.28515625" style="21" customWidth="1"/>
    <col min="13564" max="13564" width="5.5703125" style="21" customWidth="1"/>
    <col min="13565" max="13565" width="9" style="21" customWidth="1"/>
    <col min="13566" max="13567" width="9.85546875" style="21" customWidth="1"/>
    <col min="13568" max="13568" width="11.140625" style="21" customWidth="1"/>
    <col min="13569" max="13569" width="2.85546875" style="21" customWidth="1"/>
    <col min="13570" max="13570" width="3.5703125" style="21" customWidth="1"/>
    <col min="13571" max="13815" width="9.140625" style="21"/>
    <col min="13816" max="13816" width="8.7109375" style="21" customWidth="1"/>
    <col min="13817" max="13817" width="9.85546875" style="21" customWidth="1"/>
    <col min="13818" max="13818" width="14.42578125" style="21" customWidth="1"/>
    <col min="13819" max="13819" width="7.28515625" style="21" customWidth="1"/>
    <col min="13820" max="13820" width="5.5703125" style="21" customWidth="1"/>
    <col min="13821" max="13821" width="9" style="21" customWidth="1"/>
    <col min="13822" max="13823" width="9.85546875" style="21" customWidth="1"/>
    <col min="13824" max="13824" width="11.140625" style="21" customWidth="1"/>
    <col min="13825" max="13825" width="2.85546875" style="21" customWidth="1"/>
    <col min="13826" max="13826" width="3.5703125" style="21" customWidth="1"/>
    <col min="13827" max="14071" width="9.140625" style="21"/>
    <col min="14072" max="14072" width="8.7109375" style="21" customWidth="1"/>
    <col min="14073" max="14073" width="9.85546875" style="21" customWidth="1"/>
    <col min="14074" max="14074" width="14.42578125" style="21" customWidth="1"/>
    <col min="14075" max="14075" width="7.28515625" style="21" customWidth="1"/>
    <col min="14076" max="14076" width="5.5703125" style="21" customWidth="1"/>
    <col min="14077" max="14077" width="9" style="21" customWidth="1"/>
    <col min="14078" max="14079" width="9.85546875" style="21" customWidth="1"/>
    <col min="14080" max="14080" width="11.140625" style="21" customWidth="1"/>
    <col min="14081" max="14081" width="2.85546875" style="21" customWidth="1"/>
    <col min="14082" max="14082" width="3.5703125" style="21" customWidth="1"/>
    <col min="14083" max="14327" width="9.140625" style="21"/>
    <col min="14328" max="14328" width="8.7109375" style="21" customWidth="1"/>
    <col min="14329" max="14329" width="9.85546875" style="21" customWidth="1"/>
    <col min="14330" max="14330" width="14.42578125" style="21" customWidth="1"/>
    <col min="14331" max="14331" width="7.28515625" style="21" customWidth="1"/>
    <col min="14332" max="14332" width="5.5703125" style="21" customWidth="1"/>
    <col min="14333" max="14333" width="9" style="21" customWidth="1"/>
    <col min="14334" max="14335" width="9.85546875" style="21" customWidth="1"/>
    <col min="14336" max="14336" width="11.140625" style="21" customWidth="1"/>
    <col min="14337" max="14337" width="2.85546875" style="21" customWidth="1"/>
    <col min="14338" max="14338" width="3.5703125" style="21" customWidth="1"/>
    <col min="14339" max="14583" width="9.140625" style="21"/>
    <col min="14584" max="14584" width="8.7109375" style="21" customWidth="1"/>
    <col min="14585" max="14585" width="9.85546875" style="21" customWidth="1"/>
    <col min="14586" max="14586" width="14.42578125" style="21" customWidth="1"/>
    <col min="14587" max="14587" width="7.28515625" style="21" customWidth="1"/>
    <col min="14588" max="14588" width="5.5703125" style="21" customWidth="1"/>
    <col min="14589" max="14589" width="9" style="21" customWidth="1"/>
    <col min="14590" max="14591" width="9.85546875" style="21" customWidth="1"/>
    <col min="14592" max="14592" width="11.140625" style="21" customWidth="1"/>
    <col min="14593" max="14593" width="2.85546875" style="21" customWidth="1"/>
    <col min="14594" max="14594" width="3.5703125" style="21" customWidth="1"/>
    <col min="14595" max="14839" width="9.140625" style="21"/>
    <col min="14840" max="14840" width="8.7109375" style="21" customWidth="1"/>
    <col min="14841" max="14841" width="9.85546875" style="21" customWidth="1"/>
    <col min="14842" max="14842" width="14.42578125" style="21" customWidth="1"/>
    <col min="14843" max="14843" width="7.28515625" style="21" customWidth="1"/>
    <col min="14844" max="14844" width="5.5703125" style="21" customWidth="1"/>
    <col min="14845" max="14845" width="9" style="21" customWidth="1"/>
    <col min="14846" max="14847" width="9.85546875" style="21" customWidth="1"/>
    <col min="14848" max="14848" width="11.140625" style="21" customWidth="1"/>
    <col min="14849" max="14849" width="2.85546875" style="21" customWidth="1"/>
    <col min="14850" max="14850" width="3.5703125" style="21" customWidth="1"/>
    <col min="14851" max="15095" width="9.140625" style="21"/>
    <col min="15096" max="15096" width="8.7109375" style="21" customWidth="1"/>
    <col min="15097" max="15097" width="9.85546875" style="21" customWidth="1"/>
    <col min="15098" max="15098" width="14.42578125" style="21" customWidth="1"/>
    <col min="15099" max="15099" width="7.28515625" style="21" customWidth="1"/>
    <col min="15100" max="15100" width="5.5703125" style="21" customWidth="1"/>
    <col min="15101" max="15101" width="9" style="21" customWidth="1"/>
    <col min="15102" max="15103" width="9.85546875" style="21" customWidth="1"/>
    <col min="15104" max="15104" width="11.140625" style="21" customWidth="1"/>
    <col min="15105" max="15105" width="2.85546875" style="21" customWidth="1"/>
    <col min="15106" max="15106" width="3.5703125" style="21" customWidth="1"/>
    <col min="15107" max="15351" width="9.140625" style="21"/>
    <col min="15352" max="15352" width="8.7109375" style="21" customWidth="1"/>
    <col min="15353" max="15353" width="9.85546875" style="21" customWidth="1"/>
    <col min="15354" max="15354" width="14.42578125" style="21" customWidth="1"/>
    <col min="15355" max="15355" width="7.28515625" style="21" customWidth="1"/>
    <col min="15356" max="15356" width="5.5703125" style="21" customWidth="1"/>
    <col min="15357" max="15357" width="9" style="21" customWidth="1"/>
    <col min="15358" max="15359" width="9.85546875" style="21" customWidth="1"/>
    <col min="15360" max="15360" width="11.140625" style="21" customWidth="1"/>
    <col min="15361" max="15361" width="2.85546875" style="21" customWidth="1"/>
    <col min="15362" max="15362" width="3.5703125" style="21" customWidth="1"/>
    <col min="15363" max="15607" width="9.140625" style="21"/>
    <col min="15608" max="15608" width="8.7109375" style="21" customWidth="1"/>
    <col min="15609" max="15609" width="9.85546875" style="21" customWidth="1"/>
    <col min="15610" max="15610" width="14.42578125" style="21" customWidth="1"/>
    <col min="15611" max="15611" width="7.28515625" style="21" customWidth="1"/>
    <col min="15612" max="15612" width="5.5703125" style="21" customWidth="1"/>
    <col min="15613" max="15613" width="9" style="21" customWidth="1"/>
    <col min="15614" max="15615" width="9.85546875" style="21" customWidth="1"/>
    <col min="15616" max="15616" width="11.140625" style="21" customWidth="1"/>
    <col min="15617" max="15617" width="2.85546875" style="21" customWidth="1"/>
    <col min="15618" max="15618" width="3.5703125" style="21" customWidth="1"/>
    <col min="15619" max="15863" width="9.140625" style="21"/>
    <col min="15864" max="15864" width="8.7109375" style="21" customWidth="1"/>
    <col min="15865" max="15865" width="9.85546875" style="21" customWidth="1"/>
    <col min="15866" max="15866" width="14.42578125" style="21" customWidth="1"/>
    <col min="15867" max="15867" width="7.28515625" style="21" customWidth="1"/>
    <col min="15868" max="15868" width="5.5703125" style="21" customWidth="1"/>
    <col min="15869" max="15869" width="9" style="21" customWidth="1"/>
    <col min="15870" max="15871" width="9.85546875" style="21" customWidth="1"/>
    <col min="15872" max="15872" width="11.140625" style="21" customWidth="1"/>
    <col min="15873" max="15873" width="2.85546875" style="21" customWidth="1"/>
    <col min="15874" max="15874" width="3.5703125" style="21" customWidth="1"/>
    <col min="15875" max="16119" width="9.140625" style="21"/>
    <col min="16120" max="16120" width="8.7109375" style="21" customWidth="1"/>
    <col min="16121" max="16121" width="9.85546875" style="21" customWidth="1"/>
    <col min="16122" max="16122" width="14.42578125" style="21" customWidth="1"/>
    <col min="16123" max="16123" width="7.28515625" style="21" customWidth="1"/>
    <col min="16124" max="16124" width="5.5703125" style="21" customWidth="1"/>
    <col min="16125" max="16125" width="9" style="21" customWidth="1"/>
    <col min="16126" max="16127" width="9.85546875" style="21" customWidth="1"/>
    <col min="16128" max="16128" width="11.140625" style="21" customWidth="1"/>
    <col min="16129" max="16129" width="2.85546875" style="21" customWidth="1"/>
    <col min="16130" max="16130" width="3.5703125" style="21" customWidth="1"/>
    <col min="16131" max="16384" width="9.140625" style="21"/>
  </cols>
  <sheetData>
    <row r="1" spans="1:26" ht="46.5" customHeight="1" x14ac:dyDescent="0.25">
      <c r="A1" s="244" t="s">
        <v>377</v>
      </c>
      <c r="B1" s="244"/>
      <c r="C1" s="244"/>
      <c r="D1" s="244"/>
      <c r="E1" s="244"/>
      <c r="F1" s="244"/>
      <c r="G1" s="244"/>
      <c r="H1" s="244"/>
    </row>
    <row r="2" spans="1:26" ht="16.5" customHeight="1" x14ac:dyDescent="0.25">
      <c r="A2" s="245" t="s">
        <v>0</v>
      </c>
      <c r="B2" s="245"/>
      <c r="C2" s="245"/>
      <c r="D2" s="245"/>
      <c r="E2" s="245"/>
      <c r="F2" s="245"/>
      <c r="G2" s="245"/>
      <c r="H2" s="245"/>
    </row>
    <row r="3" spans="1:26" x14ac:dyDescent="0.25">
      <c r="A3" s="181" t="s">
        <v>1</v>
      </c>
      <c r="B3" s="181"/>
      <c r="C3" s="181"/>
      <c r="D3" s="181"/>
      <c r="E3" s="181" t="str">
        <f ca="1">TEXT(TODAY(),"DD/MM/YYYY")</f>
        <v>29/09/2025</v>
      </c>
      <c r="F3" s="181"/>
      <c r="G3" s="181"/>
      <c r="H3" s="181"/>
      <c r="K3" s="56" t="s">
        <v>236</v>
      </c>
      <c r="L3" s="54" t="s">
        <v>234</v>
      </c>
      <c r="M3" s="54" t="s">
        <v>239</v>
      </c>
      <c r="N3" s="54" t="s">
        <v>386</v>
      </c>
      <c r="O3" s="54" t="s">
        <v>356</v>
      </c>
      <c r="P3" s="54" t="s">
        <v>380</v>
      </c>
    </row>
    <row r="4" spans="1:26" ht="15" customHeight="1" x14ac:dyDescent="0.25">
      <c r="A4" s="181" t="s">
        <v>233</v>
      </c>
      <c r="B4" s="181"/>
      <c r="C4" s="181"/>
      <c r="D4" s="181"/>
      <c r="E4" s="188" t="s">
        <v>356</v>
      </c>
      <c r="F4" s="188"/>
      <c r="G4" s="188"/>
      <c r="H4" s="188"/>
      <c r="K4" s="53" t="s">
        <v>235</v>
      </c>
      <c r="L4" s="54" t="s">
        <v>171</v>
      </c>
      <c r="M4" s="54" t="s">
        <v>244</v>
      </c>
      <c r="N4" s="54" t="s">
        <v>387</v>
      </c>
      <c r="O4" s="54" t="s">
        <v>341</v>
      </c>
      <c r="P4" s="54" t="s">
        <v>381</v>
      </c>
    </row>
    <row r="5" spans="1:26" ht="15" customHeight="1" x14ac:dyDescent="0.25">
      <c r="A5" s="181" t="s">
        <v>2</v>
      </c>
      <c r="B5" s="181"/>
      <c r="C5" s="181"/>
      <c r="D5" s="181"/>
      <c r="E5" s="188" t="s">
        <v>343</v>
      </c>
      <c r="F5" s="188"/>
      <c r="G5" s="188"/>
      <c r="H5" s="188"/>
      <c r="K5" s="53"/>
      <c r="L5" s="54" t="s">
        <v>241</v>
      </c>
      <c r="M5" s="54" t="s">
        <v>245</v>
      </c>
      <c r="N5" s="54" t="s">
        <v>247</v>
      </c>
      <c r="O5" s="54" t="s">
        <v>342</v>
      </c>
      <c r="P5" s="54"/>
    </row>
    <row r="6" spans="1:26" x14ac:dyDescent="0.25">
      <c r="A6" s="181" t="s">
        <v>3</v>
      </c>
      <c r="B6" s="181"/>
      <c r="C6" s="181"/>
      <c r="D6" s="181"/>
      <c r="E6" s="246">
        <v>45926</v>
      </c>
      <c r="F6" s="181"/>
      <c r="G6" s="181"/>
      <c r="H6" s="181"/>
      <c r="K6" s="53"/>
      <c r="L6" s="54" t="s">
        <v>242</v>
      </c>
      <c r="M6" s="54" t="s">
        <v>354</v>
      </c>
      <c r="N6" s="54"/>
      <c r="O6" s="54" t="s">
        <v>343</v>
      </c>
      <c r="P6" s="54"/>
    </row>
    <row r="7" spans="1:26" ht="16.5" customHeight="1" x14ac:dyDescent="0.25">
      <c r="A7" s="181" t="s">
        <v>4</v>
      </c>
      <c r="B7" s="181"/>
      <c r="C7" s="181"/>
      <c r="D7" s="181"/>
      <c r="E7" s="181" t="s">
        <v>390</v>
      </c>
      <c r="F7" s="181"/>
      <c r="G7" s="181"/>
      <c r="H7" s="181"/>
      <c r="K7" s="53"/>
      <c r="L7" s="54" t="s">
        <v>243</v>
      </c>
      <c r="M7" s="54"/>
      <c r="N7" s="54"/>
      <c r="O7" s="54" t="s">
        <v>343</v>
      </c>
      <c r="P7" s="54"/>
    </row>
    <row r="8" spans="1:26" ht="15" customHeight="1" x14ac:dyDescent="0.25">
      <c r="A8" s="181" t="s">
        <v>5</v>
      </c>
      <c r="B8" s="181"/>
      <c r="C8" s="181"/>
      <c r="D8" s="181"/>
      <c r="E8" s="181" t="str">
        <f>E7</f>
        <v>Dhruv Land Developer</v>
      </c>
      <c r="F8" s="181"/>
      <c r="G8" s="181"/>
      <c r="H8" s="181"/>
      <c r="K8" s="53"/>
      <c r="L8" s="54"/>
      <c r="M8" s="54"/>
      <c r="N8" s="54"/>
      <c r="O8" s="54" t="s">
        <v>344</v>
      </c>
      <c r="P8" s="54"/>
    </row>
    <row r="9" spans="1:26" x14ac:dyDescent="0.25">
      <c r="A9" s="181" t="s">
        <v>6</v>
      </c>
      <c r="B9" s="181"/>
      <c r="C9" s="181"/>
      <c r="D9" s="181"/>
      <c r="E9" s="146" t="s">
        <v>391</v>
      </c>
      <c r="F9" s="146"/>
      <c r="G9" s="146"/>
      <c r="H9" s="146"/>
      <c r="K9" s="53"/>
      <c r="L9" s="54"/>
      <c r="M9" s="54"/>
      <c r="N9" s="54"/>
      <c r="O9" s="54" t="s">
        <v>345</v>
      </c>
      <c r="P9" s="54"/>
    </row>
    <row r="10" spans="1:26" x14ac:dyDescent="0.25">
      <c r="A10" s="181" t="s">
        <v>168</v>
      </c>
      <c r="B10" s="181"/>
      <c r="C10" s="181"/>
      <c r="D10" s="181"/>
      <c r="E10" s="181" t="s">
        <v>443</v>
      </c>
      <c r="F10" s="181"/>
      <c r="G10" s="181"/>
      <c r="H10" s="181"/>
      <c r="K10" s="53"/>
      <c r="L10" s="54"/>
      <c r="M10" s="54"/>
      <c r="N10" s="54"/>
      <c r="O10" s="54" t="s">
        <v>346</v>
      </c>
      <c r="P10" s="54"/>
    </row>
    <row r="11" spans="1:26" x14ac:dyDescent="0.25">
      <c r="A11" s="181" t="s">
        <v>169</v>
      </c>
      <c r="B11" s="181"/>
      <c r="C11" s="181"/>
      <c r="D11" s="181"/>
      <c r="E11" s="181" t="s">
        <v>444</v>
      </c>
      <c r="F11" s="181"/>
      <c r="G11" s="181"/>
      <c r="H11" s="181"/>
      <c r="I11" s="22"/>
      <c r="O11" s="54" t="s">
        <v>347</v>
      </c>
    </row>
    <row r="12" spans="1:26" x14ac:dyDescent="0.25">
      <c r="A12" s="181" t="s">
        <v>7</v>
      </c>
      <c r="B12" s="181"/>
      <c r="C12" s="181"/>
      <c r="D12" s="181"/>
      <c r="E12" s="181" t="s">
        <v>392</v>
      </c>
      <c r="F12" s="181"/>
      <c r="G12" s="181"/>
      <c r="H12" s="181"/>
    </row>
    <row r="13" spans="1:26" x14ac:dyDescent="0.25">
      <c r="A13" s="188" t="s">
        <v>172</v>
      </c>
      <c r="B13" s="188"/>
      <c r="C13" s="188"/>
      <c r="D13" s="188"/>
      <c r="E13" s="181" t="s">
        <v>28</v>
      </c>
      <c r="F13" s="181"/>
      <c r="G13" s="181"/>
      <c r="H13" s="181"/>
      <c r="S13" s="54" t="s">
        <v>180</v>
      </c>
      <c r="T13" s="54" t="s">
        <v>189</v>
      </c>
      <c r="U13" s="54" t="s">
        <v>173</v>
      </c>
      <c r="V13" s="54" t="s">
        <v>194</v>
      </c>
      <c r="W13" s="54" t="s">
        <v>212</v>
      </c>
      <c r="X13"/>
      <c r="Y13" t="s">
        <v>194</v>
      </c>
      <c r="Z13" t="e">
        <f ca="1">OFFSET($S$13,1,MATCH($G20,$S$13:$W$13,0)-1,15,1)</f>
        <v>#VALUE!</v>
      </c>
    </row>
    <row r="14" spans="1:26" x14ac:dyDescent="0.25">
      <c r="A14" s="156" t="s">
        <v>279</v>
      </c>
      <c r="B14" s="156"/>
      <c r="C14" s="156"/>
      <c r="D14" s="156"/>
      <c r="E14" s="228" t="s">
        <v>227</v>
      </c>
      <c r="F14" s="228"/>
      <c r="G14" s="228"/>
      <c r="H14" s="228"/>
      <c r="S14" s="54" t="s">
        <v>180</v>
      </c>
      <c r="T14" s="54" t="s">
        <v>187</v>
      </c>
      <c r="U14" s="54" t="s">
        <v>209</v>
      </c>
      <c r="V14" s="54" t="s">
        <v>195</v>
      </c>
      <c r="W14" s="54" t="s">
        <v>213</v>
      </c>
      <c r="X14"/>
      <c r="Y14"/>
      <c r="Z14"/>
    </row>
    <row r="15" spans="1:26" x14ac:dyDescent="0.25">
      <c r="A15" s="156" t="s">
        <v>8</v>
      </c>
      <c r="B15" s="156"/>
      <c r="C15" s="156"/>
      <c r="D15" s="156"/>
      <c r="E15" s="228" t="s">
        <v>393</v>
      </c>
      <c r="F15" s="188"/>
      <c r="G15" s="188"/>
      <c r="H15" s="188"/>
      <c r="I15" s="262" t="e">
        <f ca="1">OFFSET($D$5,1,MATCH($J13,$D$5:$H$5,0)-1,15,1)</f>
        <v>#N/A</v>
      </c>
      <c r="J15" s="263"/>
      <c r="K15" s="263"/>
      <c r="L15" s="263"/>
      <c r="M15" s="263"/>
      <c r="N15" s="263"/>
      <c r="O15" s="263"/>
      <c r="P15" s="263"/>
      <c r="S15" s="54" t="s">
        <v>181</v>
      </c>
      <c r="T15" s="54" t="s">
        <v>188</v>
      </c>
      <c r="U15" s="54" t="s">
        <v>210</v>
      </c>
      <c r="V15" s="54" t="s">
        <v>196</v>
      </c>
      <c r="W15" s="54" t="s">
        <v>226</v>
      </c>
      <c r="X15"/>
      <c r="Y15"/>
      <c r="Z15"/>
    </row>
    <row r="16" spans="1:26" ht="34.5" customHeight="1" x14ac:dyDescent="0.25">
      <c r="A16" s="179" t="s">
        <v>9</v>
      </c>
      <c r="B16" s="179"/>
      <c r="C16" s="179" t="str">
        <f>CONCATENATE((IF(OR(E9="",E9="NA"),"",E9)),", ",(IF(OR(A17="",A17="NA"),"",A17)),".",(IF(OR(C17="",C17="NA"),"",C17)),", near ",(IF(OR(C22="",C22="NA"),"",C22)),", ",(IF(OR(C19="",C19="NA"),"",C19)),", ",(IF(OR(C18="",C18="NA"),"",C18)),", ",(IF(OR(G19="",G19="NA"),"",G19)),", ",(IF(OR(C20="",C20="NA"),"",C20)),", ",(IF(OR(C21="",C21="NA"),"",C21)),", ",(IF(OR(G20="",G20="NA"),"",G20))," - ",(IF(OR(G21="",G21="NA"),"",G21)),".")</f>
        <v>Sansaaraa, Survey No.30/0, near Siddhivinayak Pratima Gold, Internal Road, Ghotkamp, Koynavele, Taloja Panchanand, Panvel, Raigad - 410208.</v>
      </c>
      <c r="D16" s="179"/>
      <c r="E16" s="179"/>
      <c r="F16" s="179"/>
      <c r="G16" s="179"/>
      <c r="H16" s="179"/>
      <c r="S16" s="54" t="s">
        <v>182</v>
      </c>
      <c r="T16" s="54" t="s">
        <v>190</v>
      </c>
      <c r="U16" s="54" t="s">
        <v>211</v>
      </c>
      <c r="V16" s="54" t="s">
        <v>197</v>
      </c>
      <c r="W16" s="54" t="s">
        <v>214</v>
      </c>
      <c r="X16"/>
      <c r="Y16"/>
      <c r="Z16"/>
    </row>
    <row r="17" spans="1:26" x14ac:dyDescent="0.25">
      <c r="A17" s="228" t="s">
        <v>394</v>
      </c>
      <c r="B17" s="228"/>
      <c r="C17" s="228" t="s">
        <v>395</v>
      </c>
      <c r="D17" s="228"/>
      <c r="E17" s="228"/>
      <c r="F17" s="228"/>
      <c r="G17" s="228"/>
      <c r="H17" s="228"/>
      <c r="S17" s="54" t="s">
        <v>183</v>
      </c>
      <c r="T17" s="54" t="s">
        <v>191</v>
      </c>
      <c r="U17" s="54" t="s">
        <v>173</v>
      </c>
      <c r="V17" s="54" t="s">
        <v>198</v>
      </c>
      <c r="W17" s="54" t="s">
        <v>215</v>
      </c>
      <c r="X17"/>
      <c r="Y17"/>
      <c r="Z17"/>
    </row>
    <row r="18" spans="1:26" ht="15.75" customHeight="1" x14ac:dyDescent="0.25">
      <c r="A18" s="171" t="s">
        <v>163</v>
      </c>
      <c r="B18" s="171"/>
      <c r="C18" s="171" t="s">
        <v>436</v>
      </c>
      <c r="D18" s="171"/>
      <c r="E18" s="171"/>
      <c r="F18" s="171"/>
      <c r="G18" s="171"/>
      <c r="H18" s="171"/>
      <c r="S18" s="54" t="s">
        <v>184</v>
      </c>
      <c r="T18" s="54" t="s">
        <v>189</v>
      </c>
      <c r="U18" s="54"/>
      <c r="V18" s="54" t="s">
        <v>199</v>
      </c>
      <c r="W18" s="54" t="s">
        <v>216</v>
      </c>
      <c r="X18"/>
      <c r="Y18"/>
      <c r="Z18"/>
    </row>
    <row r="19" spans="1:26" ht="15.75" customHeight="1" x14ac:dyDescent="0.25">
      <c r="A19" s="179" t="s">
        <v>10</v>
      </c>
      <c r="B19" s="179"/>
      <c r="C19" s="181" t="s">
        <v>438</v>
      </c>
      <c r="D19" s="181"/>
      <c r="E19" s="179" t="s">
        <v>69</v>
      </c>
      <c r="F19" s="179"/>
      <c r="G19" s="171" t="s">
        <v>396</v>
      </c>
      <c r="H19" s="171"/>
      <c r="S19" s="54" t="s">
        <v>185</v>
      </c>
      <c r="T19" s="54" t="s">
        <v>192</v>
      </c>
      <c r="U19" s="54"/>
      <c r="V19" s="54" t="s">
        <v>200</v>
      </c>
      <c r="W19" s="54" t="s">
        <v>217</v>
      </c>
      <c r="X19"/>
      <c r="Y19"/>
      <c r="Z19"/>
    </row>
    <row r="20" spans="1:26" x14ac:dyDescent="0.25">
      <c r="A20" s="156" t="s">
        <v>12</v>
      </c>
      <c r="B20" s="156"/>
      <c r="C20" s="171" t="s">
        <v>437</v>
      </c>
      <c r="D20" s="171"/>
      <c r="E20" s="179" t="s">
        <v>11</v>
      </c>
      <c r="F20" s="179"/>
      <c r="G20" s="243" t="s">
        <v>194</v>
      </c>
      <c r="H20" s="243"/>
      <c r="S20" s="54" t="s">
        <v>186</v>
      </c>
      <c r="T20" s="54" t="s">
        <v>193</v>
      </c>
      <c r="U20" s="54"/>
      <c r="V20" s="54" t="s">
        <v>201</v>
      </c>
      <c r="W20" s="54" t="s">
        <v>218</v>
      </c>
      <c r="X20"/>
      <c r="Y20"/>
      <c r="Z20"/>
    </row>
    <row r="21" spans="1:26" x14ac:dyDescent="0.25">
      <c r="A21" s="156" t="s">
        <v>70</v>
      </c>
      <c r="B21" s="156"/>
      <c r="C21" s="228" t="s">
        <v>196</v>
      </c>
      <c r="D21" s="228"/>
      <c r="E21" s="179" t="s">
        <v>13</v>
      </c>
      <c r="F21" s="179"/>
      <c r="G21" s="171">
        <v>410208</v>
      </c>
      <c r="H21" s="171"/>
      <c r="S21" s="54"/>
      <c r="T21" s="54"/>
      <c r="U21" s="54"/>
      <c r="V21" s="54" t="s">
        <v>202</v>
      </c>
      <c r="W21" s="54" t="s">
        <v>219</v>
      </c>
      <c r="X21"/>
      <c r="Y21"/>
      <c r="Z21"/>
    </row>
    <row r="22" spans="1:26" ht="46.5" customHeight="1" x14ac:dyDescent="0.25">
      <c r="A22" s="156" t="s">
        <v>120</v>
      </c>
      <c r="B22" s="156"/>
      <c r="C22" s="171" t="s">
        <v>439</v>
      </c>
      <c r="D22" s="171"/>
      <c r="E22" s="179" t="s">
        <v>14</v>
      </c>
      <c r="F22" s="179"/>
      <c r="G22" s="228" t="s">
        <v>440</v>
      </c>
      <c r="H22" s="228"/>
      <c r="S22" s="54"/>
      <c r="T22" s="54"/>
      <c r="U22" s="54"/>
      <c r="V22" s="54" t="s">
        <v>203</v>
      </c>
      <c r="W22" s="54" t="s">
        <v>220</v>
      </c>
      <c r="X22"/>
      <c r="Y22"/>
      <c r="Z22"/>
    </row>
    <row r="23" spans="1:26" ht="15" customHeight="1" x14ac:dyDescent="0.25">
      <c r="A23" s="179" t="s">
        <v>72</v>
      </c>
      <c r="B23" s="179"/>
      <c r="C23" s="179"/>
      <c r="D23" s="179"/>
      <c r="E23" s="181" t="s">
        <v>15</v>
      </c>
      <c r="F23" s="181"/>
      <c r="G23" s="181"/>
      <c r="H23" s="181"/>
      <c r="S23" s="54"/>
      <c r="T23" s="54"/>
      <c r="U23" s="54"/>
      <c r="V23" s="54" t="s">
        <v>204</v>
      </c>
      <c r="W23" s="54" t="s">
        <v>221</v>
      </c>
      <c r="X23"/>
      <c r="Y23"/>
      <c r="Z23"/>
    </row>
    <row r="24" spans="1:26" ht="18.75" customHeight="1" x14ac:dyDescent="0.25">
      <c r="A24" s="179"/>
      <c r="B24" s="179"/>
      <c r="C24" s="179"/>
      <c r="D24" s="179"/>
      <c r="E24" s="181"/>
      <c r="F24" s="181"/>
      <c r="G24" s="181"/>
      <c r="H24" s="181"/>
      <c r="S24" s="54"/>
      <c r="T24" s="54"/>
      <c r="U24" s="54"/>
      <c r="V24" s="54" t="s">
        <v>205</v>
      </c>
      <c r="W24" s="54" t="s">
        <v>222</v>
      </c>
      <c r="X24"/>
      <c r="Y24"/>
      <c r="Z24"/>
    </row>
    <row r="25" spans="1:26" ht="15" customHeight="1" x14ac:dyDescent="0.25">
      <c r="A25" s="179" t="s">
        <v>16</v>
      </c>
      <c r="B25" s="179"/>
      <c r="C25" s="179"/>
      <c r="D25" s="179"/>
      <c r="E25" s="171" t="s">
        <v>17</v>
      </c>
      <c r="F25" s="171"/>
      <c r="G25" s="171"/>
      <c r="H25" s="171"/>
      <c r="S25" s="54"/>
      <c r="T25" s="54"/>
      <c r="U25" s="54"/>
      <c r="V25" s="54" t="s">
        <v>206</v>
      </c>
      <c r="W25" s="54" t="s">
        <v>223</v>
      </c>
      <c r="X25"/>
      <c r="Y25"/>
      <c r="Z25"/>
    </row>
    <row r="26" spans="1:26" ht="15" customHeight="1" x14ac:dyDescent="0.25">
      <c r="A26" s="156" t="s">
        <v>18</v>
      </c>
      <c r="B26" s="156"/>
      <c r="C26" s="156"/>
      <c r="D26" s="156"/>
      <c r="E26" s="171" t="str">
        <f>IF(AND(G20="Mumbai"),"Upper Class","Middle Class")</f>
        <v>Middle Class</v>
      </c>
      <c r="F26" s="171"/>
      <c r="G26" s="171"/>
      <c r="H26" s="171"/>
      <c r="S26" s="54"/>
      <c r="T26" s="54"/>
      <c r="U26" s="54"/>
      <c r="V26" s="54" t="s">
        <v>207</v>
      </c>
      <c r="W26" s="54" t="s">
        <v>224</v>
      </c>
      <c r="X26"/>
      <c r="Y26"/>
      <c r="Z26"/>
    </row>
    <row r="27" spans="1:26" x14ac:dyDescent="0.25">
      <c r="A27" s="156" t="s">
        <v>19</v>
      </c>
      <c r="B27" s="156"/>
      <c r="C27" s="156"/>
      <c r="D27" s="156"/>
      <c r="E27" s="171" t="s">
        <v>20</v>
      </c>
      <c r="F27" s="171"/>
      <c r="G27" s="171"/>
      <c r="H27" s="171"/>
      <c r="S27" s="54"/>
      <c r="T27" s="54"/>
      <c r="U27" s="54"/>
      <c r="V27" s="54" t="s">
        <v>208</v>
      </c>
      <c r="W27" s="54" t="s">
        <v>225</v>
      </c>
      <c r="X27"/>
      <c r="Y27"/>
      <c r="Z27"/>
    </row>
    <row r="28" spans="1:26" ht="15.75" customHeight="1" x14ac:dyDescent="0.25">
      <c r="A28" s="156" t="s">
        <v>21</v>
      </c>
      <c r="B28" s="156"/>
      <c r="C28" s="156"/>
      <c r="D28" s="156"/>
      <c r="E28" s="171" t="str">
        <f>IF(AND(G20="Mumbai"),"Developed","Developing")</f>
        <v>Developing</v>
      </c>
      <c r="F28" s="171"/>
      <c r="G28" s="171"/>
      <c r="H28" s="171"/>
    </row>
    <row r="29" spans="1:26" x14ac:dyDescent="0.25">
      <c r="A29" s="156" t="s">
        <v>22</v>
      </c>
      <c r="B29" s="156"/>
      <c r="C29" s="156"/>
      <c r="D29" s="156"/>
      <c r="E29" s="171" t="s">
        <v>23</v>
      </c>
      <c r="F29" s="171"/>
      <c r="G29" s="171"/>
      <c r="H29" s="171"/>
    </row>
    <row r="30" spans="1:26" ht="15.75" customHeight="1" x14ac:dyDescent="0.25">
      <c r="A30" s="156" t="s">
        <v>77</v>
      </c>
      <c r="B30" s="156"/>
      <c r="C30" s="156"/>
      <c r="D30" s="156"/>
      <c r="E30" s="171" t="s">
        <v>78</v>
      </c>
      <c r="F30" s="171"/>
      <c r="G30" s="171"/>
      <c r="H30" s="171"/>
    </row>
    <row r="31" spans="1:26" ht="15" customHeight="1" x14ac:dyDescent="0.25">
      <c r="A31" s="156" t="s">
        <v>30</v>
      </c>
      <c r="B31" s="156"/>
      <c r="C31" s="156"/>
      <c r="D31" s="156"/>
      <c r="E31" s="171" t="str">
        <f>IF(AND(ISNUMBER(SEARCH("Flat",D65)),ISNUMBER(SEARCH("Shop",D65)),ISNUMBER(SEARCH("Office",D65))),"Residential + Commercial",IF(AND(ISNUMBER(SEARCH("Flat",D65)),ISNUMBER(SEARCH("Shop",D65))),"Residential + Commercial",IF(AND(ISNUMBER(SEARCH("Flat",D65)),ISNUMBER(SEARCH("Office",D65))),"Residential + Commercial",IF(AND(ISNUMBER(SEARCH("Shop",D65)),ISNUMBER(SEARCH("Office",D65))),"Commercial",IF(ISNUMBER(SEARCH("Shop",D65)),"Commercial",IF(ISNUMBER(SEARCH("Office",D65)),"Commercial",IF(ISNUMBER(SEARCH("Flat",D65)),"Residential")))))))</f>
        <v>Residential</v>
      </c>
      <c r="F31" s="171"/>
      <c r="G31" s="171"/>
      <c r="H31" s="171"/>
    </row>
    <row r="32" spans="1:26" ht="15.75" customHeight="1" x14ac:dyDescent="0.25">
      <c r="A32" s="156" t="s">
        <v>89</v>
      </c>
      <c r="B32" s="156"/>
      <c r="C32" s="156"/>
      <c r="D32" s="156"/>
      <c r="E32" s="171" t="s">
        <v>31</v>
      </c>
      <c r="F32" s="171"/>
      <c r="G32" s="171"/>
      <c r="H32" s="171"/>
    </row>
    <row r="33" spans="1:19" s="22" customFormat="1" x14ac:dyDescent="0.25">
      <c r="A33" s="242" t="s">
        <v>90</v>
      </c>
      <c r="B33" s="242"/>
      <c r="C33" s="239" t="s">
        <v>174</v>
      </c>
      <c r="D33" s="240"/>
      <c r="E33" s="241"/>
      <c r="F33" s="239" t="s">
        <v>29</v>
      </c>
      <c r="G33" s="240"/>
      <c r="H33" s="241"/>
      <c r="S33" s="22" t="e">
        <f ca="1">OFFSET($S$13,1,MATCH($G20,$S$13:$W$13,0)-1,15,1)</f>
        <v>#VALUE!</v>
      </c>
    </row>
    <row r="34" spans="1:19" s="22" customFormat="1" x14ac:dyDescent="0.25">
      <c r="A34" s="238" t="s">
        <v>24</v>
      </c>
      <c r="B34" s="238" t="s">
        <v>28</v>
      </c>
      <c r="C34" s="213" t="s">
        <v>403</v>
      </c>
      <c r="D34" s="214"/>
      <c r="E34" s="215"/>
      <c r="F34" s="213" t="s">
        <v>399</v>
      </c>
      <c r="G34" s="214"/>
      <c r="H34" s="215"/>
    </row>
    <row r="35" spans="1:19" x14ac:dyDescent="0.25">
      <c r="A35" s="238" t="s">
        <v>25</v>
      </c>
      <c r="B35" s="238" t="s">
        <v>28</v>
      </c>
      <c r="C35" s="213" t="s">
        <v>401</v>
      </c>
      <c r="D35" s="214"/>
      <c r="E35" s="215"/>
      <c r="F35" s="213" t="s">
        <v>400</v>
      </c>
      <c r="G35" s="214"/>
      <c r="H35" s="215"/>
    </row>
    <row r="36" spans="1:19" s="22" customFormat="1" x14ac:dyDescent="0.25">
      <c r="A36" s="238" t="s">
        <v>27</v>
      </c>
      <c r="B36" s="238" t="s">
        <v>28</v>
      </c>
      <c r="C36" s="213" t="s">
        <v>402</v>
      </c>
      <c r="D36" s="214"/>
      <c r="E36" s="215"/>
      <c r="F36" s="213" t="s">
        <v>399</v>
      </c>
      <c r="G36" s="214"/>
      <c r="H36" s="215"/>
    </row>
    <row r="37" spans="1:19" x14ac:dyDescent="0.25">
      <c r="A37" s="238" t="s">
        <v>26</v>
      </c>
      <c r="B37" s="238" t="s">
        <v>28</v>
      </c>
      <c r="C37" s="213" t="s">
        <v>404</v>
      </c>
      <c r="D37" s="214"/>
      <c r="E37" s="215"/>
      <c r="F37" s="213" t="s">
        <v>399</v>
      </c>
      <c r="G37" s="214"/>
      <c r="H37" s="215"/>
    </row>
    <row r="38" spans="1:19" x14ac:dyDescent="0.25">
      <c r="A38" s="156" t="s">
        <v>280</v>
      </c>
      <c r="B38" s="156"/>
      <c r="C38" s="156"/>
      <c r="D38" s="156"/>
      <c r="E38" s="156"/>
      <c r="F38" s="156"/>
      <c r="G38" s="156"/>
      <c r="H38" s="156"/>
    </row>
    <row r="39" spans="1:19" ht="15.75" customHeight="1" x14ac:dyDescent="0.25">
      <c r="A39" s="156" t="s">
        <v>166</v>
      </c>
      <c r="B39" s="156"/>
      <c r="C39" s="211" t="s">
        <v>397</v>
      </c>
      <c r="D39" s="211"/>
      <c r="E39" s="211"/>
      <c r="F39" s="211"/>
      <c r="G39" s="211"/>
      <c r="H39" s="211"/>
    </row>
    <row r="40" spans="1:19" x14ac:dyDescent="0.25">
      <c r="A40" s="156" t="s">
        <v>162</v>
      </c>
      <c r="B40" s="156"/>
      <c r="C40" s="170" t="s">
        <v>398</v>
      </c>
      <c r="D40" s="171"/>
      <c r="E40" s="171"/>
      <c r="F40" s="171"/>
      <c r="G40" s="171"/>
      <c r="H40" s="171"/>
    </row>
    <row r="41" spans="1:19" x14ac:dyDescent="0.25">
      <c r="A41" s="211" t="s">
        <v>32</v>
      </c>
      <c r="B41" s="211"/>
      <c r="C41" s="211"/>
      <c r="D41" s="211"/>
      <c r="E41" s="211"/>
      <c r="F41" s="211"/>
      <c r="G41" s="211"/>
      <c r="H41" s="211"/>
    </row>
    <row r="42" spans="1:19" x14ac:dyDescent="0.25">
      <c r="A42" s="156" t="s">
        <v>33</v>
      </c>
      <c r="B42" s="156"/>
      <c r="C42" s="156"/>
      <c r="D42" s="156"/>
      <c r="E42" s="210">
        <v>6400.116</v>
      </c>
      <c r="F42" s="210"/>
      <c r="G42" s="210"/>
      <c r="H42" s="210"/>
    </row>
    <row r="43" spans="1:19" x14ac:dyDescent="0.25">
      <c r="A43" s="156" t="s">
        <v>34</v>
      </c>
      <c r="B43" s="156"/>
      <c r="C43" s="156"/>
      <c r="D43" s="156"/>
      <c r="E43" s="212">
        <v>1.1000000000000001</v>
      </c>
      <c r="F43" s="212"/>
      <c r="G43" s="212"/>
      <c r="H43" s="212"/>
    </row>
    <row r="44" spans="1:19" x14ac:dyDescent="0.25">
      <c r="A44" s="156" t="s">
        <v>35</v>
      </c>
      <c r="B44" s="156"/>
      <c r="C44" s="156"/>
      <c r="D44" s="156"/>
      <c r="E44" s="212">
        <f>E46/E42-E43</f>
        <v>1.4287924468869</v>
      </c>
      <c r="F44" s="212"/>
      <c r="G44" s="212"/>
      <c r="H44" s="212"/>
    </row>
    <row r="45" spans="1:19" x14ac:dyDescent="0.25">
      <c r="A45" s="156" t="s">
        <v>36</v>
      </c>
      <c r="B45" s="156"/>
      <c r="C45" s="156"/>
      <c r="D45" s="156"/>
      <c r="E45" s="212">
        <f>E43+E44</f>
        <v>2.5287924468869001</v>
      </c>
      <c r="F45" s="212"/>
      <c r="G45" s="212"/>
      <c r="H45" s="212"/>
    </row>
    <row r="46" spans="1:19" x14ac:dyDescent="0.25">
      <c r="A46" s="156" t="s">
        <v>88</v>
      </c>
      <c r="B46" s="156"/>
      <c r="C46" s="156"/>
      <c r="D46" s="156"/>
      <c r="E46" s="187">
        <v>16184.565000000001</v>
      </c>
      <c r="F46" s="187"/>
      <c r="G46" s="187"/>
      <c r="H46" s="187"/>
    </row>
    <row r="47" spans="1:19" x14ac:dyDescent="0.25">
      <c r="A47" s="181" t="s">
        <v>37</v>
      </c>
      <c r="B47" s="181"/>
      <c r="C47" s="181"/>
      <c r="D47" s="181"/>
      <c r="E47" s="188" t="s">
        <v>446</v>
      </c>
      <c r="F47" s="188"/>
      <c r="G47" s="188"/>
      <c r="H47" s="188"/>
    </row>
    <row r="48" spans="1:19" x14ac:dyDescent="0.25">
      <c r="A48" s="211" t="s">
        <v>38</v>
      </c>
      <c r="B48" s="211"/>
      <c r="C48" s="211"/>
      <c r="D48" s="211"/>
      <c r="E48" s="211"/>
      <c r="F48" s="211"/>
      <c r="G48" s="211"/>
      <c r="H48" s="211"/>
    </row>
    <row r="49" spans="1:24" ht="33.75" customHeight="1" x14ac:dyDescent="0.25">
      <c r="A49" s="176" t="s">
        <v>152</v>
      </c>
      <c r="B49" s="178"/>
      <c r="C49" s="221" t="s">
        <v>270</v>
      </c>
      <c r="D49" s="222"/>
      <c r="E49" s="222"/>
      <c r="F49" s="222"/>
      <c r="G49" s="222"/>
      <c r="H49" s="223"/>
      <c r="R49" t="s">
        <v>253</v>
      </c>
      <c r="S49" s="57" t="s">
        <v>173</v>
      </c>
      <c r="T49" s="57" t="s">
        <v>180</v>
      </c>
      <c r="U49" s="57" t="s">
        <v>194</v>
      </c>
      <c r="V49" s="57" t="s">
        <v>189</v>
      </c>
    </row>
    <row r="50" spans="1:24" ht="15.75" customHeight="1" x14ac:dyDescent="0.25">
      <c r="A50" s="176" t="s">
        <v>39</v>
      </c>
      <c r="B50" s="178"/>
      <c r="C50" s="176" t="s">
        <v>445</v>
      </c>
      <c r="D50" s="177"/>
      <c r="E50" s="178"/>
      <c r="F50" s="18" t="s">
        <v>40</v>
      </c>
      <c r="G50" s="184">
        <v>44687</v>
      </c>
      <c r="H50" s="185"/>
      <c r="R50"/>
      <c r="S50" s="57" t="s">
        <v>254</v>
      </c>
      <c r="T50" s="57" t="s">
        <v>259</v>
      </c>
      <c r="U50" s="57" t="s">
        <v>270</v>
      </c>
      <c r="V50" s="57" t="s">
        <v>275</v>
      </c>
    </row>
    <row r="51" spans="1:24" x14ac:dyDescent="0.25">
      <c r="A51" s="176" t="s">
        <v>41</v>
      </c>
      <c r="B51" s="178"/>
      <c r="C51" s="176" t="str">
        <f>C50</f>
        <v>PMP/NRV/15985/J.K 1261/2022</v>
      </c>
      <c r="D51" s="177"/>
      <c r="E51" s="178"/>
      <c r="F51" s="18" t="s">
        <v>40</v>
      </c>
      <c r="G51" s="184">
        <f>G50</f>
        <v>44687</v>
      </c>
      <c r="H51" s="185"/>
      <c r="R51"/>
      <c r="S51" s="57" t="s">
        <v>255</v>
      </c>
      <c r="T51" s="57" t="s">
        <v>357</v>
      </c>
      <c r="U51" s="57" t="s">
        <v>268</v>
      </c>
      <c r="V51" s="57" t="s">
        <v>276</v>
      </c>
    </row>
    <row r="52" spans="1:24" s="23" customFormat="1" ht="15.75" customHeight="1" x14ac:dyDescent="0.25">
      <c r="A52" s="198" t="s">
        <v>406</v>
      </c>
      <c r="B52" s="199"/>
      <c r="C52" s="198" t="s">
        <v>405</v>
      </c>
      <c r="D52" s="204"/>
      <c r="E52" s="199"/>
      <c r="F52" s="229" t="s">
        <v>40</v>
      </c>
      <c r="G52" s="231">
        <v>44687</v>
      </c>
      <c r="H52" s="232"/>
      <c r="I52" s="22" t="str">
        <f ca="1">IF(G52&gt;EDATE(E3,-48),"NO REMARK","CC REMARK FOR CC")</f>
        <v>NO REMARK</v>
      </c>
      <c r="J52" s="79"/>
      <c r="R52"/>
      <c r="S52" s="57" t="s">
        <v>256</v>
      </c>
      <c r="T52" s="57" t="s">
        <v>261</v>
      </c>
      <c r="U52" s="57" t="s">
        <v>258</v>
      </c>
      <c r="V52" s="57" t="s">
        <v>277</v>
      </c>
    </row>
    <row r="53" spans="1:24" s="23" customFormat="1" ht="18.75" customHeight="1" x14ac:dyDescent="0.25">
      <c r="A53" s="200"/>
      <c r="B53" s="201"/>
      <c r="C53" s="202"/>
      <c r="D53" s="205"/>
      <c r="E53" s="203"/>
      <c r="F53" s="230"/>
      <c r="G53" s="233"/>
      <c r="H53" s="234"/>
      <c r="R53"/>
      <c r="S53" s="57" t="s">
        <v>257</v>
      </c>
      <c r="T53" s="57" t="s">
        <v>264</v>
      </c>
      <c r="U53" s="57" t="s">
        <v>271</v>
      </c>
      <c r="V53" s="75" t="s">
        <v>349</v>
      </c>
    </row>
    <row r="54" spans="1:24" s="23" customFormat="1" ht="33.75" customHeight="1" x14ac:dyDescent="0.25">
      <c r="A54" s="202"/>
      <c r="B54" s="203"/>
      <c r="C54" s="176" t="s">
        <v>407</v>
      </c>
      <c r="D54" s="177"/>
      <c r="E54" s="177"/>
      <c r="F54" s="177"/>
      <c r="G54" s="177"/>
      <c r="H54" s="178"/>
      <c r="R54"/>
      <c r="S54" s="57"/>
      <c r="T54" s="57"/>
      <c r="U54" s="57"/>
      <c r="V54" s="75"/>
    </row>
    <row r="55" spans="1:24" s="23" customFormat="1" hidden="1" x14ac:dyDescent="0.25">
      <c r="A55" s="206" t="s">
        <v>281</v>
      </c>
      <c r="B55" s="207"/>
      <c r="C55" s="176">
        <f>C53</f>
        <v>0</v>
      </c>
      <c r="D55" s="177"/>
      <c r="E55" s="178"/>
      <c r="F55" s="18" t="s">
        <v>40</v>
      </c>
      <c r="G55" s="184"/>
      <c r="H55" s="185"/>
      <c r="K55" s="80">
        <f>EDATE(G52,-48)</f>
        <v>43226</v>
      </c>
      <c r="L55" s="23" t="str">
        <f ca="1">IF(G52&gt;EDATE(E3,-48),"NO REMARK","CC REMARK FOR CC")</f>
        <v>NO REMARK</v>
      </c>
      <c r="R55"/>
      <c r="S55" s="57" t="s">
        <v>256</v>
      </c>
      <c r="T55" s="57" t="s">
        <v>261</v>
      </c>
      <c r="U55" s="57" t="s">
        <v>258</v>
      </c>
      <c r="V55" s="57" t="s">
        <v>277</v>
      </c>
    </row>
    <row r="56" spans="1:24" s="23" customFormat="1" ht="32.25" hidden="1" customHeight="1" x14ac:dyDescent="0.25">
      <c r="A56" s="208"/>
      <c r="B56" s="209"/>
      <c r="C56" s="235"/>
      <c r="D56" s="236"/>
      <c r="E56" s="236"/>
      <c r="F56" s="236"/>
      <c r="G56" s="236"/>
      <c r="H56" s="237"/>
      <c r="R56"/>
      <c r="S56" s="57" t="s">
        <v>258</v>
      </c>
      <c r="T56" s="57" t="s">
        <v>262</v>
      </c>
      <c r="U56" s="57" t="s">
        <v>272</v>
      </c>
      <c r="V56" s="76"/>
      <c r="W56" s="21"/>
      <c r="X56" s="21"/>
    </row>
    <row r="57" spans="1:24" s="23" customFormat="1" ht="34.5" hidden="1" customHeight="1" x14ac:dyDescent="0.25">
      <c r="A57" s="206" t="s">
        <v>282</v>
      </c>
      <c r="B57" s="207"/>
      <c r="C57" s="176">
        <f>C56</f>
        <v>0</v>
      </c>
      <c r="D57" s="177"/>
      <c r="E57" s="178"/>
      <c r="F57" s="18" t="s">
        <v>40</v>
      </c>
      <c r="G57" s="184">
        <f>G56</f>
        <v>0</v>
      </c>
      <c r="H57" s="185"/>
      <c r="R57"/>
      <c r="S57" s="76"/>
      <c r="T57" s="57" t="s">
        <v>263</v>
      </c>
      <c r="U57" s="57" t="s">
        <v>273</v>
      </c>
      <c r="V57" s="76"/>
      <c r="W57" s="21"/>
      <c r="X57" s="21"/>
    </row>
    <row r="58" spans="1:24" s="23" customFormat="1" ht="41.25" hidden="1" customHeight="1" x14ac:dyDescent="0.25">
      <c r="A58" s="208"/>
      <c r="B58" s="209"/>
      <c r="C58" s="176"/>
      <c r="D58" s="177"/>
      <c r="E58" s="177"/>
      <c r="F58" s="177"/>
      <c r="G58" s="177"/>
      <c r="H58" s="178"/>
      <c r="R58"/>
      <c r="S58" s="76"/>
      <c r="T58" s="57" t="s">
        <v>265</v>
      </c>
      <c r="U58" s="57" t="s">
        <v>274</v>
      </c>
      <c r="V58" s="76"/>
      <c r="W58" s="21"/>
      <c r="X58" s="21"/>
    </row>
    <row r="59" spans="1:24" s="23" customFormat="1" ht="15.75" customHeight="1" x14ac:dyDescent="0.25">
      <c r="A59" s="287" t="s">
        <v>352</v>
      </c>
      <c r="B59" s="288"/>
      <c r="C59" s="198" t="s">
        <v>449</v>
      </c>
      <c r="D59" s="204"/>
      <c r="E59" s="199"/>
      <c r="F59" s="18" t="s">
        <v>40</v>
      </c>
      <c r="G59" s="184">
        <v>44614</v>
      </c>
      <c r="H59" s="185"/>
      <c r="R59"/>
      <c r="S59" s="76"/>
      <c r="T59" s="57" t="s">
        <v>266</v>
      </c>
      <c r="U59" s="76" t="s">
        <v>296</v>
      </c>
      <c r="V59" s="76"/>
      <c r="W59" s="21"/>
      <c r="X59" s="21"/>
    </row>
    <row r="60" spans="1:24" s="23" customFormat="1" ht="33.75" customHeight="1" x14ac:dyDescent="0.25">
      <c r="A60" s="289"/>
      <c r="B60" s="290"/>
      <c r="C60" s="202"/>
      <c r="D60" s="205"/>
      <c r="E60" s="203"/>
      <c r="F60" s="18" t="s">
        <v>353</v>
      </c>
      <c r="G60" s="184">
        <v>47535</v>
      </c>
      <c r="H60" s="185"/>
      <c r="R60"/>
      <c r="S60" s="76"/>
      <c r="T60" s="57" t="s">
        <v>267</v>
      </c>
      <c r="U60" s="76"/>
      <c r="V60" s="76"/>
      <c r="W60" s="21"/>
      <c r="X60" s="21"/>
    </row>
    <row r="61" spans="1:24" s="23" customFormat="1" ht="33.75" customHeight="1" x14ac:dyDescent="0.25">
      <c r="A61" s="291"/>
      <c r="B61" s="292"/>
      <c r="C61" s="176" t="s">
        <v>450</v>
      </c>
      <c r="D61" s="177"/>
      <c r="E61" s="177"/>
      <c r="F61" s="177"/>
      <c r="G61" s="177"/>
      <c r="H61" s="178"/>
      <c r="R61"/>
      <c r="S61" s="76"/>
      <c r="T61" s="57"/>
      <c r="U61" s="76"/>
      <c r="V61" s="76"/>
      <c r="W61" s="21"/>
      <c r="X61" s="21"/>
    </row>
    <row r="62" spans="1:24" x14ac:dyDescent="0.25">
      <c r="A62" s="265" t="s">
        <v>42</v>
      </c>
      <c r="B62" s="266"/>
      <c r="C62" s="265" t="s">
        <v>102</v>
      </c>
      <c r="D62" s="267"/>
      <c r="E62" s="266"/>
      <c r="F62" s="45" t="s">
        <v>40</v>
      </c>
      <c r="G62" s="268" t="s">
        <v>28</v>
      </c>
      <c r="H62" s="269"/>
      <c r="R62"/>
      <c r="S62" s="76"/>
      <c r="T62" s="57" t="s">
        <v>269</v>
      </c>
      <c r="U62" s="76"/>
      <c r="V62" s="76"/>
    </row>
    <row r="63" spans="1:24" x14ac:dyDescent="0.25">
      <c r="A63" s="251" t="s">
        <v>44</v>
      </c>
      <c r="B63" s="251"/>
      <c r="C63" s="251"/>
      <c r="D63" s="251"/>
      <c r="E63" s="251"/>
      <c r="F63" s="251"/>
      <c r="G63" s="251"/>
      <c r="H63" s="251"/>
      <c r="S63" s="76"/>
      <c r="T63" s="57" t="s">
        <v>278</v>
      </c>
      <c r="U63" s="76"/>
      <c r="V63" s="76"/>
    </row>
    <row r="64" spans="1:24" x14ac:dyDescent="0.25">
      <c r="A64" s="179" t="s">
        <v>87</v>
      </c>
      <c r="B64" s="179"/>
      <c r="C64" s="179"/>
      <c r="D64" s="156">
        <f>E46</f>
        <v>16184.565000000001</v>
      </c>
      <c r="E64" s="156"/>
      <c r="F64" s="156"/>
      <c r="G64" s="156"/>
      <c r="H64" s="156"/>
      <c r="R64"/>
    </row>
    <row r="65" spans="1:19" x14ac:dyDescent="0.25">
      <c r="A65" s="171" t="s">
        <v>45</v>
      </c>
      <c r="B65" s="181"/>
      <c r="C65" s="181"/>
      <c r="D65" s="188" t="s">
        <v>432</v>
      </c>
      <c r="E65" s="188"/>
      <c r="F65" s="188"/>
      <c r="G65" s="188"/>
      <c r="H65" s="188"/>
      <c r="I65" s="24"/>
      <c r="R65"/>
    </row>
    <row r="66" spans="1:19" x14ac:dyDescent="0.25">
      <c r="A66" s="218" t="s">
        <v>46</v>
      </c>
      <c r="B66" s="219"/>
      <c r="C66" s="220"/>
      <c r="D66" s="216" t="s">
        <v>408</v>
      </c>
      <c r="E66" s="217"/>
      <c r="F66" s="217"/>
      <c r="G66" s="217"/>
      <c r="H66" s="217"/>
      <c r="R66"/>
    </row>
    <row r="67" spans="1:19" ht="15.75" customHeight="1" x14ac:dyDescent="0.25">
      <c r="A67" s="218" t="s">
        <v>85</v>
      </c>
      <c r="B67" s="219"/>
      <c r="C67" s="219"/>
      <c r="D67" s="216" t="s">
        <v>442</v>
      </c>
      <c r="E67" s="217"/>
      <c r="F67" s="217"/>
      <c r="G67" s="217"/>
      <c r="H67" s="217"/>
      <c r="R67"/>
    </row>
    <row r="68" spans="1:19" ht="15.75" hidden="1" customHeight="1" x14ac:dyDescent="0.25">
      <c r="A68" s="224"/>
      <c r="B68" s="225"/>
      <c r="C68" s="225"/>
      <c r="D68" s="228" t="s">
        <v>411</v>
      </c>
      <c r="E68" s="188"/>
      <c r="F68" s="188"/>
      <c r="G68" s="188"/>
      <c r="H68" s="188"/>
      <c r="R68"/>
    </row>
    <row r="69" spans="1:19" ht="15.75" customHeight="1" x14ac:dyDescent="0.25">
      <c r="A69" s="224"/>
      <c r="B69" s="225"/>
      <c r="C69" s="225"/>
      <c r="D69" s="228" t="s">
        <v>412</v>
      </c>
      <c r="E69" s="188"/>
      <c r="F69" s="188"/>
      <c r="G69" s="188"/>
      <c r="H69" s="188"/>
      <c r="S69"/>
    </row>
    <row r="70" spans="1:19" ht="15.75" customHeight="1" x14ac:dyDescent="0.25">
      <c r="A70" s="226"/>
      <c r="B70" s="227"/>
      <c r="C70" s="227"/>
      <c r="D70" s="228" t="s">
        <v>413</v>
      </c>
      <c r="E70" s="188"/>
      <c r="F70" s="188"/>
      <c r="G70" s="188"/>
      <c r="H70" s="188"/>
      <c r="S70"/>
    </row>
    <row r="71" spans="1:19" ht="15.75" customHeight="1" x14ac:dyDescent="0.25">
      <c r="A71" s="156" t="s">
        <v>43</v>
      </c>
      <c r="B71" s="156"/>
      <c r="C71" s="156"/>
      <c r="D71" s="180" t="s">
        <v>409</v>
      </c>
      <c r="E71" s="180"/>
      <c r="F71" s="180"/>
      <c r="G71" s="180"/>
      <c r="H71" s="180"/>
      <c r="J71" s="25"/>
      <c r="K71" s="24"/>
      <c r="N71" s="24"/>
      <c r="S71"/>
    </row>
    <row r="72" spans="1:19" ht="15.75" customHeight="1" x14ac:dyDescent="0.25">
      <c r="A72" s="156" t="s">
        <v>83</v>
      </c>
      <c r="B72" s="156"/>
      <c r="C72" s="156"/>
      <c r="D72" s="186" t="str">
        <f>(IF(G62="NA","60 Years After Completion",IF(G62&lt;&gt;"NA",""&amp;60-ROUNDDOWN((E3-G62)/360,0)&amp;" Years"," ")))</f>
        <v>60 Years After Completion</v>
      </c>
      <c r="E72" s="186"/>
      <c r="F72" s="186"/>
      <c r="G72" s="186"/>
      <c r="H72" s="186"/>
      <c r="N72" s="24"/>
      <c r="S72"/>
    </row>
    <row r="73" spans="1:19" ht="15.75" customHeight="1" x14ac:dyDescent="0.25">
      <c r="A73" s="156" t="s">
        <v>84</v>
      </c>
      <c r="B73" s="156"/>
      <c r="C73" s="156"/>
      <c r="D73" s="179" t="s">
        <v>23</v>
      </c>
      <c r="E73" s="179"/>
      <c r="F73" s="179"/>
      <c r="G73" s="179"/>
      <c r="H73" s="179"/>
      <c r="J73" s="26"/>
      <c r="K73" s="26"/>
      <c r="S73"/>
    </row>
    <row r="74" spans="1:19" ht="38.450000000000003" customHeight="1" x14ac:dyDescent="0.25">
      <c r="A74" s="188" t="s">
        <v>410</v>
      </c>
      <c r="B74" s="188"/>
      <c r="C74" s="188"/>
      <c r="D74" s="171" t="s">
        <v>447</v>
      </c>
      <c r="E74" s="179"/>
      <c r="F74" s="179"/>
      <c r="G74" s="179"/>
      <c r="H74" s="179"/>
      <c r="I74" s="22" t="s">
        <v>448</v>
      </c>
      <c r="S74"/>
    </row>
    <row r="75" spans="1:19" x14ac:dyDescent="0.25">
      <c r="A75" s="179" t="s">
        <v>148</v>
      </c>
      <c r="B75" s="179"/>
      <c r="C75" s="179"/>
      <c r="D75" s="179" t="s">
        <v>28</v>
      </c>
      <c r="E75" s="179"/>
      <c r="F75" s="179"/>
      <c r="G75" s="179"/>
      <c r="H75" s="179"/>
      <c r="I75" s="27"/>
      <c r="J75" s="27"/>
      <c r="K75" s="27"/>
      <c r="L75" s="27"/>
      <c r="M75" s="27"/>
      <c r="N75" s="27"/>
    </row>
    <row r="76" spans="1:19" ht="15.75" customHeight="1" x14ac:dyDescent="0.25">
      <c r="A76" s="183" t="s">
        <v>82</v>
      </c>
      <c r="B76" s="183"/>
      <c r="C76" s="183"/>
      <c r="D76" s="182" t="str">
        <f ca="1">(IF(G82&gt;95%,"Nothing",IF(G82&gt;0%,"Cement, Aggregate, Steel, etc",IF(G82=0%,"Work not yet Started"))))</f>
        <v>Cement, Aggregate, Steel, etc</v>
      </c>
      <c r="E76" s="182"/>
      <c r="F76" s="182"/>
      <c r="G76" s="182"/>
      <c r="H76" s="182"/>
      <c r="J76" s="26"/>
      <c r="S76"/>
    </row>
    <row r="77" spans="1:19" ht="33.75" customHeight="1" thickBot="1" x14ac:dyDescent="0.3">
      <c r="A77" s="229" t="s">
        <v>115</v>
      </c>
      <c r="B77" s="229"/>
      <c r="C77" s="229"/>
      <c r="D77" s="182" t="str">
        <f ca="1">(IF(D76="Nothing","Yes",IF(D76="Cement, Aggregate, Steel, etc","Under Construction",IF(D76="Work not yet Started","Work not yet Started"))))</f>
        <v>Under Construction</v>
      </c>
      <c r="E77" s="182"/>
      <c r="F77" s="182" t="str">
        <f ca="1">(IF(D76="Nothing","Yes",IF(D76="Cement, Aggregate, Steel, etc","Under Construction",IF(D76="Work not yet Started","Work not yet Started"))))</f>
        <v>Under Construction</v>
      </c>
      <c r="G77" s="182"/>
      <c r="H77" s="182"/>
      <c r="S77"/>
    </row>
    <row r="78" spans="1:19" ht="15.75" customHeight="1" x14ac:dyDescent="0.25">
      <c r="A78" s="274" t="s">
        <v>138</v>
      </c>
      <c r="B78" s="275"/>
      <c r="C78" s="276" t="str">
        <f>D67</f>
        <v>Building No. 8 (Wing A &amp; B) = G + 1st to 11th Floor</v>
      </c>
      <c r="D78" s="277"/>
      <c r="E78" s="277"/>
      <c r="F78" s="277"/>
      <c r="G78" s="277"/>
      <c r="H78" s="278"/>
      <c r="I78" s="49" t="str">
        <f ca="1">IF(D91=100%,"All work Completed. Possession granted to the Building.",IF(D90=100%,"All work Completed, Waiting for OC",I79&amp;""&amp;I80&amp;""&amp;J79&amp;""&amp;J78&amp;" "&amp;J80))</f>
        <v xml:space="preserve">Excavation, Plinth Completed </v>
      </c>
      <c r="J78" s="50" t="str">
        <f ca="1">(IF(C84=(D79+F79+H79),"",IF(C84&gt;0,", RCC upto "&amp;C84&amp;" Slab","")))&amp;(IF(C85=H79,"",IF(C85&gt;0,", Brickwork upto "&amp;C85&amp;" Floor","")))&amp;(IF(C86=H79,"",IF(C86&gt;0,", Internal Plaster upto "&amp;C86&amp;" Floor","")))&amp;(IF(C87=H79,"",IF(C87&gt;0,", External Plaster upto "&amp;C87&amp;" Floor","")))&amp;(IF(C88=H79,"",IF(C88&gt;0,", Flooring upto "&amp;C88&amp;" Floor","")))&amp;(IF(C89=H79,"",IF(C89&gt;0,", Painting upto "&amp;C89&amp;" Floor","")))&amp;(IF(C90=H79,"",IF(C90&gt;0,", Finishing upto "&amp;C90&amp;" Floor","")))&amp;(IF(C91=H79,"",IF(C91&gt;0,", Possession upto "&amp;C91&amp;" Floor","")))</f>
        <v/>
      </c>
      <c r="S78"/>
    </row>
    <row r="79" spans="1:19" x14ac:dyDescent="0.25">
      <c r="A79" s="16" t="s">
        <v>140</v>
      </c>
      <c r="B79" s="47">
        <f>IF(AND(ISNUMBER(SEARCH("1B",C78))),1,IF(AND(ISNUMBER(SEARCH("2B",C78))),2,IF(AND(ISNUMBER(SEARCH("3B",C78))),3,IF(AND(ISNUMBER(SEARCH("4B",C78))),4,IF(ISNUMBER(SEARCH("5B",C78)),5,0)))))</f>
        <v>0</v>
      </c>
      <c r="C79" s="47" t="s">
        <v>68</v>
      </c>
      <c r="D79" s="47">
        <v>1</v>
      </c>
      <c r="E79" s="47" t="s">
        <v>67</v>
      </c>
      <c r="F79" s="104">
        <v>0</v>
      </c>
      <c r="G79" s="48" t="s">
        <v>76</v>
      </c>
      <c r="H79" s="17">
        <f ca="1">--TRIM(RIGHT(SUBSTITUTE(LEFT(C78,_xlfn.AGGREGATE(16,6,FIND({0,1,2,3,4,5,6,7,8,9},C78,ROW(INDIRECT("1:"&amp;LEN(C78)))),1))," ",REPT(" ",LEN(C78))),LEN(C78)))</f>
        <v>11</v>
      </c>
      <c r="I79" s="51" t="str">
        <f ca="1">IF(D82=100%,"Excavation","")&amp;IF(D83=100%,", Plinth","")&amp;IF(D84=100%,", RCC Slab","")&amp;IF(D85=100%,", Brickwork","")&amp;IF(D86=100%,", Internal Plaster","")&amp;IF(D87=100%,", External Plaster","")&amp;IF(D88=100%,", Flooring","")&amp;IF(D89=100%,", Painting","")&amp;IF(D90=100%,", Building common Amenities","")</f>
        <v>Excavation, Plinth</v>
      </c>
      <c r="J79" s="52" t="str">
        <f ca="1">(IF(C82=0,"Work not yet Started.",IF(D82=25%,"Piling work in process",IF(D82=50%,"Excavation work in process",IF(D82=100%,"","0")))))&amp;(IF(C83=0%,"",IF(C83=J84,", Footing work is process",IF(C83=J85,", Footing work Completed",IF(C83=J86,", 1st Basement Completed",IF(C83=J87,", 1st &amp; 2nd Basement Completed",IF(C83=J88,", 1st to 3rd Basement Completed",IF(C83=J89,", 1st to 4th Basement Completed",IF(C83=J90,", Plinth work is process",IF(C83=J91,"","0"))))))))))</f>
        <v/>
      </c>
      <c r="S79"/>
    </row>
    <row r="80" spans="1:19" ht="36.75" customHeight="1" x14ac:dyDescent="0.25">
      <c r="A80" s="145" t="s">
        <v>86</v>
      </c>
      <c r="B80" s="146"/>
      <c r="C80" s="147" t="str">
        <f ca="1">I78</f>
        <v xml:space="preserve">Excavation, Plinth Completed </v>
      </c>
      <c r="D80" s="147"/>
      <c r="E80" s="147"/>
      <c r="F80" s="147"/>
      <c r="G80" s="147"/>
      <c r="H80" s="148"/>
      <c r="I80" s="51" t="str">
        <f ca="1">IF(I79&lt;&gt;""," Completed","")</f>
        <v xml:space="preserve"> Completed</v>
      </c>
      <c r="J80" s="52" t="str">
        <f ca="1">IF(J78&lt;&gt;"","Completed","")</f>
        <v/>
      </c>
      <c r="S80"/>
    </row>
    <row r="81" spans="1:19" ht="15.75" customHeight="1" x14ac:dyDescent="0.25">
      <c r="A81" s="132" t="s">
        <v>47</v>
      </c>
      <c r="B81" s="133"/>
      <c r="C81" s="43" t="s">
        <v>137</v>
      </c>
      <c r="D81" s="43" t="s">
        <v>79</v>
      </c>
      <c r="E81" s="133" t="s">
        <v>81</v>
      </c>
      <c r="F81" s="133"/>
      <c r="G81" s="133" t="s">
        <v>80</v>
      </c>
      <c r="H81" s="149"/>
      <c r="I81" s="13" t="s">
        <v>139</v>
      </c>
      <c r="J81" s="28">
        <f ca="1">H79*25%</f>
        <v>2.75</v>
      </c>
      <c r="S81"/>
    </row>
    <row r="82" spans="1:19" x14ac:dyDescent="0.25">
      <c r="A82" s="132" t="s">
        <v>126</v>
      </c>
      <c r="B82" s="133"/>
      <c r="C82" s="105">
        <f ca="1">J83</f>
        <v>11</v>
      </c>
      <c r="D82" s="19">
        <f ca="1">((100/H79)*C82)/100</f>
        <v>1.0000000000000002</v>
      </c>
      <c r="E82" s="134">
        <f ca="1">(((C83/H79*10)+(40/(D79+F79+H79)*C84)+(7.5/(H79)*C85)+(7.5/(H79)*C86)+(10/H79*C87)+(10/H79*C88)+(5/H79*C89)+(5/H79*C90)+(5/H79*C91))/100)</f>
        <v>0.1</v>
      </c>
      <c r="F82" s="135"/>
      <c r="G82" s="134">
        <f ca="1">((((C82/H79)*20)+((C83/H79)*25)+(30/(H79+F79+D79)*C84)+(5/H79*C85)+(5/H79*C86)+(5/H79*C87)+(5/H79*C88)+(0/H79*C89)+(0/H79*C90)+(5/H79*C91))/100)</f>
        <v>0.45</v>
      </c>
      <c r="H82" s="150"/>
      <c r="I82" s="13" t="s">
        <v>97</v>
      </c>
      <c r="J82" s="29">
        <f ca="1">H79*50%</f>
        <v>5.5</v>
      </c>
    </row>
    <row r="83" spans="1:19" x14ac:dyDescent="0.25">
      <c r="A83" s="132" t="s">
        <v>48</v>
      </c>
      <c r="B83" s="133"/>
      <c r="C83" s="105">
        <f ca="1">J91</f>
        <v>11</v>
      </c>
      <c r="D83" s="19">
        <f ca="1">((100/H79)*C83)/100</f>
        <v>1.0000000000000002</v>
      </c>
      <c r="E83" s="136"/>
      <c r="F83" s="137"/>
      <c r="G83" s="136"/>
      <c r="H83" s="151"/>
      <c r="I83" s="13" t="s">
        <v>98</v>
      </c>
      <c r="J83" s="29">
        <f ca="1">H79</f>
        <v>11</v>
      </c>
      <c r="L83" s="96"/>
      <c r="S83"/>
    </row>
    <row r="84" spans="1:19" ht="15.75" customHeight="1" x14ac:dyDescent="0.25">
      <c r="A84" s="132" t="s">
        <v>127</v>
      </c>
      <c r="B84" s="133"/>
      <c r="C84" s="105">
        <v>0</v>
      </c>
      <c r="D84" s="19">
        <f ca="1">((100/(D79+F79+H79))*C84)/100</f>
        <v>0</v>
      </c>
      <c r="E84" s="136"/>
      <c r="F84" s="137"/>
      <c r="G84" s="136"/>
      <c r="H84" s="151"/>
      <c r="I84" s="13" t="s">
        <v>99</v>
      </c>
      <c r="J84" s="30">
        <f ca="1">(IF(B79&gt;1,(H79/(B79+2)),H79/4))</f>
        <v>2.75</v>
      </c>
      <c r="S84"/>
    </row>
    <row r="85" spans="1:19" ht="15.75" customHeight="1" x14ac:dyDescent="0.25">
      <c r="A85" s="132" t="s">
        <v>134</v>
      </c>
      <c r="B85" s="133" t="s">
        <v>128</v>
      </c>
      <c r="C85" s="105">
        <v>0</v>
      </c>
      <c r="D85" s="19">
        <f ca="1">((100/H79)*C85)/100</f>
        <v>0</v>
      </c>
      <c r="E85" s="136"/>
      <c r="F85" s="137"/>
      <c r="G85" s="136"/>
      <c r="H85" s="151"/>
      <c r="I85" s="13" t="s">
        <v>100</v>
      </c>
      <c r="J85" s="30">
        <f ca="1">(IF(B79&gt;1,(H79/(B79+2)+J84),H79/4+J84))</f>
        <v>5.5</v>
      </c>
    </row>
    <row r="86" spans="1:19" ht="15.75" customHeight="1" x14ac:dyDescent="0.25">
      <c r="A86" s="132" t="s">
        <v>135</v>
      </c>
      <c r="B86" s="133" t="s">
        <v>128</v>
      </c>
      <c r="C86" s="105">
        <v>0</v>
      </c>
      <c r="D86" s="19">
        <f ca="1">((100/H79)*C86)/100</f>
        <v>0</v>
      </c>
      <c r="E86" s="136"/>
      <c r="F86" s="137"/>
      <c r="G86" s="136"/>
      <c r="H86" s="151"/>
      <c r="I86" s="13" t="s">
        <v>146</v>
      </c>
      <c r="J86" s="30">
        <f>(IF(B79&gt;1,(H79/(B79+2)+J85),0))</f>
        <v>0</v>
      </c>
    </row>
    <row r="87" spans="1:19" ht="15" customHeight="1" x14ac:dyDescent="0.25">
      <c r="A87" s="132" t="s">
        <v>133</v>
      </c>
      <c r="B87" s="133" t="s">
        <v>130</v>
      </c>
      <c r="C87" s="105">
        <v>0</v>
      </c>
      <c r="D87" s="19">
        <f ca="1">((100/(H79))*C87)/100</f>
        <v>0</v>
      </c>
      <c r="E87" s="136"/>
      <c r="F87" s="137"/>
      <c r="G87" s="136"/>
      <c r="H87" s="151"/>
      <c r="I87" s="13" t="s">
        <v>141</v>
      </c>
      <c r="J87" s="30">
        <f>(IF(B79&gt;2,(H79/(B79+2)+J86),0))</f>
        <v>0</v>
      </c>
    </row>
    <row r="88" spans="1:19" ht="15.75" customHeight="1" x14ac:dyDescent="0.25">
      <c r="A88" s="132" t="s">
        <v>129</v>
      </c>
      <c r="B88" s="133" t="s">
        <v>129</v>
      </c>
      <c r="C88" s="105">
        <v>0</v>
      </c>
      <c r="D88" s="19">
        <f ca="1">((100/H79)*C88)/100</f>
        <v>0</v>
      </c>
      <c r="E88" s="136"/>
      <c r="F88" s="137"/>
      <c r="G88" s="136"/>
      <c r="H88" s="151"/>
      <c r="I88" s="13" t="s">
        <v>142</v>
      </c>
      <c r="J88" s="31">
        <f>(IF(B79&gt;3,(H79/(B79+2)+J87),0))</f>
        <v>0</v>
      </c>
    </row>
    <row r="89" spans="1:19" ht="15.75" customHeight="1" x14ac:dyDescent="0.25">
      <c r="A89" s="132" t="s">
        <v>136</v>
      </c>
      <c r="B89" s="133"/>
      <c r="C89" s="105">
        <v>0</v>
      </c>
      <c r="D89" s="19">
        <f ca="1">((100/H79)*C89)/100</f>
        <v>0</v>
      </c>
      <c r="E89" s="136"/>
      <c r="F89" s="137"/>
      <c r="G89" s="136"/>
      <c r="H89" s="151"/>
      <c r="I89" s="13" t="s">
        <v>143</v>
      </c>
      <c r="J89" s="30">
        <f>(IF(B79&gt;4,(H79/(B79+2)+J88),0))</f>
        <v>0</v>
      </c>
    </row>
    <row r="90" spans="1:19" ht="15.75" customHeight="1" x14ac:dyDescent="0.25">
      <c r="A90" s="132" t="s">
        <v>131</v>
      </c>
      <c r="B90" s="133" t="s">
        <v>131</v>
      </c>
      <c r="C90" s="105">
        <v>0</v>
      </c>
      <c r="D90" s="19">
        <f ca="1">((100/(H79))*C90)/100</f>
        <v>0</v>
      </c>
      <c r="E90" s="136"/>
      <c r="F90" s="137"/>
      <c r="G90" s="136"/>
      <c r="H90" s="151"/>
      <c r="I90" s="13" t="s">
        <v>147</v>
      </c>
      <c r="J90" s="30">
        <f ca="1">(IF(B79=1,(H79/(B79+3)+J85),IF(B79=0,(H79/4+J85),IF(B79&gt;1,0))))</f>
        <v>8.25</v>
      </c>
    </row>
    <row r="91" spans="1:19" ht="16.5" thickBot="1" x14ac:dyDescent="0.3">
      <c r="A91" s="126" t="s">
        <v>132</v>
      </c>
      <c r="B91" s="127"/>
      <c r="C91" s="106">
        <v>0</v>
      </c>
      <c r="D91" s="20">
        <f ca="1">((100/(H79))*C91)/100</f>
        <v>0</v>
      </c>
      <c r="E91" s="138"/>
      <c r="F91" s="139"/>
      <c r="G91" s="138"/>
      <c r="H91" s="152"/>
      <c r="I91" s="15" t="s">
        <v>101</v>
      </c>
      <c r="J91" s="32">
        <f ca="1">(IF(B79&gt;1.5,(H79/(B79+2)+J85+MAX(0,J86-J85)+MAX(0,J87-J86)+MAX(0,J88-J87)+MAX(0,J89-J88)+MAX(0,J90-J89)),IF(B79=1,(H79/(B79+3)+J90),IF(B79=0,H79/4+J90))))</f>
        <v>11</v>
      </c>
    </row>
    <row r="92" spans="1:19" ht="15.75" hidden="1" customHeight="1" x14ac:dyDescent="0.25">
      <c r="A92" s="190" t="s">
        <v>138</v>
      </c>
      <c r="B92" s="191"/>
      <c r="C92" s="192" t="str">
        <f>D68</f>
        <v>Building No. 8 (Wing B) = G + 1st to 11th Floor</v>
      </c>
      <c r="D92" s="193"/>
      <c r="E92" s="193"/>
      <c r="F92" s="193"/>
      <c r="G92" s="193"/>
      <c r="H92" s="194"/>
      <c r="I92" s="49" t="str">
        <f ca="1">IF(D105=100%,"All work Completed. Possession granted to the Building.",IF(D104=100%,"All work Completed, Waiting for OC",I93&amp;""&amp;I94&amp;""&amp;J93&amp;""&amp;J92&amp;" "&amp;J94))</f>
        <v>Excavation, Plinth Completed, RCC upto 8 Slab, Brickwork upto 4 Floor Completed</v>
      </c>
      <c r="J92" s="50" t="str">
        <f ca="1">(IF(C98=(D93+F93+H93),"",IF(C98&gt;0,", RCC upto "&amp;C98&amp;" Slab","")))&amp;(IF(C99=H93,"",IF(C99&gt;0,", Brickwork upto "&amp;C99&amp;" Floor","")))&amp;(IF(C100=H93,"",IF(C100&gt;0,", Internal Plaster upto "&amp;C100&amp;" Floor","")))&amp;(IF(C101=H93,"",IF(C101&gt;0,", External Plaster upto "&amp;C101&amp;" Floor","")))&amp;(IF(C102=H93,"",IF(C102&gt;0,", Flooring upto "&amp;C102&amp;" Floor","")))&amp;(IF(C103=H93,"",IF(C103&gt;0,", Painting upto "&amp;C103&amp;" Floor","")))&amp;(IF(C104=H93,"",IF(C104&gt;0,", Finishing upto "&amp;C104&amp;" Floor","")))&amp;(IF(C105=H93,"",IF(C105&gt;0,", Possession upto "&amp;C105&amp;" Floor","")))</f>
        <v>, RCC upto 8 Slab, Brickwork upto 4 Floor</v>
      </c>
      <c r="S92"/>
    </row>
    <row r="93" spans="1:19" hidden="1" x14ac:dyDescent="0.25">
      <c r="A93" s="16" t="s">
        <v>140</v>
      </c>
      <c r="B93" s="47">
        <f>IF(AND(ISNUMBER(SEARCH("1B",C92))),1,IF(AND(ISNUMBER(SEARCH("2B",C92))),2,IF(AND(ISNUMBER(SEARCH("3B",C92))),3,IF(AND(ISNUMBER(SEARCH("4B",C92))),4,IF(ISNUMBER(SEARCH("5B",C92)),5,0)))))</f>
        <v>0</v>
      </c>
      <c r="C93" s="47" t="s">
        <v>68</v>
      </c>
      <c r="D93" s="47">
        <v>1</v>
      </c>
      <c r="E93" s="47" t="s">
        <v>67</v>
      </c>
      <c r="F93" s="104">
        <v>0</v>
      </c>
      <c r="G93" s="48" t="s">
        <v>76</v>
      </c>
      <c r="H93" s="17">
        <f ca="1">--TRIM(RIGHT(SUBSTITUTE(LEFT(C92,_xlfn.AGGREGATE(16,6,FIND({0,1,2,3,4,5,6,7,8,9},C92,ROW(INDIRECT("1:"&amp;LEN(C92)))),1))," ",REPT(" ",LEN(C92))),LEN(C92)))</f>
        <v>11</v>
      </c>
      <c r="I93" s="51" t="str">
        <f ca="1">IF(D96=100%,"Excavation","")&amp;IF(D97=100%,", Plinth","")&amp;IF(D98=100%,", RCC Slab","")&amp;IF(D99=100%,", Brickwork","")&amp;IF(D100=100%,", Internal Plaster","")&amp;IF(D101=100%,", External Plaster","")&amp;IF(D102=100%,", Flooring","")&amp;IF(D103=100%,", Painting","")&amp;IF(D104=100%,", Building common Amenities","")</f>
        <v>Excavation, Plinth</v>
      </c>
      <c r="J93" s="52" t="str">
        <f ca="1">(IF(C96=0,"Work not yet Started.",IF(D96=25%,"Piling work in process",IF(D96=50%,"Excavation work in process",IF(D96=100%,"","0")))))&amp;(IF(C97=0%,"",IF(C97=J98,", Footing work is process",IF(C97=J99,", Footing work Completed",IF(C97=J100,", 1st Basement Completed",IF(C97=J101,", 1st &amp; 2nd Basement Completed",IF(C97=J102,", 1st to 3rd Basement Completed",IF(C97=J103,", 1st to 4th Basement Completed",IF(C97=J104,", Plinth work is process",IF(C97=J105,"","0"))))))))))</f>
        <v/>
      </c>
      <c r="S93"/>
    </row>
    <row r="94" spans="1:19" ht="36.75" hidden="1" customHeight="1" x14ac:dyDescent="0.25">
      <c r="A94" s="145" t="s">
        <v>86</v>
      </c>
      <c r="B94" s="146"/>
      <c r="C94" s="147" t="str">
        <f ca="1">I92</f>
        <v>Excavation, Plinth Completed, RCC upto 8 Slab, Brickwork upto 4 Floor Completed</v>
      </c>
      <c r="D94" s="147"/>
      <c r="E94" s="147"/>
      <c r="F94" s="147"/>
      <c r="G94" s="147"/>
      <c r="H94" s="148"/>
      <c r="I94" s="51" t="str">
        <f ca="1">IF(I93&lt;&gt;""," Completed","")</f>
        <v xml:space="preserve"> Completed</v>
      </c>
      <c r="J94" s="52" t="str">
        <f ca="1">IF(J92&lt;&gt;"","Completed","")</f>
        <v>Completed</v>
      </c>
      <c r="S94"/>
    </row>
    <row r="95" spans="1:19" ht="15.75" hidden="1" customHeight="1" x14ac:dyDescent="0.25">
      <c r="A95" s="132" t="s">
        <v>47</v>
      </c>
      <c r="B95" s="133"/>
      <c r="C95" s="43" t="s">
        <v>137</v>
      </c>
      <c r="D95" s="43" t="s">
        <v>79</v>
      </c>
      <c r="E95" s="133" t="s">
        <v>81</v>
      </c>
      <c r="F95" s="133"/>
      <c r="G95" s="133" t="s">
        <v>80</v>
      </c>
      <c r="H95" s="149"/>
      <c r="I95" s="13" t="s">
        <v>139</v>
      </c>
      <c r="J95" s="28">
        <f ca="1">H93*25%</f>
        <v>2.75</v>
      </c>
      <c r="S95"/>
    </row>
    <row r="96" spans="1:19" hidden="1" x14ac:dyDescent="0.25">
      <c r="A96" s="132" t="s">
        <v>126</v>
      </c>
      <c r="B96" s="133"/>
      <c r="C96" s="60">
        <f ca="1">J97</f>
        <v>11</v>
      </c>
      <c r="D96" s="19">
        <f ca="1">((100/H93)*C96)/100</f>
        <v>1.0000000000000002</v>
      </c>
      <c r="E96" s="134">
        <f ca="1">(((C97/H93*10)+(40/(D93+F93+H93)*C98)+(7.5/(H93)*C99)+(7.5/(H93)*C100)+(10/H93*C101)+(10/H93*C102)+(5/H93*C103)+(5/H93*C104)+(5/H93*C105))/100)</f>
        <v>0.39393939393939398</v>
      </c>
      <c r="F96" s="135"/>
      <c r="G96" s="134">
        <f ca="1">((((C96/H93)*20)+((C97/H93)*25)+(30/(H93+F93+D93)*C98)+(5/H93*C99)+(5/H93*C100)+(5/H93*C101)+(5/H93*C102)+(0/H93*C103)+(0/H93*C104)+(5/H93*C105))/100)</f>
        <v>0.6681818181818181</v>
      </c>
      <c r="H96" s="150"/>
      <c r="I96" s="13" t="s">
        <v>97</v>
      </c>
      <c r="J96" s="29">
        <f ca="1">H93*50%</f>
        <v>5.5</v>
      </c>
    </row>
    <row r="97" spans="1:19" hidden="1" x14ac:dyDescent="0.25">
      <c r="A97" s="132" t="s">
        <v>48</v>
      </c>
      <c r="B97" s="133"/>
      <c r="C97" s="60">
        <f ca="1">J105</f>
        <v>11</v>
      </c>
      <c r="D97" s="19">
        <f ca="1">((100/H93)*C97)/100</f>
        <v>1.0000000000000002</v>
      </c>
      <c r="E97" s="136"/>
      <c r="F97" s="137"/>
      <c r="G97" s="136"/>
      <c r="H97" s="151"/>
      <c r="I97" s="13" t="s">
        <v>98</v>
      </c>
      <c r="J97" s="29">
        <f ca="1">H93</f>
        <v>11</v>
      </c>
      <c r="S97"/>
    </row>
    <row r="98" spans="1:19" ht="15.75" hidden="1" customHeight="1" x14ac:dyDescent="0.25">
      <c r="A98" s="132" t="s">
        <v>127</v>
      </c>
      <c r="B98" s="133"/>
      <c r="C98" s="60">
        <v>8</v>
      </c>
      <c r="D98" s="19">
        <f ca="1">((100/(D93+F93+H93))*C98)/100</f>
        <v>0.66666666666666674</v>
      </c>
      <c r="E98" s="136"/>
      <c r="F98" s="137"/>
      <c r="G98" s="136"/>
      <c r="H98" s="151"/>
      <c r="I98" s="13" t="s">
        <v>99</v>
      </c>
      <c r="J98" s="30">
        <f ca="1">(IF(B93&gt;1,(H93/(B93+2)),H93/4))</f>
        <v>2.75</v>
      </c>
      <c r="S98"/>
    </row>
    <row r="99" spans="1:19" ht="15.75" hidden="1" customHeight="1" x14ac:dyDescent="0.25">
      <c r="A99" s="132" t="s">
        <v>134</v>
      </c>
      <c r="B99" s="133" t="s">
        <v>128</v>
      </c>
      <c r="C99" s="60">
        <v>4</v>
      </c>
      <c r="D99" s="19">
        <f ca="1">((100/H93)*C99)/100</f>
        <v>0.36363636363636365</v>
      </c>
      <c r="E99" s="136"/>
      <c r="F99" s="137"/>
      <c r="G99" s="136"/>
      <c r="H99" s="151"/>
      <c r="I99" s="13" t="s">
        <v>100</v>
      </c>
      <c r="J99" s="30">
        <f ca="1">(IF(B93&gt;1,(H93/(B93+2)+J98),H93/4+J98))</f>
        <v>5.5</v>
      </c>
    </row>
    <row r="100" spans="1:19" ht="15.75" hidden="1" customHeight="1" x14ac:dyDescent="0.25">
      <c r="A100" s="132" t="s">
        <v>135</v>
      </c>
      <c r="B100" s="133" t="s">
        <v>128</v>
      </c>
      <c r="C100" s="60">
        <v>0</v>
      </c>
      <c r="D100" s="19">
        <f ca="1">((100/H93)*C100)/100</f>
        <v>0</v>
      </c>
      <c r="E100" s="136"/>
      <c r="F100" s="137"/>
      <c r="G100" s="136"/>
      <c r="H100" s="151"/>
      <c r="I100" s="13" t="s">
        <v>146</v>
      </c>
      <c r="J100" s="30">
        <f>(IF(B93&gt;1,(H93/(B93+2)+J99),0))</f>
        <v>0</v>
      </c>
    </row>
    <row r="101" spans="1:19" ht="15" hidden="1" customHeight="1" x14ac:dyDescent="0.25">
      <c r="A101" s="132" t="s">
        <v>133</v>
      </c>
      <c r="B101" s="133" t="s">
        <v>130</v>
      </c>
      <c r="C101" s="43">
        <v>0</v>
      </c>
      <c r="D101" s="19">
        <f ca="1">((100/(H93))*C101)/100</f>
        <v>0</v>
      </c>
      <c r="E101" s="136"/>
      <c r="F101" s="137"/>
      <c r="G101" s="136"/>
      <c r="H101" s="151"/>
      <c r="I101" s="13" t="s">
        <v>141</v>
      </c>
      <c r="J101" s="30">
        <f>(IF(B93&gt;2,(H93/(B93+2)+J100),0))</f>
        <v>0</v>
      </c>
    </row>
    <row r="102" spans="1:19" ht="15.75" hidden="1" customHeight="1" x14ac:dyDescent="0.25">
      <c r="A102" s="132" t="s">
        <v>129</v>
      </c>
      <c r="B102" s="133" t="s">
        <v>129</v>
      </c>
      <c r="C102" s="43">
        <v>0</v>
      </c>
      <c r="D102" s="19">
        <f ca="1">((100/H93)*C102)/100</f>
        <v>0</v>
      </c>
      <c r="E102" s="136"/>
      <c r="F102" s="137"/>
      <c r="G102" s="136"/>
      <c r="H102" s="151"/>
      <c r="I102" s="13" t="s">
        <v>142</v>
      </c>
      <c r="J102" s="31">
        <f>(IF(B93&gt;3,(H93/(B93+2)+J101),0))</f>
        <v>0</v>
      </c>
    </row>
    <row r="103" spans="1:19" ht="15.75" hidden="1" customHeight="1" x14ac:dyDescent="0.25">
      <c r="A103" s="132" t="s">
        <v>136</v>
      </c>
      <c r="B103" s="133"/>
      <c r="C103" s="43">
        <v>0</v>
      </c>
      <c r="D103" s="19">
        <f ca="1">((100/H93)*C103)/100</f>
        <v>0</v>
      </c>
      <c r="E103" s="136"/>
      <c r="F103" s="137"/>
      <c r="G103" s="136"/>
      <c r="H103" s="151"/>
      <c r="I103" s="13" t="s">
        <v>143</v>
      </c>
      <c r="J103" s="30">
        <f>(IF(B93&gt;4,(H93/(B93+2)+J102),0))</f>
        <v>0</v>
      </c>
    </row>
    <row r="104" spans="1:19" ht="15.75" hidden="1" customHeight="1" x14ac:dyDescent="0.25">
      <c r="A104" s="132" t="s">
        <v>131</v>
      </c>
      <c r="B104" s="133" t="s">
        <v>131</v>
      </c>
      <c r="C104" s="43">
        <v>0</v>
      </c>
      <c r="D104" s="19">
        <f ca="1">((100/(H93))*C104)/100</f>
        <v>0</v>
      </c>
      <c r="E104" s="136"/>
      <c r="F104" s="137"/>
      <c r="G104" s="136"/>
      <c r="H104" s="151"/>
      <c r="I104" s="13" t="s">
        <v>147</v>
      </c>
      <c r="J104" s="30">
        <f ca="1">(IF(B93=1,(H93/(B93+3)+J99),IF(B93=0,(H93/4+J99),IF(B93&gt;1,0))))</f>
        <v>8.25</v>
      </c>
    </row>
    <row r="105" spans="1:19" ht="16.5" hidden="1" thickBot="1" x14ac:dyDescent="0.3">
      <c r="A105" s="126" t="s">
        <v>132</v>
      </c>
      <c r="B105" s="127"/>
      <c r="C105" s="44">
        <v>0</v>
      </c>
      <c r="D105" s="20">
        <f ca="1">((100/(H93))*C105)/100</f>
        <v>0</v>
      </c>
      <c r="E105" s="138"/>
      <c r="F105" s="139"/>
      <c r="G105" s="138"/>
      <c r="H105" s="152"/>
      <c r="I105" s="15" t="s">
        <v>101</v>
      </c>
      <c r="J105" s="32">
        <f ca="1">(IF(B93&gt;1.5,(H93/(B93+2)+J99+MAX(0,J100-J99)+MAX(0,J101-J100)+MAX(0,J102-J101)+MAX(0,J103-J102)+MAX(0,J104-J103)),IF(B93=1,(H93/(B93+3)+J104),IF(B93=0,H93/4+J104))))</f>
        <v>11</v>
      </c>
    </row>
    <row r="106" spans="1:19" ht="15.75" customHeight="1" x14ac:dyDescent="0.25">
      <c r="A106" s="140" t="s">
        <v>138</v>
      </c>
      <c r="B106" s="141"/>
      <c r="C106" s="142" t="str">
        <f>D69</f>
        <v>Building No. 9 (Wing A) = G + 1st to 11th Floor</v>
      </c>
      <c r="D106" s="143"/>
      <c r="E106" s="143"/>
      <c r="F106" s="143"/>
      <c r="G106" s="143"/>
      <c r="H106" s="144"/>
      <c r="I106" s="49" t="str">
        <f ca="1">IF(D119=100%,"All work Completed. Possession granted to the Building.",IF(D118=100%,"All work Completed, Waiting for OC",I107&amp;""&amp;I108&amp;""&amp;J107&amp;""&amp;J106&amp;" "&amp;J108))</f>
        <v>Excavation, Plinth Completed, RCC upto 7 Slab, Brickwork upto 4 Floor Completed</v>
      </c>
      <c r="J106" s="50" t="str">
        <f ca="1">(IF(C112=(D107+F107+H107),"",IF(C112&gt;0,", RCC upto "&amp;C112&amp;" Slab","")))&amp;(IF(C113=H107,"",IF(C113&gt;0,", Brickwork upto "&amp;C113&amp;" Floor","")))&amp;(IF(C114=H107,"",IF(C114&gt;0,", Internal Plaster upto "&amp;C114&amp;" Floor","")))&amp;(IF(C115=H107,"",IF(C115&gt;0,", External Plaster upto "&amp;C115&amp;" Floor","")))&amp;(IF(C116=H107,"",IF(C116&gt;0,", Flooring upto "&amp;C116&amp;" Floor","")))&amp;(IF(C117=H107,"",IF(C117&gt;0,", Painting upto "&amp;C117&amp;" Floor","")))&amp;(IF(C118=H107,"",IF(C118&gt;0,", Finishing upto "&amp;C118&amp;" Floor","")))&amp;(IF(C119=H107,"",IF(C119&gt;0,", Possession upto "&amp;C119&amp;" Floor","")))</f>
        <v>, RCC upto 7 Slab, Brickwork upto 4 Floor</v>
      </c>
      <c r="S106"/>
    </row>
    <row r="107" spans="1:19" x14ac:dyDescent="0.25">
      <c r="A107" s="16" t="s">
        <v>140</v>
      </c>
      <c r="B107" s="47">
        <f>IF(AND(ISNUMBER(SEARCH("1B",C106))),1,IF(AND(ISNUMBER(SEARCH("2B",C106))),2,IF(AND(ISNUMBER(SEARCH("3B",C106))),3,IF(AND(ISNUMBER(SEARCH("4B",C106))),4,IF(ISNUMBER(SEARCH("5B",C106)),5,0)))))</f>
        <v>0</v>
      </c>
      <c r="C107" s="47" t="s">
        <v>68</v>
      </c>
      <c r="D107" s="47">
        <v>1</v>
      </c>
      <c r="E107" s="47" t="s">
        <v>67</v>
      </c>
      <c r="F107" s="104">
        <v>0</v>
      </c>
      <c r="G107" s="48" t="s">
        <v>76</v>
      </c>
      <c r="H107" s="17">
        <f ca="1">--TRIM(RIGHT(SUBSTITUTE(LEFT(C106,_xlfn.AGGREGATE(16,6,FIND({0,1,2,3,4,5,6,7,8,9},C106,ROW(INDIRECT("1:"&amp;LEN(C106)))),1))," ",REPT(" ",LEN(C106))),LEN(C106)))</f>
        <v>11</v>
      </c>
      <c r="I107" s="51" t="str">
        <f ca="1">IF(D110=100%,"Excavation","")&amp;IF(D111=100%,", Plinth","")&amp;IF(D112=100%,", RCC Slab","")&amp;IF(D113=100%,", Brickwork","")&amp;IF(D114=100%,", Internal Plaster","")&amp;IF(D115=100%,", External Plaster","")&amp;IF(D116=100%,", Flooring","")&amp;IF(D117=100%,", Painting","")&amp;IF(D118=100%,", Building common Amenities","")</f>
        <v>Excavation, Plinth</v>
      </c>
      <c r="J107" s="52" t="str">
        <f ca="1">(IF(C110=0,"Work not yet Started.",IF(D110=25%,"Piling work in process",IF(D110=50%,"Excavation work in process",IF(D110=100%,"","0")))))&amp;(IF(C111=0%,"",IF(C111=J112,", Footing work is process",IF(C111=J113,", Footing work Completed",IF(C111=J114,", 1st Basement Completed",IF(C111=J115,", 1st &amp; 2nd Basement Completed",IF(C111=J116,", 1st to 3rd Basement Completed",IF(C111=J117,", 1st to 4th Basement Completed",IF(C111=J118,", Plinth work is process",IF(C111=J119,"","0"))))))))))</f>
        <v/>
      </c>
      <c r="S107"/>
    </row>
    <row r="108" spans="1:19" ht="33" customHeight="1" x14ac:dyDescent="0.25">
      <c r="A108" s="145" t="s">
        <v>86</v>
      </c>
      <c r="B108" s="146"/>
      <c r="C108" s="147" t="str">
        <f ca="1">I106</f>
        <v>Excavation, Plinth Completed, RCC upto 7 Slab, Brickwork upto 4 Floor Completed</v>
      </c>
      <c r="D108" s="147"/>
      <c r="E108" s="147"/>
      <c r="F108" s="147"/>
      <c r="G108" s="147"/>
      <c r="H108" s="148"/>
      <c r="I108" s="51" t="str">
        <f ca="1">IF(I107&lt;&gt;""," Completed","")</f>
        <v xml:space="preserve"> Completed</v>
      </c>
      <c r="J108" s="52" t="str">
        <f ca="1">IF(J106&lt;&gt;"","Completed","")</f>
        <v>Completed</v>
      </c>
      <c r="S108"/>
    </row>
    <row r="109" spans="1:19" ht="15.75" customHeight="1" x14ac:dyDescent="0.25">
      <c r="A109" s="132" t="s">
        <v>47</v>
      </c>
      <c r="B109" s="133"/>
      <c r="C109" s="43" t="s">
        <v>137</v>
      </c>
      <c r="D109" s="43" t="s">
        <v>79</v>
      </c>
      <c r="E109" s="133" t="s">
        <v>81</v>
      </c>
      <c r="F109" s="133"/>
      <c r="G109" s="133" t="s">
        <v>80</v>
      </c>
      <c r="H109" s="149"/>
      <c r="I109" s="13" t="s">
        <v>139</v>
      </c>
      <c r="J109" s="28">
        <f ca="1">H107*25%</f>
        <v>2.75</v>
      </c>
      <c r="S109"/>
    </row>
    <row r="110" spans="1:19" x14ac:dyDescent="0.25">
      <c r="A110" s="132" t="s">
        <v>126</v>
      </c>
      <c r="B110" s="133"/>
      <c r="C110" s="98">
        <f ca="1">J111</f>
        <v>11</v>
      </c>
      <c r="D110" s="19">
        <f ca="1">((100/H107)*C110)/100</f>
        <v>1.0000000000000002</v>
      </c>
      <c r="E110" s="134">
        <f ca="1">(((C111/H107*10)+(40/(D107+F107+H107)*C112)+(7.5/(H107)*C113)+(7.5/(H107)*C114)+(10/H107*C115)+(10/H107*C116)+(5/H107*C117)+(5/H107*C118)+(5/H107*C119))/100)</f>
        <v>0.3606060606060606</v>
      </c>
      <c r="F110" s="135"/>
      <c r="G110" s="134">
        <f ca="1">((((C110/H107)*20)+((C111/H107)*25)+(30/(H107+F107+D107)*C112)+(5/H107*C113)+(5/H107*C114)+(5/H107*C115)+(5/H107*C116)+(0/H107*C117)+(0/H107*C118)+(5/H107*C119))/100)</f>
        <v>0.64318181818181808</v>
      </c>
      <c r="H110" s="150"/>
      <c r="I110" s="13" t="s">
        <v>97</v>
      </c>
      <c r="J110" s="29">
        <f ca="1">H107*50%</f>
        <v>5.5</v>
      </c>
    </row>
    <row r="111" spans="1:19" x14ac:dyDescent="0.25">
      <c r="A111" s="132" t="s">
        <v>48</v>
      </c>
      <c r="B111" s="133"/>
      <c r="C111" s="43">
        <f ca="1">J119</f>
        <v>11</v>
      </c>
      <c r="D111" s="19">
        <f ca="1">((100/H107)*C111)/100</f>
        <v>1.0000000000000002</v>
      </c>
      <c r="E111" s="136"/>
      <c r="F111" s="137"/>
      <c r="G111" s="136"/>
      <c r="H111" s="151"/>
      <c r="I111" s="13" t="s">
        <v>98</v>
      </c>
      <c r="J111" s="29">
        <f ca="1">H107</f>
        <v>11</v>
      </c>
      <c r="S111"/>
    </row>
    <row r="112" spans="1:19" ht="15.75" customHeight="1" x14ac:dyDescent="0.25">
      <c r="A112" s="132" t="s">
        <v>127</v>
      </c>
      <c r="B112" s="133"/>
      <c r="C112" s="43">
        <v>7</v>
      </c>
      <c r="D112" s="19">
        <f ca="1">((100/(D107+F107+H107))*C112)/100</f>
        <v>0.58333333333333337</v>
      </c>
      <c r="E112" s="136"/>
      <c r="F112" s="137"/>
      <c r="G112" s="136"/>
      <c r="H112" s="151"/>
      <c r="I112" s="13" t="s">
        <v>99</v>
      </c>
      <c r="J112" s="30">
        <f ca="1">(IF(B107&gt;1,(H107/(B107+2)),H107/4))</f>
        <v>2.75</v>
      </c>
      <c r="S112"/>
    </row>
    <row r="113" spans="1:19" ht="15.75" customHeight="1" x14ac:dyDescent="0.25">
      <c r="A113" s="132" t="s">
        <v>134</v>
      </c>
      <c r="B113" s="133" t="s">
        <v>128</v>
      </c>
      <c r="C113" s="43">
        <v>4</v>
      </c>
      <c r="D113" s="19">
        <f ca="1">((100/H107)*C113)/100</f>
        <v>0.36363636363636365</v>
      </c>
      <c r="E113" s="136"/>
      <c r="F113" s="137"/>
      <c r="G113" s="136"/>
      <c r="H113" s="151"/>
      <c r="I113" s="13" t="s">
        <v>100</v>
      </c>
      <c r="J113" s="30">
        <f ca="1">(IF(B107&gt;1,(H107/(B107+2)+J112),H107/4+J112))</f>
        <v>5.5</v>
      </c>
    </row>
    <row r="114" spans="1:19" ht="15.75" customHeight="1" x14ac:dyDescent="0.25">
      <c r="A114" s="132" t="s">
        <v>135</v>
      </c>
      <c r="B114" s="133" t="s">
        <v>128</v>
      </c>
      <c r="C114" s="43">
        <v>0</v>
      </c>
      <c r="D114" s="19">
        <f ca="1">((100/H107)*C114)/100</f>
        <v>0</v>
      </c>
      <c r="E114" s="136"/>
      <c r="F114" s="137"/>
      <c r="G114" s="136"/>
      <c r="H114" s="151"/>
      <c r="I114" s="13" t="s">
        <v>146</v>
      </c>
      <c r="J114" s="30">
        <f>(IF(B107&gt;1,(H107/(B107+2)+J113),0))</f>
        <v>0</v>
      </c>
    </row>
    <row r="115" spans="1:19" ht="15" customHeight="1" x14ac:dyDescent="0.25">
      <c r="A115" s="132" t="s">
        <v>133</v>
      </c>
      <c r="B115" s="133" t="s">
        <v>130</v>
      </c>
      <c r="C115" s="43">
        <v>0</v>
      </c>
      <c r="D115" s="19">
        <f ca="1">((100/(H107))*C115)/100</f>
        <v>0</v>
      </c>
      <c r="E115" s="136"/>
      <c r="F115" s="137"/>
      <c r="G115" s="136"/>
      <c r="H115" s="151"/>
      <c r="I115" s="13" t="s">
        <v>141</v>
      </c>
      <c r="J115" s="30">
        <f>(IF(B107&gt;2,(H107/(B107+2)+J114),0))</f>
        <v>0</v>
      </c>
    </row>
    <row r="116" spans="1:19" ht="15.75" customHeight="1" x14ac:dyDescent="0.25">
      <c r="A116" s="132" t="s">
        <v>129</v>
      </c>
      <c r="B116" s="133" t="s">
        <v>129</v>
      </c>
      <c r="C116" s="43">
        <v>0</v>
      </c>
      <c r="D116" s="19">
        <f ca="1">((100/H107)*C116)/100</f>
        <v>0</v>
      </c>
      <c r="E116" s="136"/>
      <c r="F116" s="137"/>
      <c r="G116" s="136"/>
      <c r="H116" s="151"/>
      <c r="I116" s="13" t="s">
        <v>142</v>
      </c>
      <c r="J116" s="31">
        <f>(IF(B107&gt;3,(H107/(B107+2)+J115),0))</f>
        <v>0</v>
      </c>
    </row>
    <row r="117" spans="1:19" ht="15.75" customHeight="1" x14ac:dyDescent="0.25">
      <c r="A117" s="132" t="s">
        <v>136</v>
      </c>
      <c r="B117" s="133"/>
      <c r="C117" s="43">
        <v>0</v>
      </c>
      <c r="D117" s="19">
        <f ca="1">((100/H107)*C117)/100</f>
        <v>0</v>
      </c>
      <c r="E117" s="136"/>
      <c r="F117" s="137"/>
      <c r="G117" s="136"/>
      <c r="H117" s="151"/>
      <c r="I117" s="13" t="s">
        <v>143</v>
      </c>
      <c r="J117" s="30">
        <f>(IF(B107&gt;4,(H107/(B107+2)+J116),0))</f>
        <v>0</v>
      </c>
    </row>
    <row r="118" spans="1:19" ht="15.75" customHeight="1" x14ac:dyDescent="0.25">
      <c r="A118" s="132" t="s">
        <v>131</v>
      </c>
      <c r="B118" s="133" t="s">
        <v>131</v>
      </c>
      <c r="C118" s="43">
        <v>0</v>
      </c>
      <c r="D118" s="19">
        <f ca="1">((100/(H107))*C118)/100</f>
        <v>0</v>
      </c>
      <c r="E118" s="136"/>
      <c r="F118" s="137"/>
      <c r="G118" s="136"/>
      <c r="H118" s="151"/>
      <c r="I118" s="13" t="s">
        <v>147</v>
      </c>
      <c r="J118" s="30">
        <f ca="1">(IF(B107=1,(H107/(B107+3)+J113),IF(B107=0,(H107/4+J113),IF(B107&gt;1,0))))</f>
        <v>8.25</v>
      </c>
    </row>
    <row r="119" spans="1:19" ht="16.5" thickBot="1" x14ac:dyDescent="0.3">
      <c r="A119" s="126" t="s">
        <v>132</v>
      </c>
      <c r="B119" s="127"/>
      <c r="C119" s="44">
        <v>0</v>
      </c>
      <c r="D119" s="20">
        <f ca="1">((100/(H107))*C119)/100</f>
        <v>0</v>
      </c>
      <c r="E119" s="138"/>
      <c r="F119" s="139"/>
      <c r="G119" s="138"/>
      <c r="H119" s="152"/>
      <c r="I119" s="15" t="s">
        <v>101</v>
      </c>
      <c r="J119" s="32">
        <f ca="1">(IF(B107&gt;1.5,(H107/(B107+2)+J113+MAX(0,J114-J113)+MAX(0,J115-J114)+MAX(0,J116-J115)+MAX(0,J117-J116)+MAX(0,J118-J117)),IF(B107=1,(H107/(B107+3)+J118),IF(B107=0,H107/4+J118))))</f>
        <v>11</v>
      </c>
    </row>
    <row r="120" spans="1:19" ht="15.75" customHeight="1" x14ac:dyDescent="0.25">
      <c r="A120" s="140" t="s">
        <v>138</v>
      </c>
      <c r="B120" s="141"/>
      <c r="C120" s="273" t="str">
        <f>D70</f>
        <v>Building No. 9 (Wing B) = G + 1st to 11th Floor</v>
      </c>
      <c r="D120" s="143"/>
      <c r="E120" s="143"/>
      <c r="F120" s="143"/>
      <c r="G120" s="143"/>
      <c r="H120" s="144"/>
      <c r="I120" s="49" t="str">
        <f ca="1">IF(D133=100%,"All work Completed. Possession granted to the Building.",IF(D132=100%,"All work Completed, Waiting for OC",I121&amp;""&amp;I122&amp;""&amp;J121&amp;""&amp;J120&amp;" "&amp;J122))</f>
        <v>Excavation, Plinth Completed, RCC upto 8 Slab, Brickwork upto 4 Floor Completed</v>
      </c>
      <c r="J120" s="50" t="str">
        <f ca="1">(IF(C126=(D121+F121+H121),"",IF(C126&gt;0,", RCC upto "&amp;C126&amp;" Slab","")))&amp;(IF(C127=H121,"",IF(C127&gt;0,", Brickwork upto "&amp;C127&amp;" Floor","")))&amp;(IF(C128=H121,"",IF(C128&gt;0,", Internal Plaster upto "&amp;C128&amp;" Floor","")))&amp;(IF(C129=H121,"",IF(C129&gt;0,", External Plaster upto "&amp;C129&amp;" Floor","")))&amp;(IF(C130=H121,"",IF(C130&gt;0,", Flooring upto "&amp;C130&amp;" Floor","")))&amp;(IF(C131=H121,"",IF(C131&gt;0,", Painting upto "&amp;C131&amp;" Floor","")))&amp;(IF(C132=H121,"",IF(C132&gt;0,", Finishing upto "&amp;C132&amp;" Floor","")))&amp;(IF(C133=H121,"",IF(C133&gt;0,", Possession upto "&amp;C133&amp;" Floor","")))</f>
        <v>, RCC upto 8 Slab, Brickwork upto 4 Floor</v>
      </c>
      <c r="S120"/>
    </row>
    <row r="121" spans="1:19" x14ac:dyDescent="0.25">
      <c r="A121" s="16" t="s">
        <v>140</v>
      </c>
      <c r="B121" s="47">
        <f>IF(AND(ISNUMBER(SEARCH("1B",C120))),1,IF(AND(ISNUMBER(SEARCH("2B",C120))),2,IF(AND(ISNUMBER(SEARCH("3B",C120))),3,IF(AND(ISNUMBER(SEARCH("4B",C120))),4,IF(ISNUMBER(SEARCH("5B",C120)),5,0)))))</f>
        <v>0</v>
      </c>
      <c r="C121" s="47" t="s">
        <v>68</v>
      </c>
      <c r="D121" s="47">
        <v>1</v>
      </c>
      <c r="E121" s="47" t="s">
        <v>67</v>
      </c>
      <c r="F121" s="104">
        <v>0</v>
      </c>
      <c r="G121" s="48" t="s">
        <v>76</v>
      </c>
      <c r="H121" s="17">
        <f ca="1">--TRIM(RIGHT(SUBSTITUTE(LEFT(C120,_xlfn.AGGREGATE(16,6,FIND({0,1,2,3,4,5,6,7,8,9},C120,ROW(INDIRECT("1:"&amp;LEN(C120)))),1))," ",REPT(" ",LEN(C120))),LEN(C120)))</f>
        <v>11</v>
      </c>
      <c r="I121" s="51" t="str">
        <f ca="1">IF(D124=100%,"Excavation","")&amp;IF(D125=100%,", Plinth","")&amp;IF(D126=100%,", RCC Slab","")&amp;IF(D127=100%,", Brickwork","")&amp;IF(D128=100%,", Internal Plaster","")&amp;IF(D129=100%,", External Plaster","")&amp;IF(D130=100%,", Flooring","")&amp;IF(D131=100%,", Painting","")&amp;IF(D132=100%,", Building common Amenities","")</f>
        <v>Excavation, Plinth</v>
      </c>
      <c r="J121" s="52" t="str">
        <f ca="1">(IF(C124=0,"Work not yet Started.",IF(D124=25%,"Piling work in process",IF(D124=50%,"Excavation work in process",IF(D124=100%,"","0")))))&amp;(IF(C125=0%,"",IF(C125=J126,", Footing work is process",IF(C125=J127,", Footing work Completed",IF(C125=J128,", 1st Basement Completed",IF(C125=J129,", 1st &amp; 2nd Basement Completed",IF(C125=J130,", 1st to 3rd Basement Completed",IF(C125=J131,", 1st to 4th Basement Completed",IF(C125=J132,", Plinth work is process",IF(C125=J133,"","0"))))))))))</f>
        <v/>
      </c>
      <c r="S121"/>
    </row>
    <row r="122" spans="1:19" ht="30.75" customHeight="1" x14ac:dyDescent="0.25">
      <c r="A122" s="145" t="s">
        <v>86</v>
      </c>
      <c r="B122" s="146"/>
      <c r="C122" s="147" t="str">
        <f ca="1">I120</f>
        <v>Excavation, Plinth Completed, RCC upto 8 Slab, Brickwork upto 4 Floor Completed</v>
      </c>
      <c r="D122" s="147"/>
      <c r="E122" s="147"/>
      <c r="F122" s="147"/>
      <c r="G122" s="147"/>
      <c r="H122" s="148"/>
      <c r="I122" s="51" t="str">
        <f ca="1">IF(I121&lt;&gt;""," Completed","")</f>
        <v xml:space="preserve"> Completed</v>
      </c>
      <c r="J122" s="52" t="str">
        <f ca="1">IF(J120&lt;&gt;"","Completed","")</f>
        <v>Completed</v>
      </c>
      <c r="S122"/>
    </row>
    <row r="123" spans="1:19" ht="15.75" customHeight="1" x14ac:dyDescent="0.25">
      <c r="A123" s="132" t="s">
        <v>47</v>
      </c>
      <c r="B123" s="133"/>
      <c r="C123" s="98" t="s">
        <v>137</v>
      </c>
      <c r="D123" s="98" t="s">
        <v>79</v>
      </c>
      <c r="E123" s="133" t="s">
        <v>81</v>
      </c>
      <c r="F123" s="133"/>
      <c r="G123" s="133" t="s">
        <v>80</v>
      </c>
      <c r="H123" s="149"/>
      <c r="I123" s="13" t="s">
        <v>139</v>
      </c>
      <c r="J123" s="28">
        <f ca="1">H121*25%</f>
        <v>2.75</v>
      </c>
      <c r="S123"/>
    </row>
    <row r="124" spans="1:19" x14ac:dyDescent="0.25">
      <c r="A124" s="132" t="s">
        <v>126</v>
      </c>
      <c r="B124" s="133"/>
      <c r="C124" s="98">
        <f ca="1">J125</f>
        <v>11</v>
      </c>
      <c r="D124" s="19">
        <f ca="1">((100/H121)*C124)/100</f>
        <v>1.0000000000000002</v>
      </c>
      <c r="E124" s="134">
        <f ca="1">(((C125/H121*10)+(40/(D121+F121+H121)*C126)+(7.5/(H121)*C127)+(7.5/(H121)*C128)+(10/H121*C129)+(10/H121*C130)+(5/H121*C131)+(5/H121*C132)+(5/H121*C133))/100)</f>
        <v>0.39393939393939398</v>
      </c>
      <c r="F124" s="135"/>
      <c r="G124" s="134">
        <f ca="1">((((C124/H121)*20)+((C125/H121)*25)+(30/(H121+F121+D121)*C126)+(5/H121*C127)+(5/H121*C128)+(5/H121*C129)+(5/H121*C130)+(0/H121*C131)+(0/H121*C132)+(5/H121*C133))/100)</f>
        <v>0.6681818181818181</v>
      </c>
      <c r="H124" s="150"/>
      <c r="I124" s="13" t="s">
        <v>97</v>
      </c>
      <c r="J124" s="29">
        <f ca="1">H121*50%</f>
        <v>5.5</v>
      </c>
    </row>
    <row r="125" spans="1:19" x14ac:dyDescent="0.25">
      <c r="A125" s="132" t="s">
        <v>48</v>
      </c>
      <c r="B125" s="133"/>
      <c r="C125" s="98">
        <f ca="1">J133</f>
        <v>11</v>
      </c>
      <c r="D125" s="19">
        <f ca="1">((100/H121)*C125)/100</f>
        <v>1.0000000000000002</v>
      </c>
      <c r="E125" s="136"/>
      <c r="F125" s="137"/>
      <c r="G125" s="136"/>
      <c r="H125" s="151"/>
      <c r="I125" s="13" t="s">
        <v>98</v>
      </c>
      <c r="J125" s="29">
        <f ca="1">H121</f>
        <v>11</v>
      </c>
      <c r="S125"/>
    </row>
    <row r="126" spans="1:19" ht="15.75" customHeight="1" x14ac:dyDescent="0.25">
      <c r="A126" s="132" t="s">
        <v>127</v>
      </c>
      <c r="B126" s="133"/>
      <c r="C126" s="98">
        <v>8</v>
      </c>
      <c r="D126" s="19">
        <f ca="1">((100/(D121+F121+H121))*C126)/100</f>
        <v>0.66666666666666674</v>
      </c>
      <c r="E126" s="136"/>
      <c r="F126" s="137"/>
      <c r="G126" s="136"/>
      <c r="H126" s="151"/>
      <c r="I126" s="13" t="s">
        <v>99</v>
      </c>
      <c r="J126" s="30">
        <f ca="1">(IF(B121&gt;1,(H121/(B121+2)),H121/4))</f>
        <v>2.75</v>
      </c>
      <c r="S126"/>
    </row>
    <row r="127" spans="1:19" ht="15.75" customHeight="1" x14ac:dyDescent="0.25">
      <c r="A127" s="132" t="s">
        <v>134</v>
      </c>
      <c r="B127" s="133" t="s">
        <v>128</v>
      </c>
      <c r="C127" s="98">
        <v>4</v>
      </c>
      <c r="D127" s="19">
        <f ca="1">((100/H121)*C127)/100</f>
        <v>0.36363636363636365</v>
      </c>
      <c r="E127" s="136"/>
      <c r="F127" s="137"/>
      <c r="G127" s="136"/>
      <c r="H127" s="151"/>
      <c r="I127" s="13" t="s">
        <v>100</v>
      </c>
      <c r="J127" s="30">
        <f ca="1">(IF(B121&gt;1,(H121/(B121+2)+J126),H121/4+J126))</f>
        <v>5.5</v>
      </c>
    </row>
    <row r="128" spans="1:19" ht="15.75" customHeight="1" x14ac:dyDescent="0.25">
      <c r="A128" s="132" t="s">
        <v>135</v>
      </c>
      <c r="B128" s="133" t="s">
        <v>128</v>
      </c>
      <c r="C128" s="98">
        <v>0</v>
      </c>
      <c r="D128" s="19">
        <f ca="1">((100/H121)*C128)/100</f>
        <v>0</v>
      </c>
      <c r="E128" s="136"/>
      <c r="F128" s="137"/>
      <c r="G128" s="136"/>
      <c r="H128" s="151"/>
      <c r="I128" s="13" t="s">
        <v>146</v>
      </c>
      <c r="J128" s="30">
        <f>(IF(B121&gt;1,(H121/(B121+2)+J127),0))</f>
        <v>0</v>
      </c>
    </row>
    <row r="129" spans="1:22" ht="15" customHeight="1" x14ac:dyDescent="0.25">
      <c r="A129" s="132" t="s">
        <v>133</v>
      </c>
      <c r="B129" s="133" t="s">
        <v>130</v>
      </c>
      <c r="C129" s="98">
        <v>0</v>
      </c>
      <c r="D129" s="19">
        <f ca="1">((100/(H121))*C129)/100</f>
        <v>0</v>
      </c>
      <c r="E129" s="136"/>
      <c r="F129" s="137"/>
      <c r="G129" s="136"/>
      <c r="H129" s="151"/>
      <c r="I129" s="13" t="s">
        <v>141</v>
      </c>
      <c r="J129" s="30">
        <f>(IF(B121&gt;2,(H121/(B121+2)+J128),0))</f>
        <v>0</v>
      </c>
    </row>
    <row r="130" spans="1:22" ht="15.75" customHeight="1" x14ac:dyDescent="0.25">
      <c r="A130" s="132" t="s">
        <v>129</v>
      </c>
      <c r="B130" s="133" t="s">
        <v>129</v>
      </c>
      <c r="C130" s="98">
        <v>0</v>
      </c>
      <c r="D130" s="19">
        <f ca="1">((100/H121)*C130)/100</f>
        <v>0</v>
      </c>
      <c r="E130" s="136"/>
      <c r="F130" s="137"/>
      <c r="G130" s="136"/>
      <c r="H130" s="151"/>
      <c r="I130" s="13" t="s">
        <v>142</v>
      </c>
      <c r="J130" s="31">
        <f>(IF(B121&gt;3,(H121/(B121+2)+J129),0))</f>
        <v>0</v>
      </c>
    </row>
    <row r="131" spans="1:22" ht="15.75" customHeight="1" x14ac:dyDescent="0.25">
      <c r="A131" s="132" t="s">
        <v>136</v>
      </c>
      <c r="B131" s="133"/>
      <c r="C131" s="98">
        <v>0</v>
      </c>
      <c r="D131" s="19">
        <f ca="1">((100/H121)*C131)/100</f>
        <v>0</v>
      </c>
      <c r="E131" s="136"/>
      <c r="F131" s="137"/>
      <c r="G131" s="136"/>
      <c r="H131" s="151"/>
      <c r="I131" s="13" t="s">
        <v>143</v>
      </c>
      <c r="J131" s="30">
        <f>(IF(B121&gt;4,(H121/(B121+2)+J130),0))</f>
        <v>0</v>
      </c>
    </row>
    <row r="132" spans="1:22" ht="15.75" customHeight="1" x14ac:dyDescent="0.25">
      <c r="A132" s="132" t="s">
        <v>131</v>
      </c>
      <c r="B132" s="133" t="s">
        <v>131</v>
      </c>
      <c r="C132" s="98">
        <v>0</v>
      </c>
      <c r="D132" s="19">
        <f ca="1">((100/(H121))*C132)/100</f>
        <v>0</v>
      </c>
      <c r="E132" s="136"/>
      <c r="F132" s="137"/>
      <c r="G132" s="136"/>
      <c r="H132" s="151"/>
      <c r="I132" s="13" t="s">
        <v>147</v>
      </c>
      <c r="J132" s="30">
        <f ca="1">(IF(B121=1,(H121/(B121+3)+J127),IF(B121=0,(H121/4+J127),IF(B121&gt;1,0))))</f>
        <v>8.25</v>
      </c>
    </row>
    <row r="133" spans="1:22" ht="16.5" thickBot="1" x14ac:dyDescent="0.3">
      <c r="A133" s="126" t="s">
        <v>132</v>
      </c>
      <c r="B133" s="127"/>
      <c r="C133" s="99">
        <v>0</v>
      </c>
      <c r="D133" s="20">
        <f ca="1">((100/(H121))*C133)/100</f>
        <v>0</v>
      </c>
      <c r="E133" s="138"/>
      <c r="F133" s="139"/>
      <c r="G133" s="138"/>
      <c r="H133" s="152"/>
      <c r="I133" s="15" t="s">
        <v>101</v>
      </c>
      <c r="J133" s="32">
        <f ca="1">(IF(B121&gt;1.5,(H121/(B121+2)+J127+MAX(0,J128-J127)+MAX(0,J129-J128)+MAX(0,J130-J129)+MAX(0,J131-J130)+MAX(0,J132-J131)),IF(B121=1,(H121/(B121+3)+J132),IF(B121=0,H121/4+J132))))</f>
        <v>11</v>
      </c>
    </row>
    <row r="134" spans="1:22" x14ac:dyDescent="0.25">
      <c r="A134" s="255" t="s">
        <v>157</v>
      </c>
      <c r="B134" s="255"/>
      <c r="C134" s="255"/>
      <c r="D134" s="255"/>
      <c r="E134" s="255"/>
      <c r="F134" s="259" t="s">
        <v>161</v>
      </c>
      <c r="G134" s="259"/>
      <c r="H134" s="259"/>
      <c r="I134" s="22" t="s">
        <v>441</v>
      </c>
      <c r="J134" s="22">
        <f>3700000/443</f>
        <v>8352.1444695259597</v>
      </c>
      <c r="R134" t="s">
        <v>253</v>
      </c>
      <c r="S134" t="s">
        <v>173</v>
      </c>
      <c r="T134" t="s">
        <v>180</v>
      </c>
      <c r="U134" t="s">
        <v>194</v>
      </c>
      <c r="V134" t="s">
        <v>189</v>
      </c>
    </row>
    <row r="135" spans="1:22" x14ac:dyDescent="0.25">
      <c r="A135" s="156" t="s">
        <v>159</v>
      </c>
      <c r="B135" s="156"/>
      <c r="C135" s="156"/>
      <c r="D135" s="156"/>
      <c r="E135" s="156"/>
      <c r="F135" s="197">
        <v>5700</v>
      </c>
      <c r="G135" s="197"/>
      <c r="H135" s="197"/>
      <c r="J135" s="24">
        <f>613*7500</f>
        <v>4597500</v>
      </c>
      <c r="R135"/>
      <c r="S135">
        <v>800000</v>
      </c>
      <c r="T135">
        <v>150000</v>
      </c>
      <c r="U135">
        <v>100000</v>
      </c>
      <c r="V135">
        <v>100000</v>
      </c>
    </row>
    <row r="136" spans="1:22" hidden="1" x14ac:dyDescent="0.25">
      <c r="A136" s="156" t="s">
        <v>158</v>
      </c>
      <c r="B136" s="156"/>
      <c r="C136" s="156"/>
      <c r="D136" s="156"/>
      <c r="E136" s="156"/>
      <c r="F136" s="197"/>
      <c r="G136" s="197"/>
      <c r="H136" s="197"/>
      <c r="J136" s="24">
        <f t="shared" ref="J136:J144" si="0">613*7500</f>
        <v>4597500</v>
      </c>
      <c r="R136"/>
      <c r="S136">
        <v>900000</v>
      </c>
      <c r="T136">
        <v>200000</v>
      </c>
      <c r="U136">
        <v>150000</v>
      </c>
      <c r="V136">
        <v>150000</v>
      </c>
    </row>
    <row r="137" spans="1:22" hidden="1" x14ac:dyDescent="0.25">
      <c r="A137" s="156" t="s">
        <v>160</v>
      </c>
      <c r="B137" s="156"/>
      <c r="C137" s="156"/>
      <c r="D137" s="156"/>
      <c r="E137" s="156"/>
      <c r="F137" s="197"/>
      <c r="G137" s="197"/>
      <c r="H137" s="197"/>
      <c r="J137" s="24">
        <f t="shared" si="0"/>
        <v>4597500</v>
      </c>
      <c r="R137"/>
      <c r="S137">
        <v>1000000</v>
      </c>
      <c r="T137">
        <v>250000</v>
      </c>
      <c r="U137">
        <v>200000</v>
      </c>
      <c r="V137">
        <v>200000</v>
      </c>
    </row>
    <row r="138" spans="1:22" s="33" customFormat="1" hidden="1" x14ac:dyDescent="0.25">
      <c r="A138" s="156" t="s">
        <v>175</v>
      </c>
      <c r="B138" s="156"/>
      <c r="C138" s="156"/>
      <c r="D138" s="156"/>
      <c r="E138" s="156"/>
      <c r="F138" s="197"/>
      <c r="G138" s="197"/>
      <c r="H138" s="197"/>
      <c r="J138" s="24">
        <f t="shared" si="0"/>
        <v>4597500</v>
      </c>
      <c r="R138"/>
      <c r="S138">
        <v>1100000</v>
      </c>
      <c r="T138">
        <v>300000</v>
      </c>
      <c r="U138">
        <v>250000</v>
      </c>
      <c r="V138" s="23">
        <v>250000</v>
      </c>
    </row>
    <row r="139" spans="1:22" s="33" customFormat="1" hidden="1" x14ac:dyDescent="0.25">
      <c r="A139" s="156" t="s">
        <v>91</v>
      </c>
      <c r="B139" s="156"/>
      <c r="C139" s="156"/>
      <c r="D139" s="156"/>
      <c r="E139" s="156"/>
      <c r="F139" s="197"/>
      <c r="G139" s="197"/>
      <c r="H139" s="197"/>
      <c r="J139" s="24">
        <f t="shared" si="0"/>
        <v>4597500</v>
      </c>
      <c r="R139"/>
      <c r="S139">
        <v>1200000</v>
      </c>
      <c r="T139">
        <v>350000</v>
      </c>
      <c r="U139">
        <v>300000</v>
      </c>
      <c r="V139">
        <v>300000</v>
      </c>
    </row>
    <row r="140" spans="1:22" s="33" customFormat="1" hidden="1" x14ac:dyDescent="0.25">
      <c r="A140" s="156" t="s">
        <v>92</v>
      </c>
      <c r="B140" s="156"/>
      <c r="C140" s="156"/>
      <c r="D140" s="156"/>
      <c r="E140" s="156"/>
      <c r="F140" s="197"/>
      <c r="G140" s="197"/>
      <c r="H140" s="197"/>
      <c r="J140" s="24">
        <f t="shared" si="0"/>
        <v>4597500</v>
      </c>
      <c r="R140"/>
      <c r="S140">
        <v>1300000</v>
      </c>
      <c r="T140">
        <v>400000</v>
      </c>
      <c r="U140">
        <v>350000</v>
      </c>
      <c r="V140" s="23">
        <v>400000</v>
      </c>
    </row>
    <row r="141" spans="1:22" s="33" customFormat="1" hidden="1" x14ac:dyDescent="0.25">
      <c r="A141" s="156" t="s">
        <v>93</v>
      </c>
      <c r="B141" s="156"/>
      <c r="C141" s="156"/>
      <c r="D141" s="156"/>
      <c r="E141" s="156"/>
      <c r="F141" s="197"/>
      <c r="G141" s="197"/>
      <c r="H141" s="197"/>
      <c r="J141" s="24">
        <f t="shared" si="0"/>
        <v>4597500</v>
      </c>
      <c r="R141"/>
      <c r="S141">
        <v>1400000</v>
      </c>
      <c r="T141">
        <v>500000</v>
      </c>
      <c r="U141">
        <v>400000</v>
      </c>
      <c r="V141"/>
    </row>
    <row r="142" spans="1:22" s="33" customFormat="1" hidden="1" x14ac:dyDescent="0.25">
      <c r="A142" s="156" t="s">
        <v>94</v>
      </c>
      <c r="B142" s="156"/>
      <c r="C142" s="156"/>
      <c r="D142" s="156"/>
      <c r="E142" s="156"/>
      <c r="F142" s="197"/>
      <c r="G142" s="197"/>
      <c r="H142" s="197"/>
      <c r="J142" s="24">
        <f t="shared" si="0"/>
        <v>4597500</v>
      </c>
      <c r="R142"/>
      <c r="S142">
        <v>1500000</v>
      </c>
      <c r="T142">
        <v>600000</v>
      </c>
      <c r="U142">
        <v>500000</v>
      </c>
      <c r="V142" s="23"/>
    </row>
    <row r="143" spans="1:22" s="33" customFormat="1" hidden="1" x14ac:dyDescent="0.25">
      <c r="A143" s="156" t="s">
        <v>95</v>
      </c>
      <c r="B143" s="156"/>
      <c r="C143" s="156"/>
      <c r="D143" s="156"/>
      <c r="E143" s="156"/>
      <c r="F143" s="197"/>
      <c r="G143" s="197"/>
      <c r="H143" s="197"/>
      <c r="J143" s="24">
        <f t="shared" si="0"/>
        <v>4597500</v>
      </c>
      <c r="R143"/>
      <c r="S143">
        <v>1600000</v>
      </c>
      <c r="T143">
        <v>700000</v>
      </c>
      <c r="U143">
        <v>600000</v>
      </c>
      <c r="V143"/>
    </row>
    <row r="144" spans="1:22" s="33" customFormat="1" hidden="1" x14ac:dyDescent="0.25">
      <c r="A144" s="156" t="s">
        <v>96</v>
      </c>
      <c r="B144" s="156"/>
      <c r="C144" s="156"/>
      <c r="D144" s="156"/>
      <c r="E144" s="156"/>
      <c r="F144" s="197"/>
      <c r="G144" s="197"/>
      <c r="H144" s="197"/>
      <c r="J144" s="24">
        <f t="shared" si="0"/>
        <v>4597500</v>
      </c>
      <c r="R144"/>
      <c r="S144">
        <v>1700000</v>
      </c>
      <c r="T144">
        <v>800000</v>
      </c>
      <c r="U144"/>
      <c r="V144" s="23"/>
    </row>
    <row r="145" spans="1:22" x14ac:dyDescent="0.25">
      <c r="A145" s="156" t="s">
        <v>49</v>
      </c>
      <c r="B145" s="156"/>
      <c r="C145" s="156"/>
      <c r="D145" s="156"/>
      <c r="E145" s="156"/>
      <c r="F145" s="197">
        <v>300000</v>
      </c>
      <c r="G145" s="197"/>
      <c r="H145" s="197"/>
      <c r="J145" s="24">
        <f>621*7500</f>
        <v>4657500</v>
      </c>
      <c r="R145"/>
      <c r="S145">
        <v>1800000</v>
      </c>
      <c r="T145">
        <v>900000</v>
      </c>
      <c r="U145"/>
    </row>
    <row r="146" spans="1:22" s="34" customFormat="1" x14ac:dyDescent="0.25">
      <c r="A146" s="211" t="s">
        <v>50</v>
      </c>
      <c r="B146" s="211"/>
      <c r="C146" s="211"/>
      <c r="D146" s="211"/>
      <c r="E146" s="211"/>
      <c r="F146" s="250">
        <f>F135*0.8</f>
        <v>4560</v>
      </c>
      <c r="G146" s="250"/>
      <c r="H146" s="250"/>
      <c r="R146" s="21"/>
      <c r="S146" s="21"/>
      <c r="T146">
        <v>1000000</v>
      </c>
      <c r="U146"/>
      <c r="V146" s="21"/>
    </row>
    <row r="147" spans="1:22" s="35" customFormat="1" ht="15.75" hidden="1" customHeight="1" x14ac:dyDescent="0.25">
      <c r="A147" s="163" t="s">
        <v>71</v>
      </c>
      <c r="B147" s="163"/>
      <c r="C147" s="163"/>
      <c r="D147" s="163"/>
      <c r="E147" s="163"/>
      <c r="F147" s="163"/>
      <c r="G147" s="163"/>
      <c r="H147" s="163"/>
      <c r="R147"/>
      <c r="S147" s="21"/>
      <c r="T147"/>
      <c r="U147"/>
      <c r="V147" s="21"/>
    </row>
    <row r="148" spans="1:22" s="35" customFormat="1" ht="15.75" hidden="1" customHeight="1" x14ac:dyDescent="0.25">
      <c r="A148" s="166" t="s">
        <v>51</v>
      </c>
      <c r="B148" s="166"/>
      <c r="C148" s="164" t="s">
        <v>74</v>
      </c>
      <c r="D148" s="164"/>
      <c r="E148" s="165" t="s">
        <v>52</v>
      </c>
      <c r="F148" s="165"/>
      <c r="G148" s="166" t="s">
        <v>53</v>
      </c>
      <c r="H148" s="166"/>
      <c r="R148"/>
      <c r="S148" s="21"/>
      <c r="T148"/>
      <c r="U148" s="21"/>
      <c r="V148" s="21"/>
    </row>
    <row r="149" spans="1:22" s="35" customFormat="1" hidden="1" x14ac:dyDescent="0.25">
      <c r="A149" s="113"/>
      <c r="B149" s="113"/>
      <c r="C149" s="160"/>
      <c r="D149" s="160"/>
      <c r="E149" s="161"/>
      <c r="F149" s="161"/>
      <c r="G149" s="162"/>
      <c r="H149" s="162"/>
      <c r="R149"/>
      <c r="S149" s="21"/>
      <c r="T149"/>
      <c r="U149" s="21"/>
      <c r="V149" s="21"/>
    </row>
    <row r="150" spans="1:22" s="35" customFormat="1" hidden="1" x14ac:dyDescent="0.25">
      <c r="A150" s="113"/>
      <c r="B150" s="113"/>
      <c r="C150" s="160"/>
      <c r="D150" s="160"/>
      <c r="E150" s="161"/>
      <c r="F150" s="161"/>
      <c r="G150" s="162"/>
      <c r="H150" s="162"/>
      <c r="R150"/>
      <c r="S150" s="21"/>
      <c r="T150"/>
      <c r="U150" s="21"/>
      <c r="V150" s="21"/>
    </row>
    <row r="151" spans="1:22" s="35" customFormat="1" hidden="1" x14ac:dyDescent="0.25">
      <c r="A151" s="163" t="s">
        <v>151</v>
      </c>
      <c r="B151" s="163"/>
      <c r="C151" s="164"/>
      <c r="D151" s="164"/>
      <c r="E151" s="165"/>
      <c r="F151" s="165"/>
      <c r="G151" s="166"/>
      <c r="H151" s="166"/>
      <c r="R151"/>
      <c r="S151" s="21"/>
      <c r="T151"/>
      <c r="U151" s="21"/>
      <c r="V151" s="21"/>
    </row>
    <row r="152" spans="1:22" s="35" customFormat="1" x14ac:dyDescent="0.25">
      <c r="A152" s="163" t="s">
        <v>66</v>
      </c>
      <c r="B152" s="163"/>
      <c r="C152" s="163"/>
      <c r="D152" s="163"/>
      <c r="E152" s="163"/>
      <c r="F152" s="163"/>
      <c r="G152" s="163"/>
      <c r="H152" s="163"/>
      <c r="T152"/>
    </row>
    <row r="153" spans="1:22" s="35" customFormat="1" ht="15.75" customHeight="1" x14ac:dyDescent="0.25">
      <c r="A153" s="166" t="s">
        <v>51</v>
      </c>
      <c r="B153" s="166"/>
      <c r="C153" s="164" t="s">
        <v>74</v>
      </c>
      <c r="D153" s="164"/>
      <c r="E153" s="165" t="s">
        <v>52</v>
      </c>
      <c r="F153" s="165"/>
      <c r="G153" s="166" t="s">
        <v>53</v>
      </c>
      <c r="H153" s="166"/>
      <c r="T153"/>
    </row>
    <row r="154" spans="1:22" s="35" customFormat="1" x14ac:dyDescent="0.25">
      <c r="A154" s="113" t="s">
        <v>428</v>
      </c>
      <c r="B154" s="113"/>
      <c r="C154" s="112">
        <f>COUNT(D176:D181)*10+COUNT(D183:D186,D188)</f>
        <v>65</v>
      </c>
      <c r="D154" s="112"/>
      <c r="E154" s="112">
        <f t="shared" ref="E154" si="1">SUM(F176:F181)*10+SUM(F183:F186,F188)</f>
        <v>36437.926823999995</v>
      </c>
      <c r="F154" s="112"/>
      <c r="G154" s="112">
        <f t="shared" ref="G154" si="2">SUM(H176:H181)*10+SUM(H183:H186,H188)</f>
        <v>54656.890235999999</v>
      </c>
      <c r="H154" s="112"/>
      <c r="T154"/>
    </row>
    <row r="155" spans="1:22" s="35" customFormat="1" x14ac:dyDescent="0.25">
      <c r="A155" s="113" t="s">
        <v>429</v>
      </c>
      <c r="B155" s="113"/>
      <c r="C155" s="112">
        <f>COUNT(D192:D197)*10+COUNT(D199,D201:D204)</f>
        <v>65</v>
      </c>
      <c r="D155" s="112"/>
      <c r="E155" s="112">
        <f t="shared" ref="E155" si="3">SUM(F192:F197)*10+SUM(F199,F201:F204)</f>
        <v>36437.926823999995</v>
      </c>
      <c r="F155" s="112"/>
      <c r="G155" s="112">
        <f t="shared" ref="G155" si="4">SUM(H192:H197)*10+SUM(H199,H201:H204)</f>
        <v>54656.890235999999</v>
      </c>
      <c r="H155" s="112"/>
      <c r="T155"/>
    </row>
    <row r="156" spans="1:22" s="35" customFormat="1" x14ac:dyDescent="0.25">
      <c r="A156" s="113" t="s">
        <v>431</v>
      </c>
      <c r="B156" s="113"/>
      <c r="C156" s="112">
        <f>COUNT(D209:D214)*10+COUNT(D217:D221)</f>
        <v>65</v>
      </c>
      <c r="D156" s="112"/>
      <c r="E156" s="112">
        <f t="shared" ref="E156" si="5">SUM(F209:F214)*10+SUM(F217:F221)</f>
        <v>28738.932767999999</v>
      </c>
      <c r="F156" s="112"/>
      <c r="G156" s="112">
        <f t="shared" ref="G156" si="6">SUM(H209:H214)*10+SUM(H217:H221)</f>
        <v>43108.399151999991</v>
      </c>
      <c r="H156" s="112"/>
      <c r="T156"/>
    </row>
    <row r="157" spans="1:22" s="35" customFormat="1" x14ac:dyDescent="0.25">
      <c r="A157" s="113" t="s">
        <v>430</v>
      </c>
      <c r="B157" s="113"/>
      <c r="C157" s="112">
        <f>COUNT(D225:D230)*10+COUNT(D232:D236)</f>
        <v>65</v>
      </c>
      <c r="D157" s="112"/>
      <c r="E157" s="112">
        <f>SUM(F225:F230)*10+SUM(F232:F236)</f>
        <v>28738.932767999999</v>
      </c>
      <c r="F157" s="112"/>
      <c r="G157" s="112">
        <f>SUM(H225:H230)*10+SUM(H232:H236)</f>
        <v>43108.399151999991</v>
      </c>
      <c r="H157" s="112"/>
      <c r="T157"/>
    </row>
    <row r="158" spans="1:22" s="35" customFormat="1" ht="16.5" thickBot="1" x14ac:dyDescent="0.3">
      <c r="A158" s="157" t="s">
        <v>151</v>
      </c>
      <c r="B158" s="157"/>
      <c r="C158" s="158">
        <f>SUM(C154:D157)</f>
        <v>260</v>
      </c>
      <c r="D158" s="159"/>
      <c r="E158" s="158">
        <f t="shared" ref="E158" si="7">SUM(E154:F157)</f>
        <v>130353.71918399999</v>
      </c>
      <c r="F158" s="159"/>
      <c r="G158" s="158">
        <f t="shared" ref="G158" si="8">SUM(G154:H157)</f>
        <v>195530.57877599998</v>
      </c>
      <c r="H158" s="159"/>
      <c r="T158"/>
    </row>
    <row r="159" spans="1:22" s="35" customFormat="1" ht="16.5" thickBot="1" x14ac:dyDescent="0.3">
      <c r="A159" s="253" t="s">
        <v>167</v>
      </c>
      <c r="B159" s="254"/>
      <c r="C159" s="252">
        <f>C158</f>
        <v>260</v>
      </c>
      <c r="D159" s="252"/>
      <c r="E159" s="189">
        <f t="shared" ref="E159" si="9">E158</f>
        <v>130353.71918399999</v>
      </c>
      <c r="F159" s="189"/>
      <c r="G159" s="189">
        <f t="shared" ref="G159" si="10">G158</f>
        <v>195530.57877599998</v>
      </c>
      <c r="H159" s="189"/>
      <c r="T159"/>
    </row>
    <row r="160" spans="1:22" s="34" customFormat="1" x14ac:dyDescent="0.25">
      <c r="A160" s="270" t="s">
        <v>355</v>
      </c>
      <c r="B160" s="270"/>
      <c r="C160" s="270"/>
      <c r="D160" s="270"/>
      <c r="E160" s="270"/>
      <c r="F160" s="270"/>
      <c r="G160" s="270"/>
      <c r="H160" s="270"/>
      <c r="T160" s="35"/>
    </row>
    <row r="161" spans="1:20" x14ac:dyDescent="0.25">
      <c r="A161" s="264" t="s">
        <v>414</v>
      </c>
      <c r="B161" s="264"/>
      <c r="C161" s="264"/>
      <c r="D161" s="264"/>
      <c r="E161" s="264"/>
      <c r="F161" s="264"/>
      <c r="G161" s="264"/>
      <c r="H161" s="264"/>
      <c r="T161" s="35"/>
    </row>
    <row r="162" spans="1:20" ht="47.25" hidden="1" customHeight="1" x14ac:dyDescent="0.25">
      <c r="A162" s="128" t="s">
        <v>118</v>
      </c>
      <c r="B162" s="172" t="s">
        <v>176</v>
      </c>
      <c r="C162" s="128" t="s">
        <v>54</v>
      </c>
      <c r="D162" s="172" t="s">
        <v>232</v>
      </c>
      <c r="E162" s="195" t="s">
        <v>156</v>
      </c>
      <c r="F162" s="128" t="s">
        <v>55</v>
      </c>
      <c r="G162" s="174" t="s">
        <v>56</v>
      </c>
      <c r="H162" s="65" t="s">
        <v>149</v>
      </c>
      <c r="T162" s="35"/>
    </row>
    <row r="163" spans="1:20" s="37" customFormat="1" hidden="1" x14ac:dyDescent="0.25">
      <c r="A163" s="129"/>
      <c r="B163" s="173"/>
      <c r="C163" s="129"/>
      <c r="D163" s="173"/>
      <c r="E163" s="196"/>
      <c r="F163" s="129"/>
      <c r="G163" s="175"/>
      <c r="H163" s="55">
        <v>0.45</v>
      </c>
      <c r="T163" s="35"/>
    </row>
    <row r="164" spans="1:20" s="37" customFormat="1" hidden="1" x14ac:dyDescent="0.25">
      <c r="A164" s="109" t="s">
        <v>116</v>
      </c>
      <c r="B164" s="110"/>
      <c r="C164" s="110"/>
      <c r="D164" s="110"/>
      <c r="E164" s="110"/>
      <c r="F164" s="110"/>
      <c r="G164" s="110"/>
      <c r="H164" s="111"/>
      <c r="J164" s="36"/>
      <c r="T164" s="35"/>
    </row>
    <row r="165" spans="1:20" s="37" customFormat="1" ht="15.75" hidden="1" customHeight="1" x14ac:dyDescent="0.25">
      <c r="A165" s="116">
        <v>1</v>
      </c>
      <c r="B165" s="118"/>
      <c r="C165" s="42"/>
      <c r="D165" s="42">
        <v>0</v>
      </c>
      <c r="E165" s="42">
        <v>0</v>
      </c>
      <c r="F165" s="42">
        <f>D165+(IF(E165&lt;201,E165,IF(E165&lt;301,E165/2,E165/3)))</f>
        <v>0</v>
      </c>
      <c r="G165" s="42">
        <v>0</v>
      </c>
      <c r="H165" s="42">
        <f>(F165+(IF(G165&lt;101,G165,IF(G165&lt;201,G165/2,IF(G165&lt;=301,G165/3,G165/4)))))*(($H$163)+1)</f>
        <v>0</v>
      </c>
      <c r="I165" s="36"/>
      <c r="L165" s="114"/>
      <c r="M165" s="114"/>
      <c r="N165" s="36"/>
      <c r="T165" s="35"/>
    </row>
    <row r="166" spans="1:20" s="37" customFormat="1" ht="15.75" hidden="1" customHeight="1" x14ac:dyDescent="0.25">
      <c r="A166" s="116">
        <f>A165+1</f>
        <v>2</v>
      </c>
      <c r="B166" s="118"/>
      <c r="C166" s="42"/>
      <c r="D166" s="42"/>
      <c r="E166" s="42">
        <v>0</v>
      </c>
      <c r="F166" s="42">
        <f>D166+(IF(E166&lt;201,E166,IF(E166&lt;301,E166/2,E166/3)))</f>
        <v>0</v>
      </c>
      <c r="G166" s="42">
        <v>0</v>
      </c>
      <c r="H166" s="42">
        <f>(F166+(IF(G166&lt;101,G166,IF(G166&lt;201,G166/2,IF(G166&lt;=301,G166/3,G166/4)))))*(($H$163)+1)</f>
        <v>0</v>
      </c>
      <c r="I166" s="36"/>
      <c r="L166" s="114"/>
      <c r="M166" s="114"/>
      <c r="N166" s="36"/>
      <c r="T166" s="34"/>
    </row>
    <row r="167" spans="1:20" s="37" customFormat="1" ht="15.75" hidden="1" customHeight="1" x14ac:dyDescent="0.25">
      <c r="A167" s="116">
        <f>A166+1</f>
        <v>3</v>
      </c>
      <c r="B167" s="118"/>
      <c r="C167" s="42"/>
      <c r="D167" s="42"/>
      <c r="E167" s="42">
        <v>0</v>
      </c>
      <c r="F167" s="42">
        <f>D167+(IF(E167&lt;201,E167,IF(E167&lt;301,E167/2,E167/3)))</f>
        <v>0</v>
      </c>
      <c r="G167" s="42">
        <v>0</v>
      </c>
      <c r="H167" s="42">
        <f>(F167+(IF(G167&lt;101,G167,IF(G167&lt;201,G167/2,IF(G167&lt;=301,G167/3,G167/4)))))*(($H$163)+1)</f>
        <v>0</v>
      </c>
      <c r="I167" s="36"/>
      <c r="L167" s="114"/>
      <c r="M167" s="114"/>
      <c r="N167" s="36"/>
      <c r="T167" s="21"/>
    </row>
    <row r="168" spans="1:20" s="37" customFormat="1" ht="15.75" hidden="1" customHeight="1" x14ac:dyDescent="0.25">
      <c r="A168" s="116">
        <f>A167+1</f>
        <v>4</v>
      </c>
      <c r="B168" s="118"/>
      <c r="C168" s="42"/>
      <c r="D168" s="42"/>
      <c r="E168" s="42">
        <v>0</v>
      </c>
      <c r="F168" s="42">
        <f>D168+(IF(E168&lt;201,E168,IF(E168&lt;301,E168/2,E168/3)))</f>
        <v>0</v>
      </c>
      <c r="G168" s="42">
        <v>0</v>
      </c>
      <c r="H168" s="42">
        <f>(F168+(IF(G168&lt;101,G168,IF(G168&lt;201,G168/2,IF(G168&lt;=301,G168/3,G168/4)))))*(($H$163)+1)</f>
        <v>0</v>
      </c>
      <c r="I168" s="36"/>
      <c r="L168" s="114"/>
      <c r="M168" s="114"/>
      <c r="N168" s="36"/>
      <c r="T168" s="21"/>
    </row>
    <row r="169" spans="1:20" s="37" customFormat="1" hidden="1" x14ac:dyDescent="0.25">
      <c r="A169" s="116"/>
      <c r="B169" s="117"/>
      <c r="C169" s="117"/>
      <c r="D169" s="117"/>
      <c r="E169" s="117"/>
      <c r="F169" s="117"/>
      <c r="G169" s="117"/>
      <c r="H169" s="118"/>
      <c r="I169" s="36"/>
      <c r="N169" s="36"/>
    </row>
    <row r="170" spans="1:20" ht="47.25" customHeight="1" x14ac:dyDescent="0.25">
      <c r="A170" s="271" t="s">
        <v>119</v>
      </c>
      <c r="B170" s="130" t="s">
        <v>177</v>
      </c>
      <c r="C170" s="128" t="s">
        <v>54</v>
      </c>
      <c r="D170" s="130" t="s">
        <v>420</v>
      </c>
      <c r="E170" s="130" t="s">
        <v>426</v>
      </c>
      <c r="F170" s="128" t="s">
        <v>55</v>
      </c>
      <c r="G170" s="174" t="s">
        <v>56</v>
      </c>
      <c r="H170" s="64" t="s">
        <v>149</v>
      </c>
      <c r="I170" s="103">
        <v>10.763999999999999</v>
      </c>
      <c r="T170" s="37"/>
    </row>
    <row r="171" spans="1:20" s="37" customFormat="1" ht="32.25" customHeight="1" x14ac:dyDescent="0.25">
      <c r="A171" s="272"/>
      <c r="B171" s="131"/>
      <c r="C171" s="129"/>
      <c r="D171" s="131"/>
      <c r="E171" s="131"/>
      <c r="F171" s="129"/>
      <c r="G171" s="175"/>
      <c r="H171" s="107">
        <v>0.5</v>
      </c>
      <c r="I171" s="36"/>
    </row>
    <row r="172" spans="1:20" s="101" customFormat="1" x14ac:dyDescent="0.25">
      <c r="A172" s="120" t="s">
        <v>415</v>
      </c>
      <c r="B172" s="121"/>
      <c r="C172" s="121"/>
      <c r="D172" s="121"/>
      <c r="E172" s="121"/>
      <c r="F172" s="121"/>
      <c r="G172" s="121"/>
      <c r="H172" s="122"/>
      <c r="J172" s="36"/>
    </row>
    <row r="173" spans="1:20" s="101" customFormat="1" x14ac:dyDescent="0.25">
      <c r="A173" s="109" t="s">
        <v>417</v>
      </c>
      <c r="B173" s="110"/>
      <c r="C173" s="110"/>
      <c r="D173" s="110"/>
      <c r="E173" s="110"/>
      <c r="F173" s="110"/>
      <c r="G173" s="110"/>
      <c r="H173" s="111"/>
      <c r="J173" s="36"/>
    </row>
    <row r="174" spans="1:20" s="101" customFormat="1" x14ac:dyDescent="0.25">
      <c r="A174" s="109" t="s">
        <v>416</v>
      </c>
      <c r="B174" s="110"/>
      <c r="C174" s="110"/>
      <c r="D174" s="110"/>
      <c r="E174" s="110"/>
      <c r="F174" s="110"/>
      <c r="G174" s="110"/>
      <c r="H174" s="111"/>
      <c r="J174" s="36"/>
    </row>
    <row r="175" spans="1:20" s="101" customFormat="1" ht="15.75" customHeight="1" x14ac:dyDescent="0.25">
      <c r="A175" s="119" t="s">
        <v>427</v>
      </c>
      <c r="B175" s="119"/>
      <c r="C175" s="119"/>
      <c r="D175" s="119"/>
      <c r="E175" s="119"/>
      <c r="F175" s="119"/>
      <c r="G175" s="119"/>
      <c r="H175" s="119"/>
      <c r="I175" s="101">
        <f>10</f>
        <v>10</v>
      </c>
      <c r="J175" s="36"/>
    </row>
    <row r="176" spans="1:20" s="101" customFormat="1" ht="15.75" customHeight="1" x14ac:dyDescent="0.25">
      <c r="A176" s="116">
        <v>1</v>
      </c>
      <c r="B176" s="118"/>
      <c r="C176" s="100" t="s">
        <v>418</v>
      </c>
      <c r="D176" s="103">
        <f>(52.147)*10.764</f>
        <v>561.31030799999996</v>
      </c>
      <c r="E176" s="103">
        <f>(2.9+2.6)*10.764</f>
        <v>59.201999999999998</v>
      </c>
      <c r="F176" s="100">
        <f>D176+E176</f>
        <v>620.51230799999996</v>
      </c>
      <c r="G176" s="100">
        <v>0</v>
      </c>
      <c r="H176" s="100">
        <f>F176*(($H$171)+1)+(IF(G176&lt;101,G176,IF(G176&lt;201,G176/2,IF(G176&lt;=301,G176/3,G176/4))))</f>
        <v>930.768462</v>
      </c>
      <c r="I176" s="36"/>
      <c r="L176" s="114"/>
      <c r="M176" s="114"/>
      <c r="N176" s="36"/>
    </row>
    <row r="177" spans="1:20" s="101" customFormat="1" ht="15.75" customHeight="1" x14ac:dyDescent="0.25">
      <c r="A177" s="116">
        <f>A176+1</f>
        <v>2</v>
      </c>
      <c r="B177" s="118"/>
      <c r="C177" s="100" t="s">
        <v>419</v>
      </c>
      <c r="D177" s="103">
        <f>(28.99)*10.764</f>
        <v>312.04835999999995</v>
      </c>
      <c r="E177" s="103">
        <f>(8.578+2.6+0.99)*10.764</f>
        <v>130.97635199999999</v>
      </c>
      <c r="F177" s="100">
        <f>D177+E177</f>
        <v>443.02471199999991</v>
      </c>
      <c r="G177" s="100">
        <v>0</v>
      </c>
      <c r="H177" s="100">
        <f>F177*(($H$171)+1)+(IF(G177&lt;101,G177,IF(G177&lt;201,G177/2,IF(G177&lt;=301,G177/3,G177/4))))</f>
        <v>664.53706799999986</v>
      </c>
      <c r="I177" s="36"/>
      <c r="L177" s="114"/>
      <c r="M177" s="114"/>
      <c r="N177" s="36"/>
    </row>
    <row r="178" spans="1:20" s="101" customFormat="1" ht="15.75" customHeight="1" x14ac:dyDescent="0.25">
      <c r="A178" s="116">
        <f>A177+1</f>
        <v>3</v>
      </c>
      <c r="B178" s="118"/>
      <c r="C178" s="100" t="s">
        <v>418</v>
      </c>
      <c r="D178" s="103">
        <f>(54.337)*10.764</f>
        <v>584.88346799999999</v>
      </c>
      <c r="E178" s="103">
        <f>(2.6)*10.764</f>
        <v>27.9864</v>
      </c>
      <c r="F178" s="100">
        <f>D178+E178</f>
        <v>612.869868</v>
      </c>
      <c r="G178" s="100">
        <v>0</v>
      </c>
      <c r="H178" s="100">
        <f>F178*(($H$171)+1)+(IF(G178&lt;101,G178,IF(G178&lt;201,G178/2,IF(G178&lt;=301,G178/3,G178/4))))</f>
        <v>919.304802</v>
      </c>
      <c r="I178" s="36"/>
      <c r="L178" s="114"/>
      <c r="M178" s="114"/>
      <c r="N178" s="36"/>
    </row>
    <row r="179" spans="1:20" s="101" customFormat="1" ht="15.75" customHeight="1" x14ac:dyDescent="0.25">
      <c r="A179" s="116">
        <f>A178+1</f>
        <v>4</v>
      </c>
      <c r="B179" s="118"/>
      <c r="C179" s="100" t="s">
        <v>418</v>
      </c>
      <c r="D179" s="103">
        <f>(51.745)*10.764</f>
        <v>556.98317999999995</v>
      </c>
      <c r="E179" s="103">
        <f>(2.592+2.6)*10.764</f>
        <v>55.886687999999999</v>
      </c>
      <c r="F179" s="100">
        <f>D179+E179</f>
        <v>612.869868</v>
      </c>
      <c r="G179" s="100">
        <v>0</v>
      </c>
      <c r="H179" s="100">
        <f>F179*(($H$171)+1)+(IF(G179&lt;101,G179,IF(G179&lt;201,G179/2,IF(G179&lt;=301,G179/3,G179/4))))</f>
        <v>919.304802</v>
      </c>
      <c r="I179" s="36"/>
      <c r="L179" s="114"/>
      <c r="M179" s="114"/>
      <c r="N179" s="36"/>
      <c r="T179" s="21"/>
    </row>
    <row r="180" spans="1:20" s="101" customFormat="1" ht="15.75" customHeight="1" x14ac:dyDescent="0.25">
      <c r="A180" s="116">
        <f t="shared" ref="A180:A181" si="11">A179+1</f>
        <v>5</v>
      </c>
      <c r="B180" s="118"/>
      <c r="C180" s="100" t="s">
        <v>419</v>
      </c>
      <c r="D180" s="103">
        <f>(28.99)*10.764</f>
        <v>312.04835999999995</v>
      </c>
      <c r="E180" s="103">
        <f>(8.578+2.6+0.99)*10.764</f>
        <v>130.97635199999999</v>
      </c>
      <c r="F180" s="100">
        <f t="shared" ref="F180:F181" si="12">D180+E180</f>
        <v>443.02471199999991</v>
      </c>
      <c r="G180" s="100">
        <v>0</v>
      </c>
      <c r="H180" s="100">
        <f t="shared" ref="H180:H181" si="13">F180*(($H$171)+1)+(IF(G180&lt;101,G180,IF(G180&lt;201,G180/2,IF(G180&lt;=301,G180/3,G180/4))))</f>
        <v>664.53706799999986</v>
      </c>
      <c r="I180" s="36"/>
      <c r="L180" s="114"/>
      <c r="M180" s="114"/>
      <c r="N180" s="36"/>
      <c r="T180" s="21"/>
    </row>
    <row r="181" spans="1:20" s="101" customFormat="1" ht="15.75" customHeight="1" x14ac:dyDescent="0.25">
      <c r="A181" s="116">
        <f t="shared" si="11"/>
        <v>6</v>
      </c>
      <c r="B181" s="118"/>
      <c r="C181" s="100" t="s">
        <v>418</v>
      </c>
      <c r="D181" s="103">
        <f>(52.147)*10.764</f>
        <v>561.31030799999996</v>
      </c>
      <c r="E181" s="103">
        <f>(2.9+2.6)*10.764</f>
        <v>59.201999999999998</v>
      </c>
      <c r="F181" s="100">
        <f t="shared" si="12"/>
        <v>620.51230799999996</v>
      </c>
      <c r="G181" s="100">
        <v>0</v>
      </c>
      <c r="H181" s="100">
        <f t="shared" si="13"/>
        <v>930.768462</v>
      </c>
      <c r="I181" s="36"/>
      <c r="L181" s="114"/>
      <c r="M181" s="114"/>
      <c r="N181" s="36"/>
      <c r="T181" s="21"/>
    </row>
    <row r="182" spans="1:20" s="102" customFormat="1" x14ac:dyDescent="0.25">
      <c r="A182" s="109" t="s">
        <v>421</v>
      </c>
      <c r="B182" s="110"/>
      <c r="C182" s="110"/>
      <c r="D182" s="110"/>
      <c r="E182" s="110"/>
      <c r="F182" s="110"/>
      <c r="G182" s="110"/>
      <c r="H182" s="111"/>
      <c r="I182" s="102">
        <v>1</v>
      </c>
      <c r="J182" s="36"/>
    </row>
    <row r="183" spans="1:20" s="102" customFormat="1" ht="15.75" customHeight="1" x14ac:dyDescent="0.25">
      <c r="A183" s="116">
        <v>1</v>
      </c>
      <c r="B183" s="118"/>
      <c r="C183" s="103" t="s">
        <v>418</v>
      </c>
      <c r="D183" s="103">
        <f>(52.147)*10.764</f>
        <v>561.31030799999996</v>
      </c>
      <c r="E183" s="103">
        <f>(2.9+2.6)*10.764</f>
        <v>59.201999999999998</v>
      </c>
      <c r="F183" s="103">
        <f>D183+E183</f>
        <v>620.51230799999996</v>
      </c>
      <c r="G183" s="103">
        <v>0</v>
      </c>
      <c r="H183" s="103">
        <f>F183*(($H$171)+1)+(IF(G183&lt;101,G183,IF(G183&lt;201,G183/2,IF(G183&lt;=301,G183/3,G183/4))))</f>
        <v>930.768462</v>
      </c>
      <c r="I183" s="36"/>
      <c r="L183" s="114"/>
      <c r="M183" s="114"/>
      <c r="N183" s="36"/>
    </row>
    <row r="184" spans="1:20" s="102" customFormat="1" ht="15.75" customHeight="1" x14ac:dyDescent="0.25">
      <c r="A184" s="116">
        <f>A183+1</f>
        <v>2</v>
      </c>
      <c r="B184" s="118"/>
      <c r="C184" s="103" t="s">
        <v>419</v>
      </c>
      <c r="D184" s="103">
        <f>(28.99)*10.764</f>
        <v>312.04835999999995</v>
      </c>
      <c r="E184" s="103">
        <f>(8.578+2.6+0.99)*10.764</f>
        <v>130.97635199999999</v>
      </c>
      <c r="F184" s="103">
        <f>D184+E184</f>
        <v>443.02471199999991</v>
      </c>
      <c r="G184" s="103">
        <v>0</v>
      </c>
      <c r="H184" s="103">
        <f>F184*(($H$171)+1)+(IF(G184&lt;101,G184,IF(G184&lt;201,G184/2,IF(G184&lt;=301,G184/3,G184/4))))</f>
        <v>664.53706799999986</v>
      </c>
      <c r="I184" s="36"/>
      <c r="L184" s="114"/>
      <c r="M184" s="114"/>
      <c r="N184" s="36"/>
    </row>
    <row r="185" spans="1:20" s="102" customFormat="1" ht="15.75" customHeight="1" x14ac:dyDescent="0.25">
      <c r="A185" s="116">
        <f>A184+1</f>
        <v>3</v>
      </c>
      <c r="B185" s="118"/>
      <c r="C185" s="103" t="s">
        <v>418</v>
      </c>
      <c r="D185" s="103">
        <f>(54.337)*10.764</f>
        <v>584.88346799999999</v>
      </c>
      <c r="E185" s="103">
        <f>(2.6)*10.764</f>
        <v>27.9864</v>
      </c>
      <c r="F185" s="103">
        <f>D185+E185</f>
        <v>612.869868</v>
      </c>
      <c r="G185" s="103">
        <v>0</v>
      </c>
      <c r="H185" s="103">
        <f>F185*(($H$171)+1)+(IF(G185&lt;101,G185,IF(G185&lt;201,G185/2,IF(G185&lt;=301,G185/3,G185/4))))</f>
        <v>919.304802</v>
      </c>
      <c r="I185" s="36"/>
      <c r="L185" s="114"/>
      <c r="M185" s="114"/>
      <c r="N185" s="36"/>
    </row>
    <row r="186" spans="1:20" s="102" customFormat="1" ht="15.75" customHeight="1" x14ac:dyDescent="0.25">
      <c r="A186" s="116">
        <f>A185+1</f>
        <v>4</v>
      </c>
      <c r="B186" s="118"/>
      <c r="C186" s="103" t="s">
        <v>418</v>
      </c>
      <c r="D186" s="103">
        <f>(51.745)*10.764</f>
        <v>556.98317999999995</v>
      </c>
      <c r="E186" s="103">
        <f>(2.592+2.6)*10.764</f>
        <v>55.886687999999999</v>
      </c>
      <c r="F186" s="103">
        <f>D186+E186</f>
        <v>612.869868</v>
      </c>
      <c r="G186" s="103">
        <v>0</v>
      </c>
      <c r="H186" s="103">
        <f>F186*(($H$171)+1)+(IF(G186&lt;101,G186,IF(G186&lt;201,G186/2,IF(G186&lt;=301,G186/3,G186/4))))</f>
        <v>919.304802</v>
      </c>
      <c r="I186" s="36"/>
      <c r="L186" s="114"/>
      <c r="M186" s="114"/>
      <c r="N186" s="36"/>
      <c r="T186" s="21"/>
    </row>
    <row r="187" spans="1:20" s="102" customFormat="1" ht="15.75" customHeight="1" x14ac:dyDescent="0.25">
      <c r="A187" s="116">
        <f t="shared" ref="A187:A188" si="14">A186+1</f>
        <v>5</v>
      </c>
      <c r="B187" s="118"/>
      <c r="C187" s="116" t="s">
        <v>422</v>
      </c>
      <c r="D187" s="117"/>
      <c r="E187" s="117"/>
      <c r="F187" s="117"/>
      <c r="G187" s="117"/>
      <c r="H187" s="118"/>
      <c r="I187" s="36"/>
      <c r="L187" s="114"/>
      <c r="M187" s="114"/>
      <c r="N187" s="36"/>
      <c r="T187" s="21"/>
    </row>
    <row r="188" spans="1:20" s="102" customFormat="1" ht="15.75" customHeight="1" x14ac:dyDescent="0.25">
      <c r="A188" s="116">
        <f t="shared" si="14"/>
        <v>6</v>
      </c>
      <c r="B188" s="118"/>
      <c r="C188" s="103" t="s">
        <v>418</v>
      </c>
      <c r="D188" s="103">
        <f>(52.147)*10.764</f>
        <v>561.31030799999996</v>
      </c>
      <c r="E188" s="103">
        <f>(2.9+2.6)*10.764</f>
        <v>59.201999999999998</v>
      </c>
      <c r="F188" s="103">
        <f t="shared" ref="F188" si="15">D188+E188</f>
        <v>620.51230799999996</v>
      </c>
      <c r="G188" s="103">
        <v>0</v>
      </c>
      <c r="H188" s="103">
        <f t="shared" ref="H188" si="16">F188*(($H$171)+1)+(IF(G188&lt;101,G188,IF(G188&lt;201,G188/2,IF(G188&lt;=301,G188/3,G188/4))))</f>
        <v>930.768462</v>
      </c>
      <c r="I188" s="36"/>
      <c r="L188" s="114"/>
      <c r="M188" s="114"/>
      <c r="N188" s="36"/>
      <c r="T188" s="21"/>
    </row>
    <row r="189" spans="1:20" s="102" customFormat="1" x14ac:dyDescent="0.25">
      <c r="A189" s="109" t="s">
        <v>423</v>
      </c>
      <c r="B189" s="110"/>
      <c r="C189" s="110"/>
      <c r="D189" s="110"/>
      <c r="E189" s="110"/>
      <c r="F189" s="110"/>
      <c r="G189" s="110"/>
      <c r="H189" s="111"/>
      <c r="J189" s="36"/>
    </row>
    <row r="190" spans="1:20" s="102" customFormat="1" ht="30" customHeight="1" x14ac:dyDescent="0.25">
      <c r="A190" s="109" t="s">
        <v>424</v>
      </c>
      <c r="B190" s="110"/>
      <c r="C190" s="110"/>
      <c r="D190" s="110"/>
      <c r="E190" s="110"/>
      <c r="F190" s="110"/>
      <c r="G190" s="110"/>
      <c r="H190" s="111"/>
      <c r="J190" s="36"/>
    </row>
    <row r="191" spans="1:20" s="37" customFormat="1" ht="15.75" customHeight="1" x14ac:dyDescent="0.25">
      <c r="A191" s="119" t="s">
        <v>427</v>
      </c>
      <c r="B191" s="119"/>
      <c r="C191" s="119"/>
      <c r="D191" s="119"/>
      <c r="E191" s="119"/>
      <c r="F191" s="119"/>
      <c r="G191" s="119"/>
      <c r="H191" s="119"/>
      <c r="I191" s="37">
        <v>5500</v>
      </c>
      <c r="J191" s="36"/>
    </row>
    <row r="192" spans="1:20" s="37" customFormat="1" ht="15.75" customHeight="1" x14ac:dyDescent="0.25">
      <c r="A192" s="116">
        <v>1</v>
      </c>
      <c r="B192" s="118"/>
      <c r="C192" s="42" t="s">
        <v>418</v>
      </c>
      <c r="D192" s="103">
        <f>(52.147)*10.764</f>
        <v>561.31030799999996</v>
      </c>
      <c r="E192" s="103">
        <f>(2.9+2.6)*10.764</f>
        <v>59.201999999999998</v>
      </c>
      <c r="F192" s="42">
        <f>D192+E192</f>
        <v>620.51230799999996</v>
      </c>
      <c r="G192" s="42">
        <v>0</v>
      </c>
      <c r="H192" s="42">
        <f>F192*(($H$171)+1)+(IF(G192&lt;101,G192,IF(G192&lt;201,G192/2,IF(G192&lt;=301,G192/3,G192/4))))</f>
        <v>930.768462</v>
      </c>
      <c r="I192" s="36">
        <f>I$191*H192</f>
        <v>5119226.5410000002</v>
      </c>
      <c r="L192" s="114"/>
      <c r="M192" s="114"/>
      <c r="N192" s="36"/>
    </row>
    <row r="193" spans="1:20" s="37" customFormat="1" ht="15.75" customHeight="1" x14ac:dyDescent="0.25">
      <c r="A193" s="116">
        <f>A192+1</f>
        <v>2</v>
      </c>
      <c r="B193" s="118"/>
      <c r="C193" s="42" t="s">
        <v>419</v>
      </c>
      <c r="D193" s="103">
        <f>(28.99)*10.764</f>
        <v>312.04835999999995</v>
      </c>
      <c r="E193" s="103">
        <f>(8.578+2.6+0.99)*10.764</f>
        <v>130.97635199999999</v>
      </c>
      <c r="F193" s="42">
        <f>D193+E193</f>
        <v>443.02471199999991</v>
      </c>
      <c r="G193" s="42">
        <v>0</v>
      </c>
      <c r="H193" s="42">
        <f>F193*(($H$171)+1)+(IF(G193&lt;101,G193,IF(G193&lt;201,G193/2,IF(G193&lt;=301,G193/3,G193/4))))</f>
        <v>664.53706799999986</v>
      </c>
      <c r="I193" s="36">
        <f t="shared" ref="I193:I202" si="17">I$191*H193</f>
        <v>3654953.8739999994</v>
      </c>
      <c r="L193" s="114"/>
      <c r="M193" s="114"/>
      <c r="N193" s="36"/>
    </row>
    <row r="194" spans="1:20" s="37" customFormat="1" ht="15.75" customHeight="1" x14ac:dyDescent="0.25">
      <c r="A194" s="116">
        <f>A193+1</f>
        <v>3</v>
      </c>
      <c r="B194" s="118"/>
      <c r="C194" s="42" t="s">
        <v>418</v>
      </c>
      <c r="D194" s="103">
        <f>(51.745)*10.764</f>
        <v>556.98317999999995</v>
      </c>
      <c r="E194" s="103">
        <f>(2.592+2.6)*10.764</f>
        <v>55.886687999999999</v>
      </c>
      <c r="F194" s="42">
        <f>D194+E194</f>
        <v>612.869868</v>
      </c>
      <c r="G194" s="42">
        <v>0</v>
      </c>
      <c r="H194" s="42">
        <f>F194*(($H$171)+1)+(IF(G194&lt;101,G194,IF(G194&lt;201,G194/2,IF(G194&lt;=301,G194/3,G194/4))))</f>
        <v>919.304802</v>
      </c>
      <c r="I194" s="36">
        <f t="shared" si="17"/>
        <v>5056176.4110000003</v>
      </c>
      <c r="L194" s="114"/>
      <c r="M194" s="114"/>
      <c r="N194" s="36"/>
    </row>
    <row r="195" spans="1:20" s="37" customFormat="1" ht="15.75" customHeight="1" x14ac:dyDescent="0.25">
      <c r="A195" s="116">
        <f>A194+1</f>
        <v>4</v>
      </c>
      <c r="B195" s="118"/>
      <c r="C195" s="103" t="s">
        <v>418</v>
      </c>
      <c r="D195" s="103">
        <f>(54.337)*10.764</f>
        <v>584.88346799999999</v>
      </c>
      <c r="E195" s="103">
        <f>(2.6)*10.764</f>
        <v>27.9864</v>
      </c>
      <c r="F195" s="42">
        <f>D195+E195</f>
        <v>612.869868</v>
      </c>
      <c r="G195" s="42">
        <v>0</v>
      </c>
      <c r="H195" s="42">
        <f>F195*(($H$171)+1)+(IF(G195&lt;101,G195,IF(G195&lt;201,G195/2,IF(G195&lt;=301,G195/3,G195/4))))</f>
        <v>919.304802</v>
      </c>
      <c r="I195" s="36">
        <f t="shared" si="17"/>
        <v>5056176.4110000003</v>
      </c>
      <c r="L195" s="114"/>
      <c r="M195" s="114"/>
      <c r="N195" s="36"/>
      <c r="T195" s="21"/>
    </row>
    <row r="196" spans="1:20" s="101" customFormat="1" ht="15.75" customHeight="1" x14ac:dyDescent="0.25">
      <c r="A196" s="116">
        <f t="shared" ref="A196:A197" si="18">A195+1</f>
        <v>5</v>
      </c>
      <c r="B196" s="118"/>
      <c r="C196" s="100" t="s">
        <v>419</v>
      </c>
      <c r="D196" s="103">
        <f>(28.99)*10.764</f>
        <v>312.04835999999995</v>
      </c>
      <c r="E196" s="103">
        <f>(8.578+2.6+0.99)*10.764</f>
        <v>130.97635199999999</v>
      </c>
      <c r="F196" s="100">
        <f t="shared" ref="F196:F197" si="19">D196+E196</f>
        <v>443.02471199999991</v>
      </c>
      <c r="G196" s="100">
        <v>0</v>
      </c>
      <c r="H196" s="100">
        <f t="shared" ref="H196:H197" si="20">F196*(($H$171)+1)+(IF(G196&lt;101,G196,IF(G196&lt;201,G196/2,IF(G196&lt;=301,G196/3,G196/4))))</f>
        <v>664.53706799999986</v>
      </c>
      <c r="I196" s="36">
        <f t="shared" si="17"/>
        <v>3654953.8739999994</v>
      </c>
      <c r="L196" s="114"/>
      <c r="M196" s="114"/>
      <c r="N196" s="36"/>
      <c r="T196" s="21"/>
    </row>
    <row r="197" spans="1:20" s="101" customFormat="1" ht="15.75" customHeight="1" x14ac:dyDescent="0.25">
      <c r="A197" s="116">
        <f t="shared" si="18"/>
        <v>6</v>
      </c>
      <c r="B197" s="118"/>
      <c r="C197" s="100" t="s">
        <v>418</v>
      </c>
      <c r="D197" s="103">
        <f>(52.147)*10.764</f>
        <v>561.31030799999996</v>
      </c>
      <c r="E197" s="103">
        <f>(2.9+2.6)*10.764</f>
        <v>59.201999999999998</v>
      </c>
      <c r="F197" s="100">
        <f t="shared" si="19"/>
        <v>620.51230799999996</v>
      </c>
      <c r="G197" s="100">
        <v>0</v>
      </c>
      <c r="H197" s="100">
        <f t="shared" si="20"/>
        <v>930.768462</v>
      </c>
      <c r="I197" s="36">
        <f t="shared" si="17"/>
        <v>5119226.5410000002</v>
      </c>
      <c r="L197" s="114"/>
      <c r="M197" s="114"/>
      <c r="N197" s="36"/>
      <c r="T197" s="21"/>
    </row>
    <row r="198" spans="1:20" s="102" customFormat="1" x14ac:dyDescent="0.25">
      <c r="A198" s="119" t="s">
        <v>421</v>
      </c>
      <c r="B198" s="119"/>
      <c r="C198" s="119"/>
      <c r="D198" s="119"/>
      <c r="E198" s="119"/>
      <c r="F198" s="119"/>
      <c r="G198" s="119"/>
      <c r="H198" s="119"/>
      <c r="I198" s="36">
        <f t="shared" si="17"/>
        <v>0</v>
      </c>
      <c r="L198" s="114"/>
      <c r="M198" s="114"/>
    </row>
    <row r="199" spans="1:20" s="102" customFormat="1" x14ac:dyDescent="0.25">
      <c r="A199" s="115">
        <v>1</v>
      </c>
      <c r="B199" s="115"/>
      <c r="C199" s="103" t="s">
        <v>418</v>
      </c>
      <c r="D199" s="103">
        <f>(52.147)*10.764</f>
        <v>561.31030799999996</v>
      </c>
      <c r="E199" s="103">
        <f>(2.9+2.6)*10.764</f>
        <v>59.201999999999998</v>
      </c>
      <c r="F199" s="103">
        <f>D199+E199</f>
        <v>620.51230799999996</v>
      </c>
      <c r="G199" s="103">
        <v>0</v>
      </c>
      <c r="H199" s="103">
        <f>F199*(($H$171)+1)+(IF(G199&lt;101,G199,IF(G199&lt;201,G199/2,IF(G199&lt;=301,G199/3,G199/4))))</f>
        <v>930.768462</v>
      </c>
      <c r="I199" s="36">
        <f t="shared" si="17"/>
        <v>5119226.5410000002</v>
      </c>
      <c r="N199" s="36"/>
    </row>
    <row r="200" spans="1:20" s="102" customFormat="1" x14ac:dyDescent="0.25">
      <c r="A200" s="115">
        <f>A199+1</f>
        <v>2</v>
      </c>
      <c r="B200" s="115"/>
      <c r="C200" s="116" t="s">
        <v>422</v>
      </c>
      <c r="D200" s="117"/>
      <c r="E200" s="117"/>
      <c r="F200" s="117"/>
      <c r="G200" s="117"/>
      <c r="H200" s="118"/>
      <c r="I200" s="36">
        <f t="shared" si="17"/>
        <v>0</v>
      </c>
      <c r="N200" s="36"/>
    </row>
    <row r="201" spans="1:20" s="102" customFormat="1" x14ac:dyDescent="0.25">
      <c r="A201" s="115">
        <f>A200+1</f>
        <v>3</v>
      </c>
      <c r="B201" s="115"/>
      <c r="C201" s="103" t="s">
        <v>418</v>
      </c>
      <c r="D201" s="103">
        <f>(51.745)*10.764</f>
        <v>556.98317999999995</v>
      </c>
      <c r="E201" s="103">
        <f>(2.592+2.6)*10.764</f>
        <v>55.886687999999999</v>
      </c>
      <c r="F201" s="103">
        <f>D201+E201</f>
        <v>612.869868</v>
      </c>
      <c r="G201" s="103">
        <v>0</v>
      </c>
      <c r="H201" s="103">
        <f>F201*(($H$171)+1)+(IF(G201&lt;101,G201,IF(G201&lt;201,G201/2,IF(G201&lt;=301,G201/3,G201/4))))</f>
        <v>919.304802</v>
      </c>
      <c r="I201" s="36">
        <f t="shared" si="17"/>
        <v>5056176.4110000003</v>
      </c>
      <c r="N201" s="36"/>
    </row>
    <row r="202" spans="1:20" s="102" customFormat="1" x14ac:dyDescent="0.25">
      <c r="A202" s="115">
        <f>A201+1</f>
        <v>4</v>
      </c>
      <c r="B202" s="115"/>
      <c r="C202" s="103" t="s">
        <v>418</v>
      </c>
      <c r="D202" s="103">
        <f>(54.337)*10.764</f>
        <v>584.88346799999999</v>
      </c>
      <c r="E202" s="103">
        <f>(2.6)*10.764</f>
        <v>27.9864</v>
      </c>
      <c r="F202" s="103">
        <f>D202+E202</f>
        <v>612.869868</v>
      </c>
      <c r="G202" s="103">
        <v>0</v>
      </c>
      <c r="H202" s="103">
        <f>F202*(($H$171)+1)+(IF(G202&lt;101,G202,IF(G202&lt;201,G202/2,IF(G202&lt;=301,G202/3,G202/4))))</f>
        <v>919.304802</v>
      </c>
      <c r="I202" s="36">
        <f t="shared" si="17"/>
        <v>5056176.4110000003</v>
      </c>
      <c r="N202" s="36"/>
    </row>
    <row r="203" spans="1:20" s="102" customFormat="1" x14ac:dyDescent="0.25">
      <c r="A203" s="115">
        <f>A202+1</f>
        <v>5</v>
      </c>
      <c r="B203" s="115"/>
      <c r="C203" s="103" t="s">
        <v>419</v>
      </c>
      <c r="D203" s="103">
        <f>(28.99)*10.764</f>
        <v>312.04835999999995</v>
      </c>
      <c r="E203" s="103">
        <f>(8.578+2.6+0.99)*10.764</f>
        <v>130.97635199999999</v>
      </c>
      <c r="F203" s="103">
        <f>D203+E203</f>
        <v>443.02471199999991</v>
      </c>
      <c r="G203" s="103">
        <v>0</v>
      </c>
      <c r="H203" s="103">
        <f>F203*(($H$171)+1)+(IF(G203&lt;101,G203,IF(G203&lt;201,G203/2,IF(G203&lt;=301,G203/3,G203/4))))</f>
        <v>664.53706799999986</v>
      </c>
      <c r="I203" s="36"/>
      <c r="N203" s="36"/>
    </row>
    <row r="204" spans="1:20" s="102" customFormat="1" x14ac:dyDescent="0.25">
      <c r="A204" s="115">
        <f>A203+1</f>
        <v>6</v>
      </c>
      <c r="B204" s="115"/>
      <c r="C204" s="103" t="s">
        <v>418</v>
      </c>
      <c r="D204" s="103">
        <f>(52.147)*10.764</f>
        <v>561.31030799999996</v>
      </c>
      <c r="E204" s="103">
        <f>(2.9+2.6)*10.764</f>
        <v>59.201999999999998</v>
      </c>
      <c r="F204" s="103">
        <f>D204+E204</f>
        <v>620.51230799999996</v>
      </c>
      <c r="G204" s="103">
        <v>0</v>
      </c>
      <c r="H204" s="103">
        <f>F204*(($H$171)+1)+(IF(G204&lt;101,G204,IF(G204&lt;201,G204/2,IF(G204&lt;=301,G204/3,G204/4))))</f>
        <v>930.768462</v>
      </c>
      <c r="I204" s="36"/>
      <c r="N204" s="36"/>
    </row>
    <row r="205" spans="1:20" s="102" customFormat="1" x14ac:dyDescent="0.25">
      <c r="A205" s="120" t="s">
        <v>425</v>
      </c>
      <c r="B205" s="121"/>
      <c r="C205" s="121"/>
      <c r="D205" s="121"/>
      <c r="E205" s="121"/>
      <c r="F205" s="121"/>
      <c r="G205" s="121"/>
      <c r="H205" s="122"/>
      <c r="J205" s="36"/>
    </row>
    <row r="206" spans="1:20" s="102" customFormat="1" x14ac:dyDescent="0.25">
      <c r="A206" s="109" t="s">
        <v>417</v>
      </c>
      <c r="B206" s="110"/>
      <c r="C206" s="110"/>
      <c r="D206" s="110"/>
      <c r="E206" s="110"/>
      <c r="F206" s="110"/>
      <c r="G206" s="110"/>
      <c r="H206" s="111"/>
      <c r="I206" s="36"/>
      <c r="L206" s="114"/>
      <c r="M206" s="114"/>
    </row>
    <row r="207" spans="1:20" s="102" customFormat="1" x14ac:dyDescent="0.25">
      <c r="A207" s="119" t="s">
        <v>416</v>
      </c>
      <c r="B207" s="119"/>
      <c r="C207" s="119"/>
      <c r="D207" s="119"/>
      <c r="E207" s="119"/>
      <c r="F207" s="119"/>
      <c r="G207" s="119"/>
      <c r="H207" s="119"/>
      <c r="I207" s="36"/>
      <c r="L207" s="114"/>
      <c r="M207" s="114"/>
    </row>
    <row r="208" spans="1:20" s="102" customFormat="1" ht="15.75" customHeight="1" x14ac:dyDescent="0.25">
      <c r="A208" s="119" t="s">
        <v>427</v>
      </c>
      <c r="B208" s="119"/>
      <c r="C208" s="119"/>
      <c r="D208" s="119"/>
      <c r="E208" s="119"/>
      <c r="F208" s="119"/>
      <c r="G208" s="119"/>
      <c r="H208" s="119"/>
      <c r="I208" s="36">
        <v>10</v>
      </c>
      <c r="L208" s="114"/>
      <c r="M208" s="114"/>
    </row>
    <row r="209" spans="1:14" s="102" customFormat="1" x14ac:dyDescent="0.25">
      <c r="A209" s="115">
        <v>1</v>
      </c>
      <c r="B209" s="115"/>
      <c r="C209" s="103" t="s">
        <v>419</v>
      </c>
      <c r="D209" s="103">
        <f>(37.182)*10.764</f>
        <v>400.22704800000002</v>
      </c>
      <c r="E209" s="103">
        <f>(2.6+1.08)*10.764</f>
        <v>39.611519999999999</v>
      </c>
      <c r="F209" s="103">
        <f t="shared" ref="F209:F214" si="21">D209+E209</f>
        <v>439.83856800000001</v>
      </c>
      <c r="G209" s="103">
        <v>0</v>
      </c>
      <c r="H209" s="103">
        <f t="shared" ref="H209:H214" si="22">F209*(($H$171)+1)+(IF(G209&lt;101,G209,IF(G209&lt;201,G209/2,IF(G209&lt;=301,G209/3,G209/4))))</f>
        <v>659.75785199999996</v>
      </c>
      <c r="I209" s="36">
        <f>4.65*2.75+2.35*2.3+3.35*2.75+1.15*(2.1+2.1)+2.6*0.9+0.35*1.15</f>
        <v>34.977500000000006</v>
      </c>
      <c r="N209" s="36"/>
    </row>
    <row r="210" spans="1:14" s="102" customFormat="1" x14ac:dyDescent="0.25">
      <c r="A210" s="115">
        <f>A209+1</f>
        <v>2</v>
      </c>
      <c r="B210" s="115"/>
      <c r="C210" s="103" t="s">
        <v>419</v>
      </c>
      <c r="D210" s="103">
        <f>(28.99)*10.764</f>
        <v>312.04835999999995</v>
      </c>
      <c r="E210" s="103">
        <f>(8.728+2.6+1.08)*10.764</f>
        <v>133.55971199999999</v>
      </c>
      <c r="F210" s="103">
        <f t="shared" si="21"/>
        <v>445.60807199999994</v>
      </c>
      <c r="G210" s="103">
        <v>0</v>
      </c>
      <c r="H210" s="103">
        <f t="shared" si="22"/>
        <v>668.41210799999988</v>
      </c>
      <c r="I210" s="36">
        <f>2.75*3.2+2.3*1.7+2.75*2.7+1.15*(1.9+2.1)+2.55*0.9+1.15*0.3</f>
        <v>27.375</v>
      </c>
      <c r="N210" s="36"/>
    </row>
    <row r="211" spans="1:14" s="102" customFormat="1" x14ac:dyDescent="0.25">
      <c r="A211" s="115">
        <f>A210+1</f>
        <v>3</v>
      </c>
      <c r="B211" s="115"/>
      <c r="C211" s="103" t="s">
        <v>419</v>
      </c>
      <c r="D211" s="103">
        <f>(28.99)*10.764</f>
        <v>312.04835999999995</v>
      </c>
      <c r="E211" s="103">
        <f>(8.555+2.6+1.08)*10.764</f>
        <v>131.69753999999998</v>
      </c>
      <c r="F211" s="103">
        <f t="shared" si="21"/>
        <v>443.74589999999989</v>
      </c>
      <c r="G211" s="103">
        <v>0</v>
      </c>
      <c r="H211" s="103">
        <f t="shared" si="22"/>
        <v>665.61884999999984</v>
      </c>
      <c r="I211" s="36"/>
      <c r="N211" s="36"/>
    </row>
    <row r="212" spans="1:14" s="102" customFormat="1" x14ac:dyDescent="0.25">
      <c r="A212" s="115">
        <f>A211+1</f>
        <v>4</v>
      </c>
      <c r="B212" s="115"/>
      <c r="C212" s="103" t="s">
        <v>419</v>
      </c>
      <c r="D212" s="103">
        <f>(28.99)*10.764</f>
        <v>312.04835999999995</v>
      </c>
      <c r="E212" s="103">
        <f>(8.555+2.6+1.08)*10.764</f>
        <v>131.69753999999998</v>
      </c>
      <c r="F212" s="103">
        <f t="shared" si="21"/>
        <v>443.74589999999989</v>
      </c>
      <c r="G212" s="103">
        <v>0</v>
      </c>
      <c r="H212" s="103">
        <f t="shared" si="22"/>
        <v>665.61884999999984</v>
      </c>
      <c r="I212" s="36"/>
      <c r="N212" s="36"/>
    </row>
    <row r="213" spans="1:14" s="102" customFormat="1" x14ac:dyDescent="0.25">
      <c r="A213" s="115">
        <f>A212+1</f>
        <v>5</v>
      </c>
      <c r="B213" s="115"/>
      <c r="C213" s="103" t="s">
        <v>419</v>
      </c>
      <c r="D213" s="103">
        <f>(37.182)*10.764</f>
        <v>400.22704800000002</v>
      </c>
      <c r="E213" s="103">
        <f>(2.6+1.08)*10.764</f>
        <v>39.611519999999999</v>
      </c>
      <c r="F213" s="103">
        <f t="shared" si="21"/>
        <v>439.83856800000001</v>
      </c>
      <c r="G213" s="103">
        <v>0</v>
      </c>
      <c r="H213" s="103">
        <f t="shared" si="22"/>
        <v>659.75785199999996</v>
      </c>
      <c r="I213" s="36"/>
      <c r="N213" s="36"/>
    </row>
    <row r="214" spans="1:14" s="102" customFormat="1" x14ac:dyDescent="0.25">
      <c r="A214" s="115">
        <f>A213+1</f>
        <v>6</v>
      </c>
      <c r="B214" s="115"/>
      <c r="C214" s="103" t="s">
        <v>419</v>
      </c>
      <c r="D214" s="103">
        <f>(37.182)*10.764</f>
        <v>400.22704800000002</v>
      </c>
      <c r="E214" s="103">
        <f>(2.6+1.08)*10.764</f>
        <v>39.611519999999999</v>
      </c>
      <c r="F214" s="103">
        <f t="shared" si="21"/>
        <v>439.83856800000001</v>
      </c>
      <c r="G214" s="103">
        <v>0</v>
      </c>
      <c r="H214" s="103">
        <f t="shared" si="22"/>
        <v>659.75785199999996</v>
      </c>
      <c r="I214" s="36"/>
      <c r="N214" s="36"/>
    </row>
    <row r="215" spans="1:14" s="102" customFormat="1" x14ac:dyDescent="0.25">
      <c r="A215" s="119" t="s">
        <v>421</v>
      </c>
      <c r="B215" s="119"/>
      <c r="C215" s="119"/>
      <c r="D215" s="119"/>
      <c r="E215" s="119"/>
      <c r="F215" s="119"/>
      <c r="G215" s="119"/>
      <c r="H215" s="119"/>
      <c r="I215" s="36">
        <v>1</v>
      </c>
      <c r="L215" s="114"/>
      <c r="M215" s="114"/>
    </row>
    <row r="216" spans="1:14" s="102" customFormat="1" x14ac:dyDescent="0.25">
      <c r="A216" s="115">
        <v>1</v>
      </c>
      <c r="B216" s="115"/>
      <c r="C216" s="116" t="s">
        <v>422</v>
      </c>
      <c r="D216" s="117"/>
      <c r="E216" s="117"/>
      <c r="F216" s="117"/>
      <c r="G216" s="117"/>
      <c r="H216" s="118"/>
      <c r="I216" s="36"/>
      <c r="N216" s="36"/>
    </row>
    <row r="217" spans="1:14" s="102" customFormat="1" x14ac:dyDescent="0.25">
      <c r="A217" s="115">
        <f>A216+1</f>
        <v>2</v>
      </c>
      <c r="B217" s="115"/>
      <c r="C217" s="103" t="s">
        <v>419</v>
      </c>
      <c r="D217" s="103">
        <f>(28.99)*10.764</f>
        <v>312.04835999999995</v>
      </c>
      <c r="E217" s="103">
        <f>(8.728+2.6+1.08)*10.764</f>
        <v>133.55971199999999</v>
      </c>
      <c r="F217" s="103">
        <f>D217+E217</f>
        <v>445.60807199999994</v>
      </c>
      <c r="G217" s="103">
        <v>0</v>
      </c>
      <c r="H217" s="103">
        <f>F217*(($H$171)+1)+(IF(G217&lt;101,G217,IF(G217&lt;201,G217/2,IF(G217&lt;=301,G217/3,G217/4))))</f>
        <v>668.41210799999988</v>
      </c>
      <c r="I217" s="36"/>
      <c r="N217" s="36"/>
    </row>
    <row r="218" spans="1:14" s="102" customFormat="1" x14ac:dyDescent="0.25">
      <c r="A218" s="115">
        <f>A217+1</f>
        <v>3</v>
      </c>
      <c r="B218" s="115"/>
      <c r="C218" s="103" t="s">
        <v>419</v>
      </c>
      <c r="D218" s="103">
        <f>(28.99)*10.764</f>
        <v>312.04835999999995</v>
      </c>
      <c r="E218" s="103">
        <f>(8.555+2.6+1.08)*10.764</f>
        <v>131.69753999999998</v>
      </c>
      <c r="F218" s="103">
        <f>D218+E218</f>
        <v>443.74589999999989</v>
      </c>
      <c r="G218" s="103">
        <v>0</v>
      </c>
      <c r="H218" s="103">
        <f>F218*(($H$171)+1)+(IF(G218&lt;101,G218,IF(G218&lt;201,G218/2,IF(G218&lt;=301,G218/3,G218/4))))</f>
        <v>665.61884999999984</v>
      </c>
      <c r="I218" s="36"/>
      <c r="N218" s="36"/>
    </row>
    <row r="219" spans="1:14" s="102" customFormat="1" x14ac:dyDescent="0.25">
      <c r="A219" s="115">
        <f>A218+1</f>
        <v>4</v>
      </c>
      <c r="B219" s="115"/>
      <c r="C219" s="103" t="s">
        <v>419</v>
      </c>
      <c r="D219" s="103">
        <f>(28.99)*10.764</f>
        <v>312.04835999999995</v>
      </c>
      <c r="E219" s="103">
        <f>(8.555+2.6+1.08)*10.764</f>
        <v>131.69753999999998</v>
      </c>
      <c r="F219" s="103">
        <f>D219+E219</f>
        <v>443.74589999999989</v>
      </c>
      <c r="G219" s="103">
        <v>0</v>
      </c>
      <c r="H219" s="103">
        <f>F219*(($H$171)+1)+(IF(G219&lt;101,G219,IF(G219&lt;201,G219/2,IF(G219&lt;=301,G219/3,G219/4))))</f>
        <v>665.61884999999984</v>
      </c>
      <c r="I219" s="36"/>
      <c r="N219" s="36"/>
    </row>
    <row r="220" spans="1:14" s="102" customFormat="1" x14ac:dyDescent="0.25">
      <c r="A220" s="115">
        <f>A219+1</f>
        <v>5</v>
      </c>
      <c r="B220" s="115"/>
      <c r="C220" s="103" t="s">
        <v>419</v>
      </c>
      <c r="D220" s="103">
        <f>(37.182)*10.764</f>
        <v>400.22704800000002</v>
      </c>
      <c r="E220" s="103">
        <f>(2.6+1.08)*10.764</f>
        <v>39.611519999999999</v>
      </c>
      <c r="F220" s="103">
        <f>D220+E220</f>
        <v>439.83856800000001</v>
      </c>
      <c r="G220" s="103">
        <v>0</v>
      </c>
      <c r="H220" s="103">
        <f>F220*(($H$171)+1)+(IF(G220&lt;101,G220,IF(G220&lt;201,G220/2,IF(G220&lt;=301,G220/3,G220/4))))</f>
        <v>659.75785199999996</v>
      </c>
      <c r="I220" s="36"/>
      <c r="N220" s="36"/>
    </row>
    <row r="221" spans="1:14" s="102" customFormat="1" x14ac:dyDescent="0.25">
      <c r="A221" s="115">
        <f>A220+1</f>
        <v>6</v>
      </c>
      <c r="B221" s="115"/>
      <c r="C221" s="103" t="s">
        <v>419</v>
      </c>
      <c r="D221" s="103">
        <f>(37.182)*10.764</f>
        <v>400.22704800000002</v>
      </c>
      <c r="E221" s="103">
        <f>(2.6+1.08)*10.764</f>
        <v>39.611519999999999</v>
      </c>
      <c r="F221" s="103">
        <f>D221+E221</f>
        <v>439.83856800000001</v>
      </c>
      <c r="G221" s="103">
        <v>0</v>
      </c>
      <c r="H221" s="103">
        <f>F221*(($H$171)+1)+(IF(G221&lt;101,G221,IF(G221&lt;201,G221/2,IF(G221&lt;=301,G221/3,G221/4))))</f>
        <v>659.75785199999996</v>
      </c>
      <c r="I221" s="36"/>
      <c r="N221" s="36"/>
    </row>
    <row r="222" spans="1:14" s="102" customFormat="1" x14ac:dyDescent="0.25">
      <c r="A222" s="109" t="s">
        <v>423</v>
      </c>
      <c r="B222" s="110"/>
      <c r="C222" s="110"/>
      <c r="D222" s="110"/>
      <c r="E222" s="110"/>
      <c r="F222" s="110"/>
      <c r="G222" s="110"/>
      <c r="H222" s="111"/>
      <c r="I222" s="36"/>
      <c r="L222" s="114"/>
      <c r="M222" s="114"/>
    </row>
    <row r="223" spans="1:14" s="102" customFormat="1" x14ac:dyDescent="0.25">
      <c r="A223" s="119" t="s">
        <v>416</v>
      </c>
      <c r="B223" s="119"/>
      <c r="C223" s="119"/>
      <c r="D223" s="119"/>
      <c r="E223" s="119"/>
      <c r="F223" s="119"/>
      <c r="G223" s="119"/>
      <c r="H223" s="119"/>
      <c r="I223" s="36"/>
      <c r="L223" s="114"/>
      <c r="M223" s="114"/>
    </row>
    <row r="224" spans="1:14" s="102" customFormat="1" x14ac:dyDescent="0.25">
      <c r="A224" s="119" t="s">
        <v>427</v>
      </c>
      <c r="B224" s="119"/>
      <c r="C224" s="119"/>
      <c r="D224" s="119"/>
      <c r="E224" s="119"/>
      <c r="F224" s="119"/>
      <c r="G224" s="119"/>
      <c r="H224" s="119"/>
      <c r="I224" s="36">
        <v>10</v>
      </c>
      <c r="L224" s="114"/>
      <c r="M224" s="114"/>
    </row>
    <row r="225" spans="1:14" s="102" customFormat="1" x14ac:dyDescent="0.25">
      <c r="A225" s="115">
        <v>1</v>
      </c>
      <c r="B225" s="115"/>
      <c r="C225" s="103" t="s">
        <v>419</v>
      </c>
      <c r="D225" s="103">
        <f>(37.182)*10.764</f>
        <v>400.22704800000002</v>
      </c>
      <c r="E225" s="103">
        <f>(2.6+1.08)*10.764</f>
        <v>39.611519999999999</v>
      </c>
      <c r="F225" s="103">
        <f t="shared" ref="F225:F230" si="23">D225+E225</f>
        <v>439.83856800000001</v>
      </c>
      <c r="G225" s="103">
        <v>0</v>
      </c>
      <c r="H225" s="103">
        <f t="shared" ref="H225:H230" si="24">F225*(($H$171)+1)+(IF(G225&lt;101,G225,IF(G225&lt;201,G225/2,IF(G225&lt;=301,G225/3,G225/4))))</f>
        <v>659.75785199999996</v>
      </c>
      <c r="I225" s="36"/>
      <c r="N225" s="36"/>
    </row>
    <row r="226" spans="1:14" s="102" customFormat="1" x14ac:dyDescent="0.25">
      <c r="A226" s="115">
        <f>A225+1</f>
        <v>2</v>
      </c>
      <c r="B226" s="115"/>
      <c r="C226" s="103" t="s">
        <v>419</v>
      </c>
      <c r="D226" s="103">
        <f>(37.182)*10.764</f>
        <v>400.22704800000002</v>
      </c>
      <c r="E226" s="103">
        <f>(2.6+1.08)*10.764</f>
        <v>39.611519999999999</v>
      </c>
      <c r="F226" s="103">
        <f t="shared" si="23"/>
        <v>439.83856800000001</v>
      </c>
      <c r="G226" s="103">
        <v>0</v>
      </c>
      <c r="H226" s="103">
        <f t="shared" si="24"/>
        <v>659.75785199999996</v>
      </c>
      <c r="I226" s="36"/>
      <c r="N226" s="36"/>
    </row>
    <row r="227" spans="1:14" s="102" customFormat="1" x14ac:dyDescent="0.25">
      <c r="A227" s="115">
        <f>A226+1</f>
        <v>3</v>
      </c>
      <c r="B227" s="115"/>
      <c r="C227" s="103" t="s">
        <v>419</v>
      </c>
      <c r="D227" s="103">
        <f>(28.99)*10.764</f>
        <v>312.04835999999995</v>
      </c>
      <c r="E227" s="103">
        <f>(8.555+2.6+1.08)*10.764</f>
        <v>131.69753999999998</v>
      </c>
      <c r="F227" s="103">
        <f t="shared" si="23"/>
        <v>443.74589999999989</v>
      </c>
      <c r="G227" s="103">
        <v>0</v>
      </c>
      <c r="H227" s="103">
        <f t="shared" si="24"/>
        <v>665.61884999999984</v>
      </c>
      <c r="I227" s="36"/>
      <c r="N227" s="36"/>
    </row>
    <row r="228" spans="1:14" s="102" customFormat="1" x14ac:dyDescent="0.25">
      <c r="A228" s="115">
        <f>A227+1</f>
        <v>4</v>
      </c>
      <c r="B228" s="115"/>
      <c r="C228" s="103" t="s">
        <v>419</v>
      </c>
      <c r="D228" s="103">
        <f>(28.99)*10.764</f>
        <v>312.04835999999995</v>
      </c>
      <c r="E228" s="103">
        <f>(8.555+2.6+1.08)*10.764</f>
        <v>131.69753999999998</v>
      </c>
      <c r="F228" s="103">
        <f t="shared" si="23"/>
        <v>443.74589999999989</v>
      </c>
      <c r="G228" s="103">
        <v>0</v>
      </c>
      <c r="H228" s="103">
        <f t="shared" si="24"/>
        <v>665.61884999999984</v>
      </c>
      <c r="I228" s="36"/>
      <c r="N228" s="36"/>
    </row>
    <row r="229" spans="1:14" s="102" customFormat="1" x14ac:dyDescent="0.25">
      <c r="A229" s="115">
        <f>A228+1</f>
        <v>5</v>
      </c>
      <c r="B229" s="115"/>
      <c r="C229" s="103" t="s">
        <v>419</v>
      </c>
      <c r="D229" s="103">
        <f>(28.99)*10.764</f>
        <v>312.04835999999995</v>
      </c>
      <c r="E229" s="103">
        <f>(8.728+2.6+1.08)*10.764</f>
        <v>133.55971199999999</v>
      </c>
      <c r="F229" s="103">
        <f t="shared" si="23"/>
        <v>445.60807199999994</v>
      </c>
      <c r="G229" s="103">
        <v>0</v>
      </c>
      <c r="H229" s="103">
        <f t="shared" si="24"/>
        <v>668.41210799999988</v>
      </c>
      <c r="I229" s="36"/>
      <c r="N229" s="36"/>
    </row>
    <row r="230" spans="1:14" s="102" customFormat="1" x14ac:dyDescent="0.25">
      <c r="A230" s="115">
        <f>A229+1</f>
        <v>6</v>
      </c>
      <c r="B230" s="115"/>
      <c r="C230" s="103" t="s">
        <v>419</v>
      </c>
      <c r="D230" s="103">
        <f>(37.182)*10.764</f>
        <v>400.22704800000002</v>
      </c>
      <c r="E230" s="103">
        <f>(2.6+1.08)*10.764</f>
        <v>39.611519999999999</v>
      </c>
      <c r="F230" s="103">
        <f t="shared" si="23"/>
        <v>439.83856800000001</v>
      </c>
      <c r="G230" s="103">
        <v>0</v>
      </c>
      <c r="H230" s="103">
        <f t="shared" si="24"/>
        <v>659.75785199999996</v>
      </c>
      <c r="I230" s="36"/>
      <c r="N230" s="36"/>
    </row>
    <row r="231" spans="1:14" s="37" customFormat="1" x14ac:dyDescent="0.25">
      <c r="A231" s="119" t="s">
        <v>117</v>
      </c>
      <c r="B231" s="119"/>
      <c r="C231" s="119"/>
      <c r="D231" s="119"/>
      <c r="E231" s="119"/>
      <c r="F231" s="119"/>
      <c r="G231" s="119"/>
      <c r="H231" s="119"/>
      <c r="I231" s="36">
        <v>1</v>
      </c>
      <c r="L231" s="114"/>
      <c r="M231" s="114"/>
    </row>
    <row r="232" spans="1:14" s="37" customFormat="1" x14ac:dyDescent="0.25">
      <c r="A232" s="115">
        <v>1</v>
      </c>
      <c r="B232" s="115"/>
      <c r="C232" s="103" t="s">
        <v>419</v>
      </c>
      <c r="D232" s="103">
        <f>(37.182)*10.764</f>
        <v>400.22704800000002</v>
      </c>
      <c r="E232" s="103">
        <f>(2.6+1.08)*10.764</f>
        <v>39.611519999999999</v>
      </c>
      <c r="F232" s="42">
        <f>D232+E232</f>
        <v>439.83856800000001</v>
      </c>
      <c r="G232" s="42">
        <v>0</v>
      </c>
      <c r="H232" s="42">
        <f>F232*(($H$171)+1)+(IF(G232&lt;101,G232,IF(G232&lt;201,G232/2,IF(G232&lt;=301,G232/3,G232/4))))</f>
        <v>659.75785199999996</v>
      </c>
      <c r="I232" s="36"/>
      <c r="N232" s="36"/>
    </row>
    <row r="233" spans="1:14" s="37" customFormat="1" x14ac:dyDescent="0.25">
      <c r="A233" s="115">
        <f>A232+1</f>
        <v>2</v>
      </c>
      <c r="B233" s="115"/>
      <c r="C233" s="108" t="s">
        <v>419</v>
      </c>
      <c r="D233" s="108">
        <f>(37.182)*10.764</f>
        <v>400.22704800000002</v>
      </c>
      <c r="E233" s="108">
        <f>(2.6+1.08)*10.764</f>
        <v>39.611519999999999</v>
      </c>
      <c r="F233" s="108">
        <f t="shared" ref="F233" si="25">D233+E233</f>
        <v>439.83856800000001</v>
      </c>
      <c r="G233" s="108">
        <v>0</v>
      </c>
      <c r="H233" s="108">
        <f t="shared" ref="H233" si="26">F233*(($H$171)+1)+(IF(G233&lt;101,G233,IF(G233&lt;201,G233/2,IF(G233&lt;=301,G233/3,G233/4))))</f>
        <v>659.75785199999996</v>
      </c>
      <c r="I233" s="36"/>
      <c r="N233" s="36"/>
    </row>
    <row r="234" spans="1:14" s="37" customFormat="1" x14ac:dyDescent="0.25">
      <c r="A234" s="115">
        <f>A233+1</f>
        <v>3</v>
      </c>
      <c r="B234" s="115"/>
      <c r="C234" s="103" t="s">
        <v>419</v>
      </c>
      <c r="D234" s="103">
        <f>(28.99)*10.764</f>
        <v>312.04835999999995</v>
      </c>
      <c r="E234" s="103">
        <f>(8.555+2.6+1.08)*10.764</f>
        <v>131.69753999999998</v>
      </c>
      <c r="F234" s="42">
        <f>D234+E234</f>
        <v>443.74589999999989</v>
      </c>
      <c r="G234" s="42">
        <v>0</v>
      </c>
      <c r="H234" s="42">
        <f>F234*(($H$171)+1)+(IF(G234&lt;101,G234,IF(G234&lt;201,G234/2,IF(G234&lt;=301,G234/3,G234/4))))</f>
        <v>665.61884999999984</v>
      </c>
      <c r="I234" s="36"/>
      <c r="N234" s="36"/>
    </row>
    <row r="235" spans="1:14" s="37" customFormat="1" x14ac:dyDescent="0.25">
      <c r="A235" s="115">
        <f>A234+1</f>
        <v>4</v>
      </c>
      <c r="B235" s="115"/>
      <c r="C235" s="103" t="s">
        <v>419</v>
      </c>
      <c r="D235" s="103">
        <f>(28.99)*10.764</f>
        <v>312.04835999999995</v>
      </c>
      <c r="E235" s="103">
        <f>(8.555+2.6+1.08)*10.764</f>
        <v>131.69753999999998</v>
      </c>
      <c r="F235" s="42">
        <f>D235+E235</f>
        <v>443.74589999999989</v>
      </c>
      <c r="G235" s="42">
        <v>0</v>
      </c>
      <c r="H235" s="42">
        <f>F235*(($H$171)+1)+(IF(G235&lt;101,G235,IF(G235&lt;201,G235/2,IF(G235&lt;=301,G235/3,G235/4))))</f>
        <v>665.61884999999984</v>
      </c>
      <c r="I235" s="36"/>
      <c r="N235" s="36"/>
    </row>
    <row r="236" spans="1:14" s="37" customFormat="1" x14ac:dyDescent="0.25">
      <c r="A236" s="115">
        <f>A235+1</f>
        <v>5</v>
      </c>
      <c r="B236" s="115"/>
      <c r="C236" s="103" t="s">
        <v>419</v>
      </c>
      <c r="D236" s="103">
        <f>(28.99)*10.764</f>
        <v>312.04835999999995</v>
      </c>
      <c r="E236" s="103">
        <f>(8.728+2.6+1.08)*10.764</f>
        <v>133.55971199999999</v>
      </c>
      <c r="F236" s="42">
        <f>D236+E236</f>
        <v>445.60807199999994</v>
      </c>
      <c r="G236" s="42">
        <v>0</v>
      </c>
      <c r="H236" s="42">
        <f>F236*(($H$171)+1)+(IF(G236&lt;101,G236,IF(G236&lt;201,G236/2,IF(G236&lt;=301,G236/3,G236/4))))</f>
        <v>668.41210799999988</v>
      </c>
      <c r="I236" s="36"/>
      <c r="N236" s="36"/>
    </row>
    <row r="237" spans="1:14" s="102" customFormat="1" x14ac:dyDescent="0.25">
      <c r="A237" s="115">
        <f>A236+1</f>
        <v>6</v>
      </c>
      <c r="B237" s="115"/>
      <c r="C237" s="116" t="s">
        <v>422</v>
      </c>
      <c r="D237" s="117"/>
      <c r="E237" s="117"/>
      <c r="F237" s="117"/>
      <c r="G237" s="117"/>
      <c r="H237" s="118"/>
      <c r="I237" s="36"/>
      <c r="N237" s="36"/>
    </row>
    <row r="238" spans="1:14" s="37" customFormat="1" ht="15.75" hidden="1" customHeight="1" x14ac:dyDescent="0.25">
      <c r="A238" s="109" t="s">
        <v>150</v>
      </c>
      <c r="B238" s="110"/>
      <c r="C238" s="110"/>
      <c r="D238" s="110"/>
      <c r="E238" s="110"/>
      <c r="F238" s="110"/>
      <c r="G238" s="110"/>
      <c r="H238" s="111"/>
      <c r="I238" s="36"/>
    </row>
    <row r="239" spans="1:14" s="37" customFormat="1" ht="15.75" hidden="1" customHeight="1" x14ac:dyDescent="0.25">
      <c r="A239" s="116" t="str">
        <f ca="1">(SUMPRODUCT(MID(0&amp;(LEFT(A238,SUM(LEN(A238)-LEN(SUBSTITUTE(A238,{"0","1","2"},""))))), LARGE(INDEX(ISNUMBER(--MID((LEFT(A238,SUM(LEN(A238)-LEN(SUBSTITUTE(A238,{"0","1","2"},""))))), ROW(INDIRECT("1:"&amp;LEN((LEFT(A238,SUM(LEN(A238)-LEN(SUBSTITUTE(A238,{"0","1","2"},"")))))))), 1)) * ROW(INDIRECT("1:"&amp;LEN((LEFT(A238,SUM(LEN(A238)-LEN(SUBSTITUTE(A238,{"0","1","2"},"")))))))), 0), ROW(INDIRECT("1:"&amp;LEN((LEFT(A238,SUM(LEN(A238)-LEN(SUBSTITUTE(A238,{"0","1","2"},"")))))))))+1, 1) * 10^ROW(INDIRECT("1:"&amp;LEN((LEFT(A238,SUM(LEN(A238)-LEN(SUBSTITUTE(A238,{"0","1","2"},""))))))))/10))*100+1&amp;""&amp;" ,.., "&amp;""&amp;(SUMPRODUCT(MID(0&amp;(--TRIM(RIGHT(SUBSTITUTE(LEFT(A238,_xlfn.AGGREGATE(16,6,FIND({0,1,2,3,4,5,6,7,8,9},A238,ROW(INDIRECT("1:"&amp;LEN(A238)))),1))," ",REPT(" ",LEN(A238))),LEN(A238)))), LARGE(INDEX(ISNUMBER(--MID((--TRIM(RIGHT(SUBSTITUTE(LEFT(A238,_xlfn.AGGREGATE(16,6,FIND({0,1,2,3,4,5,6,7,8,9},A238,ROW(INDIRECT("1:"&amp;LEN(A238)))),1))," ",REPT(" ",LEN(A238))),LEN(A238)))), ROW(INDIRECT("1:"&amp;LEN((--TRIM(RIGHT(SUBSTITUTE(LEFT(A238,_xlfn.AGGREGATE(16,6,FIND({0,1,2,3,4,5,6,7,8,9},A238,ROW(INDIRECT("1:"&amp;LEN(A238)))),1))," ",REPT(" ",LEN(A238))),LEN(A238))))))), 1)) * ROW(INDIRECT("1:"&amp;LEN((--TRIM(RIGHT(SUBSTITUTE(LEFT(A238,_xlfn.AGGREGATE(16,6,FIND({0,1,2,3,4,5,6,7,8,9},A238,ROW(INDIRECT("1:"&amp;LEN(A238)))),1))," ",REPT(" ",LEN(A238))),LEN(A238))))))), 0), ROW(INDIRECT("1:"&amp;LEN((--TRIM(RIGHT(SUBSTITUTE(LEFT(A238,_xlfn.AGGREGATE(16,6,FIND({0,1,2,3,4,5,6,7,8,9},A238,ROW(INDIRECT("1:"&amp;LEN(A238)))),1))," ",REPT(" ",LEN(A238))),LEN(A238))))))))+1, 1) * 10^ROW(INDIRECT("1:"&amp;LEN((--TRIM(RIGHT(SUBSTITUTE(LEFT(A238,_xlfn.AGGREGATE(16,6,FIND({0,1,2,3,4,5,6,7,8,9},A238,ROW(INDIRECT("1:"&amp;LEN(A238)))),1))," ",REPT(" ",LEN(A238))),LEN(A238)))))))/10))*100+1</f>
        <v>301 ,.., 1501</v>
      </c>
      <c r="B239" s="118"/>
      <c r="C239" s="42"/>
      <c r="D239" s="42"/>
      <c r="E239" s="42">
        <v>0</v>
      </c>
      <c r="F239" s="42">
        <f>D239+E239</f>
        <v>0</v>
      </c>
      <c r="G239" s="42">
        <v>0</v>
      </c>
      <c r="H239" s="42">
        <f>F239*(($H$171)+1)+(IF(G239&lt;101,G239,IF(G239&lt;201,G239/2,IF(G239&lt;=301,G239/3,G239/4))))</f>
        <v>0</v>
      </c>
      <c r="I239" s="36"/>
    </row>
    <row r="240" spans="1:14" s="37" customFormat="1" ht="15.75" hidden="1" customHeight="1" x14ac:dyDescent="0.25">
      <c r="A240" s="116" t="str">
        <f ca="1">(SUMPRODUCT(MID(0&amp;(LEFT(A239,SUM(LEN(A239)-LEN(SUBSTITUTE(A239,{"0","1","2"},""))))), LARGE(INDEX(ISNUMBER(--MID((LEFT(A239,SUM(LEN(A239)-LEN(SUBSTITUTE(A239,{"0","1","2"},""))))), ROW(INDIRECT("1:"&amp;LEN((LEFT(A239,SUM(LEN(A239)-LEN(SUBSTITUTE(A239,{"0","1","2"},"")))))))), 1)) * ROW(INDIRECT("1:"&amp;LEN((LEFT(A239,SUM(LEN(A239)-LEN(SUBSTITUTE(A239,{"0","1","2"},"")))))))), 0), ROW(INDIRECT("1:"&amp;LEN((LEFT(A239,SUM(LEN(A239)-LEN(SUBSTITUTE(A239,{"0","1","2"},"")))))))))+1, 1) * 10^ROW(INDIRECT("1:"&amp;LEN((LEFT(A239,SUM(LEN(A239)-LEN(SUBSTITUTE(A239,{"0","1","2"},""))))))))/10))*1+1&amp;""&amp;" ,.., "&amp;""&amp;(SUMPRODUCT(MID(0&amp;(--TRIM(RIGHT(SUBSTITUTE(LEFT(A239,_xlfn.AGGREGATE(16,6,FIND({0,1,2,3,4,5,6,7,8,9},A239,ROW(INDIRECT("1:"&amp;LEN(A239)))),1))," ",REPT(" ",LEN(A239))),LEN(A239)))), LARGE(INDEX(ISNUMBER(--MID((--TRIM(RIGHT(SUBSTITUTE(LEFT(A239,_xlfn.AGGREGATE(16,6,FIND({0,1,2,3,4,5,6,7,8,9},A239,ROW(INDIRECT("1:"&amp;LEN(A239)))),1))," ",REPT(" ",LEN(A239))),LEN(A239)))), ROW(INDIRECT("1:"&amp;LEN((--TRIM(RIGHT(SUBSTITUTE(LEFT(A239,_xlfn.AGGREGATE(16,6,FIND({0,1,2,3,4,5,6,7,8,9},A239,ROW(INDIRECT("1:"&amp;LEN(A239)))),1))," ",REPT(" ",LEN(A239))),LEN(A239))))))), 1)) * ROW(INDIRECT("1:"&amp;LEN((--TRIM(RIGHT(SUBSTITUTE(LEFT(A239,_xlfn.AGGREGATE(16,6,FIND({0,1,2,3,4,5,6,7,8,9},A239,ROW(INDIRECT("1:"&amp;LEN(A239)))),1))," ",REPT(" ",LEN(A239))),LEN(A239))))))), 0), ROW(INDIRECT("1:"&amp;LEN((--TRIM(RIGHT(SUBSTITUTE(LEFT(A239,_xlfn.AGGREGATE(16,6,FIND({0,1,2,3,4,5,6,7,8,9},A239,ROW(INDIRECT("1:"&amp;LEN(A239)))),1))," ",REPT(" ",LEN(A239))),LEN(A239))))))))+1, 1) * 10^ROW(INDIRECT("1:"&amp;LEN((--TRIM(RIGHT(SUBSTITUTE(LEFT(A239,_xlfn.AGGREGATE(16,6,FIND({0,1,2,3,4,5,6,7,8,9},A239,ROW(INDIRECT("1:"&amp;LEN(A239)))),1))," ",REPT(" ",LEN(A239))),LEN(A239)))))))/10))*1+1</f>
        <v>302 ,.., 1502</v>
      </c>
      <c r="B240" s="118"/>
      <c r="C240" s="42"/>
      <c r="D240" s="42"/>
      <c r="E240" s="42">
        <v>0</v>
      </c>
      <c r="F240" s="42">
        <f>D240+E240</f>
        <v>0</v>
      </c>
      <c r="G240" s="42">
        <v>0</v>
      </c>
      <c r="H240" s="42">
        <f>F240*(($H$171)+1)+(IF(G240&lt;101,G240,IF(G240&lt;201,G240/2,IF(G240&lt;=301,G240/3,G240/4))))</f>
        <v>0</v>
      </c>
      <c r="I240" s="36"/>
    </row>
    <row r="241" spans="1:20" s="37" customFormat="1" ht="15.75" hidden="1" customHeight="1" x14ac:dyDescent="0.25">
      <c r="A241" s="116" t="str">
        <f ca="1">(SUMPRODUCT(MID(0&amp;(LEFT(A240,SUM(LEN(A240)-LEN(SUBSTITUTE(A240,{"0","1","2"},""))))), LARGE(INDEX(ISNUMBER(--MID((LEFT(A240,SUM(LEN(A240)-LEN(SUBSTITUTE(A240,{"0","1","2"},""))))), ROW(INDIRECT("1:"&amp;LEN((LEFT(A240,SUM(LEN(A240)-LEN(SUBSTITUTE(A240,{"0","1","2"},"")))))))), 1)) * ROW(INDIRECT("1:"&amp;LEN((LEFT(A240,SUM(LEN(A240)-LEN(SUBSTITUTE(A240,{"0","1","2"},"")))))))), 0), ROW(INDIRECT("1:"&amp;LEN((LEFT(A240,SUM(LEN(A240)-LEN(SUBSTITUTE(A240,{"0","1","2"},"")))))))))+1, 1) * 10^ROW(INDIRECT("1:"&amp;LEN((LEFT(A240,SUM(LEN(A240)-LEN(SUBSTITUTE(A240,{"0","1","2"},""))))))))/10))*1+1&amp;""&amp;" ,.., "&amp;""&amp;(SUMPRODUCT(MID(0&amp;(--TRIM(RIGHT(SUBSTITUTE(LEFT(A240,_xlfn.AGGREGATE(16,6,FIND({0,1,2,3,4,5,6,7,8,9},A240,ROW(INDIRECT("1:"&amp;LEN(A240)))),1))," ",REPT(" ",LEN(A240))),LEN(A240)))), LARGE(INDEX(ISNUMBER(--MID((--TRIM(RIGHT(SUBSTITUTE(LEFT(A240,_xlfn.AGGREGATE(16,6,FIND({0,1,2,3,4,5,6,7,8,9},A240,ROW(INDIRECT("1:"&amp;LEN(A240)))),1))," ",REPT(" ",LEN(A240))),LEN(A240)))), ROW(INDIRECT("1:"&amp;LEN((--TRIM(RIGHT(SUBSTITUTE(LEFT(A240,_xlfn.AGGREGATE(16,6,FIND({0,1,2,3,4,5,6,7,8,9},A240,ROW(INDIRECT("1:"&amp;LEN(A240)))),1))," ",REPT(" ",LEN(A240))),LEN(A240))))))), 1)) * ROW(INDIRECT("1:"&amp;LEN((--TRIM(RIGHT(SUBSTITUTE(LEFT(A240,_xlfn.AGGREGATE(16,6,FIND({0,1,2,3,4,5,6,7,8,9},A240,ROW(INDIRECT("1:"&amp;LEN(A240)))),1))," ",REPT(" ",LEN(A240))),LEN(A240))))))), 0), ROW(INDIRECT("1:"&amp;LEN((--TRIM(RIGHT(SUBSTITUTE(LEFT(A240,_xlfn.AGGREGATE(16,6,FIND({0,1,2,3,4,5,6,7,8,9},A240,ROW(INDIRECT("1:"&amp;LEN(A240)))),1))," ",REPT(" ",LEN(A240))),LEN(A240))))))))+1, 1) * 10^ROW(INDIRECT("1:"&amp;LEN((--TRIM(RIGHT(SUBSTITUTE(LEFT(A240,_xlfn.AGGREGATE(16,6,FIND({0,1,2,3,4,5,6,7,8,9},A240,ROW(INDIRECT("1:"&amp;LEN(A240)))),1))," ",REPT(" ",LEN(A240))),LEN(A240)))))))/10))*1+1</f>
        <v>303 ,.., 1503</v>
      </c>
      <c r="B241" s="118"/>
      <c r="C241" s="42"/>
      <c r="D241" s="42"/>
      <c r="E241" s="42">
        <v>0</v>
      </c>
      <c r="F241" s="42">
        <f>D241+E241</f>
        <v>0</v>
      </c>
      <c r="G241" s="42">
        <v>0</v>
      </c>
      <c r="H241" s="42">
        <f>F241*(($H$171)+1)+(IF(G241&lt;101,G241,IF(G241&lt;201,G241/2,IF(G241&lt;=301,G241/3,G241/4))))</f>
        <v>0</v>
      </c>
      <c r="I241" s="36"/>
    </row>
    <row r="242" spans="1:20" s="37" customFormat="1" ht="15.75" hidden="1" customHeight="1" x14ac:dyDescent="0.25">
      <c r="A242" s="116" t="str">
        <f ca="1">(SUMPRODUCT(MID(0&amp;(LEFT(A241,SUM(LEN(A241)-LEN(SUBSTITUTE(A241,{"0","1","2"},""))))), LARGE(INDEX(ISNUMBER(--MID((LEFT(A241,SUM(LEN(A241)-LEN(SUBSTITUTE(A241,{"0","1","2"},""))))), ROW(INDIRECT("1:"&amp;LEN((LEFT(A241,SUM(LEN(A241)-LEN(SUBSTITUTE(A241,{"0","1","2"},"")))))))), 1)) * ROW(INDIRECT("1:"&amp;LEN((LEFT(A241,SUM(LEN(A241)-LEN(SUBSTITUTE(A241,{"0","1","2"},"")))))))), 0), ROW(INDIRECT("1:"&amp;LEN((LEFT(A241,SUM(LEN(A241)-LEN(SUBSTITUTE(A241,{"0","1","2"},"")))))))))+1, 1) * 10^ROW(INDIRECT("1:"&amp;LEN((LEFT(A241,SUM(LEN(A241)-LEN(SUBSTITUTE(A241,{"0","1","2"},""))))))))/10))*1+1&amp;""&amp;" ,.., "&amp;""&amp;(SUMPRODUCT(MID(0&amp;(--TRIM(RIGHT(SUBSTITUTE(LEFT(A241,_xlfn.AGGREGATE(16,6,FIND({0,1,2,3,4,5,6,7,8,9},A241,ROW(INDIRECT("1:"&amp;LEN(A241)))),1))," ",REPT(" ",LEN(A241))),LEN(A241)))), LARGE(INDEX(ISNUMBER(--MID((--TRIM(RIGHT(SUBSTITUTE(LEFT(A241,_xlfn.AGGREGATE(16,6,FIND({0,1,2,3,4,5,6,7,8,9},A241,ROW(INDIRECT("1:"&amp;LEN(A241)))),1))," ",REPT(" ",LEN(A241))),LEN(A241)))), ROW(INDIRECT("1:"&amp;LEN((--TRIM(RIGHT(SUBSTITUTE(LEFT(A241,_xlfn.AGGREGATE(16,6,FIND({0,1,2,3,4,5,6,7,8,9},A241,ROW(INDIRECT("1:"&amp;LEN(A241)))),1))," ",REPT(" ",LEN(A241))),LEN(A241))))))), 1)) * ROW(INDIRECT("1:"&amp;LEN((--TRIM(RIGHT(SUBSTITUTE(LEFT(A241,_xlfn.AGGREGATE(16,6,FIND({0,1,2,3,4,5,6,7,8,9},A241,ROW(INDIRECT("1:"&amp;LEN(A241)))),1))," ",REPT(" ",LEN(A241))),LEN(A241))))))), 0), ROW(INDIRECT("1:"&amp;LEN((--TRIM(RIGHT(SUBSTITUTE(LEFT(A241,_xlfn.AGGREGATE(16,6,FIND({0,1,2,3,4,5,6,7,8,9},A241,ROW(INDIRECT("1:"&amp;LEN(A241)))),1))," ",REPT(" ",LEN(A241))),LEN(A241))))))))+1, 1) * 10^ROW(INDIRECT("1:"&amp;LEN((--TRIM(RIGHT(SUBSTITUTE(LEFT(A241,_xlfn.AGGREGATE(16,6,FIND({0,1,2,3,4,5,6,7,8,9},A241,ROW(INDIRECT("1:"&amp;LEN(A241)))),1))," ",REPT(" ",LEN(A241))),LEN(A241)))))))/10))*1+1</f>
        <v>304 ,.., 1504</v>
      </c>
      <c r="B242" s="118"/>
      <c r="C242" s="42"/>
      <c r="D242" s="42"/>
      <c r="E242" s="42">
        <v>0</v>
      </c>
      <c r="F242" s="42">
        <f>D242+E242</f>
        <v>0</v>
      </c>
      <c r="G242" s="42">
        <v>0</v>
      </c>
      <c r="H242" s="42">
        <f>F242*(($H$171)+1)+(IF(G242&lt;101,G242,IF(G242&lt;201,G242/2,IF(G242&lt;=301,G242/3,G242/4))))</f>
        <v>0</v>
      </c>
      <c r="I242" s="36"/>
    </row>
    <row r="243" spans="1:20" s="37" customFormat="1" ht="15.75" hidden="1" customHeight="1" x14ac:dyDescent="0.25">
      <c r="A243" s="116" t="str">
        <f ca="1">(SUMPRODUCT(MID(0&amp;(LEFT(A242,SUM(LEN(A242)-LEN(SUBSTITUTE(A242,{"0","1","2"},""))))), LARGE(INDEX(ISNUMBER(--MID((LEFT(A242,SUM(LEN(A242)-LEN(SUBSTITUTE(A242,{"0","1","2"},""))))), ROW(INDIRECT("1:"&amp;LEN((LEFT(A242,SUM(LEN(A242)-LEN(SUBSTITUTE(A242,{"0","1","2"},"")))))))), 1)) * ROW(INDIRECT("1:"&amp;LEN((LEFT(A242,SUM(LEN(A242)-LEN(SUBSTITUTE(A242,{"0","1","2"},"")))))))), 0), ROW(INDIRECT("1:"&amp;LEN((LEFT(A242,SUM(LEN(A242)-LEN(SUBSTITUTE(A242,{"0","1","2"},"")))))))))+1, 1) * 10^ROW(INDIRECT("1:"&amp;LEN((LEFT(A242,SUM(LEN(A242)-LEN(SUBSTITUTE(A242,{"0","1","2"},""))))))))/10))*1+1&amp;""&amp;" ,.., "&amp;""&amp;(SUMPRODUCT(MID(0&amp;(--TRIM(RIGHT(SUBSTITUTE(LEFT(A242,_xlfn.AGGREGATE(16,6,FIND({0,1,2,3,4,5,6,7,8,9},A242,ROW(INDIRECT("1:"&amp;LEN(A242)))),1))," ",REPT(" ",LEN(A242))),LEN(A242)))), LARGE(INDEX(ISNUMBER(--MID((--TRIM(RIGHT(SUBSTITUTE(LEFT(A242,_xlfn.AGGREGATE(16,6,FIND({0,1,2,3,4,5,6,7,8,9},A242,ROW(INDIRECT("1:"&amp;LEN(A242)))),1))," ",REPT(" ",LEN(A242))),LEN(A242)))), ROW(INDIRECT("1:"&amp;LEN((--TRIM(RIGHT(SUBSTITUTE(LEFT(A242,_xlfn.AGGREGATE(16,6,FIND({0,1,2,3,4,5,6,7,8,9},A242,ROW(INDIRECT("1:"&amp;LEN(A242)))),1))," ",REPT(" ",LEN(A242))),LEN(A242))))))), 1)) * ROW(INDIRECT("1:"&amp;LEN((--TRIM(RIGHT(SUBSTITUTE(LEFT(A242,_xlfn.AGGREGATE(16,6,FIND({0,1,2,3,4,5,6,7,8,9},A242,ROW(INDIRECT("1:"&amp;LEN(A242)))),1))," ",REPT(" ",LEN(A242))),LEN(A242))))))), 0), ROW(INDIRECT("1:"&amp;LEN((--TRIM(RIGHT(SUBSTITUTE(LEFT(A242,_xlfn.AGGREGATE(16,6,FIND({0,1,2,3,4,5,6,7,8,9},A242,ROW(INDIRECT("1:"&amp;LEN(A242)))),1))," ",REPT(" ",LEN(A242))),LEN(A242))))))))+1, 1) * 10^ROW(INDIRECT("1:"&amp;LEN((--TRIM(RIGHT(SUBSTITUTE(LEFT(A242,_xlfn.AGGREGATE(16,6,FIND({0,1,2,3,4,5,6,7,8,9},A242,ROW(INDIRECT("1:"&amp;LEN(A242)))),1))," ",REPT(" ",LEN(A242))),LEN(A242)))))))/10))*1+1</f>
        <v>305 ,.., 1505</v>
      </c>
      <c r="B243" s="118"/>
      <c r="C243" s="42"/>
      <c r="D243" s="42"/>
      <c r="E243" s="42">
        <v>0</v>
      </c>
      <c r="F243" s="42">
        <f>D243+E243</f>
        <v>0</v>
      </c>
      <c r="G243" s="42">
        <v>0</v>
      </c>
      <c r="H243" s="42">
        <f>F243*(($H$171)+1)+(IF(G243&lt;101,G243,IF(G243&lt;201,G243/2,IF(G243&lt;=301,G243/3,G243/4))))</f>
        <v>0</v>
      </c>
      <c r="I243" s="36"/>
    </row>
    <row r="244" spans="1:20" s="37" customFormat="1" hidden="1" x14ac:dyDescent="0.25">
      <c r="A244" s="109" t="s">
        <v>144</v>
      </c>
      <c r="B244" s="110"/>
      <c r="C244" s="110"/>
      <c r="D244" s="110"/>
      <c r="E244" s="110"/>
      <c r="F244" s="110"/>
      <c r="G244" s="110"/>
      <c r="H244" s="111"/>
      <c r="I244" s="36"/>
    </row>
    <row r="245" spans="1:20" s="37" customFormat="1" ht="15.75" hidden="1" customHeight="1" x14ac:dyDescent="0.25">
      <c r="A245" s="116" t="str">
        <f ca="1">(SUMPRODUCT(MID(0&amp;(LEFT(A244,SUM(LEN(A244)-LEN(SUBSTITUTE(A244,{"0","1","2"},""))))), LARGE(INDEX(ISNUMBER(--MID((LEFT(A244,SUM(LEN(A244)-LEN(SUBSTITUTE(A244,{"0","1","2"},""))))), ROW(INDIRECT("1:"&amp;LEN((LEFT(A244,SUM(LEN(A244)-LEN(SUBSTITUTE(A244,{"0","1","2"},"")))))))), 1)) * ROW(INDIRECT("1:"&amp;LEN((LEFT(A244,SUM(LEN(A244)-LEN(SUBSTITUTE(A244,{"0","1","2"},"")))))))), 0), ROW(INDIRECT("1:"&amp;LEN((LEFT(A244,SUM(LEN(A244)-LEN(SUBSTITUTE(A244,{"0","1","2"},"")))))))))+1, 1) * 10^ROW(INDIRECT("1:"&amp;LEN((LEFT(A244,SUM(LEN(A244)-LEN(SUBSTITUTE(A244,{"0","1","2"},""))))))))/10))*100+1&amp;""&amp;" to "&amp;""&amp;(SUMPRODUCT(MID(0&amp;(--TRIM(RIGHT(SUBSTITUTE(LEFT(A244,_xlfn.AGGREGATE(16,6,FIND({0,1,2,3,4,5,6,7,8,9},A244,ROW(INDIRECT("1:"&amp;LEN(A244)))),1))," ",REPT(" ",LEN(A244))),LEN(A244)))), LARGE(INDEX(ISNUMBER(--MID((--TRIM(RIGHT(SUBSTITUTE(LEFT(A244,_xlfn.AGGREGATE(16,6,FIND({0,1,2,3,4,5,6,7,8,9},A244,ROW(INDIRECT("1:"&amp;LEN(A244)))),1))," ",REPT(" ",LEN(A244))),LEN(A244)))), ROW(INDIRECT("1:"&amp;LEN((--TRIM(RIGHT(SUBSTITUTE(LEFT(A244,_xlfn.AGGREGATE(16,6,FIND({0,1,2,3,4,5,6,7,8,9},A244,ROW(INDIRECT("1:"&amp;LEN(A244)))),1))," ",REPT(" ",LEN(A244))),LEN(A244))))))), 1)) * ROW(INDIRECT("1:"&amp;LEN((--TRIM(RIGHT(SUBSTITUTE(LEFT(A244,_xlfn.AGGREGATE(16,6,FIND({0,1,2,3,4,5,6,7,8,9},A244,ROW(INDIRECT("1:"&amp;LEN(A244)))),1))," ",REPT(" ",LEN(A244))),LEN(A244))))))), 0), ROW(INDIRECT("1:"&amp;LEN((--TRIM(RIGHT(SUBSTITUTE(LEFT(A244,_xlfn.AGGREGATE(16,6,FIND({0,1,2,3,4,5,6,7,8,9},A244,ROW(INDIRECT("1:"&amp;LEN(A244)))),1))," ",REPT(" ",LEN(A244))),LEN(A244))))))))+1, 1) * 10^ROW(INDIRECT("1:"&amp;LEN((--TRIM(RIGHT(SUBSTITUTE(LEFT(A244,_xlfn.AGGREGATE(16,6,FIND({0,1,2,3,4,5,6,7,8,9},A244,ROW(INDIRECT("1:"&amp;LEN(A244)))),1))," ",REPT(" ",LEN(A244))),LEN(A244)))))))/10))*100+1</f>
        <v>201 to 501</v>
      </c>
      <c r="B245" s="118"/>
      <c r="C245" s="42"/>
      <c r="D245" s="42"/>
      <c r="E245" s="42">
        <v>0</v>
      </c>
      <c r="F245" s="42">
        <f>D245+E245</f>
        <v>0</v>
      </c>
      <c r="G245" s="42">
        <v>0</v>
      </c>
      <c r="H245" s="42">
        <f>F245*(($H$171)+1)+(IF(G245&lt;101,G245,IF(G245&lt;201,G245/2,IF(G245&lt;=301,G245/3,G245/4))))</f>
        <v>0</v>
      </c>
      <c r="I245" s="36"/>
    </row>
    <row r="246" spans="1:20" s="37" customFormat="1" ht="15.75" hidden="1" customHeight="1" x14ac:dyDescent="0.25">
      <c r="A246" s="116" t="str">
        <f ca="1">(SUMPRODUCT(MID(0&amp;(LEFT(A245,SUM(LEN(A245)-LEN(SUBSTITUTE(A245,{"0","1","2"},""))))), LARGE(INDEX(ISNUMBER(--MID((LEFT(A245,SUM(LEN(A245)-LEN(SUBSTITUTE(A245,{"0","1","2"},""))))), ROW(INDIRECT("1:"&amp;LEN((LEFT(A245,SUM(LEN(A245)-LEN(SUBSTITUTE(A245,{"0","1","2"},"")))))))), 1)) * ROW(INDIRECT("1:"&amp;LEN((LEFT(A245,SUM(LEN(A245)-LEN(SUBSTITUTE(A245,{"0","1","2"},"")))))))), 0), ROW(INDIRECT("1:"&amp;LEN((LEFT(A245,SUM(LEN(A245)-LEN(SUBSTITUTE(A245,{"0","1","2"},"")))))))))+1, 1) * 10^ROW(INDIRECT("1:"&amp;LEN((LEFT(A245,SUM(LEN(A245)-LEN(SUBSTITUTE(A245,{"0","1","2"},""))))))))/10))*1+1&amp;""&amp;" to "&amp;""&amp;(SUMPRODUCT(MID(0&amp;(--TRIM(RIGHT(SUBSTITUTE(LEFT(A245,_xlfn.AGGREGATE(16,6,FIND({0,1,2,3,4,5,6,7,8,9},A245,ROW(INDIRECT("1:"&amp;LEN(A245)))),1))," ",REPT(" ",LEN(A245))),LEN(A245)))), LARGE(INDEX(ISNUMBER(--MID((--TRIM(RIGHT(SUBSTITUTE(LEFT(A245,_xlfn.AGGREGATE(16,6,FIND({0,1,2,3,4,5,6,7,8,9},A245,ROW(INDIRECT("1:"&amp;LEN(A245)))),1))," ",REPT(" ",LEN(A245))),LEN(A245)))), ROW(INDIRECT("1:"&amp;LEN((--TRIM(RIGHT(SUBSTITUTE(LEFT(A245,_xlfn.AGGREGATE(16,6,FIND({0,1,2,3,4,5,6,7,8,9},A245,ROW(INDIRECT("1:"&amp;LEN(A245)))),1))," ",REPT(" ",LEN(A245))),LEN(A245))))))), 1)) * ROW(INDIRECT("1:"&amp;LEN((--TRIM(RIGHT(SUBSTITUTE(LEFT(A245,_xlfn.AGGREGATE(16,6,FIND({0,1,2,3,4,5,6,7,8,9},A245,ROW(INDIRECT("1:"&amp;LEN(A245)))),1))," ",REPT(" ",LEN(A245))),LEN(A245))))))), 0), ROW(INDIRECT("1:"&amp;LEN((--TRIM(RIGHT(SUBSTITUTE(LEFT(A245,_xlfn.AGGREGATE(16,6,FIND({0,1,2,3,4,5,6,7,8,9},A245,ROW(INDIRECT("1:"&amp;LEN(A245)))),1))," ",REPT(" ",LEN(A245))),LEN(A245))))))))+1, 1) * 10^ROW(INDIRECT("1:"&amp;LEN((--TRIM(RIGHT(SUBSTITUTE(LEFT(A245,_xlfn.AGGREGATE(16,6,FIND({0,1,2,3,4,5,6,7,8,9},A245,ROW(INDIRECT("1:"&amp;LEN(A245)))),1))," ",REPT(" ",LEN(A245))),LEN(A245)))))))/10))*1+1</f>
        <v>202 to 502</v>
      </c>
      <c r="B246" s="118"/>
      <c r="C246" s="42"/>
      <c r="D246" s="42"/>
      <c r="E246" s="42">
        <v>0</v>
      </c>
      <c r="F246" s="42">
        <f>D246+E246</f>
        <v>0</v>
      </c>
      <c r="G246" s="42">
        <v>0</v>
      </c>
      <c r="H246" s="42">
        <f>F246*(($H$171)+1)+(IF(G246&lt;101,G246,IF(G246&lt;201,G246/2,IF(G246&lt;=301,G246/3,G246/4))))</f>
        <v>0</v>
      </c>
      <c r="I246" s="36"/>
    </row>
    <row r="247" spans="1:20" s="37" customFormat="1" ht="15.75" hidden="1" customHeight="1" x14ac:dyDescent="0.25">
      <c r="A247" s="116" t="str">
        <f ca="1">(SUMPRODUCT(MID(0&amp;(LEFT(A246,SUM(LEN(A246)-LEN(SUBSTITUTE(A246,{"0","1","2"},""))))), LARGE(INDEX(ISNUMBER(--MID((LEFT(A246,SUM(LEN(A246)-LEN(SUBSTITUTE(A246,{"0","1","2"},""))))), ROW(INDIRECT("1:"&amp;LEN((LEFT(A246,SUM(LEN(A246)-LEN(SUBSTITUTE(A246,{"0","1","2"},"")))))))), 1)) * ROW(INDIRECT("1:"&amp;LEN((LEFT(A246,SUM(LEN(A246)-LEN(SUBSTITUTE(A246,{"0","1","2"},"")))))))), 0), ROW(INDIRECT("1:"&amp;LEN((LEFT(A246,SUM(LEN(A246)-LEN(SUBSTITUTE(A246,{"0","1","2"},"")))))))))+1, 1) * 10^ROW(INDIRECT("1:"&amp;LEN((LEFT(A246,SUM(LEN(A246)-LEN(SUBSTITUTE(A246,{"0","1","2"},""))))))))/10))*1+1&amp;""&amp;" to "&amp;""&amp;(SUMPRODUCT(MID(0&amp;(--TRIM(RIGHT(SUBSTITUTE(LEFT(A246,_xlfn.AGGREGATE(16,6,FIND({0,1,2,3,4,5,6,7,8,9},A246,ROW(INDIRECT("1:"&amp;LEN(A246)))),1))," ",REPT(" ",LEN(A246))),LEN(A246)))), LARGE(INDEX(ISNUMBER(--MID((--TRIM(RIGHT(SUBSTITUTE(LEFT(A246,_xlfn.AGGREGATE(16,6,FIND({0,1,2,3,4,5,6,7,8,9},A246,ROW(INDIRECT("1:"&amp;LEN(A246)))),1))," ",REPT(" ",LEN(A246))),LEN(A246)))), ROW(INDIRECT("1:"&amp;LEN((--TRIM(RIGHT(SUBSTITUTE(LEFT(A246,_xlfn.AGGREGATE(16,6,FIND({0,1,2,3,4,5,6,7,8,9},A246,ROW(INDIRECT("1:"&amp;LEN(A246)))),1))," ",REPT(" ",LEN(A246))),LEN(A246))))))), 1)) * ROW(INDIRECT("1:"&amp;LEN((--TRIM(RIGHT(SUBSTITUTE(LEFT(A246,_xlfn.AGGREGATE(16,6,FIND({0,1,2,3,4,5,6,7,8,9},A246,ROW(INDIRECT("1:"&amp;LEN(A246)))),1))," ",REPT(" ",LEN(A246))),LEN(A246))))))), 0), ROW(INDIRECT("1:"&amp;LEN((--TRIM(RIGHT(SUBSTITUTE(LEFT(A246,_xlfn.AGGREGATE(16,6,FIND({0,1,2,3,4,5,6,7,8,9},A246,ROW(INDIRECT("1:"&amp;LEN(A246)))),1))," ",REPT(" ",LEN(A246))),LEN(A246))))))))+1, 1) * 10^ROW(INDIRECT("1:"&amp;LEN((--TRIM(RIGHT(SUBSTITUTE(LEFT(A246,_xlfn.AGGREGATE(16,6,FIND({0,1,2,3,4,5,6,7,8,9},A246,ROW(INDIRECT("1:"&amp;LEN(A246)))),1))," ",REPT(" ",LEN(A246))),LEN(A246)))))))/10))*1+1</f>
        <v>203 to 503</v>
      </c>
      <c r="B247" s="118"/>
      <c r="C247" s="42"/>
      <c r="D247" s="42"/>
      <c r="E247" s="42">
        <v>0</v>
      </c>
      <c r="F247" s="42">
        <f>D247+E247</f>
        <v>0</v>
      </c>
      <c r="G247" s="42">
        <v>0</v>
      </c>
      <c r="H247" s="42">
        <f>F247*(($H$171)+1)+(IF(G247&lt;101,G247,IF(G247&lt;201,G247/2,IF(G247&lt;=301,G247/3,G247/4))))</f>
        <v>0</v>
      </c>
      <c r="I247" s="36"/>
    </row>
    <row r="248" spans="1:20" s="37" customFormat="1" ht="15.75" hidden="1" customHeight="1" x14ac:dyDescent="0.25">
      <c r="A248" s="116" t="str">
        <f ca="1">(SUMPRODUCT(MID(0&amp;(LEFT(A247,SUM(LEN(A247)-LEN(SUBSTITUTE(A247,{"0","1","2"},""))))), LARGE(INDEX(ISNUMBER(--MID((LEFT(A247,SUM(LEN(A247)-LEN(SUBSTITUTE(A247,{"0","1","2"},""))))), ROW(INDIRECT("1:"&amp;LEN((LEFT(A247,SUM(LEN(A247)-LEN(SUBSTITUTE(A247,{"0","1","2"},"")))))))), 1)) * ROW(INDIRECT("1:"&amp;LEN((LEFT(A247,SUM(LEN(A247)-LEN(SUBSTITUTE(A247,{"0","1","2"},"")))))))), 0), ROW(INDIRECT("1:"&amp;LEN((LEFT(A247,SUM(LEN(A247)-LEN(SUBSTITUTE(A247,{"0","1","2"},"")))))))))+1, 1) * 10^ROW(INDIRECT("1:"&amp;LEN((LEFT(A247,SUM(LEN(A247)-LEN(SUBSTITUTE(A247,{"0","1","2"},""))))))))/10))*1+1&amp;""&amp;" to "&amp;""&amp;(SUMPRODUCT(MID(0&amp;(--TRIM(RIGHT(SUBSTITUTE(LEFT(A247,_xlfn.AGGREGATE(16,6,FIND({0,1,2,3,4,5,6,7,8,9},A247,ROW(INDIRECT("1:"&amp;LEN(A247)))),1))," ",REPT(" ",LEN(A247))),LEN(A247)))), LARGE(INDEX(ISNUMBER(--MID((--TRIM(RIGHT(SUBSTITUTE(LEFT(A247,_xlfn.AGGREGATE(16,6,FIND({0,1,2,3,4,5,6,7,8,9},A247,ROW(INDIRECT("1:"&amp;LEN(A247)))),1))," ",REPT(" ",LEN(A247))),LEN(A247)))), ROW(INDIRECT("1:"&amp;LEN((--TRIM(RIGHT(SUBSTITUTE(LEFT(A247,_xlfn.AGGREGATE(16,6,FIND({0,1,2,3,4,5,6,7,8,9},A247,ROW(INDIRECT("1:"&amp;LEN(A247)))),1))," ",REPT(" ",LEN(A247))),LEN(A247))))))), 1)) * ROW(INDIRECT("1:"&amp;LEN((--TRIM(RIGHT(SUBSTITUTE(LEFT(A247,_xlfn.AGGREGATE(16,6,FIND({0,1,2,3,4,5,6,7,8,9},A247,ROW(INDIRECT("1:"&amp;LEN(A247)))),1))," ",REPT(" ",LEN(A247))),LEN(A247))))))), 0), ROW(INDIRECT("1:"&amp;LEN((--TRIM(RIGHT(SUBSTITUTE(LEFT(A247,_xlfn.AGGREGATE(16,6,FIND({0,1,2,3,4,5,6,7,8,9},A247,ROW(INDIRECT("1:"&amp;LEN(A247)))),1))," ",REPT(" ",LEN(A247))),LEN(A247))))))))+1, 1) * 10^ROW(INDIRECT("1:"&amp;LEN((--TRIM(RIGHT(SUBSTITUTE(LEFT(A247,_xlfn.AGGREGATE(16,6,FIND({0,1,2,3,4,5,6,7,8,9},A247,ROW(INDIRECT("1:"&amp;LEN(A247)))),1))," ",REPT(" ",LEN(A247))),LEN(A247)))))))/10))*1+1</f>
        <v>204 to 504</v>
      </c>
      <c r="B248" s="118"/>
      <c r="C248" s="42"/>
      <c r="D248" s="42"/>
      <c r="E248" s="42">
        <v>0</v>
      </c>
      <c r="F248" s="42">
        <f>D248+E248</f>
        <v>0</v>
      </c>
      <c r="G248" s="42">
        <v>0</v>
      </c>
      <c r="H248" s="42">
        <f>F248*(($H$171)+1)+(IF(G248&lt;101,G248,IF(G248&lt;201,G248/2,IF(G248&lt;=301,G248/3,G248/4))))</f>
        <v>0</v>
      </c>
      <c r="I248" s="36"/>
    </row>
    <row r="249" spans="1:20" s="37" customFormat="1" ht="15.75" hidden="1" customHeight="1" x14ac:dyDescent="0.25">
      <c r="A249" s="116" t="str">
        <f ca="1">(SUMPRODUCT(MID(0&amp;(LEFT(A248,SUM(LEN(A248)-LEN(SUBSTITUTE(A248,{"0","1","2"},""))))), LARGE(INDEX(ISNUMBER(--MID((LEFT(A248,SUM(LEN(A248)-LEN(SUBSTITUTE(A248,{"0","1","2"},""))))), ROW(INDIRECT("1:"&amp;LEN((LEFT(A248,SUM(LEN(A248)-LEN(SUBSTITUTE(A248,{"0","1","2"},"")))))))), 1)) * ROW(INDIRECT("1:"&amp;LEN((LEFT(A248,SUM(LEN(A248)-LEN(SUBSTITUTE(A248,{"0","1","2"},"")))))))), 0), ROW(INDIRECT("1:"&amp;LEN((LEFT(A248,SUM(LEN(A248)-LEN(SUBSTITUTE(A248,{"0","1","2"},"")))))))))+1, 1) * 10^ROW(INDIRECT("1:"&amp;LEN((LEFT(A248,SUM(LEN(A248)-LEN(SUBSTITUTE(A248,{"0","1","2"},""))))))))/10))*1+1&amp;""&amp;" to "&amp;""&amp;(SUMPRODUCT(MID(0&amp;(--TRIM(RIGHT(SUBSTITUTE(LEFT(A248,_xlfn.AGGREGATE(16,6,FIND({0,1,2,3,4,5,6,7,8,9},A248,ROW(INDIRECT("1:"&amp;LEN(A248)))),1))," ",REPT(" ",LEN(A248))),LEN(A248)))), LARGE(INDEX(ISNUMBER(--MID((--TRIM(RIGHT(SUBSTITUTE(LEFT(A248,_xlfn.AGGREGATE(16,6,FIND({0,1,2,3,4,5,6,7,8,9},A248,ROW(INDIRECT("1:"&amp;LEN(A248)))),1))," ",REPT(" ",LEN(A248))),LEN(A248)))), ROW(INDIRECT("1:"&amp;LEN((--TRIM(RIGHT(SUBSTITUTE(LEFT(A248,_xlfn.AGGREGATE(16,6,FIND({0,1,2,3,4,5,6,7,8,9},A248,ROW(INDIRECT("1:"&amp;LEN(A248)))),1))," ",REPT(" ",LEN(A248))),LEN(A248))))))), 1)) * ROW(INDIRECT("1:"&amp;LEN((--TRIM(RIGHT(SUBSTITUTE(LEFT(A248,_xlfn.AGGREGATE(16,6,FIND({0,1,2,3,4,5,6,7,8,9},A248,ROW(INDIRECT("1:"&amp;LEN(A248)))),1))," ",REPT(" ",LEN(A248))),LEN(A248))))))), 0), ROW(INDIRECT("1:"&amp;LEN((--TRIM(RIGHT(SUBSTITUTE(LEFT(A248,_xlfn.AGGREGATE(16,6,FIND({0,1,2,3,4,5,6,7,8,9},A248,ROW(INDIRECT("1:"&amp;LEN(A248)))),1))," ",REPT(" ",LEN(A248))),LEN(A248))))))))+1, 1) * 10^ROW(INDIRECT("1:"&amp;LEN((--TRIM(RIGHT(SUBSTITUTE(LEFT(A248,_xlfn.AGGREGATE(16,6,FIND({0,1,2,3,4,5,6,7,8,9},A248,ROW(INDIRECT("1:"&amp;LEN(A248)))),1))," ",REPT(" ",LEN(A248))),LEN(A248)))))))/10))*1+1</f>
        <v>205 to 505</v>
      </c>
      <c r="B249" s="118"/>
      <c r="C249" s="42"/>
      <c r="D249" s="42"/>
      <c r="E249" s="42">
        <v>0</v>
      </c>
      <c r="F249" s="42">
        <f>D249+E249</f>
        <v>0</v>
      </c>
      <c r="G249" s="42">
        <v>0</v>
      </c>
      <c r="H249" s="42">
        <f>F249*(($H$171)+1)+(IF(G249&lt;101,G249,IF(G249&lt;201,G249/2,IF(G249&lt;=301,G249/3,G249/4))))</f>
        <v>0</v>
      </c>
      <c r="I249" s="36"/>
    </row>
    <row r="250" spans="1:20" s="37" customFormat="1" hidden="1" x14ac:dyDescent="0.25">
      <c r="A250" s="109" t="s">
        <v>145</v>
      </c>
      <c r="B250" s="110"/>
      <c r="C250" s="110"/>
      <c r="D250" s="110"/>
      <c r="E250" s="110"/>
      <c r="F250" s="110"/>
      <c r="G250" s="110"/>
      <c r="H250" s="111"/>
      <c r="I250" s="36"/>
    </row>
    <row r="251" spans="1:20" s="37" customFormat="1" ht="15.75" hidden="1" customHeight="1" x14ac:dyDescent="0.25">
      <c r="A251" s="116" t="str">
        <f ca="1">(SUMPRODUCT(MID(0&amp;(LEFT(A250,SUM(LEN(A250)-LEN(SUBSTITUTE(A250,{"0","1","2"},""))))), LARGE(INDEX(ISNUMBER(--MID((LEFT(A250,SUM(LEN(A250)-LEN(SUBSTITUTE(A250,{"0","1","2"},""))))), ROW(INDIRECT("1:"&amp;LEN((LEFT(A250,SUM(LEN(A250)-LEN(SUBSTITUTE(A250,{"0","1","2"},"")))))))), 1)) * ROW(INDIRECT("1:"&amp;LEN((LEFT(A250,SUM(LEN(A250)-LEN(SUBSTITUTE(A250,{"0","1","2"},"")))))))), 0), ROW(INDIRECT("1:"&amp;LEN((LEFT(A250,SUM(LEN(A250)-LEN(SUBSTITUTE(A250,{"0","1","2"},"")))))))))+1, 1) * 10^ROW(INDIRECT("1:"&amp;LEN((LEFT(A250,SUM(LEN(A250)-LEN(SUBSTITUTE(A250,{"0","1","2"},""))))))))/10))*100+1&amp;""&amp;" &amp; "&amp;""&amp;(SUMPRODUCT(MID(0&amp;(--TRIM(RIGHT(SUBSTITUTE(LEFT(A250,_xlfn.AGGREGATE(16,6,FIND({0,1,2,3,4,5,6,7,8,9},A250,ROW(INDIRECT("1:"&amp;LEN(A250)))),1))," ",REPT(" ",LEN(A250))),LEN(A250)))), LARGE(INDEX(ISNUMBER(--MID((--TRIM(RIGHT(SUBSTITUTE(LEFT(A250,_xlfn.AGGREGATE(16,6,FIND({0,1,2,3,4,5,6,7,8,9},A250,ROW(INDIRECT("1:"&amp;LEN(A250)))),1))," ",REPT(" ",LEN(A250))),LEN(A250)))), ROW(INDIRECT("1:"&amp;LEN((--TRIM(RIGHT(SUBSTITUTE(LEFT(A250,_xlfn.AGGREGATE(16,6,FIND({0,1,2,3,4,5,6,7,8,9},A250,ROW(INDIRECT("1:"&amp;LEN(A250)))),1))," ",REPT(" ",LEN(A250))),LEN(A250))))))), 1)) * ROW(INDIRECT("1:"&amp;LEN((--TRIM(RIGHT(SUBSTITUTE(LEFT(A250,_xlfn.AGGREGATE(16,6,FIND({0,1,2,3,4,5,6,7,8,9},A250,ROW(INDIRECT("1:"&amp;LEN(A250)))),1))," ",REPT(" ",LEN(A250))),LEN(A250))))))), 0), ROW(INDIRECT("1:"&amp;LEN((--TRIM(RIGHT(SUBSTITUTE(LEFT(A250,_xlfn.AGGREGATE(16,6,FIND({0,1,2,3,4,5,6,7,8,9},A250,ROW(INDIRECT("1:"&amp;LEN(A250)))),1))," ",REPT(" ",LEN(A250))),LEN(A250))))))))+1, 1) * 10^ROW(INDIRECT("1:"&amp;LEN((--TRIM(RIGHT(SUBSTITUTE(LEFT(A250,_xlfn.AGGREGATE(16,6,FIND({0,1,2,3,4,5,6,7,8,9},A250,ROW(INDIRECT("1:"&amp;LEN(A250)))),1))," ",REPT(" ",LEN(A250))),LEN(A250)))))))/10))*100+1</f>
        <v>201 &amp; 501</v>
      </c>
      <c r="B251" s="118"/>
      <c r="C251" s="42"/>
      <c r="D251" s="42"/>
      <c r="E251" s="42">
        <v>0</v>
      </c>
      <c r="F251" s="42">
        <f>D251+E251</f>
        <v>0</v>
      </c>
      <c r="G251" s="42">
        <v>0</v>
      </c>
      <c r="H251" s="42">
        <f>F251*(($H$171)+1)+(IF(G251&lt;101,G251,IF(G251&lt;201,G251/2,IF(G251&lt;=301,G251/3,G251/4))))</f>
        <v>0</v>
      </c>
      <c r="I251" s="36"/>
    </row>
    <row r="252" spans="1:20" s="37" customFormat="1" ht="15.75" hidden="1" customHeight="1" x14ac:dyDescent="0.25">
      <c r="A252" s="116" t="str">
        <f ca="1">(SUMPRODUCT(MID(0&amp;(LEFT(A251,SUM(LEN(A251)-LEN(SUBSTITUTE(A251,{"0","1","2"},""))))), LARGE(INDEX(ISNUMBER(--MID((LEFT(A251,SUM(LEN(A251)-LEN(SUBSTITUTE(A251,{"0","1","2"},""))))), ROW(INDIRECT("1:"&amp;LEN((LEFT(A251,SUM(LEN(A251)-LEN(SUBSTITUTE(A251,{"0","1","2"},"")))))))), 1)) * ROW(INDIRECT("1:"&amp;LEN((LEFT(A251,SUM(LEN(A251)-LEN(SUBSTITUTE(A251,{"0","1","2"},"")))))))), 0), ROW(INDIRECT("1:"&amp;LEN((LEFT(A251,SUM(LEN(A251)-LEN(SUBSTITUTE(A251,{"0","1","2"},"")))))))))+1, 1) * 10^ROW(INDIRECT("1:"&amp;LEN((LEFT(A251,SUM(LEN(A251)-LEN(SUBSTITUTE(A251,{"0","1","2"},""))))))))/10))*1+1&amp;""&amp;" &amp; "&amp;""&amp;(SUMPRODUCT(MID(0&amp;(--TRIM(RIGHT(SUBSTITUTE(LEFT(A251,_xlfn.AGGREGATE(16,6,FIND({0,1,2,3,4,5,6,7,8,9},A251,ROW(INDIRECT("1:"&amp;LEN(A251)))),1))," ",REPT(" ",LEN(A251))),LEN(A251)))), LARGE(INDEX(ISNUMBER(--MID((--TRIM(RIGHT(SUBSTITUTE(LEFT(A251,_xlfn.AGGREGATE(16,6,FIND({0,1,2,3,4,5,6,7,8,9},A251,ROW(INDIRECT("1:"&amp;LEN(A251)))),1))," ",REPT(" ",LEN(A251))),LEN(A251)))), ROW(INDIRECT("1:"&amp;LEN((--TRIM(RIGHT(SUBSTITUTE(LEFT(A251,_xlfn.AGGREGATE(16,6,FIND({0,1,2,3,4,5,6,7,8,9},A251,ROW(INDIRECT("1:"&amp;LEN(A251)))),1))," ",REPT(" ",LEN(A251))),LEN(A251))))))), 1)) * ROW(INDIRECT("1:"&amp;LEN((--TRIM(RIGHT(SUBSTITUTE(LEFT(A251,_xlfn.AGGREGATE(16,6,FIND({0,1,2,3,4,5,6,7,8,9},A251,ROW(INDIRECT("1:"&amp;LEN(A251)))),1))," ",REPT(" ",LEN(A251))),LEN(A251))))))), 0), ROW(INDIRECT("1:"&amp;LEN((--TRIM(RIGHT(SUBSTITUTE(LEFT(A251,_xlfn.AGGREGATE(16,6,FIND({0,1,2,3,4,5,6,7,8,9},A251,ROW(INDIRECT("1:"&amp;LEN(A251)))),1))," ",REPT(" ",LEN(A251))),LEN(A251))))))))+1, 1) * 10^ROW(INDIRECT("1:"&amp;LEN((--TRIM(RIGHT(SUBSTITUTE(LEFT(A251,_xlfn.AGGREGATE(16,6,FIND({0,1,2,3,4,5,6,7,8,9},A251,ROW(INDIRECT("1:"&amp;LEN(A251)))),1))," ",REPT(" ",LEN(A251))),LEN(A251)))))))/10))*1+1</f>
        <v>202 &amp; 502</v>
      </c>
      <c r="B252" s="118"/>
      <c r="C252" s="42"/>
      <c r="D252" s="42"/>
      <c r="E252" s="42">
        <v>0</v>
      </c>
      <c r="F252" s="42">
        <f>D252+E252</f>
        <v>0</v>
      </c>
      <c r="G252" s="42">
        <v>0</v>
      </c>
      <c r="H252" s="42">
        <f>F252*(($H$171)+1)+(IF(G252&lt;101,G252,IF(G252&lt;201,G252/2,IF(G252&lt;=301,G252/3,G252/4))))</f>
        <v>0</v>
      </c>
      <c r="I252" s="36"/>
    </row>
    <row r="253" spans="1:20" s="37" customFormat="1" ht="15.75" hidden="1" customHeight="1" x14ac:dyDescent="0.25">
      <c r="A253" s="116" t="str">
        <f ca="1">(SUMPRODUCT(MID(0&amp;(LEFT(A252,SUM(LEN(A252)-LEN(SUBSTITUTE(A252,{"0","1","2"},""))))), LARGE(INDEX(ISNUMBER(--MID((LEFT(A252,SUM(LEN(A252)-LEN(SUBSTITUTE(A252,{"0","1","2"},""))))), ROW(INDIRECT("1:"&amp;LEN((LEFT(A252,SUM(LEN(A252)-LEN(SUBSTITUTE(A252,{"0","1","2"},"")))))))), 1)) * ROW(INDIRECT("1:"&amp;LEN((LEFT(A252,SUM(LEN(A252)-LEN(SUBSTITUTE(A252,{"0","1","2"},"")))))))), 0), ROW(INDIRECT("1:"&amp;LEN((LEFT(A252,SUM(LEN(A252)-LEN(SUBSTITUTE(A252,{"0","1","2"},"")))))))))+1, 1) * 10^ROW(INDIRECT("1:"&amp;LEN((LEFT(A252,SUM(LEN(A252)-LEN(SUBSTITUTE(A252,{"0","1","2"},""))))))))/10))*1+1&amp;""&amp;" &amp; "&amp;""&amp;(SUMPRODUCT(MID(0&amp;(--TRIM(RIGHT(SUBSTITUTE(LEFT(A252,_xlfn.AGGREGATE(16,6,FIND({0,1,2,3,4,5,6,7,8,9},A252,ROW(INDIRECT("1:"&amp;LEN(A252)))),1))," ",REPT(" ",LEN(A252))),LEN(A252)))), LARGE(INDEX(ISNUMBER(--MID((--TRIM(RIGHT(SUBSTITUTE(LEFT(A252,_xlfn.AGGREGATE(16,6,FIND({0,1,2,3,4,5,6,7,8,9},A252,ROW(INDIRECT("1:"&amp;LEN(A252)))),1))," ",REPT(" ",LEN(A252))),LEN(A252)))), ROW(INDIRECT("1:"&amp;LEN((--TRIM(RIGHT(SUBSTITUTE(LEFT(A252,_xlfn.AGGREGATE(16,6,FIND({0,1,2,3,4,5,6,7,8,9},A252,ROW(INDIRECT("1:"&amp;LEN(A252)))),1))," ",REPT(" ",LEN(A252))),LEN(A252))))))), 1)) * ROW(INDIRECT("1:"&amp;LEN((--TRIM(RIGHT(SUBSTITUTE(LEFT(A252,_xlfn.AGGREGATE(16,6,FIND({0,1,2,3,4,5,6,7,8,9},A252,ROW(INDIRECT("1:"&amp;LEN(A252)))),1))," ",REPT(" ",LEN(A252))),LEN(A252))))))), 0), ROW(INDIRECT("1:"&amp;LEN((--TRIM(RIGHT(SUBSTITUTE(LEFT(A252,_xlfn.AGGREGATE(16,6,FIND({0,1,2,3,4,5,6,7,8,9},A252,ROW(INDIRECT("1:"&amp;LEN(A252)))),1))," ",REPT(" ",LEN(A252))),LEN(A252))))))))+1, 1) * 10^ROW(INDIRECT("1:"&amp;LEN((--TRIM(RIGHT(SUBSTITUTE(LEFT(A252,_xlfn.AGGREGATE(16,6,FIND({0,1,2,3,4,5,6,7,8,9},A252,ROW(INDIRECT("1:"&amp;LEN(A252)))),1))," ",REPT(" ",LEN(A252))),LEN(A252)))))))/10))*1+1</f>
        <v>203 &amp; 503</v>
      </c>
      <c r="B253" s="118"/>
      <c r="C253" s="42"/>
      <c r="D253" s="42"/>
      <c r="E253" s="42">
        <v>0</v>
      </c>
      <c r="F253" s="42">
        <f>D253+E253</f>
        <v>0</v>
      </c>
      <c r="G253" s="42">
        <v>0</v>
      </c>
      <c r="H253" s="42">
        <f>F253*(($H$171)+1)+(IF(G253&lt;101,G253,IF(G253&lt;201,G253/2,IF(G253&lt;=301,G253/3,G253/4))))</f>
        <v>0</v>
      </c>
      <c r="I253" s="36"/>
    </row>
    <row r="254" spans="1:20" s="37" customFormat="1" ht="15.75" hidden="1" customHeight="1" x14ac:dyDescent="0.25">
      <c r="A254" s="116" t="str">
        <f ca="1">(SUMPRODUCT(MID(0&amp;(LEFT(A253,SUM(LEN(A253)-LEN(SUBSTITUTE(A253,{"0","1","2"},""))))), LARGE(INDEX(ISNUMBER(--MID((LEFT(A253,SUM(LEN(A253)-LEN(SUBSTITUTE(A253,{"0","1","2"},""))))), ROW(INDIRECT("1:"&amp;LEN((LEFT(A253,SUM(LEN(A253)-LEN(SUBSTITUTE(A253,{"0","1","2"},"")))))))), 1)) * ROW(INDIRECT("1:"&amp;LEN((LEFT(A253,SUM(LEN(A253)-LEN(SUBSTITUTE(A253,{"0","1","2"},"")))))))), 0), ROW(INDIRECT("1:"&amp;LEN((LEFT(A253,SUM(LEN(A253)-LEN(SUBSTITUTE(A253,{"0","1","2"},"")))))))))+1, 1) * 10^ROW(INDIRECT("1:"&amp;LEN((LEFT(A253,SUM(LEN(A253)-LEN(SUBSTITUTE(A253,{"0","1","2"},""))))))))/10))*1+1&amp;""&amp;" &amp; "&amp;""&amp;(SUMPRODUCT(MID(0&amp;(--TRIM(RIGHT(SUBSTITUTE(LEFT(A253,_xlfn.AGGREGATE(16,6,FIND({0,1,2,3,4,5,6,7,8,9},A253,ROW(INDIRECT("1:"&amp;LEN(A253)))),1))," ",REPT(" ",LEN(A253))),LEN(A253)))), LARGE(INDEX(ISNUMBER(--MID((--TRIM(RIGHT(SUBSTITUTE(LEFT(A253,_xlfn.AGGREGATE(16,6,FIND({0,1,2,3,4,5,6,7,8,9},A253,ROW(INDIRECT("1:"&amp;LEN(A253)))),1))," ",REPT(" ",LEN(A253))),LEN(A253)))), ROW(INDIRECT("1:"&amp;LEN((--TRIM(RIGHT(SUBSTITUTE(LEFT(A253,_xlfn.AGGREGATE(16,6,FIND({0,1,2,3,4,5,6,7,8,9},A253,ROW(INDIRECT("1:"&amp;LEN(A253)))),1))," ",REPT(" ",LEN(A253))),LEN(A253))))))), 1)) * ROW(INDIRECT("1:"&amp;LEN((--TRIM(RIGHT(SUBSTITUTE(LEFT(A253,_xlfn.AGGREGATE(16,6,FIND({0,1,2,3,4,5,6,7,8,9},A253,ROW(INDIRECT("1:"&amp;LEN(A253)))),1))," ",REPT(" ",LEN(A253))),LEN(A253))))))), 0), ROW(INDIRECT("1:"&amp;LEN((--TRIM(RIGHT(SUBSTITUTE(LEFT(A253,_xlfn.AGGREGATE(16,6,FIND({0,1,2,3,4,5,6,7,8,9},A253,ROW(INDIRECT("1:"&amp;LEN(A253)))),1))," ",REPT(" ",LEN(A253))),LEN(A253))))))))+1, 1) * 10^ROW(INDIRECT("1:"&amp;LEN((--TRIM(RIGHT(SUBSTITUTE(LEFT(A253,_xlfn.AGGREGATE(16,6,FIND({0,1,2,3,4,5,6,7,8,9},A253,ROW(INDIRECT("1:"&amp;LEN(A253)))),1))," ",REPT(" ",LEN(A253))),LEN(A253)))))))/10))*1+1</f>
        <v>204 &amp; 504</v>
      </c>
      <c r="B254" s="118"/>
      <c r="C254" s="42"/>
      <c r="D254" s="42"/>
      <c r="E254" s="42">
        <v>0</v>
      </c>
      <c r="F254" s="42">
        <f>D254+E254</f>
        <v>0</v>
      </c>
      <c r="G254" s="42">
        <v>0</v>
      </c>
      <c r="H254" s="42">
        <f>F254*(($H$171)+1)+(IF(G254&lt;101,G254,IF(G254&lt;201,G254/2,IF(G254&lt;=301,G254/3,G254/4))))</f>
        <v>0</v>
      </c>
      <c r="I254" s="36"/>
    </row>
    <row r="255" spans="1:20" s="37" customFormat="1" ht="15.75" hidden="1" customHeight="1" x14ac:dyDescent="0.25">
      <c r="A255" s="116" t="str">
        <f ca="1">(SUMPRODUCT(MID(0&amp;(LEFT(A254,SUM(LEN(A254)-LEN(SUBSTITUTE(A254,{"0","1","2"},""))))), LARGE(INDEX(ISNUMBER(--MID((LEFT(A254,SUM(LEN(A254)-LEN(SUBSTITUTE(A254,{"0","1","2"},""))))), ROW(INDIRECT("1:"&amp;LEN((LEFT(A254,SUM(LEN(A254)-LEN(SUBSTITUTE(A254,{"0","1","2"},"")))))))), 1)) * ROW(INDIRECT("1:"&amp;LEN((LEFT(A254,SUM(LEN(A254)-LEN(SUBSTITUTE(A254,{"0","1","2"},"")))))))), 0), ROW(INDIRECT("1:"&amp;LEN((LEFT(A254,SUM(LEN(A254)-LEN(SUBSTITUTE(A254,{"0","1","2"},"")))))))))+1, 1) * 10^ROW(INDIRECT("1:"&amp;LEN((LEFT(A254,SUM(LEN(A254)-LEN(SUBSTITUTE(A254,{"0","1","2"},""))))))))/10))*1+1&amp;""&amp;" &amp; "&amp;""&amp;(SUMPRODUCT(MID(0&amp;(--TRIM(RIGHT(SUBSTITUTE(LEFT(A254,_xlfn.AGGREGATE(16,6,FIND({0,1,2,3,4,5,6,7,8,9},A254,ROW(INDIRECT("1:"&amp;LEN(A254)))),1))," ",REPT(" ",LEN(A254))),LEN(A254)))), LARGE(INDEX(ISNUMBER(--MID((--TRIM(RIGHT(SUBSTITUTE(LEFT(A254,_xlfn.AGGREGATE(16,6,FIND({0,1,2,3,4,5,6,7,8,9},A254,ROW(INDIRECT("1:"&amp;LEN(A254)))),1))," ",REPT(" ",LEN(A254))),LEN(A254)))), ROW(INDIRECT("1:"&amp;LEN((--TRIM(RIGHT(SUBSTITUTE(LEFT(A254,_xlfn.AGGREGATE(16,6,FIND({0,1,2,3,4,5,6,7,8,9},A254,ROW(INDIRECT("1:"&amp;LEN(A254)))),1))," ",REPT(" ",LEN(A254))),LEN(A254))))))), 1)) * ROW(INDIRECT("1:"&amp;LEN((--TRIM(RIGHT(SUBSTITUTE(LEFT(A254,_xlfn.AGGREGATE(16,6,FIND({0,1,2,3,4,5,6,7,8,9},A254,ROW(INDIRECT("1:"&amp;LEN(A254)))),1))," ",REPT(" ",LEN(A254))),LEN(A254))))))), 0), ROW(INDIRECT("1:"&amp;LEN((--TRIM(RIGHT(SUBSTITUTE(LEFT(A254,_xlfn.AGGREGATE(16,6,FIND({0,1,2,3,4,5,6,7,8,9},A254,ROW(INDIRECT("1:"&amp;LEN(A254)))),1))," ",REPT(" ",LEN(A254))),LEN(A254))))))))+1, 1) * 10^ROW(INDIRECT("1:"&amp;LEN((--TRIM(RIGHT(SUBSTITUTE(LEFT(A254,_xlfn.AGGREGATE(16,6,FIND({0,1,2,3,4,5,6,7,8,9},A254,ROW(INDIRECT("1:"&amp;LEN(A254)))),1))," ",REPT(" ",LEN(A254))),LEN(A254)))))))/10))*1+1</f>
        <v>205 &amp; 505</v>
      </c>
      <c r="B255" s="118"/>
      <c r="C255" s="42"/>
      <c r="D255" s="42"/>
      <c r="E255" s="42">
        <v>0</v>
      </c>
      <c r="F255" s="42">
        <f>D255+E255</f>
        <v>0</v>
      </c>
      <c r="G255" s="42">
        <v>0</v>
      </c>
      <c r="H255" s="42">
        <f>F255*(($H$171)+1)+(IF(G255&lt;101,G255,IF(G255&lt;201,G255/2,IF(G255&lt;=301,G255/3,G255/4))))</f>
        <v>0</v>
      </c>
      <c r="I255" s="36"/>
    </row>
    <row r="256" spans="1:20" s="35" customFormat="1" x14ac:dyDescent="0.25">
      <c r="A256" s="260" t="s">
        <v>64</v>
      </c>
      <c r="B256" s="260"/>
      <c r="C256" s="260"/>
      <c r="D256" s="260"/>
      <c r="E256" s="260"/>
      <c r="F256" s="260"/>
      <c r="G256" s="260"/>
      <c r="H256" s="260"/>
      <c r="T256" s="37"/>
    </row>
    <row r="257" spans="1:20" s="35" customFormat="1" x14ac:dyDescent="0.25">
      <c r="A257" s="46" t="s">
        <v>154</v>
      </c>
      <c r="B257" s="153" t="s">
        <v>164</v>
      </c>
      <c r="C257" s="154"/>
      <c r="D257" s="154"/>
      <c r="E257" s="154"/>
      <c r="F257" s="154"/>
      <c r="G257" s="154"/>
      <c r="H257" s="155"/>
      <c r="T257" s="37"/>
    </row>
    <row r="258" spans="1:20" s="35" customFormat="1" x14ac:dyDescent="0.25">
      <c r="A258" s="46" t="s">
        <v>154</v>
      </c>
      <c r="B258" s="256" t="str">
        <f>(IF(H170="Saleable area Loading :","We have considered Saleable area of Flats as per our Calculation.","We considered Saleable area of Flat as per Builder area Sheet."))</f>
        <v>We have considered Saleable area of Flats as per our Calculation.</v>
      </c>
      <c r="C258" s="257"/>
      <c r="D258" s="257"/>
      <c r="E258" s="257"/>
      <c r="F258" s="257"/>
      <c r="G258" s="257"/>
      <c r="H258" s="258"/>
      <c r="T258" s="37"/>
    </row>
    <row r="259" spans="1:20" s="35" customFormat="1" hidden="1" x14ac:dyDescent="0.25">
      <c r="A259" s="46" t="s">
        <v>154</v>
      </c>
      <c r="B259" s="123" t="str">
        <f>(IF(H162="Saleable area Loading :","We have considered Saleable area of Commercial as per our Calculation.","We considered Saleable area of Commercial as per Builder area Sheet."))</f>
        <v>We have considered Saleable area of Commercial as per our Calculation.</v>
      </c>
      <c r="C259" s="124"/>
      <c r="D259" s="124"/>
      <c r="E259" s="124"/>
      <c r="F259" s="124"/>
      <c r="G259" s="124"/>
      <c r="H259" s="125"/>
      <c r="T259" s="37"/>
    </row>
    <row r="260" spans="1:20" s="35" customFormat="1" x14ac:dyDescent="0.25">
      <c r="A260" s="46" t="s">
        <v>154</v>
      </c>
      <c r="B260" s="167" t="s">
        <v>121</v>
      </c>
      <c r="C260" s="168"/>
      <c r="D260" s="168"/>
      <c r="E260" s="168"/>
      <c r="F260" s="168"/>
      <c r="G260" s="168"/>
      <c r="H260" s="169"/>
      <c r="T260" s="37"/>
    </row>
    <row r="261" spans="1:20" s="35" customFormat="1" ht="33.75" customHeight="1" x14ac:dyDescent="0.25">
      <c r="A261" s="46" t="s">
        <v>154</v>
      </c>
      <c r="B261" s="153" t="s">
        <v>433</v>
      </c>
      <c r="C261" s="154"/>
      <c r="D261" s="154"/>
      <c r="E261" s="154"/>
      <c r="F261" s="154"/>
      <c r="G261" s="154"/>
      <c r="H261" s="155"/>
      <c r="T261" s="37"/>
    </row>
    <row r="262" spans="1:20" s="35" customFormat="1" x14ac:dyDescent="0.25">
      <c r="A262" s="46" t="s">
        <v>154</v>
      </c>
      <c r="B262" s="167" t="s">
        <v>153</v>
      </c>
      <c r="C262" s="168"/>
      <c r="D262" s="168"/>
      <c r="E262" s="168"/>
      <c r="F262" s="168"/>
      <c r="G262" s="168"/>
      <c r="H262" s="169"/>
    </row>
    <row r="263" spans="1:20" s="35" customFormat="1" x14ac:dyDescent="0.25">
      <c r="A263" s="46" t="s">
        <v>154</v>
      </c>
      <c r="B263" s="167" t="s">
        <v>122</v>
      </c>
      <c r="C263" s="168"/>
      <c r="D263" s="168"/>
      <c r="E263" s="168"/>
      <c r="F263" s="168"/>
      <c r="G263" s="168"/>
      <c r="H263" s="169"/>
    </row>
    <row r="264" spans="1:20" s="35" customFormat="1" ht="34.5" customHeight="1" x14ac:dyDescent="0.25">
      <c r="A264" s="46" t="s">
        <v>154</v>
      </c>
      <c r="B264" s="153" t="s">
        <v>155</v>
      </c>
      <c r="C264" s="154"/>
      <c r="D264" s="154"/>
      <c r="E264" s="154"/>
      <c r="F264" s="154"/>
      <c r="G264" s="154"/>
      <c r="H264" s="155"/>
    </row>
    <row r="265" spans="1:20" s="35" customFormat="1" x14ac:dyDescent="0.25">
      <c r="A265" s="46" t="s">
        <v>154</v>
      </c>
      <c r="B265" s="167" t="s">
        <v>123</v>
      </c>
      <c r="C265" s="168"/>
      <c r="D265" s="168"/>
      <c r="E265" s="168"/>
      <c r="F265" s="168"/>
      <c r="G265" s="168"/>
      <c r="H265" s="169"/>
    </row>
    <row r="266" spans="1:20" s="35" customFormat="1" ht="32.25" hidden="1" customHeight="1" x14ac:dyDescent="0.25">
      <c r="A266" s="46" t="s">
        <v>154</v>
      </c>
      <c r="B266" s="123" t="s">
        <v>178</v>
      </c>
      <c r="C266" s="124"/>
      <c r="D266" s="124"/>
      <c r="E266" s="124"/>
      <c r="F266" s="124"/>
      <c r="G266" s="124"/>
      <c r="H266" s="125"/>
    </row>
    <row r="267" spans="1:20" s="35" customFormat="1" x14ac:dyDescent="0.25">
      <c r="A267" s="46" t="s">
        <v>154</v>
      </c>
      <c r="B267" s="153" t="s">
        <v>451</v>
      </c>
      <c r="C267" s="154"/>
      <c r="D267" s="154"/>
      <c r="E267" s="154"/>
      <c r="F267" s="154"/>
      <c r="G267" s="154"/>
      <c r="H267" s="155"/>
    </row>
    <row r="268" spans="1:20" s="35" customFormat="1" hidden="1" x14ac:dyDescent="0.25">
      <c r="A268" s="46" t="s">
        <v>154</v>
      </c>
      <c r="B268" s="123" t="s">
        <v>350</v>
      </c>
      <c r="C268" s="124"/>
      <c r="D268" s="124"/>
      <c r="E268" s="124"/>
      <c r="F268" s="124"/>
      <c r="G268" s="124"/>
      <c r="H268" s="125"/>
    </row>
    <row r="269" spans="1:20" s="35" customFormat="1" hidden="1" x14ac:dyDescent="0.25">
      <c r="A269" s="46" t="s">
        <v>154</v>
      </c>
      <c r="B269" s="123" t="str">
        <f ca="1">IF(G52&gt;EDATE(E3,-48),"NO REMARK FOR CC","REMARK FOR CC")</f>
        <v>NO REMARK FOR CC</v>
      </c>
      <c r="C269" s="124"/>
      <c r="D269" s="124"/>
      <c r="E269" s="124"/>
      <c r="F269" s="124"/>
      <c r="G269" s="124"/>
      <c r="H269" s="125"/>
    </row>
    <row r="270" spans="1:20" s="35" customFormat="1" ht="81.75" hidden="1" customHeight="1" x14ac:dyDescent="0.25">
      <c r="A270" s="46" t="s">
        <v>154</v>
      </c>
      <c r="B270" s="123" t="s">
        <v>351</v>
      </c>
      <c r="C270" s="124"/>
      <c r="D270" s="124"/>
      <c r="E270" s="124"/>
      <c r="F270" s="124"/>
      <c r="G270" s="124"/>
      <c r="H270" s="125"/>
    </row>
    <row r="271" spans="1:20" x14ac:dyDescent="0.25">
      <c r="A271" s="251" t="s">
        <v>57</v>
      </c>
      <c r="B271" s="251"/>
      <c r="C271" s="251"/>
      <c r="D271" s="251"/>
      <c r="E271" s="251"/>
      <c r="F271" s="251"/>
      <c r="G271" s="251"/>
      <c r="H271" s="251"/>
      <c r="T271" s="35"/>
    </row>
    <row r="272" spans="1:20" x14ac:dyDescent="0.25">
      <c r="A272" s="156" t="s">
        <v>58</v>
      </c>
      <c r="B272" s="156"/>
      <c r="C272" s="156"/>
      <c r="D272" s="156"/>
      <c r="E272" s="156"/>
      <c r="F272" s="156"/>
      <c r="G272" s="156"/>
      <c r="H272" s="156"/>
      <c r="T272" s="35"/>
    </row>
    <row r="273" spans="1:20" ht="15.75" customHeight="1" x14ac:dyDescent="0.25">
      <c r="A273" s="261" t="s">
        <v>59</v>
      </c>
      <c r="B273" s="261"/>
      <c r="C273" s="261"/>
      <c r="D273" s="261"/>
      <c r="E273" s="261"/>
      <c r="F273" s="261"/>
      <c r="G273" s="261"/>
      <c r="H273" s="261"/>
      <c r="T273" s="35"/>
    </row>
    <row r="274" spans="1:20" x14ac:dyDescent="0.25">
      <c r="A274" s="156" t="s">
        <v>60</v>
      </c>
      <c r="B274" s="156"/>
      <c r="C274" s="156"/>
      <c r="D274" s="156"/>
      <c r="E274" s="156"/>
      <c r="F274" s="156"/>
      <c r="G274" s="156"/>
      <c r="H274" s="156"/>
      <c r="T274" s="35"/>
    </row>
    <row r="275" spans="1:20" x14ac:dyDescent="0.25">
      <c r="A275" s="156" t="s">
        <v>61</v>
      </c>
      <c r="B275" s="156"/>
      <c r="C275" s="156"/>
      <c r="D275" s="156"/>
      <c r="E275" s="156"/>
      <c r="F275" s="156"/>
      <c r="G275" s="156"/>
      <c r="H275" s="156"/>
      <c r="T275" s="35"/>
    </row>
    <row r="276" spans="1:20" x14ac:dyDescent="0.25">
      <c r="A276" s="156" t="s">
        <v>124</v>
      </c>
      <c r="B276" s="156"/>
      <c r="C276" s="156"/>
      <c r="D276" s="156"/>
      <c r="E276" s="156"/>
      <c r="F276" s="156"/>
      <c r="G276" s="156"/>
      <c r="H276" s="156"/>
      <c r="T276" s="35"/>
    </row>
    <row r="277" spans="1:20" ht="33.950000000000003" customHeight="1" x14ac:dyDescent="0.25">
      <c r="A277" s="179" t="s">
        <v>125</v>
      </c>
      <c r="B277" s="179"/>
      <c r="C277" s="179"/>
      <c r="D277" s="179"/>
      <c r="E277" s="179"/>
      <c r="F277" s="179"/>
      <c r="G277" s="179"/>
      <c r="H277" s="179"/>
    </row>
    <row r="278" spans="1:20" x14ac:dyDescent="0.25">
      <c r="A278" s="248" t="s">
        <v>73</v>
      </c>
      <c r="B278" s="248"/>
      <c r="C278" s="248" t="s">
        <v>435</v>
      </c>
      <c r="D278" s="248"/>
      <c r="E278" s="248" t="s">
        <v>103</v>
      </c>
      <c r="F278" s="248"/>
      <c r="G278" s="249" t="s">
        <v>434</v>
      </c>
      <c r="H278" s="249"/>
    </row>
    <row r="279" spans="1:20" x14ac:dyDescent="0.25">
      <c r="A279" s="247" t="s">
        <v>75</v>
      </c>
      <c r="B279" s="247"/>
      <c r="C279" s="247"/>
      <c r="D279" s="247"/>
      <c r="E279" s="247"/>
      <c r="F279" s="247"/>
      <c r="G279" s="247"/>
      <c r="H279" s="247"/>
    </row>
    <row r="280" spans="1:20" x14ac:dyDescent="0.25">
      <c r="A280" s="247"/>
      <c r="B280" s="247"/>
      <c r="C280" s="247"/>
      <c r="D280" s="247"/>
      <c r="E280" s="247"/>
      <c r="F280" s="247"/>
      <c r="G280" s="247"/>
      <c r="H280" s="247"/>
    </row>
    <row r="281" spans="1:20" x14ac:dyDescent="0.25">
      <c r="A281" s="247"/>
      <c r="B281" s="247"/>
      <c r="C281" s="247"/>
      <c r="D281" s="247"/>
      <c r="E281" s="247"/>
      <c r="F281" s="247"/>
      <c r="G281" s="247"/>
      <c r="H281" s="247"/>
    </row>
    <row r="282" spans="1:20" x14ac:dyDescent="0.25">
      <c r="A282" s="247"/>
      <c r="B282" s="247"/>
      <c r="C282" s="247"/>
      <c r="D282" s="247"/>
      <c r="E282" s="247"/>
      <c r="F282" s="247"/>
      <c r="G282" s="247"/>
      <c r="H282" s="247"/>
    </row>
    <row r="283" spans="1:20" x14ac:dyDescent="0.25">
      <c r="A283" s="38" t="s">
        <v>62</v>
      </c>
      <c r="B283" s="39"/>
      <c r="C283" s="39"/>
      <c r="D283" s="38" t="str">
        <f>E9</f>
        <v>Sansaaraa</v>
      </c>
      <c r="F283" s="39"/>
      <c r="G283" s="39"/>
      <c r="H283" s="39"/>
    </row>
    <row r="284" spans="1:20" x14ac:dyDescent="0.25">
      <c r="A284" s="39"/>
      <c r="B284" s="39"/>
      <c r="C284" s="39"/>
      <c r="D284" s="39"/>
      <c r="E284" s="39"/>
      <c r="F284" s="39"/>
      <c r="G284" s="39"/>
      <c r="H284" s="39"/>
    </row>
    <row r="285" spans="1:20" x14ac:dyDescent="0.25">
      <c r="A285" s="39"/>
      <c r="B285" s="39"/>
      <c r="C285" s="39"/>
      <c r="D285" s="39"/>
      <c r="E285" s="39"/>
      <c r="F285" s="39"/>
      <c r="G285" s="39"/>
      <c r="H285" s="39"/>
    </row>
    <row r="286" spans="1:20" ht="15" customHeight="1" x14ac:dyDescent="0.25"/>
    <row r="327" spans="1:1" x14ac:dyDescent="0.25">
      <c r="A327" s="41" t="s">
        <v>165</v>
      </c>
    </row>
    <row r="371" spans="1:1" x14ac:dyDescent="0.25">
      <c r="A371" s="41" t="s">
        <v>63</v>
      </c>
    </row>
  </sheetData>
  <mergeCells count="474">
    <mergeCell ref="C237:H237"/>
    <mergeCell ref="A133:B133"/>
    <mergeCell ref="A172:H172"/>
    <mergeCell ref="A174:H174"/>
    <mergeCell ref="A173:H173"/>
    <mergeCell ref="A196:B196"/>
    <mergeCell ref="L196:M196"/>
    <mergeCell ref="A197:B197"/>
    <mergeCell ref="L197:M197"/>
    <mergeCell ref="A175:H175"/>
    <mergeCell ref="A176:B176"/>
    <mergeCell ref="L176:M176"/>
    <mergeCell ref="A177:B177"/>
    <mergeCell ref="L177:M177"/>
    <mergeCell ref="A178:B178"/>
    <mergeCell ref="L178:M178"/>
    <mergeCell ref="A179:B179"/>
    <mergeCell ref="L179:M179"/>
    <mergeCell ref="A180:B180"/>
    <mergeCell ref="L180:M180"/>
    <mergeCell ref="A181:B181"/>
    <mergeCell ref="L181:M181"/>
    <mergeCell ref="A182:H182"/>
    <mergeCell ref="A183:B183"/>
    <mergeCell ref="L183:M183"/>
    <mergeCell ref="A87:B87"/>
    <mergeCell ref="A59:B61"/>
    <mergeCell ref="C61:H61"/>
    <mergeCell ref="C59:E60"/>
    <mergeCell ref="A63:H63"/>
    <mergeCell ref="A80:B80"/>
    <mergeCell ref="A78:B78"/>
    <mergeCell ref="C78:H78"/>
    <mergeCell ref="A73:C73"/>
    <mergeCell ref="D73:H73"/>
    <mergeCell ref="C80:H80"/>
    <mergeCell ref="A74:C74"/>
    <mergeCell ref="D74:H74"/>
    <mergeCell ref="A77:C77"/>
    <mergeCell ref="A116:B116"/>
    <mergeCell ref="A118:B118"/>
    <mergeCell ref="A84:B84"/>
    <mergeCell ref="E82:F91"/>
    <mergeCell ref="G82:H91"/>
    <mergeCell ref="A101:B101"/>
    <mergeCell ref="G95:H95"/>
    <mergeCell ref="A103:B103"/>
    <mergeCell ref="E155:F155"/>
    <mergeCell ref="A248:B248"/>
    <mergeCell ref="A249:B249"/>
    <mergeCell ref="A244:H244"/>
    <mergeCell ref="A238:H238"/>
    <mergeCell ref="A253:B253"/>
    <mergeCell ref="A250:H250"/>
    <mergeCell ref="A75:C75"/>
    <mergeCell ref="D76:H76"/>
    <mergeCell ref="A82:B82"/>
    <mergeCell ref="G81:H81"/>
    <mergeCell ref="A90:B90"/>
    <mergeCell ref="A91:B91"/>
    <mergeCell ref="A86:B86"/>
    <mergeCell ref="A85:B85"/>
    <mergeCell ref="E81:F81"/>
    <mergeCell ref="A83:B83"/>
    <mergeCell ref="E153:F153"/>
    <mergeCell ref="A160:H160"/>
    <mergeCell ref="A170:A171"/>
    <mergeCell ref="F170:F171"/>
    <mergeCell ref="D162:D163"/>
    <mergeCell ref="A120:B120"/>
    <mergeCell ref="C120:H120"/>
    <mergeCell ref="A122:B122"/>
    <mergeCell ref="A272:H272"/>
    <mergeCell ref="A140:E140"/>
    <mergeCell ref="A88:B88"/>
    <mergeCell ref="I15:P15"/>
    <mergeCell ref="F144:H144"/>
    <mergeCell ref="F142:H142"/>
    <mergeCell ref="A240:B240"/>
    <mergeCell ref="A161:H161"/>
    <mergeCell ref="G148:H148"/>
    <mergeCell ref="A143:E143"/>
    <mergeCell ref="A166:B166"/>
    <mergeCell ref="A62:B62"/>
    <mergeCell ref="C62:E62"/>
    <mergeCell ref="D64:H64"/>
    <mergeCell ref="F143:H143"/>
    <mergeCell ref="E148:F148"/>
    <mergeCell ref="A148:B148"/>
    <mergeCell ref="A150:B150"/>
    <mergeCell ref="C153:D153"/>
    <mergeCell ref="D75:H75"/>
    <mergeCell ref="D65:H65"/>
    <mergeCell ref="G62:H62"/>
    <mergeCell ref="A55:B56"/>
    <mergeCell ref="A169:H169"/>
    <mergeCell ref="A276:H276"/>
    <mergeCell ref="A273:H273"/>
    <mergeCell ref="A232:B232"/>
    <mergeCell ref="A153:B153"/>
    <mergeCell ref="D170:D171"/>
    <mergeCell ref="E170:E171"/>
    <mergeCell ref="A100:B100"/>
    <mergeCell ref="A102:B102"/>
    <mergeCell ref="F135:H135"/>
    <mergeCell ref="G149:H149"/>
    <mergeCell ref="A105:B105"/>
    <mergeCell ref="F141:H141"/>
    <mergeCell ref="C148:D148"/>
    <mergeCell ref="C158:D158"/>
    <mergeCell ref="A191:H191"/>
    <mergeCell ref="A242:B242"/>
    <mergeCell ref="B261:H261"/>
    <mergeCell ref="A251:B251"/>
    <mergeCell ref="A252:B252"/>
    <mergeCell ref="A255:B255"/>
    <mergeCell ref="B269:H269"/>
    <mergeCell ref="B268:H268"/>
    <mergeCell ref="F137:H137"/>
    <mergeCell ref="A141:E141"/>
    <mergeCell ref="B266:H266"/>
    <mergeCell ref="A159:B159"/>
    <mergeCell ref="A104:B104"/>
    <mergeCell ref="A137:E137"/>
    <mergeCell ref="A134:E134"/>
    <mergeCell ref="F138:H138"/>
    <mergeCell ref="A243:B243"/>
    <mergeCell ref="A138:E138"/>
    <mergeCell ref="A195:B195"/>
    <mergeCell ref="B264:H264"/>
    <mergeCell ref="G162:G163"/>
    <mergeCell ref="A246:B246"/>
    <mergeCell ref="A254:B254"/>
    <mergeCell ref="B257:H257"/>
    <mergeCell ref="B258:H258"/>
    <mergeCell ref="B260:H260"/>
    <mergeCell ref="F134:H134"/>
    <mergeCell ref="F139:H139"/>
    <mergeCell ref="A192:B192"/>
    <mergeCell ref="A168:B168"/>
    <mergeCell ref="A167:B167"/>
    <mergeCell ref="F140:H140"/>
    <mergeCell ref="A142:E142"/>
    <mergeCell ref="A256:H256"/>
    <mergeCell ref="A279:H282"/>
    <mergeCell ref="A278:B278"/>
    <mergeCell ref="E278:F278"/>
    <mergeCell ref="C278:D278"/>
    <mergeCell ref="G278:H278"/>
    <mergeCell ref="A147:H147"/>
    <mergeCell ref="A145:E145"/>
    <mergeCell ref="F145:H145"/>
    <mergeCell ref="A146:E146"/>
    <mergeCell ref="F146:H146"/>
    <mergeCell ref="A231:H231"/>
    <mergeCell ref="A154:B154"/>
    <mergeCell ref="A241:B241"/>
    <mergeCell ref="A149:B149"/>
    <mergeCell ref="A274:H274"/>
    <mergeCell ref="A152:H152"/>
    <mergeCell ref="A277:H277"/>
    <mergeCell ref="A275:H275"/>
    <mergeCell ref="A271:H271"/>
    <mergeCell ref="G153:H153"/>
    <mergeCell ref="B262:H262"/>
    <mergeCell ref="A247:B247"/>
    <mergeCell ref="A235:B235"/>
    <mergeCell ref="C159:D159"/>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A11:D11"/>
    <mergeCell ref="E11:H11"/>
    <mergeCell ref="A23:D24"/>
    <mergeCell ref="A12:D12"/>
    <mergeCell ref="E12:H12"/>
    <mergeCell ref="A17:B17"/>
    <mergeCell ref="A14:D14"/>
    <mergeCell ref="A19:B19"/>
    <mergeCell ref="C19:D19"/>
    <mergeCell ref="E19:F19"/>
    <mergeCell ref="G19:H19"/>
    <mergeCell ref="A20:B20"/>
    <mergeCell ref="C20:D20"/>
    <mergeCell ref="E15:H15"/>
    <mergeCell ref="A16:B16"/>
    <mergeCell ref="C16:H16"/>
    <mergeCell ref="C17:H17"/>
    <mergeCell ref="A18:B18"/>
    <mergeCell ref="C18:H18"/>
    <mergeCell ref="A13:D13"/>
    <mergeCell ref="E13:H13"/>
    <mergeCell ref="E23:H24"/>
    <mergeCell ref="E27:H27"/>
    <mergeCell ref="A29:D29"/>
    <mergeCell ref="E29:H29"/>
    <mergeCell ref="A26:D26"/>
    <mergeCell ref="E26:H26"/>
    <mergeCell ref="A28:D28"/>
    <mergeCell ref="E28:H28"/>
    <mergeCell ref="E14:H14"/>
    <mergeCell ref="A15:D15"/>
    <mergeCell ref="E20:F20"/>
    <mergeCell ref="G20:H20"/>
    <mergeCell ref="A21:B21"/>
    <mergeCell ref="C21:D21"/>
    <mergeCell ref="E21:F21"/>
    <mergeCell ref="G21:H21"/>
    <mergeCell ref="A22:B22"/>
    <mergeCell ref="C22:D22"/>
    <mergeCell ref="E22:F22"/>
    <mergeCell ref="G22:H22"/>
    <mergeCell ref="A37:B37"/>
    <mergeCell ref="C37:E37"/>
    <mergeCell ref="A42:D42"/>
    <mergeCell ref="F37:H37"/>
    <mergeCell ref="A39:B39"/>
    <mergeCell ref="C39:H39"/>
    <mergeCell ref="A25:D25"/>
    <mergeCell ref="E25:H25"/>
    <mergeCell ref="A30:D30"/>
    <mergeCell ref="E30:H30"/>
    <mergeCell ref="A27:D27"/>
    <mergeCell ref="A36:B36"/>
    <mergeCell ref="C36:E36"/>
    <mergeCell ref="A31:D31"/>
    <mergeCell ref="E31:H31"/>
    <mergeCell ref="A32:D32"/>
    <mergeCell ref="E32:H32"/>
    <mergeCell ref="C33:E33"/>
    <mergeCell ref="F36:H36"/>
    <mergeCell ref="F33:H33"/>
    <mergeCell ref="A34:B34"/>
    <mergeCell ref="A33:B33"/>
    <mergeCell ref="C34:E34"/>
    <mergeCell ref="A35:B35"/>
    <mergeCell ref="C35:E35"/>
    <mergeCell ref="F34:H34"/>
    <mergeCell ref="F35:H35"/>
    <mergeCell ref="D66:H66"/>
    <mergeCell ref="A66:C66"/>
    <mergeCell ref="A45:D45"/>
    <mergeCell ref="A49:B49"/>
    <mergeCell ref="C49:H49"/>
    <mergeCell ref="A67:C70"/>
    <mergeCell ref="D67:H67"/>
    <mergeCell ref="D68:H68"/>
    <mergeCell ref="A50:B50"/>
    <mergeCell ref="D70:H70"/>
    <mergeCell ref="F52:F53"/>
    <mergeCell ref="G52:H53"/>
    <mergeCell ref="D69:H69"/>
    <mergeCell ref="C51:E51"/>
    <mergeCell ref="C50:E50"/>
    <mergeCell ref="G50:H50"/>
    <mergeCell ref="A51:B51"/>
    <mergeCell ref="G57:H57"/>
    <mergeCell ref="G59:H59"/>
    <mergeCell ref="G51:H51"/>
    <mergeCell ref="C56:H56"/>
    <mergeCell ref="A52:B54"/>
    <mergeCell ref="C55:E55"/>
    <mergeCell ref="C52:E53"/>
    <mergeCell ref="C57:E57"/>
    <mergeCell ref="G55:H55"/>
    <mergeCell ref="A57:B58"/>
    <mergeCell ref="E42:H42"/>
    <mergeCell ref="A41:H41"/>
    <mergeCell ref="A46:D46"/>
    <mergeCell ref="A47:D47"/>
    <mergeCell ref="A44:D44"/>
    <mergeCell ref="E44:H44"/>
    <mergeCell ref="E45:H45"/>
    <mergeCell ref="C58:H58"/>
    <mergeCell ref="A48:H48"/>
    <mergeCell ref="E43:H43"/>
    <mergeCell ref="A43:D43"/>
    <mergeCell ref="A38:H38"/>
    <mergeCell ref="L168:M168"/>
    <mergeCell ref="L167:M167"/>
    <mergeCell ref="L166:M166"/>
    <mergeCell ref="L165:M165"/>
    <mergeCell ref="A89:B89"/>
    <mergeCell ref="C154:D154"/>
    <mergeCell ref="E154:F154"/>
    <mergeCell ref="G154:H154"/>
    <mergeCell ref="A135:E135"/>
    <mergeCell ref="A92:B92"/>
    <mergeCell ref="C92:H92"/>
    <mergeCell ref="A164:H164"/>
    <mergeCell ref="E162:E163"/>
    <mergeCell ref="A96:B96"/>
    <mergeCell ref="C94:H94"/>
    <mergeCell ref="A97:B97"/>
    <mergeCell ref="A98:B98"/>
    <mergeCell ref="G96:H105"/>
    <mergeCell ref="A99:B99"/>
    <mergeCell ref="F136:H136"/>
    <mergeCell ref="A136:E136"/>
    <mergeCell ref="E159:F159"/>
    <mergeCell ref="A94:B94"/>
    <mergeCell ref="L195:M195"/>
    <mergeCell ref="L192:M192"/>
    <mergeCell ref="A193:B193"/>
    <mergeCell ref="G159:H159"/>
    <mergeCell ref="L193:M193"/>
    <mergeCell ref="A194:B194"/>
    <mergeCell ref="L194:M194"/>
    <mergeCell ref="A114:B114"/>
    <mergeCell ref="A117:B117"/>
    <mergeCell ref="C122:H122"/>
    <mergeCell ref="A123:B123"/>
    <mergeCell ref="E123:F123"/>
    <mergeCell ref="G123:H123"/>
    <mergeCell ref="A124:B124"/>
    <mergeCell ref="E124:F133"/>
    <mergeCell ref="G124:H133"/>
    <mergeCell ref="A125:B125"/>
    <mergeCell ref="A126:B126"/>
    <mergeCell ref="A127:B127"/>
    <mergeCell ref="A128:B128"/>
    <mergeCell ref="A129:B129"/>
    <mergeCell ref="A130:B130"/>
    <mergeCell ref="A131:B131"/>
    <mergeCell ref="A132:B132"/>
    <mergeCell ref="A234:B234"/>
    <mergeCell ref="A245:B245"/>
    <mergeCell ref="A40:B40"/>
    <mergeCell ref="C40:H40"/>
    <mergeCell ref="F162:F163"/>
    <mergeCell ref="C149:D149"/>
    <mergeCell ref="E149:F149"/>
    <mergeCell ref="B162:B163"/>
    <mergeCell ref="A162:A163"/>
    <mergeCell ref="C170:C171"/>
    <mergeCell ref="G170:G171"/>
    <mergeCell ref="C54:H54"/>
    <mergeCell ref="A64:C64"/>
    <mergeCell ref="A71:C71"/>
    <mergeCell ref="A72:C72"/>
    <mergeCell ref="D71:H71"/>
    <mergeCell ref="A65:C65"/>
    <mergeCell ref="D77:H77"/>
    <mergeCell ref="A76:C76"/>
    <mergeCell ref="G60:H60"/>
    <mergeCell ref="A81:B81"/>
    <mergeCell ref="D72:H72"/>
    <mergeCell ref="E46:H46"/>
    <mergeCell ref="E47:H47"/>
    <mergeCell ref="B267:H267"/>
    <mergeCell ref="A139:E139"/>
    <mergeCell ref="A158:B158"/>
    <mergeCell ref="E158:F158"/>
    <mergeCell ref="A144:E144"/>
    <mergeCell ref="G158:H158"/>
    <mergeCell ref="C150:D150"/>
    <mergeCell ref="E150:F150"/>
    <mergeCell ref="G150:H150"/>
    <mergeCell ref="A151:B151"/>
    <mergeCell ref="C151:D151"/>
    <mergeCell ref="E151:F151"/>
    <mergeCell ref="G151:H151"/>
    <mergeCell ref="B265:H265"/>
    <mergeCell ref="B263:H263"/>
    <mergeCell ref="A165:B165"/>
    <mergeCell ref="A236:B236"/>
    <mergeCell ref="A239:B239"/>
    <mergeCell ref="A206:H206"/>
    <mergeCell ref="A213:B213"/>
    <mergeCell ref="A214:B214"/>
    <mergeCell ref="A215:H215"/>
    <mergeCell ref="A155:B155"/>
    <mergeCell ref="C155:D155"/>
    <mergeCell ref="B270:H270"/>
    <mergeCell ref="A119:B119"/>
    <mergeCell ref="C162:C163"/>
    <mergeCell ref="B170:B171"/>
    <mergeCell ref="B259:H259"/>
    <mergeCell ref="A95:B95"/>
    <mergeCell ref="E95:F95"/>
    <mergeCell ref="E96:F105"/>
    <mergeCell ref="A106:B106"/>
    <mergeCell ref="C106:H106"/>
    <mergeCell ref="A108:B108"/>
    <mergeCell ref="C108:H108"/>
    <mergeCell ref="A109:B109"/>
    <mergeCell ref="E109:F109"/>
    <mergeCell ref="G109:H109"/>
    <mergeCell ref="A110:B110"/>
    <mergeCell ref="E110:F119"/>
    <mergeCell ref="G110:H119"/>
    <mergeCell ref="A111:B111"/>
    <mergeCell ref="A112:B112"/>
    <mergeCell ref="A113:B113"/>
    <mergeCell ref="A115:B115"/>
    <mergeCell ref="A237:B237"/>
    <mergeCell ref="A198:H198"/>
    <mergeCell ref="L184:M184"/>
    <mergeCell ref="A185:B185"/>
    <mergeCell ref="L185:M185"/>
    <mergeCell ref="A186:B186"/>
    <mergeCell ref="L186:M186"/>
    <mergeCell ref="A187:B187"/>
    <mergeCell ref="L187:M187"/>
    <mergeCell ref="A188:B188"/>
    <mergeCell ref="L188:M188"/>
    <mergeCell ref="C187:H187"/>
    <mergeCell ref="A184:B184"/>
    <mergeCell ref="L198:M198"/>
    <mergeCell ref="A199:B199"/>
    <mergeCell ref="A200:B200"/>
    <mergeCell ref="A201:B201"/>
    <mergeCell ref="A202:B202"/>
    <mergeCell ref="A203:B203"/>
    <mergeCell ref="A204:B204"/>
    <mergeCell ref="C200:H200"/>
    <mergeCell ref="A205:H205"/>
    <mergeCell ref="L206:M206"/>
    <mergeCell ref="A207:H207"/>
    <mergeCell ref="L207:M207"/>
    <mergeCell ref="A208:H208"/>
    <mergeCell ref="L208:M208"/>
    <mergeCell ref="A209:B209"/>
    <mergeCell ref="A210:B210"/>
    <mergeCell ref="A211:B211"/>
    <mergeCell ref="A212:B212"/>
    <mergeCell ref="L231:M231"/>
    <mergeCell ref="A233:B233"/>
    <mergeCell ref="L222:M222"/>
    <mergeCell ref="A223:H223"/>
    <mergeCell ref="L223:M223"/>
    <mergeCell ref="A224:H224"/>
    <mergeCell ref="L224:M224"/>
    <mergeCell ref="A225:B225"/>
    <mergeCell ref="A226:B226"/>
    <mergeCell ref="A227:B227"/>
    <mergeCell ref="A229:B229"/>
    <mergeCell ref="A230:B230"/>
    <mergeCell ref="L215:M215"/>
    <mergeCell ref="A216:B216"/>
    <mergeCell ref="A217:B217"/>
    <mergeCell ref="A218:B218"/>
    <mergeCell ref="A219:B219"/>
    <mergeCell ref="A220:B220"/>
    <mergeCell ref="A221:B221"/>
    <mergeCell ref="C216:H216"/>
    <mergeCell ref="A228:B228"/>
    <mergeCell ref="A222:H222"/>
    <mergeCell ref="A189:H189"/>
    <mergeCell ref="A190:H190"/>
    <mergeCell ref="G155:H155"/>
    <mergeCell ref="A156:B156"/>
    <mergeCell ref="C156:D156"/>
    <mergeCell ref="E156:F156"/>
    <mergeCell ref="G156:H156"/>
    <mergeCell ref="A157:B157"/>
    <mergeCell ref="C157:D157"/>
    <mergeCell ref="E157:F157"/>
    <mergeCell ref="G157:H157"/>
  </mergeCells>
  <dataValidations count="18">
    <dataValidation type="list" allowBlank="1" showInputMessage="1" showErrorMessage="1" sqref="E5:H5" xr:uid="{00000000-0002-0000-0000-000000000000}">
      <formula1>OFFSET($L$3,1,MATCH($E4,$L$3:$P$3,0)-1,10,1)</formula1>
    </dataValidation>
    <dataValidation type="list" allowBlank="1" showInputMessage="1" showErrorMessage="1" sqref="A17:B17" xr:uid="{00000000-0002-0000-0000-000001000000}">
      <formula1>"CTS No,Survey No,Plot No,Gut No,FP No,"</formula1>
    </dataValidation>
    <dataValidation type="list" allowBlank="1" showInputMessage="1" showErrorMessage="1" sqref="G20:H20" xr:uid="{00000000-0002-0000-0000-000002000000}">
      <formula1>$S$13:$W$13</formula1>
    </dataValidation>
    <dataValidation type="list" allowBlank="1" showInputMessage="1" showErrorMessage="1" sqref="E162:E163" xr:uid="{00000000-0002-0000-0000-000003000000}">
      <formula1>"Attached Loft area,Attached Otla area,Attached Mezzanine area"</formula1>
    </dataValidation>
    <dataValidation type="list" allowBlank="1" showInputMessage="1" showErrorMessage="1" sqref="G278:H278" xr:uid="{00000000-0002-0000-0000-000004000000}">
      <formula1>"Kunal Kadam,Pranita Mhatre,Shruti Fule,Pooja Kawale,Gaurav Panchal,Shruti Tathare, Dipti Gothawade,Saurav Panse, Sachin Sawant"</formula1>
    </dataValidation>
    <dataValidation type="list" allowBlank="1" showInputMessage="1" showErrorMessage="1" sqref="F134:H134" xr:uid="{00000000-0002-0000-0000-000005000000}">
      <formula1>"On Saleable Area,On Builtup Area,On Carpet Area,On Plot Area"</formula1>
    </dataValidation>
    <dataValidation type="list" allowBlank="1" showInputMessage="1" showErrorMessage="1" sqref="F145:H145" xr:uid="{00000000-0002-0000-0000-000006000000}">
      <formula1>OFFSET($S$134,1,MATCH($G20,$S$134:$W$134,0)-1,15,1)</formula1>
    </dataValidation>
    <dataValidation type="list" allowBlank="1" showInputMessage="1" showErrorMessage="1" sqref="B162:B163" xr:uid="{00000000-0002-0000-0000-000007000000}">
      <formula1>"Shop No. (Sale Plan),Sale / Rehab,Sale / Mhada"</formula1>
    </dataValidation>
    <dataValidation type="list" allowBlank="1" showInputMessage="1" showErrorMessage="1" sqref="B170:B171" xr:uid="{00000000-0002-0000-0000-000008000000}">
      <formula1>"Flat No. (Sale Plan),Sale / Rehab,Sale / Mhada"</formula1>
    </dataValidation>
    <dataValidation type="list" allowBlank="1" showInputMessage="1" showErrorMessage="1" sqref="C21:D21" xr:uid="{00000000-0002-0000-0000-000009000000}">
      <formula1>OFFSET($S$13,1,MATCH($G20,$S$13:$W$13,0)-1,15,1)</formula1>
    </dataValidation>
    <dataValidation type="list" allowBlank="1" showInputMessage="1" showErrorMessage="1" sqref="Y13" xr:uid="{00000000-0002-0000-0000-00000A000000}">
      <formula1>$D$5:$H$5</formula1>
    </dataValidation>
    <dataValidation type="list" allowBlank="1" showInputMessage="1" showErrorMessage="1" sqref="E170:E171" xr:uid="{00000000-0002-0000-0000-00000B000000}">
      <formula1>"Fungible area,Encl. Balcony + Proj. Balcony + CB Area,Chajja Area,Cornice Area,AP Area,WS Area"</formula1>
    </dataValidation>
    <dataValidation type="list" allowBlank="1" showInputMessage="1" showErrorMessage="1" sqref="H163 H171" xr:uid="{00000000-0002-0000-0000-00000C000000}">
      <formula1>".45,.50,.55,.60"</formula1>
    </dataValidation>
    <dataValidation type="list" allowBlank="1" showInputMessage="1" showErrorMessage="1" sqref="E4:H4" xr:uid="{00000000-0002-0000-0000-00000D000000}">
      <formula1>$L$3:$P$3</formula1>
    </dataValidation>
    <dataValidation type="list" allowBlank="1" showInputMessage="1" showErrorMessage="1" sqref="C49:H49" xr:uid="{00000000-0002-0000-0000-00000E000000}">
      <formula1>OFFSET($S$49,1,MATCH($G20,$S$49:$W$49,0)-1,15,1)</formula1>
    </dataValidation>
    <dataValidation type="list" allowBlank="1" showInputMessage="1" showErrorMessage="1" sqref="H162 H170" xr:uid="{00000000-0002-0000-0000-00000F000000}">
      <formula1>"Saleable area Loading :,Builder Saleable Area"</formula1>
    </dataValidation>
    <dataValidation type="list" allowBlank="1" showInputMessage="1" showErrorMessage="1" sqref="D162:D163" xr:uid="{00000000-0002-0000-0000-000010000000}">
      <formula1>"Carpet area,RERA Carpet area"</formula1>
    </dataValidation>
    <dataValidation type="list" allowBlank="1" showInputMessage="1" showErrorMessage="1" sqref="D170:D171" xr:uid="{00000000-0002-0000-0000-000011000000}">
      <formula1>"Carpet Area,Carpet + Encl Balcony Area,RERA Carpet area"</formula1>
    </dataValidation>
  </dataValidations>
  <hyperlinks>
    <hyperlink ref="C40" r:id="rId1" xr:uid="{00000000-0004-0000-0000-000000000000}"/>
  </hyperlinks>
  <printOptions horizontalCentered="1"/>
  <pageMargins left="0.39370078740157483" right="0.39370078740157483" top="0.82677165354330717" bottom="0.78740157480314965" header="0.15748031496062992" footer="0.19685039370078741"/>
  <pageSetup paperSize="2" fitToHeight="0" orientation="portrait" r:id="rId2"/>
  <headerFooter>
    <oddHeader>&amp;C&amp;G</oddHeader>
    <oddFooter>&amp;L&amp;"Times New Roman,Bold"&amp;12Ref No: &amp;F&amp;C&amp;G&amp;R&amp;"Times New Roman,Bold"&amp;12&amp;P</oddFooter>
  </headerFooter>
  <rowBreaks count="4" manualBreakCount="4">
    <brk id="77" max="16383" man="1"/>
    <brk id="282" max="16383" man="1"/>
    <brk id="326" max="16383" man="1"/>
    <brk id="370"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I16"/>
  <sheetViews>
    <sheetView zoomScale="85" zoomScaleNormal="85" workbookViewId="0">
      <selection activeCell="K3" sqref="K3"/>
    </sheetView>
  </sheetViews>
  <sheetFormatPr defaultColWidth="8.7109375" defaultRowHeight="15" x14ac:dyDescent="0.25"/>
  <cols>
    <col min="1" max="1" width="8.7109375" style="1"/>
    <col min="2" max="2" width="22.140625" style="1" customWidth="1"/>
    <col min="3" max="3" width="37" style="1" customWidth="1"/>
    <col min="4" max="5" width="11.42578125" style="1" customWidth="1"/>
    <col min="6" max="6" width="14" style="1" customWidth="1"/>
    <col min="7" max="7" width="20" style="1" customWidth="1"/>
    <col min="8" max="8" width="16.42578125" style="1" customWidth="1"/>
    <col min="9" max="16384" width="8.7109375" style="1"/>
  </cols>
  <sheetData>
    <row r="1" spans="1:9" ht="15" customHeight="1" x14ac:dyDescent="0.25"/>
    <row r="2" spans="1:9" ht="15" customHeight="1" x14ac:dyDescent="0.25">
      <c r="A2" s="2"/>
      <c r="B2" s="2"/>
      <c r="C2" s="2"/>
      <c r="D2" s="2"/>
      <c r="E2" s="2"/>
      <c r="F2" s="2"/>
      <c r="G2" s="2"/>
      <c r="H2" s="2"/>
    </row>
    <row r="3" spans="1:9" ht="15.75" customHeight="1" x14ac:dyDescent="0.25">
      <c r="A3" s="2"/>
      <c r="B3" s="279" t="s">
        <v>104</v>
      </c>
      <c r="C3" s="279"/>
      <c r="D3" s="279"/>
      <c r="E3" s="279"/>
      <c r="F3" s="279"/>
      <c r="G3" s="279"/>
      <c r="H3" s="279"/>
    </row>
    <row r="4" spans="1:9" x14ac:dyDescent="0.25">
      <c r="A4" s="2"/>
      <c r="B4" s="3" t="s">
        <v>105</v>
      </c>
      <c r="C4" s="3" t="s">
        <v>106</v>
      </c>
      <c r="D4" s="3" t="s">
        <v>65</v>
      </c>
      <c r="E4" s="3" t="s">
        <v>107</v>
      </c>
      <c r="F4" s="3" t="s">
        <v>113</v>
      </c>
      <c r="G4" s="3" t="s">
        <v>114</v>
      </c>
      <c r="H4" s="3" t="s">
        <v>108</v>
      </c>
    </row>
    <row r="5" spans="1:9" ht="15" customHeight="1" x14ac:dyDescent="0.25">
      <c r="A5" s="2"/>
      <c r="B5" s="5" t="s">
        <v>109</v>
      </c>
      <c r="C5" s="6"/>
      <c r="D5" s="5"/>
      <c r="E5" s="5"/>
      <c r="F5" s="7">
        <f>E5*1.6</f>
        <v>0</v>
      </c>
      <c r="G5" s="7" t="e">
        <f>H5/F5</f>
        <v>#DIV/0!</v>
      </c>
      <c r="H5" s="8"/>
    </row>
    <row r="6" spans="1:9" x14ac:dyDescent="0.25">
      <c r="A6" s="2"/>
      <c r="B6" s="5" t="s">
        <v>109</v>
      </c>
      <c r="C6" s="9"/>
      <c r="D6" s="5"/>
      <c r="E6" s="5"/>
      <c r="F6" s="7">
        <f t="shared" ref="F6:F11" si="0">E6*1.6</f>
        <v>0</v>
      </c>
      <c r="G6" s="7" t="e">
        <f t="shared" ref="G6:G11" si="1">H6/F6</f>
        <v>#DIV/0!</v>
      </c>
      <c r="H6" s="8"/>
    </row>
    <row r="7" spans="1:9" ht="15" customHeight="1" x14ac:dyDescent="0.25">
      <c r="A7" s="2"/>
      <c r="B7" s="5" t="s">
        <v>109</v>
      </c>
      <c r="C7" s="6"/>
      <c r="D7" s="5"/>
      <c r="E7" s="5"/>
      <c r="F7" s="7">
        <f t="shared" si="0"/>
        <v>0</v>
      </c>
      <c r="G7" s="7" t="e">
        <f t="shared" si="1"/>
        <v>#DIV/0!</v>
      </c>
      <c r="H7" s="8"/>
    </row>
    <row r="8" spans="1:9" x14ac:dyDescent="0.25">
      <c r="A8" s="2"/>
      <c r="B8" s="5" t="s">
        <v>109</v>
      </c>
      <c r="C8" s="9"/>
      <c r="D8" s="5"/>
      <c r="E8" s="5"/>
      <c r="F8" s="7">
        <f t="shared" si="0"/>
        <v>0</v>
      </c>
      <c r="G8" s="7" t="e">
        <f t="shared" si="1"/>
        <v>#DIV/0!</v>
      </c>
      <c r="H8" s="8"/>
    </row>
    <row r="9" spans="1:9" ht="15" customHeight="1" x14ac:dyDescent="0.25">
      <c r="A9" s="2"/>
      <c r="B9" s="5" t="s">
        <v>109</v>
      </c>
      <c r="C9" s="9"/>
      <c r="D9" s="5"/>
      <c r="E9" s="5"/>
      <c r="F9" s="7">
        <f t="shared" si="0"/>
        <v>0</v>
      </c>
      <c r="G9" s="7" t="e">
        <f t="shared" si="1"/>
        <v>#DIV/0!</v>
      </c>
      <c r="H9" s="8"/>
    </row>
    <row r="10" spans="1:9" ht="15" customHeight="1" x14ac:dyDescent="0.25">
      <c r="A10" s="2"/>
      <c r="B10" s="5" t="s">
        <v>110</v>
      </c>
      <c r="C10" s="6"/>
      <c r="D10" s="5"/>
      <c r="E10" s="5"/>
      <c r="F10" s="7">
        <f t="shared" si="0"/>
        <v>0</v>
      </c>
      <c r="G10" s="7" t="e">
        <f t="shared" si="1"/>
        <v>#DIV/0!</v>
      </c>
      <c r="H10" s="8"/>
    </row>
    <row r="11" spans="1:9" ht="15" customHeight="1" x14ac:dyDescent="0.25">
      <c r="A11" s="2"/>
      <c r="B11" s="5" t="s">
        <v>110</v>
      </c>
      <c r="C11" s="6"/>
      <c r="D11" s="5"/>
      <c r="E11" s="5"/>
      <c r="F11" s="7">
        <f t="shared" si="0"/>
        <v>0</v>
      </c>
      <c r="G11" s="7" t="e">
        <f t="shared" si="1"/>
        <v>#DIV/0!</v>
      </c>
      <c r="H11" s="8"/>
    </row>
    <row r="12" spans="1:9" ht="15" customHeight="1" x14ac:dyDescent="0.25">
      <c r="A12" s="2"/>
      <c r="B12" s="10" t="s">
        <v>111</v>
      </c>
      <c r="C12" s="5"/>
      <c r="D12" s="5"/>
      <c r="E12" s="5"/>
      <c r="F12" s="5"/>
      <c r="G12" s="11" t="e">
        <f>AVERAGE(G5:G11)</f>
        <v>#DIV/0!</v>
      </c>
      <c r="H12" s="5"/>
    </row>
    <row r="13" spans="1:9" ht="15" customHeight="1" x14ac:dyDescent="0.25">
      <c r="B13" s="10" t="s">
        <v>112</v>
      </c>
      <c r="C13" s="5"/>
      <c r="D13" s="5"/>
      <c r="E13" s="5"/>
      <c r="F13" s="12"/>
      <c r="G13" s="10"/>
      <c r="H13" s="10"/>
      <c r="I13" s="4"/>
    </row>
    <row r="14" spans="1:9" ht="15" customHeight="1" x14ac:dyDescent="0.25"/>
    <row r="15" spans="1:9" ht="15" customHeight="1" x14ac:dyDescent="0.25"/>
    <row r="16" spans="1:9" ht="15" customHeight="1" x14ac:dyDescent="0.2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3:K69"/>
  <sheetViews>
    <sheetView topLeftCell="A55" zoomScale="130" zoomScaleNormal="130" workbookViewId="0">
      <selection activeCell="C43" sqref="C43:D69"/>
    </sheetView>
  </sheetViews>
  <sheetFormatPr defaultRowHeight="15" x14ac:dyDescent="0.25"/>
  <cols>
    <col min="4" max="4" width="13.85546875" bestFit="1" customWidth="1"/>
    <col min="5" max="5" width="10.42578125" bestFit="1" customWidth="1"/>
    <col min="6" max="6" width="12.42578125" bestFit="1" customWidth="1"/>
    <col min="7" max="7" width="18.140625" customWidth="1"/>
    <col min="8" max="8" width="10.5703125" bestFit="1" customWidth="1"/>
  </cols>
  <sheetData>
    <row r="3" spans="2:11" x14ac:dyDescent="0.25">
      <c r="J3">
        <v>1</v>
      </c>
      <c r="K3">
        <v>2</v>
      </c>
    </row>
    <row r="4" spans="2:11" x14ac:dyDescent="0.25">
      <c r="B4" s="53"/>
      <c r="C4" s="53" t="s">
        <v>11</v>
      </c>
      <c r="D4" s="54" t="s">
        <v>179</v>
      </c>
      <c r="E4" s="54" t="s">
        <v>189</v>
      </c>
      <c r="F4" s="54" t="s">
        <v>173</v>
      </c>
      <c r="G4" s="54" t="s">
        <v>194</v>
      </c>
      <c r="H4" s="54" t="s">
        <v>212</v>
      </c>
      <c r="J4" t="s">
        <v>194</v>
      </c>
      <c r="K4" t="s">
        <v>210</v>
      </c>
    </row>
    <row r="5" spans="2:11" x14ac:dyDescent="0.25">
      <c r="B5" s="53"/>
      <c r="C5" s="53"/>
      <c r="D5" s="54" t="s">
        <v>180</v>
      </c>
      <c r="E5" s="54" t="s">
        <v>187</v>
      </c>
      <c r="F5" s="54" t="s">
        <v>209</v>
      </c>
      <c r="G5" s="54" t="s">
        <v>195</v>
      </c>
      <c r="H5" s="54" t="s">
        <v>213</v>
      </c>
    </row>
    <row r="6" spans="2:11" x14ac:dyDescent="0.25">
      <c r="B6" s="53"/>
      <c r="C6" s="53"/>
      <c r="D6" s="54" t="s">
        <v>181</v>
      </c>
      <c r="E6" s="54" t="s">
        <v>188</v>
      </c>
      <c r="F6" s="54" t="s">
        <v>210</v>
      </c>
      <c r="G6" s="54" t="s">
        <v>196</v>
      </c>
      <c r="H6" s="54" t="s">
        <v>226</v>
      </c>
    </row>
    <row r="7" spans="2:11" x14ac:dyDescent="0.25">
      <c r="B7" s="53"/>
      <c r="C7" s="53"/>
      <c r="D7" s="54" t="s">
        <v>182</v>
      </c>
      <c r="E7" s="54" t="s">
        <v>190</v>
      </c>
      <c r="F7" s="54" t="s">
        <v>211</v>
      </c>
      <c r="G7" s="54" t="s">
        <v>197</v>
      </c>
      <c r="H7" s="54" t="s">
        <v>214</v>
      </c>
    </row>
    <row r="8" spans="2:11" x14ac:dyDescent="0.25">
      <c r="B8" s="53"/>
      <c r="C8" s="53"/>
      <c r="D8" s="54" t="s">
        <v>183</v>
      </c>
      <c r="E8" s="54" t="s">
        <v>191</v>
      </c>
      <c r="F8" s="54"/>
      <c r="G8" s="54" t="s">
        <v>198</v>
      </c>
      <c r="H8" s="54" t="s">
        <v>215</v>
      </c>
    </row>
    <row r="9" spans="2:11" x14ac:dyDescent="0.25">
      <c r="B9" s="53"/>
      <c r="C9" s="53"/>
      <c r="D9" s="54" t="s">
        <v>184</v>
      </c>
      <c r="E9" s="54" t="s">
        <v>189</v>
      </c>
      <c r="F9" s="54"/>
      <c r="G9" s="54" t="s">
        <v>199</v>
      </c>
      <c r="H9" s="54" t="s">
        <v>216</v>
      </c>
    </row>
    <row r="10" spans="2:11" x14ac:dyDescent="0.25">
      <c r="B10" s="53"/>
      <c r="C10" s="53"/>
      <c r="D10" s="54" t="s">
        <v>185</v>
      </c>
      <c r="E10" s="54" t="s">
        <v>192</v>
      </c>
      <c r="F10" s="54"/>
      <c r="G10" s="54" t="s">
        <v>200</v>
      </c>
      <c r="H10" s="54" t="s">
        <v>217</v>
      </c>
    </row>
    <row r="11" spans="2:11" x14ac:dyDescent="0.25">
      <c r="B11" s="53"/>
      <c r="C11" s="53"/>
      <c r="D11" s="54" t="s">
        <v>186</v>
      </c>
      <c r="E11" s="54" t="s">
        <v>193</v>
      </c>
      <c r="F11" s="54"/>
      <c r="G11" s="54" t="s">
        <v>201</v>
      </c>
      <c r="H11" s="54" t="s">
        <v>218</v>
      </c>
    </row>
    <row r="12" spans="2:11" x14ac:dyDescent="0.25">
      <c r="B12" s="53"/>
      <c r="C12" s="53"/>
      <c r="D12" s="54"/>
      <c r="E12" s="54"/>
      <c r="F12" s="54"/>
      <c r="G12" s="54" t="s">
        <v>202</v>
      </c>
      <c r="H12" s="54" t="s">
        <v>219</v>
      </c>
    </row>
    <row r="13" spans="2:11" x14ac:dyDescent="0.25">
      <c r="B13" s="53"/>
      <c r="C13" s="53"/>
      <c r="D13" s="54"/>
      <c r="E13" s="54"/>
      <c r="F13" s="54"/>
      <c r="G13" s="54" t="s">
        <v>203</v>
      </c>
      <c r="H13" s="54" t="s">
        <v>220</v>
      </c>
    </row>
    <row r="14" spans="2:11" x14ac:dyDescent="0.25">
      <c r="B14" s="53"/>
      <c r="C14" s="53"/>
      <c r="D14" s="54"/>
      <c r="E14" s="54"/>
      <c r="F14" s="54"/>
      <c r="G14" s="54" t="s">
        <v>204</v>
      </c>
      <c r="H14" s="54" t="s">
        <v>221</v>
      </c>
    </row>
    <row r="15" spans="2:11" x14ac:dyDescent="0.25">
      <c r="B15" s="53"/>
      <c r="C15" s="53"/>
      <c r="D15" s="54"/>
      <c r="E15" s="54"/>
      <c r="F15" s="54"/>
      <c r="G15" s="54" t="s">
        <v>205</v>
      </c>
      <c r="H15" s="54" t="s">
        <v>222</v>
      </c>
    </row>
    <row r="16" spans="2:11" x14ac:dyDescent="0.25">
      <c r="B16" s="53"/>
      <c r="C16" s="53"/>
      <c r="D16" s="54"/>
      <c r="E16" s="54"/>
      <c r="F16" s="54"/>
      <c r="G16" s="54" t="s">
        <v>206</v>
      </c>
      <c r="H16" s="54" t="s">
        <v>223</v>
      </c>
    </row>
    <row r="17" spans="2:8" x14ac:dyDescent="0.25">
      <c r="B17" s="53"/>
      <c r="C17" s="53"/>
      <c r="D17" s="54"/>
      <c r="E17" s="54"/>
      <c r="F17" s="54"/>
      <c r="G17" s="54" t="s">
        <v>207</v>
      </c>
      <c r="H17" s="54" t="s">
        <v>224</v>
      </c>
    </row>
    <row r="18" spans="2:8" x14ac:dyDescent="0.25">
      <c r="B18" s="53"/>
      <c r="C18" s="53"/>
      <c r="D18" s="54"/>
      <c r="E18" s="54"/>
      <c r="F18" s="54"/>
      <c r="G18" s="54" t="s">
        <v>208</v>
      </c>
      <c r="H18" s="54" t="s">
        <v>225</v>
      </c>
    </row>
    <row r="24" spans="2:8" x14ac:dyDescent="0.25">
      <c r="C24" t="s">
        <v>170</v>
      </c>
    </row>
    <row r="25" spans="2:8" x14ac:dyDescent="0.25">
      <c r="C25" t="s">
        <v>227</v>
      </c>
    </row>
    <row r="26" spans="2:8" x14ac:dyDescent="0.25">
      <c r="C26" t="s">
        <v>228</v>
      </c>
    </row>
    <row r="27" spans="2:8" x14ac:dyDescent="0.25">
      <c r="C27" t="s">
        <v>229</v>
      </c>
    </row>
    <row r="28" spans="2:8" x14ac:dyDescent="0.25">
      <c r="C28" t="s">
        <v>230</v>
      </c>
    </row>
    <row r="29" spans="2:8" x14ac:dyDescent="0.25">
      <c r="C29" t="s">
        <v>231</v>
      </c>
    </row>
    <row r="30" spans="2:8" x14ac:dyDescent="0.25">
      <c r="C30" t="s">
        <v>170</v>
      </c>
    </row>
    <row r="33" spans="3:11" x14ac:dyDescent="0.25">
      <c r="J33">
        <v>1</v>
      </c>
      <c r="K33">
        <v>2</v>
      </c>
    </row>
    <row r="34" spans="3:11" x14ac:dyDescent="0.25">
      <c r="C34" s="56" t="s">
        <v>236</v>
      </c>
      <c r="D34" s="54" t="s">
        <v>234</v>
      </c>
      <c r="E34" s="54" t="s">
        <v>239</v>
      </c>
      <c r="F34" s="54" t="s">
        <v>237</v>
      </c>
      <c r="G34" s="54" t="s">
        <v>238</v>
      </c>
      <c r="H34" s="54" t="s">
        <v>240</v>
      </c>
      <c r="J34" t="s">
        <v>194</v>
      </c>
      <c r="K34" t="s">
        <v>210</v>
      </c>
    </row>
    <row r="35" spans="3:11" x14ac:dyDescent="0.25">
      <c r="C35" s="53" t="s">
        <v>235</v>
      </c>
      <c r="D35" s="54" t="s">
        <v>171</v>
      </c>
      <c r="E35" s="54" t="s">
        <v>244</v>
      </c>
      <c r="F35" s="54" t="s">
        <v>246</v>
      </c>
      <c r="G35" s="54" t="s">
        <v>248</v>
      </c>
      <c r="H35" s="54"/>
    </row>
    <row r="36" spans="3:11" x14ac:dyDescent="0.25">
      <c r="C36" s="53"/>
      <c r="D36" s="54" t="s">
        <v>241</v>
      </c>
      <c r="E36" s="54" t="s">
        <v>245</v>
      </c>
      <c r="F36" s="54" t="s">
        <v>247</v>
      </c>
      <c r="G36" s="54" t="s">
        <v>249</v>
      </c>
      <c r="H36" s="54"/>
    </row>
    <row r="37" spans="3:11" x14ac:dyDescent="0.25">
      <c r="C37" s="53"/>
      <c r="D37" s="54" t="s">
        <v>242</v>
      </c>
      <c r="E37" s="54"/>
      <c r="F37" s="54"/>
      <c r="G37" s="54" t="s">
        <v>250</v>
      </c>
      <c r="H37" s="54"/>
    </row>
    <row r="38" spans="3:11" x14ac:dyDescent="0.25">
      <c r="C38" s="53"/>
      <c r="D38" s="54" t="s">
        <v>243</v>
      </c>
      <c r="E38" s="54"/>
      <c r="F38" s="54"/>
      <c r="G38" s="54" t="s">
        <v>250</v>
      </c>
      <c r="H38" s="54"/>
    </row>
    <row r="39" spans="3:11" x14ac:dyDescent="0.25">
      <c r="C39" s="53"/>
      <c r="D39" s="54"/>
      <c r="E39" s="54"/>
      <c r="F39" s="54"/>
      <c r="G39" s="54" t="s">
        <v>251</v>
      </c>
      <c r="H39" s="54"/>
    </row>
    <row r="40" spans="3:11" x14ac:dyDescent="0.25">
      <c r="C40" s="53"/>
      <c r="D40" s="54"/>
      <c r="E40" s="54"/>
      <c r="F40" s="54"/>
      <c r="G40" s="54" t="s">
        <v>252</v>
      </c>
      <c r="H40" s="54"/>
    </row>
    <row r="41" spans="3:11" x14ac:dyDescent="0.25">
      <c r="C41" s="53"/>
      <c r="D41" s="54"/>
      <c r="E41" s="54"/>
      <c r="F41" s="54"/>
      <c r="G41" s="54"/>
      <c r="H41" s="54"/>
    </row>
    <row r="43" spans="3:11" x14ac:dyDescent="0.25">
      <c r="C43" t="s">
        <v>253</v>
      </c>
    </row>
    <row r="44" spans="3:11" x14ac:dyDescent="0.25">
      <c r="C44" t="s">
        <v>173</v>
      </c>
      <c r="D44" t="s">
        <v>254</v>
      </c>
    </row>
    <row r="45" spans="3:11" x14ac:dyDescent="0.25">
      <c r="D45" t="s">
        <v>255</v>
      </c>
    </row>
    <row r="46" spans="3:11" x14ac:dyDescent="0.25">
      <c r="D46" t="s">
        <v>256</v>
      </c>
    </row>
    <row r="47" spans="3:11" x14ac:dyDescent="0.25">
      <c r="D47" t="s">
        <v>257</v>
      </c>
    </row>
    <row r="48" spans="3:11" x14ac:dyDescent="0.25">
      <c r="D48" t="s">
        <v>258</v>
      </c>
    </row>
    <row r="49" spans="3:4" x14ac:dyDescent="0.25">
      <c r="C49" t="s">
        <v>179</v>
      </c>
      <c r="D49" t="s">
        <v>259</v>
      </c>
    </row>
    <row r="50" spans="3:4" x14ac:dyDescent="0.25">
      <c r="D50" t="s">
        <v>260</v>
      </c>
    </row>
    <row r="51" spans="3:4" x14ac:dyDescent="0.25">
      <c r="D51" t="s">
        <v>261</v>
      </c>
    </row>
    <row r="52" spans="3:4" x14ac:dyDescent="0.25">
      <c r="D52" t="s">
        <v>264</v>
      </c>
    </row>
    <row r="53" spans="3:4" x14ac:dyDescent="0.25">
      <c r="D53" t="s">
        <v>262</v>
      </c>
    </row>
    <row r="54" spans="3:4" x14ac:dyDescent="0.25">
      <c r="D54" t="s">
        <v>263</v>
      </c>
    </row>
    <row r="55" spans="3:4" x14ac:dyDescent="0.25">
      <c r="D55" t="s">
        <v>265</v>
      </c>
    </row>
    <row r="56" spans="3:4" x14ac:dyDescent="0.25">
      <c r="D56" t="s">
        <v>266</v>
      </c>
    </row>
    <row r="57" spans="3:4" x14ac:dyDescent="0.25">
      <c r="D57" t="s">
        <v>267</v>
      </c>
    </row>
    <row r="58" spans="3:4" x14ac:dyDescent="0.25">
      <c r="D58" t="s">
        <v>269</v>
      </c>
    </row>
    <row r="59" spans="3:4" x14ac:dyDescent="0.25">
      <c r="D59" t="s">
        <v>278</v>
      </c>
    </row>
    <row r="60" spans="3:4" x14ac:dyDescent="0.25">
      <c r="C60" t="s">
        <v>194</v>
      </c>
      <c r="D60" t="s">
        <v>270</v>
      </c>
    </row>
    <row r="61" spans="3:4" x14ac:dyDescent="0.25">
      <c r="D61" t="s">
        <v>268</v>
      </c>
    </row>
    <row r="62" spans="3:4" x14ac:dyDescent="0.25">
      <c r="D62" t="s">
        <v>258</v>
      </c>
    </row>
    <row r="63" spans="3:4" x14ac:dyDescent="0.25">
      <c r="D63" t="s">
        <v>271</v>
      </c>
    </row>
    <row r="64" spans="3:4" x14ac:dyDescent="0.25">
      <c r="D64" t="s">
        <v>272</v>
      </c>
    </row>
    <row r="65" spans="3:4" x14ac:dyDescent="0.25">
      <c r="D65" t="s">
        <v>273</v>
      </c>
    </row>
    <row r="66" spans="3:4" x14ac:dyDescent="0.25">
      <c r="D66" t="s">
        <v>274</v>
      </c>
    </row>
    <row r="67" spans="3:4" x14ac:dyDescent="0.25">
      <c r="C67" t="s">
        <v>189</v>
      </c>
      <c r="D67" t="s">
        <v>275</v>
      </c>
    </row>
    <row r="68" spans="3:4" x14ac:dyDescent="0.25">
      <c r="D68" t="s">
        <v>276</v>
      </c>
    </row>
    <row r="69" spans="3:4" x14ac:dyDescent="0.25">
      <c r="D69" t="s">
        <v>277</v>
      </c>
    </row>
  </sheetData>
  <dataValidations count="2">
    <dataValidation type="list" allowBlank="1" showInputMessage="1" showErrorMessage="1" sqref="J4 J34" xr:uid="{00000000-0002-0000-0200-000000000000}">
      <formula1>$D$4:$H$4</formula1>
    </dataValidation>
    <dataValidation type="list" allowBlank="1" showInputMessage="1" showErrorMessage="1" sqref="K4 K34" xr:uid="{00000000-0002-0000-0200-000001000000}">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55"/>
  <sheetViews>
    <sheetView topLeftCell="A52" zoomScaleNormal="100" workbookViewId="0">
      <selection activeCell="C40" sqref="C40"/>
    </sheetView>
  </sheetViews>
  <sheetFormatPr defaultRowHeight="15" x14ac:dyDescent="0.25"/>
  <cols>
    <col min="2" max="2" width="3" bestFit="1" customWidth="1"/>
    <col min="3" max="3" width="155.28515625" customWidth="1"/>
  </cols>
  <sheetData>
    <row r="2" spans="2:3" ht="15" customHeight="1" x14ac:dyDescent="0.25">
      <c r="B2" s="57">
        <v>1</v>
      </c>
      <c r="C2" s="59" t="s">
        <v>283</v>
      </c>
    </row>
    <row r="3" spans="2:3" x14ac:dyDescent="0.25">
      <c r="B3" s="57">
        <v>2</v>
      </c>
      <c r="C3" s="58" t="s">
        <v>284</v>
      </c>
    </row>
    <row r="4" spans="2:3" x14ac:dyDescent="0.25">
      <c r="B4" s="57">
        <v>3</v>
      </c>
      <c r="C4" s="57" t="s">
        <v>285</v>
      </c>
    </row>
    <row r="5" spans="2:3" x14ac:dyDescent="0.25">
      <c r="B5" s="57">
        <v>4</v>
      </c>
      <c r="C5" s="58" t="s">
        <v>286</v>
      </c>
    </row>
    <row r="6" spans="2:3" x14ac:dyDescent="0.25">
      <c r="B6" s="57">
        <v>5</v>
      </c>
      <c r="C6" s="57" t="s">
        <v>287</v>
      </c>
    </row>
    <row r="7" spans="2:3" ht="30" x14ac:dyDescent="0.25">
      <c r="B7" s="57">
        <v>6</v>
      </c>
      <c r="C7" s="58" t="s">
        <v>288</v>
      </c>
    </row>
    <row r="8" spans="2:3" ht="75" x14ac:dyDescent="0.25">
      <c r="B8" s="57">
        <v>7</v>
      </c>
      <c r="C8" s="58" t="s">
        <v>289</v>
      </c>
    </row>
    <row r="9" spans="2:3" x14ac:dyDescent="0.25">
      <c r="B9" s="57">
        <v>8</v>
      </c>
      <c r="C9" s="57" t="s">
        <v>290</v>
      </c>
    </row>
    <row r="10" spans="2:3" x14ac:dyDescent="0.25">
      <c r="B10" s="57">
        <v>9</v>
      </c>
      <c r="C10" s="57" t="s">
        <v>291</v>
      </c>
    </row>
    <row r="11" spans="2:3" x14ac:dyDescent="0.25">
      <c r="B11" s="57">
        <v>10</v>
      </c>
      <c r="C11" s="57" t="s">
        <v>292</v>
      </c>
    </row>
    <row r="12" spans="2:3" x14ac:dyDescent="0.25">
      <c r="B12" s="57">
        <v>11</v>
      </c>
      <c r="C12" s="57" t="s">
        <v>293</v>
      </c>
    </row>
    <row r="13" spans="2:3" x14ac:dyDescent="0.25">
      <c r="B13" s="57">
        <v>12</v>
      </c>
      <c r="C13" s="57" t="s">
        <v>294</v>
      </c>
    </row>
    <row r="14" spans="2:3" x14ac:dyDescent="0.25">
      <c r="B14" s="57">
        <v>13</v>
      </c>
      <c r="C14" s="57" t="s">
        <v>295</v>
      </c>
    </row>
    <row r="15" spans="2:3" x14ac:dyDescent="0.25">
      <c r="B15" s="57">
        <v>14</v>
      </c>
      <c r="C15" s="57" t="s">
        <v>285</v>
      </c>
    </row>
    <row r="16" spans="2:3" x14ac:dyDescent="0.25">
      <c r="B16" s="57">
        <v>15</v>
      </c>
      <c r="C16" s="57" t="s">
        <v>297</v>
      </c>
    </row>
    <row r="17" spans="2:3" x14ac:dyDescent="0.25">
      <c r="B17" s="78">
        <v>16</v>
      </c>
      <c r="C17" s="63" t="s">
        <v>298</v>
      </c>
    </row>
    <row r="18" spans="2:3" x14ac:dyDescent="0.25">
      <c r="B18" s="62">
        <v>17</v>
      </c>
      <c r="C18" s="63" t="s">
        <v>299</v>
      </c>
    </row>
    <row r="19" spans="2:3" x14ac:dyDescent="0.25">
      <c r="B19" s="61">
        <v>18</v>
      </c>
      <c r="C19" s="57" t="s">
        <v>300</v>
      </c>
    </row>
    <row r="20" spans="2:3" x14ac:dyDescent="0.25">
      <c r="B20" s="62">
        <v>19</v>
      </c>
      <c r="C20" s="57" t="s">
        <v>336</v>
      </c>
    </row>
    <row r="21" spans="2:3" x14ac:dyDescent="0.25">
      <c r="B21" s="57">
        <v>20</v>
      </c>
      <c r="C21" s="57" t="s">
        <v>301</v>
      </c>
    </row>
    <row r="22" spans="2:3" x14ac:dyDescent="0.25">
      <c r="B22" s="62">
        <v>21</v>
      </c>
      <c r="C22" s="57" t="s">
        <v>300</v>
      </c>
    </row>
    <row r="23" spans="2:3" s="73" customFormat="1" ht="29.25" customHeight="1" x14ac:dyDescent="0.25">
      <c r="B23" s="72">
        <v>22</v>
      </c>
      <c r="C23" s="59" t="s">
        <v>328</v>
      </c>
    </row>
    <row r="24" spans="2:3" s="73" customFormat="1" ht="30.75" customHeight="1" x14ac:dyDescent="0.25">
      <c r="B24" s="74">
        <v>23</v>
      </c>
      <c r="C24" s="59" t="s">
        <v>329</v>
      </c>
    </row>
    <row r="25" spans="2:3" x14ac:dyDescent="0.25">
      <c r="B25" s="57">
        <v>24</v>
      </c>
      <c r="C25" s="57" t="s">
        <v>332</v>
      </c>
    </row>
    <row r="26" spans="2:3" x14ac:dyDescent="0.25">
      <c r="B26" s="62">
        <v>25</v>
      </c>
      <c r="C26" s="57" t="s">
        <v>330</v>
      </c>
    </row>
    <row r="27" spans="2:3" x14ac:dyDescent="0.25">
      <c r="B27" s="74">
        <v>26</v>
      </c>
      <c r="C27" s="57" t="s">
        <v>331</v>
      </c>
    </row>
    <row r="28" spans="2:3" x14ac:dyDescent="0.25">
      <c r="B28" s="62">
        <v>27</v>
      </c>
      <c r="C28" s="57" t="s">
        <v>333</v>
      </c>
    </row>
    <row r="29" spans="2:3" ht="60" x14ac:dyDescent="0.25">
      <c r="B29" s="77">
        <v>28</v>
      </c>
      <c r="C29" s="58" t="s">
        <v>334</v>
      </c>
    </row>
    <row r="30" spans="2:3" x14ac:dyDescent="0.25">
      <c r="B30" s="74">
        <v>29</v>
      </c>
      <c r="C30" s="57" t="s">
        <v>335</v>
      </c>
    </row>
    <row r="31" spans="2:3" ht="30" x14ac:dyDescent="0.25">
      <c r="B31" s="74">
        <v>30</v>
      </c>
      <c r="C31" s="58" t="s">
        <v>337</v>
      </c>
    </row>
    <row r="32" spans="2:3" x14ac:dyDescent="0.25">
      <c r="B32" s="74">
        <v>31</v>
      </c>
      <c r="C32" s="57" t="s">
        <v>338</v>
      </c>
    </row>
    <row r="33" spans="2:4" x14ac:dyDescent="0.25">
      <c r="B33" s="74">
        <v>32</v>
      </c>
      <c r="C33" s="57" t="s">
        <v>339</v>
      </c>
    </row>
    <row r="34" spans="2:4" ht="36.75" customHeight="1" x14ac:dyDescent="0.25">
      <c r="B34" s="74">
        <v>33</v>
      </c>
      <c r="C34" s="63" t="s">
        <v>340</v>
      </c>
    </row>
    <row r="35" spans="2:4" x14ac:dyDescent="0.25">
      <c r="B35" s="72">
        <v>34</v>
      </c>
      <c r="C35" s="57" t="s">
        <v>348</v>
      </c>
    </row>
    <row r="36" spans="2:4" ht="60" x14ac:dyDescent="0.25">
      <c r="B36" s="72">
        <v>35</v>
      </c>
      <c r="C36" s="58" t="s">
        <v>351</v>
      </c>
    </row>
    <row r="37" spans="2:4" x14ac:dyDescent="0.25">
      <c r="B37" s="57">
        <v>36</v>
      </c>
      <c r="C37" s="58" t="s">
        <v>362</v>
      </c>
    </row>
    <row r="38" spans="2:4" x14ac:dyDescent="0.25">
      <c r="B38" s="57">
        <f t="shared" ref="B38:B44" si="0">B37+1</f>
        <v>37</v>
      </c>
      <c r="C38" s="57" t="s">
        <v>358</v>
      </c>
    </row>
    <row r="39" spans="2:4" x14ac:dyDescent="0.25">
      <c r="B39" s="57">
        <f t="shared" si="0"/>
        <v>38</v>
      </c>
      <c r="C39" s="57" t="s">
        <v>359</v>
      </c>
    </row>
    <row r="40" spans="2:4" x14ac:dyDescent="0.25">
      <c r="B40" s="57">
        <f t="shared" si="0"/>
        <v>39</v>
      </c>
      <c r="C40" s="57" t="s">
        <v>360</v>
      </c>
    </row>
    <row r="41" spans="2:4" x14ac:dyDescent="0.25">
      <c r="B41" s="57">
        <f t="shared" si="0"/>
        <v>40</v>
      </c>
      <c r="C41" s="57" t="s">
        <v>361</v>
      </c>
    </row>
    <row r="42" spans="2:4" ht="30.75" thickBot="1" x14ac:dyDescent="0.3">
      <c r="B42" s="81">
        <f t="shared" si="0"/>
        <v>41</v>
      </c>
      <c r="C42" s="82" t="s">
        <v>363</v>
      </c>
    </row>
    <row r="43" spans="2:4" ht="30" x14ac:dyDescent="0.25">
      <c r="B43" s="85">
        <f t="shared" si="0"/>
        <v>42</v>
      </c>
      <c r="C43" s="90" t="s">
        <v>368</v>
      </c>
      <c r="D43" t="s">
        <v>369</v>
      </c>
    </row>
    <row r="44" spans="2:4" ht="15.75" thickBot="1" x14ac:dyDescent="0.3">
      <c r="B44" s="87">
        <f t="shared" si="0"/>
        <v>43</v>
      </c>
      <c r="C44" s="89" t="s">
        <v>364</v>
      </c>
    </row>
    <row r="45" spans="2:4" ht="15.75" thickBot="1" x14ac:dyDescent="0.3">
      <c r="B45" s="83">
        <f t="shared" ref="B45:B54" si="1">B44+1</f>
        <v>44</v>
      </c>
      <c r="C45" s="84" t="s">
        <v>365</v>
      </c>
    </row>
    <row r="46" spans="2:4" ht="30" x14ac:dyDescent="0.25">
      <c r="B46" s="85">
        <f t="shared" si="1"/>
        <v>45</v>
      </c>
      <c r="C46" s="86" t="s">
        <v>366</v>
      </c>
    </row>
    <row r="47" spans="2:4" ht="15.75" thickBot="1" x14ac:dyDescent="0.3">
      <c r="B47" s="87">
        <f t="shared" si="1"/>
        <v>46</v>
      </c>
      <c r="C47" s="88" t="s">
        <v>367</v>
      </c>
    </row>
    <row r="48" spans="2:4" x14ac:dyDescent="0.25">
      <c r="B48" s="91">
        <f t="shared" si="1"/>
        <v>47</v>
      </c>
      <c r="C48" s="92" t="s">
        <v>370</v>
      </c>
    </row>
    <row r="49" spans="2:6" x14ac:dyDescent="0.25">
      <c r="B49" s="91">
        <f t="shared" si="1"/>
        <v>48</v>
      </c>
      <c r="C49" s="92" t="s">
        <v>371</v>
      </c>
    </row>
    <row r="50" spans="2:6" x14ac:dyDescent="0.25">
      <c r="B50" s="91">
        <f t="shared" si="1"/>
        <v>49</v>
      </c>
      <c r="C50" s="92" t="s">
        <v>373</v>
      </c>
      <c r="D50" t="s">
        <v>372</v>
      </c>
    </row>
    <row r="51" spans="2:6" ht="30" x14ac:dyDescent="0.25">
      <c r="B51" s="93">
        <f t="shared" si="1"/>
        <v>50</v>
      </c>
      <c r="C51" s="94" t="s">
        <v>374</v>
      </c>
    </row>
    <row r="52" spans="2:6" x14ac:dyDescent="0.25">
      <c r="B52" s="93">
        <f t="shared" si="1"/>
        <v>51</v>
      </c>
      <c r="C52" s="95" t="s">
        <v>375</v>
      </c>
      <c r="D52" t="s">
        <v>376</v>
      </c>
    </row>
    <row r="53" spans="2:6" x14ac:dyDescent="0.25">
      <c r="B53" s="93">
        <f t="shared" si="1"/>
        <v>52</v>
      </c>
      <c r="C53" s="95" t="s">
        <v>378</v>
      </c>
      <c r="D53" t="s">
        <v>379</v>
      </c>
    </row>
    <row r="54" spans="2:6" ht="45" x14ac:dyDescent="0.25">
      <c r="B54" s="93">
        <f t="shared" si="1"/>
        <v>53</v>
      </c>
      <c r="C54" s="63" t="s">
        <v>383</v>
      </c>
      <c r="D54" t="s">
        <v>382</v>
      </c>
    </row>
    <row r="55" spans="2:6" ht="30" x14ac:dyDescent="0.25">
      <c r="B55">
        <v>54</v>
      </c>
      <c r="C55" s="97" t="s">
        <v>384</v>
      </c>
      <c r="D55" s="280" t="s">
        <v>385</v>
      </c>
      <c r="E55" s="281"/>
      <c r="F55" s="281"/>
    </row>
  </sheetData>
  <mergeCells count="1">
    <mergeCell ref="D55:F55"/>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44"/>
  <sheetViews>
    <sheetView workbookViewId="0">
      <selection sqref="A1:XFD1048576"/>
    </sheetView>
  </sheetViews>
  <sheetFormatPr defaultColWidth="9.140625" defaultRowHeight="15" x14ac:dyDescent="0.25"/>
  <cols>
    <col min="1" max="1" width="9.140625" style="53"/>
    <col min="2" max="2" width="12.28515625" style="53" customWidth="1"/>
    <col min="3" max="16384" width="9.140625" style="53"/>
  </cols>
  <sheetData>
    <row r="2" spans="1:12" x14ac:dyDescent="0.25">
      <c r="B2" s="66" t="s">
        <v>302</v>
      </c>
      <c r="C2" s="282"/>
      <c r="D2" s="282"/>
    </row>
    <row r="3" spans="1:12" x14ac:dyDescent="0.25">
      <c r="D3" s="67"/>
      <c r="E3" s="67"/>
      <c r="F3" s="67"/>
      <c r="G3" s="67"/>
      <c r="H3" s="67"/>
      <c r="I3" s="67"/>
    </row>
    <row r="4" spans="1:12" x14ac:dyDescent="0.25">
      <c r="A4" s="66" t="s">
        <v>65</v>
      </c>
      <c r="B4" s="68" t="s">
        <v>303</v>
      </c>
      <c r="C4" s="283" t="s">
        <v>304</v>
      </c>
      <c r="D4" s="283"/>
      <c r="E4" s="283"/>
      <c r="F4" s="68"/>
      <c r="G4" s="284" t="s">
        <v>305</v>
      </c>
      <c r="H4" s="284"/>
      <c r="I4" s="284"/>
      <c r="J4" s="285" t="s">
        <v>306</v>
      </c>
      <c r="K4" s="285"/>
      <c r="L4" s="285"/>
    </row>
    <row r="5" spans="1:12" x14ac:dyDescent="0.25">
      <c r="A5" s="66"/>
      <c r="B5" s="68"/>
      <c r="C5" s="68" t="s">
        <v>307</v>
      </c>
      <c r="D5" s="68" t="s">
        <v>308</v>
      </c>
      <c r="E5" s="68" t="s">
        <v>309</v>
      </c>
      <c r="F5" s="68"/>
      <c r="G5" s="68" t="s">
        <v>307</v>
      </c>
      <c r="H5" s="68" t="s">
        <v>308</v>
      </c>
      <c r="I5" s="68" t="s">
        <v>309</v>
      </c>
      <c r="J5" s="68" t="s">
        <v>307</v>
      </c>
      <c r="K5" s="68" t="s">
        <v>308</v>
      </c>
      <c r="L5" s="68" t="s">
        <v>309</v>
      </c>
    </row>
    <row r="6" spans="1:12" x14ac:dyDescent="0.25">
      <c r="B6" s="54" t="s">
        <v>310</v>
      </c>
      <c r="C6" s="54"/>
      <c r="D6" s="54"/>
      <c r="E6" s="54">
        <f>C6*D6</f>
        <v>0</v>
      </c>
      <c r="F6" s="54" t="s">
        <v>327</v>
      </c>
      <c r="G6" s="54"/>
      <c r="H6" s="54"/>
      <c r="I6" s="54">
        <f>G6*H6</f>
        <v>0</v>
      </c>
      <c r="J6" s="54"/>
      <c r="K6" s="54"/>
      <c r="L6" s="54">
        <f>J6*K6</f>
        <v>0</v>
      </c>
    </row>
    <row r="7" spans="1:12" x14ac:dyDescent="0.25">
      <c r="B7" s="54"/>
      <c r="C7" s="54"/>
      <c r="D7" s="54"/>
      <c r="E7" s="54">
        <f t="shared" ref="E7:E41" si="0">C7*D7</f>
        <v>0</v>
      </c>
      <c r="F7" s="54" t="s">
        <v>327</v>
      </c>
      <c r="G7" s="54"/>
      <c r="H7" s="54"/>
      <c r="I7" s="54">
        <f t="shared" ref="I7:I35" si="1">G7*H7</f>
        <v>0</v>
      </c>
      <c r="J7" s="54"/>
      <c r="K7" s="54"/>
      <c r="L7" s="54">
        <f t="shared" ref="L7:L35" si="2">J7*K7</f>
        <v>0</v>
      </c>
    </row>
    <row r="8" spans="1:12" x14ac:dyDescent="0.25">
      <c r="B8" s="54"/>
      <c r="C8" s="54"/>
      <c r="D8" s="54"/>
      <c r="E8" s="54">
        <f t="shared" si="0"/>
        <v>0</v>
      </c>
      <c r="F8" s="54"/>
      <c r="G8" s="54"/>
      <c r="H8" s="54"/>
      <c r="I8" s="54">
        <f t="shared" si="1"/>
        <v>0</v>
      </c>
      <c r="J8" s="54"/>
      <c r="K8" s="54"/>
      <c r="L8" s="54">
        <f t="shared" si="2"/>
        <v>0</v>
      </c>
    </row>
    <row r="9" spans="1:12" x14ac:dyDescent="0.25">
      <c r="B9" s="54"/>
      <c r="C9" s="54"/>
      <c r="D9" s="54"/>
      <c r="E9" s="54">
        <f t="shared" si="0"/>
        <v>0</v>
      </c>
      <c r="F9" s="54" t="s">
        <v>311</v>
      </c>
      <c r="G9" s="54"/>
      <c r="H9" s="54"/>
      <c r="I9" s="54">
        <f t="shared" si="1"/>
        <v>0</v>
      </c>
      <c r="J9" s="54"/>
      <c r="K9" s="54"/>
      <c r="L9" s="54">
        <f t="shared" si="2"/>
        <v>0</v>
      </c>
    </row>
    <row r="10" spans="1:12" x14ac:dyDescent="0.25">
      <c r="B10" s="54" t="s">
        <v>312</v>
      </c>
      <c r="C10" s="54"/>
      <c r="D10" s="54"/>
      <c r="E10" s="54">
        <f t="shared" si="0"/>
        <v>0</v>
      </c>
      <c r="F10" s="54" t="s">
        <v>311</v>
      </c>
      <c r="G10" s="54"/>
      <c r="H10" s="54"/>
      <c r="I10" s="54">
        <f t="shared" si="1"/>
        <v>0</v>
      </c>
      <c r="J10" s="54"/>
      <c r="K10" s="54"/>
      <c r="L10" s="54">
        <f t="shared" si="2"/>
        <v>0</v>
      </c>
    </row>
    <row r="11" spans="1:12" x14ac:dyDescent="0.25">
      <c r="B11" s="54"/>
      <c r="C11" s="54"/>
      <c r="D11" s="54"/>
      <c r="E11" s="54">
        <f t="shared" si="0"/>
        <v>0</v>
      </c>
      <c r="F11" s="54" t="s">
        <v>313</v>
      </c>
      <c r="G11" s="54"/>
      <c r="H11" s="54"/>
      <c r="I11" s="54">
        <f t="shared" si="1"/>
        <v>0</v>
      </c>
      <c r="J11" s="54"/>
      <c r="K11" s="54"/>
      <c r="L11" s="54">
        <f t="shared" si="2"/>
        <v>0</v>
      </c>
    </row>
    <row r="12" spans="1:12" x14ac:dyDescent="0.25">
      <c r="B12" s="54"/>
      <c r="C12" s="54"/>
      <c r="D12" s="54"/>
      <c r="E12" s="54">
        <f t="shared" si="0"/>
        <v>0</v>
      </c>
      <c r="F12" s="54"/>
      <c r="G12" s="54"/>
      <c r="H12" s="54"/>
      <c r="I12" s="54">
        <f t="shared" si="1"/>
        <v>0</v>
      </c>
      <c r="J12" s="54"/>
      <c r="K12" s="54"/>
      <c r="L12" s="54">
        <f t="shared" si="2"/>
        <v>0</v>
      </c>
    </row>
    <row r="13" spans="1:12" x14ac:dyDescent="0.25">
      <c r="B13" s="54"/>
      <c r="C13" s="54"/>
      <c r="D13" s="54"/>
      <c r="E13" s="54">
        <f t="shared" si="0"/>
        <v>0</v>
      </c>
      <c r="F13" s="54"/>
      <c r="G13" s="54"/>
      <c r="H13" s="54"/>
      <c r="I13" s="54">
        <f t="shared" si="1"/>
        <v>0</v>
      </c>
      <c r="J13" s="54"/>
      <c r="K13" s="54"/>
      <c r="L13" s="54">
        <f t="shared" si="2"/>
        <v>0</v>
      </c>
    </row>
    <row r="14" spans="1:12" x14ac:dyDescent="0.25">
      <c r="B14" s="54" t="s">
        <v>314</v>
      </c>
      <c r="C14" s="54"/>
      <c r="D14" s="54"/>
      <c r="E14" s="54">
        <f t="shared" si="0"/>
        <v>0</v>
      </c>
      <c r="F14" s="54" t="s">
        <v>311</v>
      </c>
      <c r="G14" s="54"/>
      <c r="H14" s="54"/>
      <c r="I14" s="54">
        <f t="shared" si="1"/>
        <v>0</v>
      </c>
      <c r="J14" s="54"/>
      <c r="K14" s="54"/>
      <c r="L14" s="54">
        <f t="shared" si="2"/>
        <v>0</v>
      </c>
    </row>
    <row r="15" spans="1:12" x14ac:dyDescent="0.25">
      <c r="B15" s="54"/>
      <c r="C15" s="54"/>
      <c r="D15" s="54"/>
      <c r="E15" s="54">
        <f t="shared" si="0"/>
        <v>0</v>
      </c>
      <c r="F15" s="54" t="s">
        <v>313</v>
      </c>
      <c r="G15" s="54"/>
      <c r="H15" s="54"/>
      <c r="I15" s="54">
        <f t="shared" si="1"/>
        <v>0</v>
      </c>
      <c r="J15" s="54"/>
      <c r="K15" s="54"/>
      <c r="L15" s="54">
        <f t="shared" si="2"/>
        <v>0</v>
      </c>
    </row>
    <row r="16" spans="1:12" x14ac:dyDescent="0.25">
      <c r="B16" s="54"/>
      <c r="C16" s="54"/>
      <c r="D16" s="54"/>
      <c r="E16" s="54">
        <f t="shared" si="0"/>
        <v>0</v>
      </c>
      <c r="F16" s="54"/>
      <c r="G16" s="54"/>
      <c r="H16" s="54"/>
      <c r="I16" s="54">
        <f t="shared" si="1"/>
        <v>0</v>
      </c>
      <c r="J16" s="54"/>
      <c r="K16" s="54"/>
      <c r="L16" s="54">
        <f t="shared" si="2"/>
        <v>0</v>
      </c>
    </row>
    <row r="17" spans="2:12" x14ac:dyDescent="0.25">
      <c r="B17" s="54"/>
      <c r="C17" s="54"/>
      <c r="D17" s="54"/>
      <c r="E17" s="54">
        <f t="shared" si="0"/>
        <v>0</v>
      </c>
      <c r="F17" s="54"/>
      <c r="G17" s="54"/>
      <c r="H17" s="54"/>
      <c r="I17" s="54">
        <f t="shared" si="1"/>
        <v>0</v>
      </c>
      <c r="J17" s="54"/>
      <c r="K17" s="54"/>
      <c r="L17" s="54">
        <f t="shared" si="2"/>
        <v>0</v>
      </c>
    </row>
    <row r="18" spans="2:12" x14ac:dyDescent="0.25">
      <c r="B18" s="54" t="s">
        <v>315</v>
      </c>
      <c r="C18" s="54"/>
      <c r="D18" s="54"/>
      <c r="E18" s="54">
        <f t="shared" si="0"/>
        <v>0</v>
      </c>
      <c r="F18" s="54" t="s">
        <v>311</v>
      </c>
      <c r="G18" s="54"/>
      <c r="H18" s="54"/>
      <c r="I18" s="54">
        <f t="shared" si="1"/>
        <v>0</v>
      </c>
      <c r="J18" s="54"/>
      <c r="K18" s="54"/>
      <c r="L18" s="54">
        <f t="shared" si="2"/>
        <v>0</v>
      </c>
    </row>
    <row r="19" spans="2:12" x14ac:dyDescent="0.25">
      <c r="B19" s="54"/>
      <c r="C19" s="54"/>
      <c r="D19" s="54"/>
      <c r="E19" s="54">
        <f t="shared" si="0"/>
        <v>0</v>
      </c>
      <c r="F19" s="54" t="s">
        <v>313</v>
      </c>
      <c r="G19" s="54"/>
      <c r="H19" s="54"/>
      <c r="I19" s="54">
        <f t="shared" si="1"/>
        <v>0</v>
      </c>
      <c r="J19" s="54"/>
      <c r="K19" s="54"/>
      <c r="L19" s="54">
        <f t="shared" si="2"/>
        <v>0</v>
      </c>
    </row>
    <row r="20" spans="2:12" x14ac:dyDescent="0.25">
      <c r="B20" s="54"/>
      <c r="C20" s="54"/>
      <c r="D20" s="54"/>
      <c r="E20" s="54">
        <f t="shared" si="0"/>
        <v>0</v>
      </c>
      <c r="F20" s="54"/>
      <c r="G20" s="54"/>
      <c r="H20" s="54"/>
      <c r="I20" s="54">
        <f t="shared" si="1"/>
        <v>0</v>
      </c>
      <c r="J20" s="54"/>
      <c r="K20" s="54"/>
      <c r="L20" s="54">
        <f t="shared" si="2"/>
        <v>0</v>
      </c>
    </row>
    <row r="21" spans="2:12" x14ac:dyDescent="0.25">
      <c r="B21" s="54" t="s">
        <v>316</v>
      </c>
      <c r="C21" s="54"/>
      <c r="D21" s="54"/>
      <c r="E21" s="54">
        <f t="shared" si="0"/>
        <v>0</v>
      </c>
      <c r="F21" s="54" t="s">
        <v>311</v>
      </c>
      <c r="G21" s="54"/>
      <c r="H21" s="54"/>
      <c r="I21" s="54">
        <f t="shared" si="1"/>
        <v>0</v>
      </c>
      <c r="J21" s="54"/>
      <c r="K21" s="54"/>
      <c r="L21" s="54">
        <f t="shared" si="2"/>
        <v>0</v>
      </c>
    </row>
    <row r="22" spans="2:12" x14ac:dyDescent="0.25">
      <c r="B22" s="54"/>
      <c r="C22" s="54"/>
      <c r="D22" s="54"/>
      <c r="E22" s="54">
        <f t="shared" si="0"/>
        <v>0</v>
      </c>
      <c r="F22" s="54" t="s">
        <v>313</v>
      </c>
      <c r="G22" s="54"/>
      <c r="H22" s="54"/>
      <c r="I22" s="54">
        <f t="shared" si="1"/>
        <v>0</v>
      </c>
      <c r="J22" s="54"/>
      <c r="K22" s="54"/>
      <c r="L22" s="54">
        <f t="shared" si="2"/>
        <v>0</v>
      </c>
    </row>
    <row r="23" spans="2:12" x14ac:dyDescent="0.25">
      <c r="B23" s="54"/>
      <c r="C23" s="54"/>
      <c r="D23" s="54"/>
      <c r="E23" s="54">
        <f t="shared" si="0"/>
        <v>0</v>
      </c>
      <c r="F23" s="54"/>
      <c r="G23" s="54"/>
      <c r="H23" s="54"/>
      <c r="I23" s="54">
        <f t="shared" si="1"/>
        <v>0</v>
      </c>
      <c r="J23" s="54"/>
      <c r="K23" s="54"/>
      <c r="L23" s="54">
        <f t="shared" si="2"/>
        <v>0</v>
      </c>
    </row>
    <row r="24" spans="2:12" x14ac:dyDescent="0.25">
      <c r="B24" s="54" t="s">
        <v>317</v>
      </c>
      <c r="C24" s="54"/>
      <c r="D24" s="54"/>
      <c r="E24" s="54">
        <f t="shared" si="0"/>
        <v>0</v>
      </c>
      <c r="F24" s="54" t="s">
        <v>318</v>
      </c>
      <c r="G24" s="54"/>
      <c r="H24" s="54"/>
      <c r="I24" s="54">
        <f t="shared" si="1"/>
        <v>0</v>
      </c>
      <c r="J24" s="54"/>
      <c r="K24" s="54"/>
      <c r="L24" s="54">
        <f t="shared" si="2"/>
        <v>0</v>
      </c>
    </row>
    <row r="25" spans="2:12" x14ac:dyDescent="0.25">
      <c r="B25" s="54"/>
      <c r="C25" s="54"/>
      <c r="D25" s="54"/>
      <c r="E25" s="54">
        <f>C25*D25</f>
        <v>0</v>
      </c>
      <c r="F25" s="54" t="s">
        <v>318</v>
      </c>
      <c r="G25" s="54"/>
      <c r="H25" s="54"/>
      <c r="I25" s="54">
        <f>G25*H25</f>
        <v>0</v>
      </c>
      <c r="J25" s="54"/>
      <c r="K25" s="54"/>
      <c r="L25" s="54">
        <f>J25*K25</f>
        <v>0</v>
      </c>
    </row>
    <row r="26" spans="2:12" x14ac:dyDescent="0.25">
      <c r="B26" s="54"/>
      <c r="C26" s="54"/>
      <c r="D26" s="54"/>
      <c r="E26" s="54">
        <f>C26*D26</f>
        <v>0</v>
      </c>
      <c r="F26" s="54" t="s">
        <v>318</v>
      </c>
      <c r="G26" s="54"/>
      <c r="H26" s="54"/>
      <c r="I26" s="54">
        <f>G26*H26</f>
        <v>0</v>
      </c>
      <c r="J26" s="54"/>
      <c r="K26" s="54"/>
      <c r="L26" s="54">
        <f>J26*K26</f>
        <v>0</v>
      </c>
    </row>
    <row r="27" spans="2:12" x14ac:dyDescent="0.25">
      <c r="B27" s="54"/>
      <c r="C27" s="54"/>
      <c r="D27" s="54"/>
      <c r="E27" s="54">
        <f>C27*D27</f>
        <v>0</v>
      </c>
      <c r="F27" s="54" t="s">
        <v>318</v>
      </c>
      <c r="G27" s="54"/>
      <c r="H27" s="54"/>
      <c r="I27" s="54">
        <f>G27*H27</f>
        <v>0</v>
      </c>
      <c r="J27" s="54"/>
      <c r="K27" s="54"/>
      <c r="L27" s="54">
        <f>J27*K27</f>
        <v>0</v>
      </c>
    </row>
    <row r="28" spans="2:12" x14ac:dyDescent="0.25">
      <c r="B28" s="54" t="s">
        <v>319</v>
      </c>
      <c r="C28" s="54"/>
      <c r="D28" s="54"/>
      <c r="E28" s="54">
        <f t="shared" si="0"/>
        <v>0</v>
      </c>
      <c r="F28" s="54" t="s">
        <v>318</v>
      </c>
      <c r="G28" s="54"/>
      <c r="H28" s="54"/>
      <c r="I28" s="54">
        <f t="shared" si="1"/>
        <v>0</v>
      </c>
      <c r="J28" s="54"/>
      <c r="K28" s="54"/>
      <c r="L28" s="54">
        <f t="shared" si="2"/>
        <v>0</v>
      </c>
    </row>
    <row r="29" spans="2:12" x14ac:dyDescent="0.25">
      <c r="B29" s="54" t="s">
        <v>320</v>
      </c>
      <c r="C29" s="54"/>
      <c r="D29" s="54"/>
      <c r="E29" s="54">
        <f t="shared" si="0"/>
        <v>0</v>
      </c>
      <c r="F29" s="54" t="s">
        <v>318</v>
      </c>
      <c r="G29" s="54"/>
      <c r="H29" s="54"/>
      <c r="I29" s="54">
        <f t="shared" si="1"/>
        <v>0</v>
      </c>
      <c r="J29" s="54"/>
      <c r="K29" s="54"/>
      <c r="L29" s="54">
        <f t="shared" si="2"/>
        <v>0</v>
      </c>
    </row>
    <row r="30" spans="2:12" x14ac:dyDescent="0.25">
      <c r="B30" s="54" t="s">
        <v>324</v>
      </c>
      <c r="C30" s="54"/>
      <c r="D30" s="54"/>
      <c r="E30" s="54">
        <f t="shared" si="0"/>
        <v>0</v>
      </c>
      <c r="F30" s="54"/>
      <c r="G30" s="54"/>
      <c r="H30" s="54"/>
      <c r="I30" s="54">
        <f t="shared" si="1"/>
        <v>0</v>
      </c>
      <c r="J30" s="54"/>
      <c r="K30" s="54"/>
      <c r="L30" s="54">
        <f t="shared" si="2"/>
        <v>0</v>
      </c>
    </row>
    <row r="31" spans="2:12" x14ac:dyDescent="0.25">
      <c r="B31" s="54"/>
      <c r="C31" s="54"/>
      <c r="D31" s="54"/>
      <c r="E31" s="54">
        <f>C31*D31</f>
        <v>0</v>
      </c>
      <c r="F31" s="54"/>
      <c r="G31" s="54"/>
      <c r="H31" s="54"/>
      <c r="I31" s="54">
        <f>G31*H31</f>
        <v>0</v>
      </c>
      <c r="J31" s="54"/>
      <c r="K31" s="54"/>
      <c r="L31" s="54">
        <f>J31*K31</f>
        <v>0</v>
      </c>
    </row>
    <row r="32" spans="2:12" x14ac:dyDescent="0.25">
      <c r="B32" s="54"/>
      <c r="C32" s="54"/>
      <c r="D32" s="54"/>
      <c r="E32" s="54">
        <f>C32*D32</f>
        <v>0</v>
      </c>
      <c r="F32" s="54"/>
      <c r="G32" s="54"/>
      <c r="H32" s="54"/>
      <c r="I32" s="54">
        <f>G32*H32</f>
        <v>0</v>
      </c>
      <c r="J32" s="54"/>
      <c r="K32" s="54"/>
      <c r="L32" s="54">
        <f>J32*K32</f>
        <v>0</v>
      </c>
    </row>
    <row r="33" spans="2:12" x14ac:dyDescent="0.25">
      <c r="B33" s="54" t="s">
        <v>321</v>
      </c>
      <c r="C33" s="54"/>
      <c r="D33" s="54"/>
      <c r="E33" s="54">
        <f t="shared" si="0"/>
        <v>0</v>
      </c>
      <c r="F33" s="54"/>
      <c r="G33" s="54"/>
      <c r="H33" s="54"/>
      <c r="I33" s="54">
        <f t="shared" si="1"/>
        <v>0</v>
      </c>
      <c r="J33" s="54"/>
      <c r="K33" s="54"/>
      <c r="L33" s="54">
        <f t="shared" si="2"/>
        <v>0</v>
      </c>
    </row>
    <row r="34" spans="2:12" x14ac:dyDescent="0.25">
      <c r="B34" s="54" t="s">
        <v>325</v>
      </c>
      <c r="C34" s="54"/>
      <c r="D34" s="54"/>
      <c r="E34" s="54">
        <f t="shared" si="0"/>
        <v>0</v>
      </c>
      <c r="F34" s="54"/>
      <c r="G34" s="54"/>
      <c r="H34" s="54"/>
      <c r="I34" s="54">
        <f t="shared" si="1"/>
        <v>0</v>
      </c>
      <c r="J34" s="54"/>
      <c r="K34" s="54"/>
      <c r="L34" s="54">
        <f t="shared" si="2"/>
        <v>0</v>
      </c>
    </row>
    <row r="35" spans="2:12" x14ac:dyDescent="0.25">
      <c r="B35" s="54" t="s">
        <v>322</v>
      </c>
      <c r="C35" s="54"/>
      <c r="D35" s="54"/>
      <c r="E35" s="54">
        <f t="shared" si="0"/>
        <v>0</v>
      </c>
      <c r="F35" s="54"/>
      <c r="G35" s="54"/>
      <c r="H35" s="54"/>
      <c r="I35" s="54">
        <f t="shared" si="1"/>
        <v>0</v>
      </c>
      <c r="J35" s="54"/>
      <c r="K35" s="54"/>
      <c r="L35" s="54">
        <f t="shared" si="2"/>
        <v>0</v>
      </c>
    </row>
    <row r="36" spans="2:12" x14ac:dyDescent="0.25">
      <c r="B36" s="54" t="s">
        <v>323</v>
      </c>
      <c r="C36" s="54"/>
      <c r="D36" s="54"/>
      <c r="E36" s="54">
        <f t="shared" si="0"/>
        <v>0</v>
      </c>
      <c r="F36" s="54"/>
      <c r="G36" s="54"/>
      <c r="H36" s="54"/>
      <c r="I36" s="54">
        <f t="shared" ref="I36:I41" si="3">G36*H36</f>
        <v>0</v>
      </c>
      <c r="J36" s="54"/>
      <c r="K36" s="54"/>
      <c r="L36" s="54">
        <f t="shared" ref="L36:L41" si="4">J36*K36</f>
        <v>0</v>
      </c>
    </row>
    <row r="37" spans="2:12" x14ac:dyDescent="0.25">
      <c r="B37" s="54"/>
      <c r="C37" s="54"/>
      <c r="D37" s="54"/>
      <c r="E37" s="54">
        <f>C37*D37</f>
        <v>0</v>
      </c>
      <c r="F37" s="54"/>
      <c r="G37" s="54"/>
      <c r="H37" s="54"/>
      <c r="I37" s="54">
        <f t="shared" si="3"/>
        <v>0</v>
      </c>
      <c r="J37" s="54"/>
      <c r="K37" s="54"/>
      <c r="L37" s="54">
        <f t="shared" si="4"/>
        <v>0</v>
      </c>
    </row>
    <row r="38" spans="2:12" x14ac:dyDescent="0.25">
      <c r="B38" s="54" t="s">
        <v>326</v>
      </c>
      <c r="C38" s="54"/>
      <c r="D38" s="54"/>
      <c r="E38" s="54">
        <f>C38*D38</f>
        <v>0</v>
      </c>
      <c r="F38" s="54"/>
      <c r="G38" s="54"/>
      <c r="H38" s="54"/>
      <c r="I38" s="54">
        <f t="shared" si="3"/>
        <v>0</v>
      </c>
      <c r="J38" s="54"/>
      <c r="K38" s="54"/>
      <c r="L38" s="54">
        <f t="shared" si="4"/>
        <v>0</v>
      </c>
    </row>
    <row r="39" spans="2:12" x14ac:dyDescent="0.25">
      <c r="B39" s="54"/>
      <c r="C39" s="54"/>
      <c r="D39" s="54"/>
      <c r="E39" s="54">
        <f t="shared" si="0"/>
        <v>0</v>
      </c>
      <c r="F39" s="54"/>
      <c r="G39" s="54"/>
      <c r="H39" s="54"/>
      <c r="I39" s="54">
        <f t="shared" si="3"/>
        <v>0</v>
      </c>
      <c r="J39" s="54"/>
      <c r="K39" s="54"/>
      <c r="L39" s="54">
        <f t="shared" si="4"/>
        <v>0</v>
      </c>
    </row>
    <row r="40" spans="2:12" x14ac:dyDescent="0.25">
      <c r="B40" s="54"/>
      <c r="C40" s="54"/>
      <c r="D40" s="54"/>
      <c r="E40" s="54">
        <f t="shared" si="0"/>
        <v>0</v>
      </c>
      <c r="F40" s="54"/>
      <c r="G40" s="54"/>
      <c r="H40" s="54"/>
      <c r="I40" s="54">
        <f t="shared" si="3"/>
        <v>0</v>
      </c>
      <c r="J40" s="54"/>
      <c r="K40" s="54"/>
      <c r="L40" s="54">
        <f t="shared" si="4"/>
        <v>0</v>
      </c>
    </row>
    <row r="41" spans="2:12" x14ac:dyDescent="0.25">
      <c r="B41" s="54"/>
      <c r="C41" s="54"/>
      <c r="D41" s="54"/>
      <c r="E41" s="54">
        <f t="shared" si="0"/>
        <v>0</v>
      </c>
      <c r="F41" s="54"/>
      <c r="G41" s="54"/>
      <c r="H41" s="54"/>
      <c r="I41" s="54">
        <f t="shared" si="3"/>
        <v>0</v>
      </c>
      <c r="J41" s="54"/>
      <c r="K41" s="54"/>
      <c r="L41" s="54">
        <f t="shared" si="4"/>
        <v>0</v>
      </c>
    </row>
    <row r="42" spans="2:12" x14ac:dyDescent="0.25">
      <c r="B42" s="54" t="s">
        <v>151</v>
      </c>
      <c r="C42" s="54"/>
      <c r="D42" s="54">
        <f>E42*10.764</f>
        <v>0</v>
      </c>
      <c r="E42" s="71">
        <f>SUM(E6:E41)</f>
        <v>0</v>
      </c>
      <c r="F42" s="54"/>
      <c r="G42" s="54"/>
      <c r="H42" s="54">
        <f>I42*10.764</f>
        <v>0</v>
      </c>
      <c r="I42" s="70">
        <f>SUM(I6:I41)</f>
        <v>0</v>
      </c>
      <c r="J42" s="54"/>
      <c r="K42" s="54">
        <f>L42*10.764</f>
        <v>0</v>
      </c>
      <c r="L42" s="69">
        <f>SUM(L6:L41)</f>
        <v>0</v>
      </c>
    </row>
    <row r="44" spans="2:12" x14ac:dyDescent="0.25">
      <c r="D44" s="53">
        <f>D42+H42</f>
        <v>0</v>
      </c>
      <c r="E44" s="53">
        <f>E42+I42</f>
        <v>0</v>
      </c>
    </row>
  </sheetData>
  <mergeCells count="4">
    <mergeCell ref="C2:D2"/>
    <mergeCell ref="C4:E4"/>
    <mergeCell ref="G4:I4"/>
    <mergeCell ref="J4:L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16"/>
  <sheetViews>
    <sheetView workbookViewId="0">
      <selection activeCell="A3" sqref="A3:XFD16"/>
    </sheetView>
  </sheetViews>
  <sheetFormatPr defaultRowHeight="15" x14ac:dyDescent="0.25"/>
  <cols>
    <col min="1" max="8" width="11.5703125" customWidth="1"/>
    <col min="9" max="10" width="21.28515625" customWidth="1"/>
  </cols>
  <sheetData>
    <row r="2" spans="1:10" ht="15.75" thickBot="1" x14ac:dyDescent="0.3">
      <c r="A2" s="286" t="s">
        <v>389</v>
      </c>
      <c r="B2" s="286"/>
      <c r="C2" s="286"/>
      <c r="D2" s="286"/>
      <c r="E2" s="286"/>
      <c r="F2" s="286"/>
      <c r="G2" s="286"/>
      <c r="H2" s="286"/>
    </row>
    <row r="3" spans="1:10" ht="15.75" x14ac:dyDescent="0.25">
      <c r="A3" s="140" t="s">
        <v>138</v>
      </c>
      <c r="B3" s="141"/>
      <c r="C3" s="142" t="s">
        <v>388</v>
      </c>
      <c r="D3" s="143"/>
      <c r="E3" s="143"/>
      <c r="F3" s="143"/>
      <c r="G3" s="143"/>
      <c r="H3" s="144"/>
      <c r="I3" s="49" t="str">
        <f ca="1">IF(D16=100%,"All work Completed. Possession granted to the Building.",IF(D15=100%,"All work Completed, Waiting for OC",I4&amp;""&amp;I5&amp;""&amp;J4&amp;""&amp;J3&amp;" "&amp;J5))</f>
        <v xml:space="preserve">Excavation, Plinth, RCC Slab, Brickwork Completed </v>
      </c>
      <c r="J3" s="50" t="str">
        <f ca="1">(IF(C9=(D4+F4+H4),"",IF(C9&gt;0,", RCC upto "&amp;C9&amp;" Slab","")))&amp;(IF(C10=H4,"",IF(C10&gt;0,", Brickwork upto "&amp;C10&amp;" Floor","")))&amp;(IF(C11=H4,"",IF(C11&gt;0,", Internal Plaster upto "&amp;C11&amp;" Floor","")))&amp;(IF(C12=H4,"",IF(C12&gt;0,", External Plaster upto "&amp;C12&amp;" Floor","")))&amp;(IF(C13=H4,"",IF(C13&gt;0,", Flooring upto "&amp;C13&amp;" Floor","")))&amp;(IF(C14=H4,"",IF(C14&gt;0,", Painting upto "&amp;C14&amp;" Floor","")))&amp;(IF(C15=H4,"",IF(C15&gt;0,", Finishing upto "&amp;C15&amp;" Floor","")))&amp;(IF(C16=H4,"",IF(C16&gt;0,", Possession upto "&amp;C16&amp;" Floor","")))</f>
        <v/>
      </c>
    </row>
    <row r="4" spans="1:10" ht="15.75" x14ac:dyDescent="0.25">
      <c r="A4" s="16" t="s">
        <v>140</v>
      </c>
      <c r="B4" s="47">
        <f>IF(AND(ISNUMBER(SEARCH("1B",C3))),1,IF(AND(ISNUMBER(SEARCH("2B",C3))),2,IF(AND(ISNUMBER(SEARCH("3B",C3))),3,IF(AND(ISNUMBER(SEARCH("4B",C3))),4,IF(ISNUMBER(SEARCH("5B",C3)),5,0)))))</f>
        <v>0</v>
      </c>
      <c r="C4" s="47" t="s">
        <v>68</v>
      </c>
      <c r="D4" s="47">
        <v>1</v>
      </c>
      <c r="E4" s="47" t="s">
        <v>67</v>
      </c>
      <c r="F4" s="14">
        <v>0</v>
      </c>
      <c r="G4" s="48" t="s">
        <v>76</v>
      </c>
      <c r="H4" s="17">
        <f ca="1">--TRIM(RIGHT(SUBSTITUTE(LEFT(C3,_xlfn.AGGREGATE(16,6,FIND({0,1,2,3,4,5,6,7,8,9},C3,ROW(INDIRECT("1:"&amp;LEN(C3)))),1))," ",REPT(" ",LEN(C3))),LEN(C3)))</f>
        <v>20</v>
      </c>
      <c r="I4" s="51" t="str">
        <f ca="1">IF(D7=100%,"Excavation","")&amp;IF(D8=100%,", Plinth","")&amp;IF(D9=100%,", RCC Slab","")&amp;IF(D10=100%,", Brickwork","")&amp;IF(D11=100%,", Internal Plaster","")&amp;IF(D12=100%,", External Plaster","")&amp;IF(D13=100%,", Flooring","")&amp;IF(D14=100%,", Painting","")&amp;IF(D15=100%,", Building common Amenities","")</f>
        <v>Excavation, Plinth, RCC Slab, Brickwork</v>
      </c>
      <c r="J4" s="52" t="str">
        <f ca="1">(IF(C7=0,"Work not yet Started.",IF(D7=25%,"Piling work in process",IF(D7=50%,"Excavation work in process",IF(D7=100%,"","0")))))&amp;(IF(C8=0%,"",IF(C8=J9,", Footing work is process",IF(C8=J10,", Footing work Completed",IF(C8=J11,", 1st Basement Completed",IF(C8=J12,", 1st &amp; 2nd Basement Completed",IF(C8=J13,", 1st to 3rd Basement Completed",IF(C8=J14,", 1st to 4th Basement Completed",IF(C8=J15,", Plinth work is process",IF(C8=J16,"","0"))))))))))</f>
        <v/>
      </c>
    </row>
    <row r="5" spans="1:10" ht="15.75" x14ac:dyDescent="0.25">
      <c r="A5" s="145" t="s">
        <v>86</v>
      </c>
      <c r="B5" s="146"/>
      <c r="C5" s="147" t="str">
        <f ca="1">I3</f>
        <v xml:space="preserve">Excavation, Plinth, RCC Slab, Brickwork Completed </v>
      </c>
      <c r="D5" s="147"/>
      <c r="E5" s="147"/>
      <c r="F5" s="147"/>
      <c r="G5" s="147"/>
      <c r="H5" s="148"/>
      <c r="I5" s="51" t="str">
        <f ca="1">IF(I4&lt;&gt;""," Completed","")</f>
        <v xml:space="preserve"> Completed</v>
      </c>
      <c r="J5" s="52" t="str">
        <f ca="1">IF(J3&lt;&gt;"","Completed","")</f>
        <v/>
      </c>
    </row>
    <row r="6" spans="1:10" ht="31.5" x14ac:dyDescent="0.25">
      <c r="A6" s="132" t="s">
        <v>47</v>
      </c>
      <c r="B6" s="133"/>
      <c r="C6" s="43" t="s">
        <v>137</v>
      </c>
      <c r="D6" s="43" t="s">
        <v>79</v>
      </c>
      <c r="E6" s="133" t="s">
        <v>81</v>
      </c>
      <c r="F6" s="133"/>
      <c r="G6" s="133" t="s">
        <v>80</v>
      </c>
      <c r="H6" s="149"/>
      <c r="I6" s="13" t="s">
        <v>139</v>
      </c>
      <c r="J6" s="28">
        <f ca="1">H4*25%</f>
        <v>5</v>
      </c>
    </row>
    <row r="7" spans="1:10" ht="15.75" x14ac:dyDescent="0.25">
      <c r="A7" s="132" t="s">
        <v>126</v>
      </c>
      <c r="B7" s="133"/>
      <c r="C7" s="60">
        <f ca="1">J8</f>
        <v>20</v>
      </c>
      <c r="D7" s="19">
        <f ca="1">((100/H4)*C7)/100</f>
        <v>1</v>
      </c>
      <c r="E7" s="134">
        <f ca="1">(((C8/H4*20)+(30/(D4+F4+H4)*C9)+(15/(H4)*C10)+(5/(H4)*C11)+(5/H4*C12)+(10/H4*C13)+(5/H4*C14)+(5/H4*C15)+(5/H4*C16))/100)</f>
        <v>0.65</v>
      </c>
      <c r="F7" s="135"/>
      <c r="G7" s="134">
        <f ca="1">((((C7/H4)*10)+((C8/H4)*30)+(25/(H4+F4+D4)*C9)+(15/H4*C10)+(5/H4*C11)+(5/H4*C12)+(5/H4*C13)+(0/H4*C14)+(0/H4*C15)+(5/H4*C16))/100)</f>
        <v>0.8</v>
      </c>
      <c r="H7" s="150"/>
      <c r="I7" s="13" t="s">
        <v>97</v>
      </c>
      <c r="J7" s="29">
        <f ca="1">H4*50%</f>
        <v>10</v>
      </c>
    </row>
    <row r="8" spans="1:10" ht="15.75" x14ac:dyDescent="0.25">
      <c r="A8" s="132" t="s">
        <v>48</v>
      </c>
      <c r="B8" s="133"/>
      <c r="C8" s="43">
        <v>20</v>
      </c>
      <c r="D8" s="19">
        <f ca="1">((100/H4)*C8)/100</f>
        <v>1</v>
      </c>
      <c r="E8" s="136"/>
      <c r="F8" s="137"/>
      <c r="G8" s="136"/>
      <c r="H8" s="151"/>
      <c r="I8" s="13" t="s">
        <v>98</v>
      </c>
      <c r="J8" s="29">
        <f ca="1">H4</f>
        <v>20</v>
      </c>
    </row>
    <row r="9" spans="1:10" ht="15.75" x14ac:dyDescent="0.25">
      <c r="A9" s="132" t="s">
        <v>127</v>
      </c>
      <c r="B9" s="133"/>
      <c r="C9" s="43">
        <v>21</v>
      </c>
      <c r="D9" s="19">
        <f ca="1">((100/(D4+F4+H4))*C9)/100</f>
        <v>1</v>
      </c>
      <c r="E9" s="136"/>
      <c r="F9" s="137"/>
      <c r="G9" s="136"/>
      <c r="H9" s="151"/>
      <c r="I9" s="13" t="s">
        <v>99</v>
      </c>
      <c r="J9" s="30">
        <f ca="1">(IF(B4&gt;1,(H4/(B4+2)),H4/4))</f>
        <v>5</v>
      </c>
    </row>
    <row r="10" spans="1:10" ht="15.75" x14ac:dyDescent="0.25">
      <c r="A10" s="132" t="s">
        <v>134</v>
      </c>
      <c r="B10" s="133" t="s">
        <v>128</v>
      </c>
      <c r="C10" s="43">
        <v>20</v>
      </c>
      <c r="D10" s="19">
        <f ca="1">((100/H4)*C10)/100</f>
        <v>1</v>
      </c>
      <c r="E10" s="136"/>
      <c r="F10" s="137"/>
      <c r="G10" s="136"/>
      <c r="H10" s="151"/>
      <c r="I10" s="13" t="s">
        <v>100</v>
      </c>
      <c r="J10" s="30">
        <f ca="1">(IF(B4&gt;1,(H4/(B4+2)+J9),H4/4+J9))</f>
        <v>10</v>
      </c>
    </row>
    <row r="11" spans="1:10" ht="15.75" x14ac:dyDescent="0.25">
      <c r="A11" s="132" t="s">
        <v>135</v>
      </c>
      <c r="B11" s="133" t="s">
        <v>128</v>
      </c>
      <c r="C11" s="43">
        <v>0</v>
      </c>
      <c r="D11" s="19">
        <f ca="1">((100/H4)*C11)/100</f>
        <v>0</v>
      </c>
      <c r="E11" s="136"/>
      <c r="F11" s="137"/>
      <c r="G11" s="136"/>
      <c r="H11" s="151"/>
      <c r="I11" s="13" t="s">
        <v>146</v>
      </c>
      <c r="J11" s="30">
        <f>(IF(B4&gt;1,(H4/(B4+2)+J10),0))</f>
        <v>0</v>
      </c>
    </row>
    <row r="12" spans="1:10" ht="15.75" x14ac:dyDescent="0.25">
      <c r="A12" s="132" t="s">
        <v>133</v>
      </c>
      <c r="B12" s="133" t="s">
        <v>130</v>
      </c>
      <c r="C12" s="43">
        <v>0</v>
      </c>
      <c r="D12" s="19">
        <f ca="1">((100/(H4))*C12)/100</f>
        <v>0</v>
      </c>
      <c r="E12" s="136"/>
      <c r="F12" s="137"/>
      <c r="G12" s="136"/>
      <c r="H12" s="151"/>
      <c r="I12" s="13" t="s">
        <v>141</v>
      </c>
      <c r="J12" s="30">
        <f>(IF(B4&gt;2,(H4/(B4+2)+J11),0))</f>
        <v>0</v>
      </c>
    </row>
    <row r="13" spans="1:10" ht="15.75" x14ac:dyDescent="0.25">
      <c r="A13" s="132" t="s">
        <v>129</v>
      </c>
      <c r="B13" s="133" t="s">
        <v>129</v>
      </c>
      <c r="C13" s="43">
        <v>0</v>
      </c>
      <c r="D13" s="19">
        <f ca="1">((100/H4)*C13)/100</f>
        <v>0</v>
      </c>
      <c r="E13" s="136"/>
      <c r="F13" s="137"/>
      <c r="G13" s="136"/>
      <c r="H13" s="151"/>
      <c r="I13" s="13" t="s">
        <v>142</v>
      </c>
      <c r="J13" s="31">
        <f>(IF(B4&gt;3,(H4/(B4+2)+J12),0))</f>
        <v>0</v>
      </c>
    </row>
    <row r="14" spans="1:10" ht="15.75" x14ac:dyDescent="0.25">
      <c r="A14" s="132" t="s">
        <v>136</v>
      </c>
      <c r="B14" s="133"/>
      <c r="C14" s="43">
        <v>0</v>
      </c>
      <c r="D14" s="19">
        <f ca="1">((100/H4)*C14)/100</f>
        <v>0</v>
      </c>
      <c r="E14" s="136"/>
      <c r="F14" s="137"/>
      <c r="G14" s="136"/>
      <c r="H14" s="151"/>
      <c r="I14" s="13" t="s">
        <v>143</v>
      </c>
      <c r="J14" s="30">
        <f>(IF(B4&gt;4,(H4/(B4+2)+J13),0))</f>
        <v>0</v>
      </c>
    </row>
    <row r="15" spans="1:10" ht="15.75" x14ac:dyDescent="0.25">
      <c r="A15" s="132" t="s">
        <v>131</v>
      </c>
      <c r="B15" s="133" t="s">
        <v>131</v>
      </c>
      <c r="C15" s="43">
        <v>0</v>
      </c>
      <c r="D15" s="19">
        <f ca="1">((100/(H4))*C15)/100</f>
        <v>0</v>
      </c>
      <c r="E15" s="136"/>
      <c r="F15" s="137"/>
      <c r="G15" s="136"/>
      <c r="H15" s="151"/>
      <c r="I15" s="13" t="s">
        <v>147</v>
      </c>
      <c r="J15" s="30">
        <f ca="1">(IF(B4=1,(H4/(B4+3)+J10),IF(B4=0,(H4/4+J10),IF(B4&gt;1,0))))</f>
        <v>15</v>
      </c>
    </row>
    <row r="16" spans="1:10" ht="16.5" thickBot="1" x14ac:dyDescent="0.3">
      <c r="A16" s="126" t="s">
        <v>132</v>
      </c>
      <c r="B16" s="127"/>
      <c r="C16" s="44">
        <v>0</v>
      </c>
      <c r="D16" s="20">
        <f ca="1">((100/(H4))*C16)/100</f>
        <v>0</v>
      </c>
      <c r="E16" s="138"/>
      <c r="F16" s="139"/>
      <c r="G16" s="138"/>
      <c r="H16" s="152"/>
      <c r="I16" s="15" t="s">
        <v>101</v>
      </c>
      <c r="J16" s="32">
        <f ca="1">(IF(B4&gt;1.5,(H4/(B4+2)+J10+MAX(0,J11-J10)+MAX(0,J12-J11)+MAX(0,J13-J12)+MAX(0,J14-J13)+MAX(0,J15-J14)),IF(B4=1,(H4/(B4+3)+J15),IF(B4=0,H4/4+J15))))</f>
        <v>20</v>
      </c>
    </row>
  </sheetData>
  <mergeCells count="20">
    <mergeCell ref="A2:H2"/>
    <mergeCell ref="A7:B7"/>
    <mergeCell ref="E7:F16"/>
    <mergeCell ref="G7:H16"/>
    <mergeCell ref="A8:B8"/>
    <mergeCell ref="A9:B9"/>
    <mergeCell ref="A10:B10"/>
    <mergeCell ref="A11:B11"/>
    <mergeCell ref="A12:B12"/>
    <mergeCell ref="A13:B13"/>
    <mergeCell ref="A14:B14"/>
    <mergeCell ref="A3:B3"/>
    <mergeCell ref="C3:H3"/>
    <mergeCell ref="A5:B5"/>
    <mergeCell ref="C5:H5"/>
    <mergeCell ref="A6:B6"/>
    <mergeCell ref="E6:F6"/>
    <mergeCell ref="G6:H6"/>
    <mergeCell ref="A15:B15"/>
    <mergeCell ref="A16:B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Report</vt:lpstr>
      <vt:lpstr>valuation</vt:lpstr>
      <vt:lpstr>Research</vt:lpstr>
      <vt:lpstr>Remarks</vt:lpstr>
      <vt:lpstr>Area Calculation</vt:lpstr>
      <vt:lpstr>Construction Table</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VSJC</cp:lastModifiedBy>
  <cp:lastPrinted>2025-09-29T12:16:46Z</cp:lastPrinted>
  <dcterms:created xsi:type="dcterms:W3CDTF">2019-07-16T09:29:46Z</dcterms:created>
  <dcterms:modified xsi:type="dcterms:W3CDTF">2025-09-29T12:17:58Z</dcterms:modified>
</cp:coreProperties>
</file>