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7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6" i="1" l="1"/>
  <c r="I170" i="1" l="1"/>
  <c r="D174" i="1"/>
  <c r="F174" i="1" s="1"/>
  <c r="D173" i="1"/>
  <c r="F173" i="1" s="1"/>
  <c r="D172" i="1"/>
  <c r="F172" i="1" s="1"/>
  <c r="D171" i="1"/>
  <c r="F171" i="1" s="1"/>
  <c r="D170" i="1"/>
  <c r="D169" i="1"/>
  <c r="F169" i="1" s="1"/>
  <c r="D168" i="1"/>
  <c r="F168" i="1" s="1"/>
  <c r="G167" i="1"/>
  <c r="G168" i="1" s="1"/>
  <c r="G169" i="1" s="1"/>
  <c r="G170" i="1" s="1"/>
  <c r="G171" i="1" s="1"/>
  <c r="G172" i="1" s="1"/>
  <c r="G173" i="1" s="1"/>
  <c r="G174" i="1" s="1"/>
  <c r="D167" i="1"/>
  <c r="F167" i="1" s="1"/>
  <c r="C81" i="1" l="1"/>
  <c r="C65" i="1"/>
  <c r="J94" i="1"/>
  <c r="J93" i="1"/>
  <c r="J92" i="1"/>
  <c r="J91" i="1"/>
  <c r="H82" i="1"/>
  <c r="J88" i="1" l="1"/>
  <c r="C87" i="1" s="1"/>
  <c r="G87" i="1" s="1"/>
  <c r="G84" i="1" s="1"/>
  <c r="D96" i="1"/>
  <c r="D92" i="1"/>
  <c r="D88" i="1"/>
  <c r="J87" i="1"/>
  <c r="D89" i="1"/>
  <c r="D95" i="1"/>
  <c r="D91" i="1"/>
  <c r="E87" i="1"/>
  <c r="C84" i="1" s="1"/>
  <c r="D93" i="1"/>
  <c r="J86" i="1"/>
  <c r="D94" i="1"/>
  <c r="D90" i="1"/>
  <c r="J89" i="1"/>
  <c r="J90" i="1" s="1"/>
  <c r="J95" i="1" s="1"/>
  <c r="J96" i="1" s="1"/>
  <c r="E3" i="1"/>
  <c r="D59" i="1" s="1"/>
  <c r="E7" i="1"/>
  <c r="D52" i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G158" i="1"/>
  <c r="G159" i="1" s="1"/>
  <c r="G160" i="1" s="1"/>
  <c r="G161" i="1" s="1"/>
  <c r="G162" i="1" s="1"/>
  <c r="G163" i="1" s="1"/>
  <c r="G164" i="1" s="1"/>
  <c r="G165" i="1" s="1"/>
  <c r="D158" i="1"/>
  <c r="F158" i="1" s="1"/>
  <c r="D156" i="1"/>
  <c r="F156" i="1" s="1"/>
  <c r="D155" i="1"/>
  <c r="F155" i="1" s="1"/>
  <c r="D154" i="1"/>
  <c r="F154" i="1" s="1"/>
  <c r="A154" i="1"/>
  <c r="A155" i="1" s="1"/>
  <c r="A156" i="1" s="1"/>
  <c r="G153" i="1"/>
  <c r="G154" i="1" s="1"/>
  <c r="G155" i="1" s="1"/>
  <c r="G156" i="1" s="1"/>
  <c r="D153" i="1"/>
  <c r="F153" i="1" s="1"/>
  <c r="G150" i="1"/>
  <c r="D150" i="1"/>
  <c r="F150" i="1" s="1"/>
  <c r="G148" i="1"/>
  <c r="D148" i="1"/>
  <c r="F148" i="1" s="1"/>
  <c r="G146" i="1"/>
  <c r="D146" i="1"/>
  <c r="F146" i="1" s="1"/>
  <c r="D139" i="1"/>
  <c r="D138" i="1"/>
  <c r="D137" i="1"/>
  <c r="A158" i="1"/>
  <c r="D87" i="1" l="1"/>
  <c r="I81" i="1" s="1"/>
  <c r="C83" i="1" s="1"/>
  <c r="E123" i="1"/>
  <c r="C127" i="1"/>
  <c r="G127" i="1"/>
  <c r="G126" i="1"/>
  <c r="E126" i="1"/>
  <c r="E127" i="1"/>
  <c r="C123" i="1"/>
  <c r="D177" i="1"/>
  <c r="G177" i="1"/>
  <c r="G178" i="1" s="1"/>
  <c r="G179" i="1" s="1"/>
  <c r="A178" i="1"/>
  <c r="A179" i="1" s="1"/>
  <c r="D178" i="1"/>
  <c r="F178" i="1" s="1"/>
  <c r="D179" i="1"/>
  <c r="F179" i="1" s="1"/>
  <c r="D195" i="1"/>
  <c r="F195" i="1" s="1"/>
  <c r="D194" i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D187" i="1"/>
  <c r="F187" i="1" s="1"/>
  <c r="D186" i="1"/>
  <c r="D185" i="1"/>
  <c r="D184" i="1"/>
  <c r="D183" i="1"/>
  <c r="D182" i="1"/>
  <c r="D180" i="1"/>
  <c r="A159" i="1"/>
  <c r="F194" i="1" l="1"/>
  <c r="F188" i="1"/>
  <c r="F177" i="1"/>
  <c r="C128" i="1"/>
  <c r="C129" i="1" s="1"/>
  <c r="E128" i="1"/>
  <c r="E129" i="1" s="1"/>
  <c r="E27" i="1"/>
  <c r="A160" i="1"/>
  <c r="F180" i="1" l="1"/>
  <c r="A180" i="1"/>
  <c r="G180" i="1"/>
  <c r="A161" i="1"/>
  <c r="F120" i="1" l="1"/>
  <c r="A162" i="1"/>
  <c r="F138" i="1" l="1"/>
  <c r="F139" i="1"/>
  <c r="F137" i="1"/>
  <c r="A163" i="1"/>
  <c r="G123" i="1" l="1"/>
  <c r="B198" i="1"/>
  <c r="A182" i="1"/>
  <c r="A164" i="1"/>
  <c r="C13" i="1" l="1"/>
  <c r="A183" i="1"/>
  <c r="A165" i="1"/>
  <c r="F186" i="1" l="1"/>
  <c r="F185" i="1"/>
  <c r="F184" i="1"/>
  <c r="F183" i="1"/>
  <c r="F182" i="1"/>
  <c r="A184" i="1"/>
  <c r="G128" i="1" l="1"/>
  <c r="G129" i="1" s="1"/>
  <c r="B199" i="1"/>
  <c r="A18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2" i="1"/>
  <c r="G182" i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A138" i="1"/>
  <c r="A139" i="1" s="1"/>
  <c r="G137" i="1"/>
  <c r="G138" i="1" s="1"/>
  <c r="G139" i="1" s="1"/>
  <c r="J112" i="1"/>
  <c r="J111" i="1"/>
  <c r="J110" i="1"/>
  <c r="J109" i="1"/>
  <c r="C99" i="1"/>
  <c r="J78" i="1"/>
  <c r="J77" i="1"/>
  <c r="J76" i="1"/>
  <c r="J75" i="1"/>
  <c r="E40" i="1"/>
  <c r="E41" i="1" s="1"/>
  <c r="E24" i="1"/>
  <c r="E22" i="1"/>
  <c r="H66" i="1"/>
  <c r="A186" i="1"/>
  <c r="H100" i="1"/>
  <c r="D80" i="1" l="1"/>
  <c r="D78" i="1"/>
  <c r="D77" i="1"/>
  <c r="D76" i="1"/>
  <c r="D74" i="1"/>
  <c r="D73" i="1"/>
  <c r="D79" i="1"/>
  <c r="D75" i="1"/>
  <c r="J71" i="1"/>
  <c r="J72" i="1"/>
  <c r="C71" i="1" s="1"/>
  <c r="J70" i="1"/>
  <c r="J73" i="1"/>
  <c r="D107" i="1"/>
  <c r="J105" i="1"/>
  <c r="D114" i="1"/>
  <c r="D112" i="1"/>
  <c r="D110" i="1"/>
  <c r="D108" i="1"/>
  <c r="J106" i="1"/>
  <c r="C105" i="1" s="1"/>
  <c r="D105" i="1" s="1"/>
  <c r="J104" i="1"/>
  <c r="J107" i="1"/>
  <c r="J108" i="1" s="1"/>
  <c r="J113" i="1" s="1"/>
  <c r="J114" i="1" s="1"/>
  <c r="C106" i="1" s="1"/>
  <c r="D113" i="1"/>
  <c r="D111" i="1"/>
  <c r="D109" i="1"/>
  <c r="A187" i="1"/>
  <c r="J74" i="1" l="1"/>
  <c r="J79" i="1" s="1"/>
  <c r="J80" i="1" s="1"/>
  <c r="C72" i="1" s="1"/>
  <c r="G71" i="1" s="1"/>
  <c r="D71" i="1"/>
  <c r="E105" i="1"/>
  <c r="D106" i="1"/>
  <c r="G105" i="1"/>
  <c r="A188" i="1"/>
  <c r="D63" i="1" l="1"/>
  <c r="F64" i="1" s="1"/>
  <c r="G102" i="1"/>
  <c r="I99" i="1"/>
  <c r="C101" i="1" s="1"/>
  <c r="C102" i="1"/>
  <c r="G97" i="1"/>
  <c r="G68" i="1"/>
  <c r="D72" i="1"/>
  <c r="E71" i="1"/>
  <c r="A189" i="1"/>
  <c r="D64" i="1" l="1"/>
  <c r="C97" i="1"/>
  <c r="C68" i="1"/>
  <c r="I65" i="1"/>
  <c r="C67" i="1" s="1"/>
  <c r="A190" i="1"/>
  <c r="A191" i="1" l="1"/>
  <c r="A192" i="1"/>
  <c r="A193" i="1"/>
  <c r="A194" i="1"/>
  <c r="A195" i="1"/>
</calcChain>
</file>

<file path=xl/sharedStrings.xml><?xml version="1.0" encoding="utf-8"?>
<sst xmlns="http://schemas.openxmlformats.org/spreadsheetml/2006/main" count="404" uniqueCount="235">
  <si>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</si>
  <si>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</si>
  <si>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</si>
  <si>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</si>
  <si>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</si>
  <si>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</si>
  <si>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</si>
  <si>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</si>
  <si>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</si>
  <si>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</si>
  <si>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</si>
  <si>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</si>
  <si>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</si>
  <si>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</si>
  <si>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</si>
  <si>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</si>
  <si>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</si>
  <si>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</si>
  <si>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</si>
  <si>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</si>
  <si>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</si>
  <si>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</si>
  <si>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</si>
  <si>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</si>
  <si>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</si>
  <si>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</si>
  <si>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</si>
  <si>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</si>
  <si>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</si>
  <si>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</si>
  <si>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</si>
  <si>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</si>
  <si>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</si>
  <si>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</si>
  <si>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</si>
  <si>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</si>
  <si>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</si>
  <si>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</si>
  <si>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</si>
  <si>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</si>
  <si>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</si>
  <si>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</si>
  <si>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</si>
  <si>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</si>
  <si>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</si>
  <si>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</si>
  <si>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</si>
  <si>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</si>
  <si>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</si>
  <si>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</si>
  <si>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</si>
  <si>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</si>
  <si>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</si>
  <si>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</si>
  <si>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</si>
  <si>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</si>
  <si>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</si>
  <si>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</si>
  <si>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</si>
  <si>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</si>
  <si>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</si>
  <si>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</si>
  <si>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</si>
  <si>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</si>
  <si>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</si>
  <si>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</si>
  <si>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</si>
  <si>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</si>
  <si>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</si>
  <si>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</si>
  <si>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</si>
  <si>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</si>
  <si>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</si>
  <si>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</si>
  <si>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</si>
  <si>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</si>
  <si>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</si>
  <si>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</si>
  <si>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</si>
  <si>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</si>
  <si>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</si>
  <si>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</si>
  <si>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</si>
  <si>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</si>
  <si>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</si>
  <si>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</si>
  <si>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</si>
  <si>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</si>
  <si>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</si>
  <si>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</si>
  <si>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</si>
  <si>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</si>
  <si>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</si>
  <si>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</si>
  <si>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</si>
  <si>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</si>
  <si>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</si>
  <si>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</si>
  <si>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</si>
  <si>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</si>
  <si>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</si>
  <si>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</si>
  <si>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</si>
  <si>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</si>
  <si>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</si>
  <si>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</si>
  <si>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</si>
  <si>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</si>
  <si>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</si>
  <si>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</si>
  <si>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</si>
  <si>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</si>
  <si>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</si>
  <si>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</si>
  <si>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</si>
  <si>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</si>
  <si>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</si>
  <si>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</si>
  <si>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</si>
  <si>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</si>
  <si>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</si>
  <si>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</si>
  <si>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</si>
  <si>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</si>
  <si>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</si>
  <si>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</si>
  <si>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</si>
  <si>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</si>
  <si>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</si>
  <si>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</si>
  <si>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</si>
  <si>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</si>
  <si>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</si>
  <si>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</si>
  <si>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</si>
  <si>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</si>
  <si>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</si>
  <si>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</si>
  <si>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</si>
  <si>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</si>
  <si>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</si>
  <si>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</si>
  <si>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</si>
  <si>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</si>
  <si>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</si>
  <si>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</si>
  <si>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</si>
  <si>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</si>
  <si>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</si>
  <si>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</si>
  <si>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</si>
  <si>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</si>
  <si>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</si>
  <si>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</si>
  <si>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</si>
  <si>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</si>
  <si>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</si>
  <si>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</si>
  <si>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</si>
  <si>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</si>
  <si>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Axis Sanpada</t>
  </si>
  <si>
    <t>M/s. Shree Rujve Enterprises</t>
  </si>
  <si>
    <t>Vrindavan Home Phase 2</t>
  </si>
  <si>
    <t>P52000033233</t>
  </si>
  <si>
    <t>Building No - A (Wing A1 &amp; A2)
Building No - B</t>
  </si>
  <si>
    <t>Survey No</t>
  </si>
  <si>
    <t>5/1/A/1</t>
  </si>
  <si>
    <t>Bandhivali</t>
  </si>
  <si>
    <t>Raigad</t>
  </si>
  <si>
    <t>Karjat</t>
  </si>
  <si>
    <t>Bhagiye Shree Apartment</t>
  </si>
  <si>
    <t>Open Plot</t>
  </si>
  <si>
    <t>Whistling Woods Park</t>
  </si>
  <si>
    <t>Internal Road</t>
  </si>
  <si>
    <t>Shelu</t>
  </si>
  <si>
    <t>0.500 KM from Shelu Railway Station</t>
  </si>
  <si>
    <t>Raigad Zilha Parishad</t>
  </si>
  <si>
    <t>L.N.A.1(B)/T.N.13841/S.R.72/2018</t>
  </si>
  <si>
    <t>MS/LNA-1S.R/72/2018</t>
  </si>
  <si>
    <t>Building A (Wing A1) = Gr/St + 1st to 6th Floor
Building A (Wing A2) = Gr/St + 1st to 7th Floor
Building B = Gr/St + 1st to 7th Floor</t>
  </si>
  <si>
    <t>Building A (Wing A2) = Gr/St + 1st to 7th Floor</t>
  </si>
  <si>
    <t>Building B = Gr/St + 1st to 7th Floor</t>
  </si>
  <si>
    <t>Building B</t>
  </si>
  <si>
    <t>1BHK</t>
  </si>
  <si>
    <t>1RK</t>
  </si>
  <si>
    <t>1st to 7th Floor</t>
  </si>
  <si>
    <t>2BHK</t>
  </si>
  <si>
    <t>Building A</t>
  </si>
  <si>
    <t>Wing A1</t>
  </si>
  <si>
    <t>Wing A2</t>
  </si>
  <si>
    <t>Shop</t>
  </si>
  <si>
    <t xml:space="preserve">3BHK
Duplex With 1st upper Floor </t>
  </si>
  <si>
    <t xml:space="preserve">3BHK
Duplex With 3rd upper Floor </t>
  </si>
  <si>
    <t xml:space="preserve">3BHK
Duplex With 5th upper Floor </t>
  </si>
  <si>
    <t>Ground Floor for Commercial</t>
  </si>
  <si>
    <t>Ground Floor for Residential</t>
  </si>
  <si>
    <t>`</t>
  </si>
  <si>
    <t>Building A (Wing A1)</t>
  </si>
  <si>
    <t>Building A (Wing A2)</t>
  </si>
  <si>
    <t>Flats - 165, Shops - 7</t>
  </si>
  <si>
    <t>Approved Plans, CC</t>
  </si>
  <si>
    <t>Mr. Altaf Shaikh - 09987106790</t>
  </si>
  <si>
    <t>We considered Gross carpet area = Net carpet + Balcony Area</t>
  </si>
  <si>
    <r>
      <t xml:space="preserve">Flat No.
</t>
    </r>
    <r>
      <rPr>
        <b/>
        <sz val="11"/>
        <rFont val="Times New Roman"/>
        <family val="1"/>
      </rPr>
      <t>(Approved Plan)</t>
    </r>
  </si>
  <si>
    <t>3 Buildings</t>
  </si>
  <si>
    <t>1st Floor + 1st Upper Floor(2nd Floor)</t>
  </si>
  <si>
    <t>3rd Floor + 3rd Upper Floor(3rd Floor)</t>
  </si>
  <si>
    <t>5th Floor + 5th Upper Floor(6th Floor)</t>
  </si>
  <si>
    <t xml:space="preserve">1.Vitrified tiles flooring 2. Granite Kitchen Platform  3. Decorative Enternace  etc. 
</t>
  </si>
  <si>
    <t>Development Charges + MSEB and water connection charges + 
Grill Charges</t>
  </si>
  <si>
    <t>3500 to 3650</t>
  </si>
  <si>
    <t>Mr.Rushikesh Nikam</t>
  </si>
  <si>
    <t>costsheet</t>
  </si>
  <si>
    <t>Location Link</t>
  </si>
  <si>
    <t>https://goo.gl/maps/z6pWXnRRHYZJvn9c9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</si>
  <si>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</si>
  <si>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Latitude,Longitude</t>
  </si>
  <si>
    <t>19.0608817,73.3207442</t>
  </si>
  <si>
    <t>Average Progress % of Building A</t>
  </si>
  <si>
    <t>Average Disbursement % of Building A</t>
  </si>
  <si>
    <t xml:space="preserve">Naynesh Lovanshi </t>
  </si>
  <si>
    <t>Please provide latest CC for Building A (Wing A1).</t>
  </si>
  <si>
    <t>On Site, we meet Mr. Kailash : 9011430306.</t>
  </si>
  <si>
    <t>4th Floor</t>
  </si>
  <si>
    <t>1st to 3rd, 5th to 7th Floor</t>
  </si>
  <si>
    <t>Sale area changes to 494 from 465 by Bhargav on 25/03/2025</t>
  </si>
  <si>
    <t xml:space="preserve">Recommended Rates / Other charges of the Property have been revised on 17/01/2023 &amp; 25/03/2025.
</t>
  </si>
  <si>
    <t>Building A (Wing A1) = Gr/St + 1st to 6th Floor</t>
  </si>
  <si>
    <t>Layout :</t>
  </si>
  <si>
    <t>A1 Wing is upto 6th floor only check layout plan</t>
  </si>
  <si>
    <t>Pooja</t>
  </si>
  <si>
    <t>Completed</t>
  </si>
  <si>
    <r>
      <t xml:space="preserve">J.K.SSNR-RA/OC/Mauje.Bandhivali/Tal.Karjat/S.N.5/1/A/1/1303
Approved upto : </t>
    </r>
    <r>
      <rPr>
        <b/>
        <u/>
        <sz val="12"/>
        <color indexed="8"/>
        <rFont val="Times New Roman"/>
        <family val="1"/>
      </rPr>
      <t>Building A (A1)</t>
    </r>
    <r>
      <rPr>
        <b/>
        <sz val="12"/>
        <color indexed="8"/>
        <rFont val="Times New Roman"/>
        <family val="1"/>
      </rPr>
      <t xml:space="preserve"> = Gr/St + 1st to 6th Floor
Total BUA = 529.52 Sq.M.
</t>
    </r>
    <r>
      <rPr>
        <b/>
        <u/>
        <sz val="12"/>
        <color indexed="8"/>
        <rFont val="Times New Roman"/>
        <family val="1"/>
      </rPr>
      <t>Building A (A2)</t>
    </r>
    <r>
      <rPr>
        <b/>
        <sz val="12"/>
        <color indexed="8"/>
        <rFont val="Times New Roman"/>
        <family val="1"/>
      </rPr>
      <t xml:space="preserve"> = Gr/St + 1st to 7th Floor
Total BUA = 2644.26 Sq.M.</t>
    </r>
  </si>
  <si>
    <t>Building A (Wing A1 &amp; A2) = All work Completed. OC Received.
Building B = All work Completed. Please provide OC.</t>
  </si>
  <si>
    <t>We have updated OC for Building A (Wing A1 &amp; A2) (On 27/09/2025).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</si>
</sst>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  <font>
      <b/>
      <u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4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7" fillId="0" borderId="12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9" fontId="13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" fontId="7" fillId="2" borderId="0" xfId="0" applyNumberFormat="1" applyFont="1" applyFill="1" applyAlignment="1">
      <alignment horizontal="right" vertical="center"/>
    </xf>
    <xf numFmtId="167" fontId="15" fillId="2" borderId="0" xfId="9" applyNumberFormat="1" applyFont="1" applyFill="1" applyAlignment="1">
      <alignment horizontal="right" vertical="center"/>
    </xf>
    <xf numFmtId="167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26" fillId="0" borderId="0" xfId="1" applyFont="1"/>
    <xf numFmtId="0" fontId="10" fillId="0" borderId="0" xfId="1" applyFont="1"/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3" borderId="8" xfId="0" applyNumberFormat="1" applyFont="1" applyFill="1" applyBorder="1" applyAlignment="1" applyProtection="1">
      <alignment vertical="top" wrapText="1"/>
      <protection locked="0"/>
    </xf>
    <xf numFmtId="1" fontId="13" fillId="3" borderId="23" xfId="0" applyNumberFormat="1" applyFont="1" applyFill="1" applyBorder="1" applyAlignment="1" applyProtection="1">
      <alignment vertical="top" wrapText="1"/>
      <protection locked="0"/>
    </xf>
    <xf numFmtId="1" fontId="13" fillId="3" borderId="9" xfId="0" applyNumberFormat="1" applyFont="1" applyFill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30" xfId="8" applyFont="1" applyFill="1" applyBorder="1" applyAlignment="1" applyProtection="1">
      <alignment horizontal="center" vertical="center" wrapText="1"/>
      <protection locked="0"/>
    </xf>
    <xf numFmtId="9" fontId="12" fillId="0" borderId="31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3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24" fillId="0" borderId="32" xfId="1" applyFont="1" applyBorder="1" applyAlignment="1" applyProtection="1">
      <alignment horizontal="center" vertical="center" wrapText="1"/>
      <protection locked="0"/>
    </xf>
    <xf numFmtId="0" fontId="24" fillId="0" borderId="33" xfId="1" applyFont="1" applyBorder="1" applyAlignment="1" applyProtection="1">
      <alignment horizontal="center" vertical="center" wrapText="1"/>
      <protection locked="0"/>
    </xf>
    <xf numFmtId="0" fontId="24" fillId="0" borderId="34" xfId="1" applyFont="1" applyBorder="1" applyAlignment="1" applyProtection="1">
      <alignment horizontal="center" vertical="center" wrapText="1"/>
      <protection locked="0"/>
    </xf>
    <xf numFmtId="0" fontId="24" fillId="0" borderId="31" xfId="1" applyFont="1" applyBorder="1" applyAlignment="1" applyProtection="1">
      <alignment horizontal="center" vertical="center" wrapText="1"/>
      <protection locked="0"/>
    </xf>
    <xf numFmtId="9" fontId="13" fillId="0" borderId="35" xfId="1" applyNumberFormat="1" applyFont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 applyProtection="1">
      <alignment horizontal="center" vertical="center" wrapText="1"/>
      <protection locked="0"/>
    </xf>
    <xf numFmtId="0" fontId="13" fillId="0" borderId="30" xfId="1" applyFont="1" applyBorder="1" applyAlignment="1" applyProtection="1">
      <alignment horizontal="center" vertical="center" wrapText="1"/>
      <protection locked="0"/>
    </xf>
    <xf numFmtId="0" fontId="13" fillId="0" borderId="31" xfId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13" fillId="0" borderId="18" xfId="1" applyNumberFormat="1" applyFont="1" applyBorder="1" applyAlignment="1" applyProtection="1">
      <alignment horizontal="center" vertical="top" wrapText="1"/>
      <protection locked="0"/>
    </xf>
    <xf numFmtId="1" fontId="24" fillId="0" borderId="3" xfId="1" applyNumberFormat="1" applyFont="1" applyBorder="1" applyAlignment="1" applyProtection="1">
      <alignment horizontal="center" vertical="top" wrapText="1"/>
      <protection locked="0"/>
    </xf>
    <xf numFmtId="1" fontId="24" fillId="0" borderId="18" xfId="1" applyNumberFormat="1" applyFont="1" applyBorder="1" applyAlignment="1" applyProtection="1">
      <alignment horizontal="center" vertical="top" wrapText="1"/>
      <protection locked="0"/>
    </xf>
    <xf numFmtId="1" fontId="13" fillId="0" borderId="19" xfId="1" applyNumberFormat="1" applyFont="1" applyBorder="1" applyAlignment="1" applyProtection="1">
      <alignment horizontal="center" vertical="top" wrapText="1"/>
      <protection locked="0"/>
    </xf>
    <xf numFmtId="1" fontId="13" fillId="0" borderId="20" xfId="1" applyNumberFormat="1" applyFont="1" applyBorder="1" applyAlignment="1" applyProtection="1">
      <alignment horizontal="center" vertical="top" wrapText="1"/>
      <protection locked="0"/>
    </xf>
    <xf numFmtId="1" fontId="13" fillId="0" borderId="21" xfId="1" applyNumberFormat="1" applyFont="1" applyBorder="1" applyAlignment="1" applyProtection="1">
      <alignment horizontal="center" vertical="top" wrapText="1"/>
      <protection locked="0"/>
    </xf>
    <xf numFmtId="1" fontId="13" fillId="0" borderId="22" xfId="1" applyNumberFormat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3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8" fillId="0" borderId="8" xfId="1" applyFont="1" applyBorder="1" applyAlignment="1" applyProtection="1">
      <alignment horizontal="center" vertical="top"/>
      <protection locked="0"/>
    </xf>
    <xf numFmtId="0" fontId="8" fillId="0" borderId="23" xfId="1" applyFont="1" applyBorder="1" applyAlignment="1" applyProtection="1">
      <alignment horizontal="center" vertical="top"/>
      <protection locked="0"/>
    </xf>
    <xf numFmtId="0" fontId="8" fillId="0" borderId="9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1" xfId="1" applyFont="1" applyBorder="1" applyProtection="1"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3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" fontId="15" fillId="2" borderId="0" xfId="1" applyNumberFormat="1" applyFont="1" applyFill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10" applyBorder="1" applyAlignment="1" applyProtection="1">
      <protection locked="0"/>
    </xf>
    <xf numFmtId="0" fontId="7" fillId="0" borderId="1" xfId="1" applyFont="1" applyBorder="1" applyProtection="1"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0" fontId="13" fillId="0" borderId="20" xfId="1" applyFont="1" applyBorder="1" applyAlignment="1" applyProtection="1">
      <alignment horizontal="center" vertical="center"/>
      <protection locked="0"/>
    </xf>
    <xf numFmtId="9" fontId="13" fillId="0" borderId="19" xfId="1" applyNumberFormat="1" applyFont="1" applyBorder="1" applyAlignment="1" applyProtection="1">
      <alignment horizontal="center" vertical="center" wrapText="1"/>
      <protection locked="0"/>
    </xf>
    <xf numFmtId="0" fontId="13" fillId="0" borderId="20" xfId="1" applyFont="1" applyBorder="1" applyAlignment="1" applyProtection="1">
      <alignment horizontal="center" vertical="center" wrapText="1"/>
      <protection locked="0"/>
    </xf>
    <xf numFmtId="0" fontId="13" fillId="0" borderId="19" xfId="1" applyFont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center" vertical="center"/>
      <protection locked="0"/>
    </xf>
    <xf numFmtId="0" fontId="13" fillId="0" borderId="22" xfId="1" applyFont="1" applyBorder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563217</xdr:colOff>
      <xdr:row>322</xdr:row>
      <xdr:rowOff>52565</xdr:rowOff>
    </xdr:from>
    <xdr:to>
      <xdr:col>7</xdr:col>
      <xdr:colOff>531036</xdr:colOff>
      <xdr:row>340</xdr:row>
      <xdr:rowOff>74477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3217" y="56158956"/>
          <a:ext cx="608038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563218</xdr:colOff>
      <xdr:row>303</xdr:row>
      <xdr:rowOff>16559</xdr:rowOff>
    </xdr:from>
    <xdr:to>
      <xdr:col>7</xdr:col>
      <xdr:colOff>531037</xdr:colOff>
      <xdr:row>321</xdr:row>
      <xdr:rowOff>38471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3218" y="52346081"/>
          <a:ext cx="608038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1088390</xdr:colOff>
      <xdr:row>222</xdr:row>
      <xdr:rowOff>181610</xdr:rowOff>
    </xdr:from>
    <xdr:to>
      <xdr:col>16</xdr:col>
      <xdr:colOff>294127</xdr:colOff>
      <xdr:row>251</xdr:row>
      <xdr:rowOff>78921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901940" y="44447460"/>
          <a:ext cx="6425687" cy="5599611"/>
          <a:chOff x="196850" y="47498000"/>
          <a:chExt cx="6423147" cy="5599611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0134" y="5036161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47498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5036161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3492" y="47498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0134" y="47498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3492" y="5036161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TextBox 1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295400" y="47682150"/>
            <a:ext cx="486220" cy="37061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A1</a:t>
            </a:r>
            <a:endParaRPr lang="en-IN" b="1"/>
          </a:p>
        </xdr:txBody>
      </xdr:sp>
      <xdr:sp macro="" textlink="">
        <xdr:nvSpPr>
          <xdr:cNvPr id="28" name="TextBox 11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3132792" y="47631350"/>
            <a:ext cx="569258" cy="41275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A2</a:t>
            </a:r>
            <a:endParaRPr lang="en-IN" b="1"/>
          </a:p>
        </xdr:txBody>
      </xdr:sp>
      <xdr:sp macro="" textlink="">
        <xdr:nvSpPr>
          <xdr:cNvPr id="29" name="TextBox 11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5814734" y="47504350"/>
            <a:ext cx="486220" cy="37061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</a:t>
            </a:r>
            <a:endParaRPr lang="en-IN" b="1"/>
          </a:p>
        </xdr:txBody>
      </xdr:sp>
    </xdr:grpSp>
    <xdr:clientData/>
  </xdr:twoCellAnchor>
  <xdr:twoCellAnchor editAs="oneCell">
    <xdr:from>
      <xdr:col>0</xdr:col>
      <xdr:colOff>555171</xdr:colOff>
      <xdr:row>266</xdr:row>
      <xdr:rowOff>65314</xdr:rowOff>
    </xdr:from>
    <xdr:to>
      <xdr:col>7</xdr:col>
      <xdr:colOff>410887</xdr:colOff>
      <xdr:row>293</xdr:row>
      <xdr:rowOff>124561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A3A61ED-1CE4-5B9E-02C5-5B1DB743F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5171" y="58752566"/>
          <a:ext cx="5699925" cy="54263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1186069</xdr:colOff>
      <xdr:row>283</xdr:row>
      <xdr:rowOff>178904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799181F-8652-DB3B-6BE4-15DE458B5F5C}"/>
            </a:ext>
          </a:extLst>
        </xdr:cNvPr>
        <xdr:cNvSpPr txBox="1"/>
      </xdr:nvSpPr>
      <xdr:spPr>
        <a:xfrm>
          <a:off x="9084365" y="622454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twoCellAnchor>
    <xdr:from>
      <xdr:col>2</xdr:col>
      <xdr:colOff>12936</xdr:colOff>
      <xdr:row>285</xdr:row>
      <xdr:rowOff>26470</xdr:rowOff>
    </xdr:from>
    <xdr:to>
      <xdr:col>2</xdr:col>
      <xdr:colOff>662086</xdr:colOff>
      <xdr:row>287</xdr:row>
      <xdr:rowOff>87063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724B3FE2-73D1-9F7E-6745-DFEC041FFA41}"/>
            </a:ext>
          </a:extLst>
        </xdr:cNvPr>
        <xdr:cNvSpPr/>
      </xdr:nvSpPr>
      <xdr:spPr>
        <a:xfrm rot="1428249">
          <a:off x="1616449" y="62490592"/>
          <a:ext cx="649150" cy="45815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</xdr:col>
      <xdr:colOff>801757</xdr:colOff>
      <xdr:row>287</xdr:row>
      <xdr:rowOff>66261</xdr:rowOff>
    </xdr:from>
    <xdr:ext cx="341632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0F5B6DE-77F0-38B5-3E32-65AD6DBB27FC}"/>
            </a:ext>
          </a:extLst>
        </xdr:cNvPr>
        <xdr:cNvSpPr txBox="1"/>
      </xdr:nvSpPr>
      <xdr:spPr>
        <a:xfrm>
          <a:off x="1583635" y="62927948"/>
          <a:ext cx="34163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A1</a:t>
          </a:r>
        </a:p>
      </xdr:txBody>
    </xdr:sp>
    <xdr:clientData/>
  </xdr:oneCellAnchor>
  <xdr:twoCellAnchor>
    <xdr:from>
      <xdr:col>2</xdr:col>
      <xdr:colOff>193102</xdr:colOff>
      <xdr:row>279</xdr:row>
      <xdr:rowOff>168625</xdr:rowOff>
    </xdr:from>
    <xdr:to>
      <xdr:col>4</xdr:col>
      <xdr:colOff>107345</xdr:colOff>
      <xdr:row>286</xdr:row>
      <xdr:rowOff>53890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46E6B364-BD59-E43D-AD98-889BB19B790A}"/>
            </a:ext>
          </a:extLst>
        </xdr:cNvPr>
        <xdr:cNvSpPr/>
      </xdr:nvSpPr>
      <xdr:spPr>
        <a:xfrm rot="1803766">
          <a:off x="1796615" y="61440051"/>
          <a:ext cx="1749669" cy="127674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2</xdr:col>
      <xdr:colOff>861391</xdr:colOff>
      <xdr:row>282</xdr:row>
      <xdr:rowOff>152400</xdr:rowOff>
    </xdr:from>
    <xdr:ext cx="341632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59951CC-7960-C5E3-C6AD-5B109868FF14}"/>
            </a:ext>
          </a:extLst>
        </xdr:cNvPr>
        <xdr:cNvSpPr txBox="1"/>
      </xdr:nvSpPr>
      <xdr:spPr>
        <a:xfrm>
          <a:off x="2464904" y="62020174"/>
          <a:ext cx="34163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A2</a:t>
          </a:r>
        </a:p>
      </xdr:txBody>
    </xdr:sp>
    <xdr:clientData/>
  </xdr:oneCellAnchor>
  <xdr:twoCellAnchor>
    <xdr:from>
      <xdr:col>4</xdr:col>
      <xdr:colOff>192157</xdr:colOff>
      <xdr:row>269</xdr:row>
      <xdr:rowOff>92765</xdr:rowOff>
    </xdr:from>
    <xdr:to>
      <xdr:col>6</xdr:col>
      <xdr:colOff>669235</xdr:colOff>
      <xdr:row>281</xdr:row>
      <xdr:rowOff>59635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606287B-DF8B-A1D6-735C-4705D6EB30B2}"/>
            </a:ext>
          </a:extLst>
        </xdr:cNvPr>
        <xdr:cNvSpPr/>
      </xdr:nvSpPr>
      <xdr:spPr>
        <a:xfrm>
          <a:off x="3631096" y="59376365"/>
          <a:ext cx="2080591" cy="235226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5</xdr:col>
      <xdr:colOff>39757</xdr:colOff>
      <xdr:row>267</xdr:row>
      <xdr:rowOff>139148</xdr:rowOff>
    </xdr:from>
    <xdr:ext cx="772584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8DCA013-EB34-FF16-F791-49D27C5F24E1}"/>
            </a:ext>
          </a:extLst>
        </xdr:cNvPr>
        <xdr:cNvSpPr txBox="1"/>
      </xdr:nvSpPr>
      <xdr:spPr>
        <a:xfrm>
          <a:off x="4280453" y="59025183"/>
          <a:ext cx="7725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Building B</a:t>
          </a:r>
        </a:p>
      </xdr:txBody>
    </xdr:sp>
    <xdr:clientData/>
  </xdr:oneCellAnchor>
  <xdr:twoCellAnchor>
    <xdr:from>
      <xdr:col>0</xdr:col>
      <xdr:colOff>139700</xdr:colOff>
      <xdr:row>222</xdr:row>
      <xdr:rowOff>82550</xdr:rowOff>
    </xdr:from>
    <xdr:to>
      <xdr:col>7</xdr:col>
      <xdr:colOff>670878</xdr:colOff>
      <xdr:row>261</xdr:row>
      <xdr:rowOff>127288</xdr:rowOff>
    </xdr:to>
    <xdr:grpSp>
      <xdr:nvGrpSpPr>
        <xdr:cNvPr id="5" name="Group 4"/>
        <xdr:cNvGrpSpPr/>
      </xdr:nvGrpSpPr>
      <xdr:grpSpPr>
        <a:xfrm>
          <a:off x="139700" y="44348400"/>
          <a:ext cx="6474778" cy="7715538"/>
          <a:chOff x="139700" y="48463200"/>
          <a:chExt cx="6474778" cy="7715538"/>
        </a:xfrm>
      </xdr:grpSpPr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60834" y="5416273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0001" y="48463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0078" y="5416273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7308" y="48463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4615" y="48463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4615" y="5131296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700" y="5416273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7307" y="5131296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0456" y="5416273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0001" y="5131296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2" name="TextBox 1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3459508" y="48653700"/>
            <a:ext cx="486412" cy="37061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A1</a:t>
            </a:r>
            <a:endParaRPr lang="en-IN" b="1"/>
          </a:p>
        </xdr:txBody>
      </xdr:sp>
      <xdr:sp macro="" textlink="">
        <xdr:nvSpPr>
          <xdr:cNvPr id="63" name="TextBox 1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212315" y="48653700"/>
            <a:ext cx="486412" cy="37061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A2</a:t>
            </a:r>
            <a:endParaRPr lang="en-IN" b="1"/>
          </a:p>
        </xdr:txBody>
      </xdr:sp>
      <xdr:sp macro="" textlink="">
        <xdr:nvSpPr>
          <xdr:cNvPr id="64" name="TextBox 1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669515" y="51554269"/>
            <a:ext cx="486412" cy="37061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6pWXnRRHYZJvn9c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3"/>
  <sheetViews>
    <sheetView tabSelected="1" view="pageBreakPreview" topLeftCell="A196" zoomScaleNormal="100" zoomScaleSheetLayoutView="100" zoomScalePageLayoutView="85" workbookViewId="0">
      <selection activeCell="A206" sqref="A206:XFD206"/>
    </sheetView>
  </sheetViews>
  <sheetFormatPr defaultColWidth="9.08984375" defaultRowHeight="15.5" x14ac:dyDescent="0.35"/>
  <cols>
    <col min="1" max="1" width="11.453125" style="43" customWidth="1"/>
    <col min="2" max="2" width="12" style="43" customWidth="1"/>
    <col min="3" max="3" width="12.6328125" style="43" customWidth="1"/>
    <col min="4" max="4" width="14.08984375" style="43" customWidth="1"/>
    <col min="5" max="7" width="11.6328125" style="43" customWidth="1"/>
    <col min="8" max="8" width="12.453125" style="43" customWidth="1"/>
    <col min="9" max="9" width="17.453125" style="23" customWidth="1"/>
    <col min="10" max="10" width="17.453125" style="23" bestFit="1" customWidth="1"/>
    <col min="11" max="11" width="11.08984375" style="23" bestFit="1" customWidth="1"/>
    <col min="12" max="12" width="11.36328125" style="23" bestFit="1" customWidth="1"/>
    <col min="13" max="13" width="11.90625" style="23" customWidth="1"/>
    <col min="14" max="14" width="12.54296875" style="23" customWidth="1"/>
    <col min="15" max="15" width="9.90625" style="23" customWidth="1"/>
    <col min="16" max="16" width="11.6328125" style="23" customWidth="1"/>
    <col min="17" max="247" width="9.08984375" style="23"/>
    <col min="248" max="248" width="8.6328125" style="23" customWidth="1"/>
    <col min="249" max="249" width="9.90625" style="23" customWidth="1"/>
    <col min="250" max="250" width="14.453125" style="23" customWidth="1"/>
    <col min="251" max="251" width="7.36328125" style="23" customWidth="1"/>
    <col min="252" max="252" width="5.54296875" style="23" customWidth="1"/>
    <col min="253" max="253" width="9" style="23" customWidth="1"/>
    <col min="254" max="255" width="9.90625" style="23" customWidth="1"/>
    <col min="256" max="256" width="11.08984375" style="23" customWidth="1"/>
    <col min="257" max="257" width="2.90625" style="23" customWidth="1"/>
    <col min="258" max="258" width="3.54296875" style="23" customWidth="1"/>
    <col min="259" max="503" width="9.08984375" style="23"/>
    <col min="504" max="504" width="8.6328125" style="23" customWidth="1"/>
    <col min="505" max="505" width="9.90625" style="23" customWidth="1"/>
    <col min="506" max="506" width="14.453125" style="23" customWidth="1"/>
    <col min="507" max="507" width="7.36328125" style="23" customWidth="1"/>
    <col min="508" max="508" width="5.54296875" style="23" customWidth="1"/>
    <col min="509" max="509" width="9" style="23" customWidth="1"/>
    <col min="510" max="511" width="9.90625" style="23" customWidth="1"/>
    <col min="512" max="512" width="11.08984375" style="23" customWidth="1"/>
    <col min="513" max="513" width="2.90625" style="23" customWidth="1"/>
    <col min="514" max="514" width="3.54296875" style="23" customWidth="1"/>
    <col min="515" max="759" width="9.08984375" style="23"/>
    <col min="760" max="760" width="8.6328125" style="23" customWidth="1"/>
    <col min="761" max="761" width="9.90625" style="23" customWidth="1"/>
    <col min="762" max="762" width="14.453125" style="23" customWidth="1"/>
    <col min="763" max="763" width="7.36328125" style="23" customWidth="1"/>
    <col min="764" max="764" width="5.54296875" style="23" customWidth="1"/>
    <col min="765" max="765" width="9" style="23" customWidth="1"/>
    <col min="766" max="767" width="9.90625" style="23" customWidth="1"/>
    <col min="768" max="768" width="11.08984375" style="23" customWidth="1"/>
    <col min="769" max="769" width="2.90625" style="23" customWidth="1"/>
    <col min="770" max="770" width="3.54296875" style="23" customWidth="1"/>
    <col min="771" max="1015" width="9.08984375" style="23"/>
    <col min="1016" max="1016" width="8.6328125" style="23" customWidth="1"/>
    <col min="1017" max="1017" width="9.90625" style="23" customWidth="1"/>
    <col min="1018" max="1018" width="14.453125" style="23" customWidth="1"/>
    <col min="1019" max="1019" width="7.36328125" style="23" customWidth="1"/>
    <col min="1020" max="1020" width="5.54296875" style="23" customWidth="1"/>
    <col min="1021" max="1021" width="9" style="23" customWidth="1"/>
    <col min="1022" max="1023" width="9.90625" style="23" customWidth="1"/>
    <col min="1024" max="1024" width="11.08984375" style="23" customWidth="1"/>
    <col min="1025" max="1025" width="2.90625" style="23" customWidth="1"/>
    <col min="1026" max="1026" width="3.54296875" style="23" customWidth="1"/>
    <col min="1027" max="1271" width="9.08984375" style="23"/>
    <col min="1272" max="1272" width="8.6328125" style="23" customWidth="1"/>
    <col min="1273" max="1273" width="9.90625" style="23" customWidth="1"/>
    <col min="1274" max="1274" width="14.453125" style="23" customWidth="1"/>
    <col min="1275" max="1275" width="7.36328125" style="23" customWidth="1"/>
    <col min="1276" max="1276" width="5.54296875" style="23" customWidth="1"/>
    <col min="1277" max="1277" width="9" style="23" customWidth="1"/>
    <col min="1278" max="1279" width="9.90625" style="23" customWidth="1"/>
    <col min="1280" max="1280" width="11.08984375" style="23" customWidth="1"/>
    <col min="1281" max="1281" width="2.90625" style="23" customWidth="1"/>
    <col min="1282" max="1282" width="3.54296875" style="23" customWidth="1"/>
    <col min="1283" max="1527" width="9.08984375" style="23"/>
    <col min="1528" max="1528" width="8.6328125" style="23" customWidth="1"/>
    <col min="1529" max="1529" width="9.90625" style="23" customWidth="1"/>
    <col min="1530" max="1530" width="14.453125" style="23" customWidth="1"/>
    <col min="1531" max="1531" width="7.36328125" style="23" customWidth="1"/>
    <col min="1532" max="1532" width="5.54296875" style="23" customWidth="1"/>
    <col min="1533" max="1533" width="9" style="23" customWidth="1"/>
    <col min="1534" max="1535" width="9.90625" style="23" customWidth="1"/>
    <col min="1536" max="1536" width="11.08984375" style="23" customWidth="1"/>
    <col min="1537" max="1537" width="2.90625" style="23" customWidth="1"/>
    <col min="1538" max="1538" width="3.54296875" style="23" customWidth="1"/>
    <col min="1539" max="1783" width="9.08984375" style="23"/>
    <col min="1784" max="1784" width="8.6328125" style="23" customWidth="1"/>
    <col min="1785" max="1785" width="9.90625" style="23" customWidth="1"/>
    <col min="1786" max="1786" width="14.453125" style="23" customWidth="1"/>
    <col min="1787" max="1787" width="7.36328125" style="23" customWidth="1"/>
    <col min="1788" max="1788" width="5.54296875" style="23" customWidth="1"/>
    <col min="1789" max="1789" width="9" style="23" customWidth="1"/>
    <col min="1790" max="1791" width="9.90625" style="23" customWidth="1"/>
    <col min="1792" max="1792" width="11.08984375" style="23" customWidth="1"/>
    <col min="1793" max="1793" width="2.90625" style="23" customWidth="1"/>
    <col min="1794" max="1794" width="3.54296875" style="23" customWidth="1"/>
    <col min="1795" max="2039" width="9.08984375" style="23"/>
    <col min="2040" max="2040" width="8.6328125" style="23" customWidth="1"/>
    <col min="2041" max="2041" width="9.90625" style="23" customWidth="1"/>
    <col min="2042" max="2042" width="14.453125" style="23" customWidth="1"/>
    <col min="2043" max="2043" width="7.36328125" style="23" customWidth="1"/>
    <col min="2044" max="2044" width="5.54296875" style="23" customWidth="1"/>
    <col min="2045" max="2045" width="9" style="23" customWidth="1"/>
    <col min="2046" max="2047" width="9.90625" style="23" customWidth="1"/>
    <col min="2048" max="2048" width="11.08984375" style="23" customWidth="1"/>
    <col min="2049" max="2049" width="2.90625" style="23" customWidth="1"/>
    <col min="2050" max="2050" width="3.54296875" style="23" customWidth="1"/>
    <col min="2051" max="2295" width="9.08984375" style="23"/>
    <col min="2296" max="2296" width="8.6328125" style="23" customWidth="1"/>
    <col min="2297" max="2297" width="9.90625" style="23" customWidth="1"/>
    <col min="2298" max="2298" width="14.453125" style="23" customWidth="1"/>
    <col min="2299" max="2299" width="7.36328125" style="23" customWidth="1"/>
    <col min="2300" max="2300" width="5.54296875" style="23" customWidth="1"/>
    <col min="2301" max="2301" width="9" style="23" customWidth="1"/>
    <col min="2302" max="2303" width="9.90625" style="23" customWidth="1"/>
    <col min="2304" max="2304" width="11.08984375" style="23" customWidth="1"/>
    <col min="2305" max="2305" width="2.90625" style="23" customWidth="1"/>
    <col min="2306" max="2306" width="3.54296875" style="23" customWidth="1"/>
    <col min="2307" max="2551" width="9.08984375" style="23"/>
    <col min="2552" max="2552" width="8.6328125" style="23" customWidth="1"/>
    <col min="2553" max="2553" width="9.90625" style="23" customWidth="1"/>
    <col min="2554" max="2554" width="14.453125" style="23" customWidth="1"/>
    <col min="2555" max="2555" width="7.36328125" style="23" customWidth="1"/>
    <col min="2556" max="2556" width="5.54296875" style="23" customWidth="1"/>
    <col min="2557" max="2557" width="9" style="23" customWidth="1"/>
    <col min="2558" max="2559" width="9.90625" style="23" customWidth="1"/>
    <col min="2560" max="2560" width="11.08984375" style="23" customWidth="1"/>
    <col min="2561" max="2561" width="2.90625" style="23" customWidth="1"/>
    <col min="2562" max="2562" width="3.54296875" style="23" customWidth="1"/>
    <col min="2563" max="2807" width="9.08984375" style="23"/>
    <col min="2808" max="2808" width="8.6328125" style="23" customWidth="1"/>
    <col min="2809" max="2809" width="9.90625" style="23" customWidth="1"/>
    <col min="2810" max="2810" width="14.453125" style="23" customWidth="1"/>
    <col min="2811" max="2811" width="7.36328125" style="23" customWidth="1"/>
    <col min="2812" max="2812" width="5.54296875" style="23" customWidth="1"/>
    <col min="2813" max="2813" width="9" style="23" customWidth="1"/>
    <col min="2814" max="2815" width="9.90625" style="23" customWidth="1"/>
    <col min="2816" max="2816" width="11.08984375" style="23" customWidth="1"/>
    <col min="2817" max="2817" width="2.90625" style="23" customWidth="1"/>
    <col min="2818" max="2818" width="3.54296875" style="23" customWidth="1"/>
    <col min="2819" max="3063" width="9.08984375" style="23"/>
    <col min="3064" max="3064" width="8.6328125" style="23" customWidth="1"/>
    <col min="3065" max="3065" width="9.90625" style="23" customWidth="1"/>
    <col min="3066" max="3066" width="14.453125" style="23" customWidth="1"/>
    <col min="3067" max="3067" width="7.36328125" style="23" customWidth="1"/>
    <col min="3068" max="3068" width="5.54296875" style="23" customWidth="1"/>
    <col min="3069" max="3069" width="9" style="23" customWidth="1"/>
    <col min="3070" max="3071" width="9.90625" style="23" customWidth="1"/>
    <col min="3072" max="3072" width="11.08984375" style="23" customWidth="1"/>
    <col min="3073" max="3073" width="2.90625" style="23" customWidth="1"/>
    <col min="3074" max="3074" width="3.54296875" style="23" customWidth="1"/>
    <col min="3075" max="3319" width="9.08984375" style="23"/>
    <col min="3320" max="3320" width="8.6328125" style="23" customWidth="1"/>
    <col min="3321" max="3321" width="9.90625" style="23" customWidth="1"/>
    <col min="3322" max="3322" width="14.453125" style="23" customWidth="1"/>
    <col min="3323" max="3323" width="7.36328125" style="23" customWidth="1"/>
    <col min="3324" max="3324" width="5.54296875" style="23" customWidth="1"/>
    <col min="3325" max="3325" width="9" style="23" customWidth="1"/>
    <col min="3326" max="3327" width="9.90625" style="23" customWidth="1"/>
    <col min="3328" max="3328" width="11.08984375" style="23" customWidth="1"/>
    <col min="3329" max="3329" width="2.90625" style="23" customWidth="1"/>
    <col min="3330" max="3330" width="3.54296875" style="23" customWidth="1"/>
    <col min="3331" max="3575" width="9.08984375" style="23"/>
    <col min="3576" max="3576" width="8.6328125" style="23" customWidth="1"/>
    <col min="3577" max="3577" width="9.90625" style="23" customWidth="1"/>
    <col min="3578" max="3578" width="14.453125" style="23" customWidth="1"/>
    <col min="3579" max="3579" width="7.36328125" style="23" customWidth="1"/>
    <col min="3580" max="3580" width="5.54296875" style="23" customWidth="1"/>
    <col min="3581" max="3581" width="9" style="23" customWidth="1"/>
    <col min="3582" max="3583" width="9.90625" style="23" customWidth="1"/>
    <col min="3584" max="3584" width="11.08984375" style="23" customWidth="1"/>
    <col min="3585" max="3585" width="2.90625" style="23" customWidth="1"/>
    <col min="3586" max="3586" width="3.54296875" style="23" customWidth="1"/>
    <col min="3587" max="3831" width="9.08984375" style="23"/>
    <col min="3832" max="3832" width="8.6328125" style="23" customWidth="1"/>
    <col min="3833" max="3833" width="9.90625" style="23" customWidth="1"/>
    <col min="3834" max="3834" width="14.453125" style="23" customWidth="1"/>
    <col min="3835" max="3835" width="7.36328125" style="23" customWidth="1"/>
    <col min="3836" max="3836" width="5.54296875" style="23" customWidth="1"/>
    <col min="3837" max="3837" width="9" style="23" customWidth="1"/>
    <col min="3838" max="3839" width="9.90625" style="23" customWidth="1"/>
    <col min="3840" max="3840" width="11.08984375" style="23" customWidth="1"/>
    <col min="3841" max="3841" width="2.90625" style="23" customWidth="1"/>
    <col min="3842" max="3842" width="3.54296875" style="23" customWidth="1"/>
    <col min="3843" max="4087" width="9.08984375" style="23"/>
    <col min="4088" max="4088" width="8.6328125" style="23" customWidth="1"/>
    <col min="4089" max="4089" width="9.90625" style="23" customWidth="1"/>
    <col min="4090" max="4090" width="14.453125" style="23" customWidth="1"/>
    <col min="4091" max="4091" width="7.36328125" style="23" customWidth="1"/>
    <col min="4092" max="4092" width="5.54296875" style="23" customWidth="1"/>
    <col min="4093" max="4093" width="9" style="23" customWidth="1"/>
    <col min="4094" max="4095" width="9.90625" style="23" customWidth="1"/>
    <col min="4096" max="4096" width="11.08984375" style="23" customWidth="1"/>
    <col min="4097" max="4097" width="2.90625" style="23" customWidth="1"/>
    <col min="4098" max="4098" width="3.54296875" style="23" customWidth="1"/>
    <col min="4099" max="4343" width="9.08984375" style="23"/>
    <col min="4344" max="4344" width="8.6328125" style="23" customWidth="1"/>
    <col min="4345" max="4345" width="9.90625" style="23" customWidth="1"/>
    <col min="4346" max="4346" width="14.453125" style="23" customWidth="1"/>
    <col min="4347" max="4347" width="7.36328125" style="23" customWidth="1"/>
    <col min="4348" max="4348" width="5.54296875" style="23" customWidth="1"/>
    <col min="4349" max="4349" width="9" style="23" customWidth="1"/>
    <col min="4350" max="4351" width="9.90625" style="23" customWidth="1"/>
    <col min="4352" max="4352" width="11.08984375" style="23" customWidth="1"/>
    <col min="4353" max="4353" width="2.90625" style="23" customWidth="1"/>
    <col min="4354" max="4354" width="3.54296875" style="23" customWidth="1"/>
    <col min="4355" max="4599" width="9.08984375" style="23"/>
    <col min="4600" max="4600" width="8.6328125" style="23" customWidth="1"/>
    <col min="4601" max="4601" width="9.90625" style="23" customWidth="1"/>
    <col min="4602" max="4602" width="14.453125" style="23" customWidth="1"/>
    <col min="4603" max="4603" width="7.36328125" style="23" customWidth="1"/>
    <col min="4604" max="4604" width="5.54296875" style="23" customWidth="1"/>
    <col min="4605" max="4605" width="9" style="23" customWidth="1"/>
    <col min="4606" max="4607" width="9.90625" style="23" customWidth="1"/>
    <col min="4608" max="4608" width="11.08984375" style="23" customWidth="1"/>
    <col min="4609" max="4609" width="2.90625" style="23" customWidth="1"/>
    <col min="4610" max="4610" width="3.54296875" style="23" customWidth="1"/>
    <col min="4611" max="4855" width="9.08984375" style="23"/>
    <col min="4856" max="4856" width="8.6328125" style="23" customWidth="1"/>
    <col min="4857" max="4857" width="9.90625" style="23" customWidth="1"/>
    <col min="4858" max="4858" width="14.453125" style="23" customWidth="1"/>
    <col min="4859" max="4859" width="7.36328125" style="23" customWidth="1"/>
    <col min="4860" max="4860" width="5.54296875" style="23" customWidth="1"/>
    <col min="4861" max="4861" width="9" style="23" customWidth="1"/>
    <col min="4862" max="4863" width="9.90625" style="23" customWidth="1"/>
    <col min="4864" max="4864" width="11.08984375" style="23" customWidth="1"/>
    <col min="4865" max="4865" width="2.90625" style="23" customWidth="1"/>
    <col min="4866" max="4866" width="3.54296875" style="23" customWidth="1"/>
    <col min="4867" max="5111" width="9.08984375" style="23"/>
    <col min="5112" max="5112" width="8.6328125" style="23" customWidth="1"/>
    <col min="5113" max="5113" width="9.90625" style="23" customWidth="1"/>
    <col min="5114" max="5114" width="14.453125" style="23" customWidth="1"/>
    <col min="5115" max="5115" width="7.36328125" style="23" customWidth="1"/>
    <col min="5116" max="5116" width="5.54296875" style="23" customWidth="1"/>
    <col min="5117" max="5117" width="9" style="23" customWidth="1"/>
    <col min="5118" max="5119" width="9.90625" style="23" customWidth="1"/>
    <col min="5120" max="5120" width="11.08984375" style="23" customWidth="1"/>
    <col min="5121" max="5121" width="2.90625" style="23" customWidth="1"/>
    <col min="5122" max="5122" width="3.54296875" style="23" customWidth="1"/>
    <col min="5123" max="5367" width="9.08984375" style="23"/>
    <col min="5368" max="5368" width="8.6328125" style="23" customWidth="1"/>
    <col min="5369" max="5369" width="9.90625" style="23" customWidth="1"/>
    <col min="5370" max="5370" width="14.453125" style="23" customWidth="1"/>
    <col min="5371" max="5371" width="7.36328125" style="23" customWidth="1"/>
    <col min="5372" max="5372" width="5.54296875" style="23" customWidth="1"/>
    <col min="5373" max="5373" width="9" style="23" customWidth="1"/>
    <col min="5374" max="5375" width="9.90625" style="23" customWidth="1"/>
    <col min="5376" max="5376" width="11.08984375" style="23" customWidth="1"/>
    <col min="5377" max="5377" width="2.90625" style="23" customWidth="1"/>
    <col min="5378" max="5378" width="3.54296875" style="23" customWidth="1"/>
    <col min="5379" max="5623" width="9.08984375" style="23"/>
    <col min="5624" max="5624" width="8.6328125" style="23" customWidth="1"/>
    <col min="5625" max="5625" width="9.90625" style="23" customWidth="1"/>
    <col min="5626" max="5626" width="14.453125" style="23" customWidth="1"/>
    <col min="5627" max="5627" width="7.36328125" style="23" customWidth="1"/>
    <col min="5628" max="5628" width="5.54296875" style="23" customWidth="1"/>
    <col min="5629" max="5629" width="9" style="23" customWidth="1"/>
    <col min="5630" max="5631" width="9.90625" style="23" customWidth="1"/>
    <col min="5632" max="5632" width="11.08984375" style="23" customWidth="1"/>
    <col min="5633" max="5633" width="2.90625" style="23" customWidth="1"/>
    <col min="5634" max="5634" width="3.54296875" style="23" customWidth="1"/>
    <col min="5635" max="5879" width="9.08984375" style="23"/>
    <col min="5880" max="5880" width="8.6328125" style="23" customWidth="1"/>
    <col min="5881" max="5881" width="9.90625" style="23" customWidth="1"/>
    <col min="5882" max="5882" width="14.453125" style="23" customWidth="1"/>
    <col min="5883" max="5883" width="7.36328125" style="23" customWidth="1"/>
    <col min="5884" max="5884" width="5.54296875" style="23" customWidth="1"/>
    <col min="5885" max="5885" width="9" style="23" customWidth="1"/>
    <col min="5886" max="5887" width="9.90625" style="23" customWidth="1"/>
    <col min="5888" max="5888" width="11.08984375" style="23" customWidth="1"/>
    <col min="5889" max="5889" width="2.90625" style="23" customWidth="1"/>
    <col min="5890" max="5890" width="3.54296875" style="23" customWidth="1"/>
    <col min="5891" max="6135" width="9.08984375" style="23"/>
    <col min="6136" max="6136" width="8.6328125" style="23" customWidth="1"/>
    <col min="6137" max="6137" width="9.90625" style="23" customWidth="1"/>
    <col min="6138" max="6138" width="14.453125" style="23" customWidth="1"/>
    <col min="6139" max="6139" width="7.36328125" style="23" customWidth="1"/>
    <col min="6140" max="6140" width="5.54296875" style="23" customWidth="1"/>
    <col min="6141" max="6141" width="9" style="23" customWidth="1"/>
    <col min="6142" max="6143" width="9.90625" style="23" customWidth="1"/>
    <col min="6144" max="6144" width="11.08984375" style="23" customWidth="1"/>
    <col min="6145" max="6145" width="2.90625" style="23" customWidth="1"/>
    <col min="6146" max="6146" width="3.54296875" style="23" customWidth="1"/>
    <col min="6147" max="6391" width="9.08984375" style="23"/>
    <col min="6392" max="6392" width="8.6328125" style="23" customWidth="1"/>
    <col min="6393" max="6393" width="9.90625" style="23" customWidth="1"/>
    <col min="6394" max="6394" width="14.453125" style="23" customWidth="1"/>
    <col min="6395" max="6395" width="7.36328125" style="23" customWidth="1"/>
    <col min="6396" max="6396" width="5.54296875" style="23" customWidth="1"/>
    <col min="6397" max="6397" width="9" style="23" customWidth="1"/>
    <col min="6398" max="6399" width="9.90625" style="23" customWidth="1"/>
    <col min="6400" max="6400" width="11.08984375" style="23" customWidth="1"/>
    <col min="6401" max="6401" width="2.90625" style="23" customWidth="1"/>
    <col min="6402" max="6402" width="3.54296875" style="23" customWidth="1"/>
    <col min="6403" max="6647" width="9.08984375" style="23"/>
    <col min="6648" max="6648" width="8.6328125" style="23" customWidth="1"/>
    <col min="6649" max="6649" width="9.90625" style="23" customWidth="1"/>
    <col min="6650" max="6650" width="14.453125" style="23" customWidth="1"/>
    <col min="6651" max="6651" width="7.36328125" style="23" customWidth="1"/>
    <col min="6652" max="6652" width="5.54296875" style="23" customWidth="1"/>
    <col min="6653" max="6653" width="9" style="23" customWidth="1"/>
    <col min="6654" max="6655" width="9.90625" style="23" customWidth="1"/>
    <col min="6656" max="6656" width="11.08984375" style="23" customWidth="1"/>
    <col min="6657" max="6657" width="2.90625" style="23" customWidth="1"/>
    <col min="6658" max="6658" width="3.54296875" style="23" customWidth="1"/>
    <col min="6659" max="6903" width="9.08984375" style="23"/>
    <col min="6904" max="6904" width="8.6328125" style="23" customWidth="1"/>
    <col min="6905" max="6905" width="9.90625" style="23" customWidth="1"/>
    <col min="6906" max="6906" width="14.453125" style="23" customWidth="1"/>
    <col min="6907" max="6907" width="7.36328125" style="23" customWidth="1"/>
    <col min="6908" max="6908" width="5.54296875" style="23" customWidth="1"/>
    <col min="6909" max="6909" width="9" style="23" customWidth="1"/>
    <col min="6910" max="6911" width="9.90625" style="23" customWidth="1"/>
    <col min="6912" max="6912" width="11.08984375" style="23" customWidth="1"/>
    <col min="6913" max="6913" width="2.90625" style="23" customWidth="1"/>
    <col min="6914" max="6914" width="3.54296875" style="23" customWidth="1"/>
    <col min="6915" max="7159" width="9.08984375" style="23"/>
    <col min="7160" max="7160" width="8.6328125" style="23" customWidth="1"/>
    <col min="7161" max="7161" width="9.90625" style="23" customWidth="1"/>
    <col min="7162" max="7162" width="14.453125" style="23" customWidth="1"/>
    <col min="7163" max="7163" width="7.36328125" style="23" customWidth="1"/>
    <col min="7164" max="7164" width="5.54296875" style="23" customWidth="1"/>
    <col min="7165" max="7165" width="9" style="23" customWidth="1"/>
    <col min="7166" max="7167" width="9.90625" style="23" customWidth="1"/>
    <col min="7168" max="7168" width="11.08984375" style="23" customWidth="1"/>
    <col min="7169" max="7169" width="2.90625" style="23" customWidth="1"/>
    <col min="7170" max="7170" width="3.54296875" style="23" customWidth="1"/>
    <col min="7171" max="7415" width="9.08984375" style="23"/>
    <col min="7416" max="7416" width="8.6328125" style="23" customWidth="1"/>
    <col min="7417" max="7417" width="9.90625" style="23" customWidth="1"/>
    <col min="7418" max="7418" width="14.453125" style="23" customWidth="1"/>
    <col min="7419" max="7419" width="7.36328125" style="23" customWidth="1"/>
    <col min="7420" max="7420" width="5.54296875" style="23" customWidth="1"/>
    <col min="7421" max="7421" width="9" style="23" customWidth="1"/>
    <col min="7422" max="7423" width="9.90625" style="23" customWidth="1"/>
    <col min="7424" max="7424" width="11.08984375" style="23" customWidth="1"/>
    <col min="7425" max="7425" width="2.90625" style="23" customWidth="1"/>
    <col min="7426" max="7426" width="3.54296875" style="23" customWidth="1"/>
    <col min="7427" max="7671" width="9.08984375" style="23"/>
    <col min="7672" max="7672" width="8.6328125" style="23" customWidth="1"/>
    <col min="7673" max="7673" width="9.90625" style="23" customWidth="1"/>
    <col min="7674" max="7674" width="14.453125" style="23" customWidth="1"/>
    <col min="7675" max="7675" width="7.36328125" style="23" customWidth="1"/>
    <col min="7676" max="7676" width="5.54296875" style="23" customWidth="1"/>
    <col min="7677" max="7677" width="9" style="23" customWidth="1"/>
    <col min="7678" max="7679" width="9.90625" style="23" customWidth="1"/>
    <col min="7680" max="7680" width="11.08984375" style="23" customWidth="1"/>
    <col min="7681" max="7681" width="2.90625" style="23" customWidth="1"/>
    <col min="7682" max="7682" width="3.54296875" style="23" customWidth="1"/>
    <col min="7683" max="7927" width="9.08984375" style="23"/>
    <col min="7928" max="7928" width="8.6328125" style="23" customWidth="1"/>
    <col min="7929" max="7929" width="9.90625" style="23" customWidth="1"/>
    <col min="7930" max="7930" width="14.453125" style="23" customWidth="1"/>
    <col min="7931" max="7931" width="7.36328125" style="23" customWidth="1"/>
    <col min="7932" max="7932" width="5.54296875" style="23" customWidth="1"/>
    <col min="7933" max="7933" width="9" style="23" customWidth="1"/>
    <col min="7934" max="7935" width="9.90625" style="23" customWidth="1"/>
    <col min="7936" max="7936" width="11.08984375" style="23" customWidth="1"/>
    <col min="7937" max="7937" width="2.90625" style="23" customWidth="1"/>
    <col min="7938" max="7938" width="3.54296875" style="23" customWidth="1"/>
    <col min="7939" max="8183" width="9.08984375" style="23"/>
    <col min="8184" max="8184" width="8.6328125" style="23" customWidth="1"/>
    <col min="8185" max="8185" width="9.90625" style="23" customWidth="1"/>
    <col min="8186" max="8186" width="14.453125" style="23" customWidth="1"/>
    <col min="8187" max="8187" width="7.36328125" style="23" customWidth="1"/>
    <col min="8188" max="8188" width="5.54296875" style="23" customWidth="1"/>
    <col min="8189" max="8189" width="9" style="23" customWidth="1"/>
    <col min="8190" max="8191" width="9.90625" style="23" customWidth="1"/>
    <col min="8192" max="8192" width="11.08984375" style="23" customWidth="1"/>
    <col min="8193" max="8193" width="2.90625" style="23" customWidth="1"/>
    <col min="8194" max="8194" width="3.54296875" style="23" customWidth="1"/>
    <col min="8195" max="8439" width="9.08984375" style="23"/>
    <col min="8440" max="8440" width="8.6328125" style="23" customWidth="1"/>
    <col min="8441" max="8441" width="9.90625" style="23" customWidth="1"/>
    <col min="8442" max="8442" width="14.453125" style="23" customWidth="1"/>
    <col min="8443" max="8443" width="7.36328125" style="23" customWidth="1"/>
    <col min="8444" max="8444" width="5.54296875" style="23" customWidth="1"/>
    <col min="8445" max="8445" width="9" style="23" customWidth="1"/>
    <col min="8446" max="8447" width="9.90625" style="23" customWidth="1"/>
    <col min="8448" max="8448" width="11.08984375" style="23" customWidth="1"/>
    <col min="8449" max="8449" width="2.90625" style="23" customWidth="1"/>
    <col min="8450" max="8450" width="3.54296875" style="23" customWidth="1"/>
    <col min="8451" max="8695" width="9.08984375" style="23"/>
    <col min="8696" max="8696" width="8.6328125" style="23" customWidth="1"/>
    <col min="8697" max="8697" width="9.90625" style="23" customWidth="1"/>
    <col min="8698" max="8698" width="14.453125" style="23" customWidth="1"/>
    <col min="8699" max="8699" width="7.36328125" style="23" customWidth="1"/>
    <col min="8700" max="8700" width="5.54296875" style="23" customWidth="1"/>
    <col min="8701" max="8701" width="9" style="23" customWidth="1"/>
    <col min="8702" max="8703" width="9.90625" style="23" customWidth="1"/>
    <col min="8704" max="8704" width="11.08984375" style="23" customWidth="1"/>
    <col min="8705" max="8705" width="2.90625" style="23" customWidth="1"/>
    <col min="8706" max="8706" width="3.54296875" style="23" customWidth="1"/>
    <col min="8707" max="8951" width="9.08984375" style="23"/>
    <col min="8952" max="8952" width="8.6328125" style="23" customWidth="1"/>
    <col min="8953" max="8953" width="9.90625" style="23" customWidth="1"/>
    <col min="8954" max="8954" width="14.453125" style="23" customWidth="1"/>
    <col min="8955" max="8955" width="7.36328125" style="23" customWidth="1"/>
    <col min="8956" max="8956" width="5.54296875" style="23" customWidth="1"/>
    <col min="8957" max="8957" width="9" style="23" customWidth="1"/>
    <col min="8958" max="8959" width="9.90625" style="23" customWidth="1"/>
    <col min="8960" max="8960" width="11.08984375" style="23" customWidth="1"/>
    <col min="8961" max="8961" width="2.90625" style="23" customWidth="1"/>
    <col min="8962" max="8962" width="3.54296875" style="23" customWidth="1"/>
    <col min="8963" max="9207" width="9.08984375" style="23"/>
    <col min="9208" max="9208" width="8.6328125" style="23" customWidth="1"/>
    <col min="9209" max="9209" width="9.90625" style="23" customWidth="1"/>
    <col min="9210" max="9210" width="14.453125" style="23" customWidth="1"/>
    <col min="9211" max="9211" width="7.36328125" style="23" customWidth="1"/>
    <col min="9212" max="9212" width="5.54296875" style="23" customWidth="1"/>
    <col min="9213" max="9213" width="9" style="23" customWidth="1"/>
    <col min="9214" max="9215" width="9.90625" style="23" customWidth="1"/>
    <col min="9216" max="9216" width="11.08984375" style="23" customWidth="1"/>
    <col min="9217" max="9217" width="2.90625" style="23" customWidth="1"/>
    <col min="9218" max="9218" width="3.54296875" style="23" customWidth="1"/>
    <col min="9219" max="9463" width="9.08984375" style="23"/>
    <col min="9464" max="9464" width="8.6328125" style="23" customWidth="1"/>
    <col min="9465" max="9465" width="9.90625" style="23" customWidth="1"/>
    <col min="9466" max="9466" width="14.453125" style="23" customWidth="1"/>
    <col min="9467" max="9467" width="7.36328125" style="23" customWidth="1"/>
    <col min="9468" max="9468" width="5.54296875" style="23" customWidth="1"/>
    <col min="9469" max="9469" width="9" style="23" customWidth="1"/>
    <col min="9470" max="9471" width="9.90625" style="23" customWidth="1"/>
    <col min="9472" max="9472" width="11.08984375" style="23" customWidth="1"/>
    <col min="9473" max="9473" width="2.90625" style="23" customWidth="1"/>
    <col min="9474" max="9474" width="3.54296875" style="23" customWidth="1"/>
    <col min="9475" max="9719" width="9.08984375" style="23"/>
    <col min="9720" max="9720" width="8.6328125" style="23" customWidth="1"/>
    <col min="9721" max="9721" width="9.90625" style="23" customWidth="1"/>
    <col min="9722" max="9722" width="14.453125" style="23" customWidth="1"/>
    <col min="9723" max="9723" width="7.36328125" style="23" customWidth="1"/>
    <col min="9724" max="9724" width="5.54296875" style="23" customWidth="1"/>
    <col min="9725" max="9725" width="9" style="23" customWidth="1"/>
    <col min="9726" max="9727" width="9.90625" style="23" customWidth="1"/>
    <col min="9728" max="9728" width="11.08984375" style="23" customWidth="1"/>
    <col min="9729" max="9729" width="2.90625" style="23" customWidth="1"/>
    <col min="9730" max="9730" width="3.54296875" style="23" customWidth="1"/>
    <col min="9731" max="9975" width="9.08984375" style="23"/>
    <col min="9976" max="9976" width="8.6328125" style="23" customWidth="1"/>
    <col min="9977" max="9977" width="9.90625" style="23" customWidth="1"/>
    <col min="9978" max="9978" width="14.453125" style="23" customWidth="1"/>
    <col min="9979" max="9979" width="7.36328125" style="23" customWidth="1"/>
    <col min="9980" max="9980" width="5.54296875" style="23" customWidth="1"/>
    <col min="9981" max="9981" width="9" style="23" customWidth="1"/>
    <col min="9982" max="9983" width="9.90625" style="23" customWidth="1"/>
    <col min="9984" max="9984" width="11.08984375" style="23" customWidth="1"/>
    <col min="9985" max="9985" width="2.90625" style="23" customWidth="1"/>
    <col min="9986" max="9986" width="3.54296875" style="23" customWidth="1"/>
    <col min="9987" max="10231" width="9.08984375" style="23"/>
    <col min="10232" max="10232" width="8.6328125" style="23" customWidth="1"/>
    <col min="10233" max="10233" width="9.90625" style="23" customWidth="1"/>
    <col min="10234" max="10234" width="14.453125" style="23" customWidth="1"/>
    <col min="10235" max="10235" width="7.36328125" style="23" customWidth="1"/>
    <col min="10236" max="10236" width="5.54296875" style="23" customWidth="1"/>
    <col min="10237" max="10237" width="9" style="23" customWidth="1"/>
    <col min="10238" max="10239" width="9.90625" style="23" customWidth="1"/>
    <col min="10240" max="10240" width="11.08984375" style="23" customWidth="1"/>
    <col min="10241" max="10241" width="2.90625" style="23" customWidth="1"/>
    <col min="10242" max="10242" width="3.54296875" style="23" customWidth="1"/>
    <col min="10243" max="10487" width="9.08984375" style="23"/>
    <col min="10488" max="10488" width="8.6328125" style="23" customWidth="1"/>
    <col min="10489" max="10489" width="9.90625" style="23" customWidth="1"/>
    <col min="10490" max="10490" width="14.453125" style="23" customWidth="1"/>
    <col min="10491" max="10491" width="7.36328125" style="23" customWidth="1"/>
    <col min="10492" max="10492" width="5.54296875" style="23" customWidth="1"/>
    <col min="10493" max="10493" width="9" style="23" customWidth="1"/>
    <col min="10494" max="10495" width="9.90625" style="23" customWidth="1"/>
    <col min="10496" max="10496" width="11.08984375" style="23" customWidth="1"/>
    <col min="10497" max="10497" width="2.90625" style="23" customWidth="1"/>
    <col min="10498" max="10498" width="3.54296875" style="23" customWidth="1"/>
    <col min="10499" max="10743" width="9.08984375" style="23"/>
    <col min="10744" max="10744" width="8.6328125" style="23" customWidth="1"/>
    <col min="10745" max="10745" width="9.90625" style="23" customWidth="1"/>
    <col min="10746" max="10746" width="14.453125" style="23" customWidth="1"/>
    <col min="10747" max="10747" width="7.36328125" style="23" customWidth="1"/>
    <col min="10748" max="10748" width="5.54296875" style="23" customWidth="1"/>
    <col min="10749" max="10749" width="9" style="23" customWidth="1"/>
    <col min="10750" max="10751" width="9.90625" style="23" customWidth="1"/>
    <col min="10752" max="10752" width="11.08984375" style="23" customWidth="1"/>
    <col min="10753" max="10753" width="2.90625" style="23" customWidth="1"/>
    <col min="10754" max="10754" width="3.54296875" style="23" customWidth="1"/>
    <col min="10755" max="10999" width="9.08984375" style="23"/>
    <col min="11000" max="11000" width="8.6328125" style="23" customWidth="1"/>
    <col min="11001" max="11001" width="9.90625" style="23" customWidth="1"/>
    <col min="11002" max="11002" width="14.453125" style="23" customWidth="1"/>
    <col min="11003" max="11003" width="7.36328125" style="23" customWidth="1"/>
    <col min="11004" max="11004" width="5.54296875" style="23" customWidth="1"/>
    <col min="11005" max="11005" width="9" style="23" customWidth="1"/>
    <col min="11006" max="11007" width="9.90625" style="23" customWidth="1"/>
    <col min="11008" max="11008" width="11.08984375" style="23" customWidth="1"/>
    <col min="11009" max="11009" width="2.90625" style="23" customWidth="1"/>
    <col min="11010" max="11010" width="3.54296875" style="23" customWidth="1"/>
    <col min="11011" max="11255" width="9.08984375" style="23"/>
    <col min="11256" max="11256" width="8.6328125" style="23" customWidth="1"/>
    <col min="11257" max="11257" width="9.90625" style="23" customWidth="1"/>
    <col min="11258" max="11258" width="14.453125" style="23" customWidth="1"/>
    <col min="11259" max="11259" width="7.36328125" style="23" customWidth="1"/>
    <col min="11260" max="11260" width="5.54296875" style="23" customWidth="1"/>
    <col min="11261" max="11261" width="9" style="23" customWidth="1"/>
    <col min="11262" max="11263" width="9.90625" style="23" customWidth="1"/>
    <col min="11264" max="11264" width="11.08984375" style="23" customWidth="1"/>
    <col min="11265" max="11265" width="2.90625" style="23" customWidth="1"/>
    <col min="11266" max="11266" width="3.54296875" style="23" customWidth="1"/>
    <col min="11267" max="11511" width="9.08984375" style="23"/>
    <col min="11512" max="11512" width="8.6328125" style="23" customWidth="1"/>
    <col min="11513" max="11513" width="9.90625" style="23" customWidth="1"/>
    <col min="11514" max="11514" width="14.453125" style="23" customWidth="1"/>
    <col min="11515" max="11515" width="7.36328125" style="23" customWidth="1"/>
    <col min="11516" max="11516" width="5.54296875" style="23" customWidth="1"/>
    <col min="11517" max="11517" width="9" style="23" customWidth="1"/>
    <col min="11518" max="11519" width="9.90625" style="23" customWidth="1"/>
    <col min="11520" max="11520" width="11.08984375" style="23" customWidth="1"/>
    <col min="11521" max="11521" width="2.90625" style="23" customWidth="1"/>
    <col min="11522" max="11522" width="3.54296875" style="23" customWidth="1"/>
    <col min="11523" max="11767" width="9.08984375" style="23"/>
    <col min="11768" max="11768" width="8.6328125" style="23" customWidth="1"/>
    <col min="11769" max="11769" width="9.90625" style="23" customWidth="1"/>
    <col min="11770" max="11770" width="14.453125" style="23" customWidth="1"/>
    <col min="11771" max="11771" width="7.36328125" style="23" customWidth="1"/>
    <col min="11772" max="11772" width="5.54296875" style="23" customWidth="1"/>
    <col min="11773" max="11773" width="9" style="23" customWidth="1"/>
    <col min="11774" max="11775" width="9.90625" style="23" customWidth="1"/>
    <col min="11776" max="11776" width="11.08984375" style="23" customWidth="1"/>
    <col min="11777" max="11777" width="2.90625" style="23" customWidth="1"/>
    <col min="11778" max="11778" width="3.54296875" style="23" customWidth="1"/>
    <col min="11779" max="12023" width="9.08984375" style="23"/>
    <col min="12024" max="12024" width="8.6328125" style="23" customWidth="1"/>
    <col min="12025" max="12025" width="9.90625" style="23" customWidth="1"/>
    <col min="12026" max="12026" width="14.453125" style="23" customWidth="1"/>
    <col min="12027" max="12027" width="7.36328125" style="23" customWidth="1"/>
    <col min="12028" max="12028" width="5.54296875" style="23" customWidth="1"/>
    <col min="12029" max="12029" width="9" style="23" customWidth="1"/>
    <col min="12030" max="12031" width="9.90625" style="23" customWidth="1"/>
    <col min="12032" max="12032" width="11.08984375" style="23" customWidth="1"/>
    <col min="12033" max="12033" width="2.90625" style="23" customWidth="1"/>
    <col min="12034" max="12034" width="3.54296875" style="23" customWidth="1"/>
    <col min="12035" max="12279" width="9.08984375" style="23"/>
    <col min="12280" max="12280" width="8.6328125" style="23" customWidth="1"/>
    <col min="12281" max="12281" width="9.90625" style="23" customWidth="1"/>
    <col min="12282" max="12282" width="14.453125" style="23" customWidth="1"/>
    <col min="12283" max="12283" width="7.36328125" style="23" customWidth="1"/>
    <col min="12284" max="12284" width="5.54296875" style="23" customWidth="1"/>
    <col min="12285" max="12285" width="9" style="23" customWidth="1"/>
    <col min="12286" max="12287" width="9.90625" style="23" customWidth="1"/>
    <col min="12288" max="12288" width="11.08984375" style="23" customWidth="1"/>
    <col min="12289" max="12289" width="2.90625" style="23" customWidth="1"/>
    <col min="12290" max="12290" width="3.54296875" style="23" customWidth="1"/>
    <col min="12291" max="12535" width="9.08984375" style="23"/>
    <col min="12536" max="12536" width="8.6328125" style="23" customWidth="1"/>
    <col min="12537" max="12537" width="9.90625" style="23" customWidth="1"/>
    <col min="12538" max="12538" width="14.453125" style="23" customWidth="1"/>
    <col min="12539" max="12539" width="7.36328125" style="23" customWidth="1"/>
    <col min="12540" max="12540" width="5.54296875" style="23" customWidth="1"/>
    <col min="12541" max="12541" width="9" style="23" customWidth="1"/>
    <col min="12542" max="12543" width="9.90625" style="23" customWidth="1"/>
    <col min="12544" max="12544" width="11.08984375" style="23" customWidth="1"/>
    <col min="12545" max="12545" width="2.90625" style="23" customWidth="1"/>
    <col min="12546" max="12546" width="3.54296875" style="23" customWidth="1"/>
    <col min="12547" max="12791" width="9.08984375" style="23"/>
    <col min="12792" max="12792" width="8.6328125" style="23" customWidth="1"/>
    <col min="12793" max="12793" width="9.90625" style="23" customWidth="1"/>
    <col min="12794" max="12794" width="14.453125" style="23" customWidth="1"/>
    <col min="12795" max="12795" width="7.36328125" style="23" customWidth="1"/>
    <col min="12796" max="12796" width="5.54296875" style="23" customWidth="1"/>
    <col min="12797" max="12797" width="9" style="23" customWidth="1"/>
    <col min="12798" max="12799" width="9.90625" style="23" customWidth="1"/>
    <col min="12800" max="12800" width="11.08984375" style="23" customWidth="1"/>
    <col min="12801" max="12801" width="2.90625" style="23" customWidth="1"/>
    <col min="12802" max="12802" width="3.54296875" style="23" customWidth="1"/>
    <col min="12803" max="13047" width="9.08984375" style="23"/>
    <col min="13048" max="13048" width="8.6328125" style="23" customWidth="1"/>
    <col min="13049" max="13049" width="9.90625" style="23" customWidth="1"/>
    <col min="13050" max="13050" width="14.453125" style="23" customWidth="1"/>
    <col min="13051" max="13051" width="7.36328125" style="23" customWidth="1"/>
    <col min="13052" max="13052" width="5.54296875" style="23" customWidth="1"/>
    <col min="13053" max="13053" width="9" style="23" customWidth="1"/>
    <col min="13054" max="13055" width="9.90625" style="23" customWidth="1"/>
    <col min="13056" max="13056" width="11.08984375" style="23" customWidth="1"/>
    <col min="13057" max="13057" width="2.90625" style="23" customWidth="1"/>
    <col min="13058" max="13058" width="3.54296875" style="23" customWidth="1"/>
    <col min="13059" max="13303" width="9.08984375" style="23"/>
    <col min="13304" max="13304" width="8.6328125" style="23" customWidth="1"/>
    <col min="13305" max="13305" width="9.90625" style="23" customWidth="1"/>
    <col min="13306" max="13306" width="14.453125" style="23" customWidth="1"/>
    <col min="13307" max="13307" width="7.36328125" style="23" customWidth="1"/>
    <col min="13308" max="13308" width="5.54296875" style="23" customWidth="1"/>
    <col min="13309" max="13309" width="9" style="23" customWidth="1"/>
    <col min="13310" max="13311" width="9.90625" style="23" customWidth="1"/>
    <col min="13312" max="13312" width="11.08984375" style="23" customWidth="1"/>
    <col min="13313" max="13313" width="2.90625" style="23" customWidth="1"/>
    <col min="13314" max="13314" width="3.54296875" style="23" customWidth="1"/>
    <col min="13315" max="13559" width="9.08984375" style="23"/>
    <col min="13560" max="13560" width="8.6328125" style="23" customWidth="1"/>
    <col min="13561" max="13561" width="9.90625" style="23" customWidth="1"/>
    <col min="13562" max="13562" width="14.453125" style="23" customWidth="1"/>
    <col min="13563" max="13563" width="7.36328125" style="23" customWidth="1"/>
    <col min="13564" max="13564" width="5.54296875" style="23" customWidth="1"/>
    <col min="13565" max="13565" width="9" style="23" customWidth="1"/>
    <col min="13566" max="13567" width="9.90625" style="23" customWidth="1"/>
    <col min="13568" max="13568" width="11.08984375" style="23" customWidth="1"/>
    <col min="13569" max="13569" width="2.90625" style="23" customWidth="1"/>
    <col min="13570" max="13570" width="3.54296875" style="23" customWidth="1"/>
    <col min="13571" max="13815" width="9.08984375" style="23"/>
    <col min="13816" max="13816" width="8.6328125" style="23" customWidth="1"/>
    <col min="13817" max="13817" width="9.90625" style="23" customWidth="1"/>
    <col min="13818" max="13818" width="14.453125" style="23" customWidth="1"/>
    <col min="13819" max="13819" width="7.36328125" style="23" customWidth="1"/>
    <col min="13820" max="13820" width="5.54296875" style="23" customWidth="1"/>
    <col min="13821" max="13821" width="9" style="23" customWidth="1"/>
    <col min="13822" max="13823" width="9.90625" style="23" customWidth="1"/>
    <col min="13824" max="13824" width="11.08984375" style="23" customWidth="1"/>
    <col min="13825" max="13825" width="2.90625" style="23" customWidth="1"/>
    <col min="13826" max="13826" width="3.54296875" style="23" customWidth="1"/>
    <col min="13827" max="14071" width="9.08984375" style="23"/>
    <col min="14072" max="14072" width="8.6328125" style="23" customWidth="1"/>
    <col min="14073" max="14073" width="9.90625" style="23" customWidth="1"/>
    <col min="14074" max="14074" width="14.453125" style="23" customWidth="1"/>
    <col min="14075" max="14075" width="7.36328125" style="23" customWidth="1"/>
    <col min="14076" max="14076" width="5.54296875" style="23" customWidth="1"/>
    <col min="14077" max="14077" width="9" style="23" customWidth="1"/>
    <col min="14078" max="14079" width="9.90625" style="23" customWidth="1"/>
    <col min="14080" max="14080" width="11.08984375" style="23" customWidth="1"/>
    <col min="14081" max="14081" width="2.90625" style="23" customWidth="1"/>
    <col min="14082" max="14082" width="3.54296875" style="23" customWidth="1"/>
    <col min="14083" max="14327" width="9.08984375" style="23"/>
    <col min="14328" max="14328" width="8.6328125" style="23" customWidth="1"/>
    <col min="14329" max="14329" width="9.90625" style="23" customWidth="1"/>
    <col min="14330" max="14330" width="14.453125" style="23" customWidth="1"/>
    <col min="14331" max="14331" width="7.36328125" style="23" customWidth="1"/>
    <col min="14332" max="14332" width="5.54296875" style="23" customWidth="1"/>
    <col min="14333" max="14333" width="9" style="23" customWidth="1"/>
    <col min="14334" max="14335" width="9.90625" style="23" customWidth="1"/>
    <col min="14336" max="14336" width="11.08984375" style="23" customWidth="1"/>
    <col min="14337" max="14337" width="2.90625" style="23" customWidth="1"/>
    <col min="14338" max="14338" width="3.54296875" style="23" customWidth="1"/>
    <col min="14339" max="14583" width="9.08984375" style="23"/>
    <col min="14584" max="14584" width="8.6328125" style="23" customWidth="1"/>
    <col min="14585" max="14585" width="9.90625" style="23" customWidth="1"/>
    <col min="14586" max="14586" width="14.453125" style="23" customWidth="1"/>
    <col min="14587" max="14587" width="7.36328125" style="23" customWidth="1"/>
    <col min="14588" max="14588" width="5.54296875" style="23" customWidth="1"/>
    <col min="14589" max="14589" width="9" style="23" customWidth="1"/>
    <col min="14590" max="14591" width="9.90625" style="23" customWidth="1"/>
    <col min="14592" max="14592" width="11.08984375" style="23" customWidth="1"/>
    <col min="14593" max="14593" width="2.90625" style="23" customWidth="1"/>
    <col min="14594" max="14594" width="3.54296875" style="23" customWidth="1"/>
    <col min="14595" max="14839" width="9.08984375" style="23"/>
    <col min="14840" max="14840" width="8.6328125" style="23" customWidth="1"/>
    <col min="14841" max="14841" width="9.90625" style="23" customWidth="1"/>
    <col min="14842" max="14842" width="14.453125" style="23" customWidth="1"/>
    <col min="14843" max="14843" width="7.36328125" style="23" customWidth="1"/>
    <col min="14844" max="14844" width="5.54296875" style="23" customWidth="1"/>
    <col min="14845" max="14845" width="9" style="23" customWidth="1"/>
    <col min="14846" max="14847" width="9.90625" style="23" customWidth="1"/>
    <col min="14848" max="14848" width="11.08984375" style="23" customWidth="1"/>
    <col min="14849" max="14849" width="2.90625" style="23" customWidth="1"/>
    <col min="14850" max="14850" width="3.54296875" style="23" customWidth="1"/>
    <col min="14851" max="15095" width="9.08984375" style="23"/>
    <col min="15096" max="15096" width="8.6328125" style="23" customWidth="1"/>
    <col min="15097" max="15097" width="9.90625" style="23" customWidth="1"/>
    <col min="15098" max="15098" width="14.453125" style="23" customWidth="1"/>
    <col min="15099" max="15099" width="7.36328125" style="23" customWidth="1"/>
    <col min="15100" max="15100" width="5.54296875" style="23" customWidth="1"/>
    <col min="15101" max="15101" width="9" style="23" customWidth="1"/>
    <col min="15102" max="15103" width="9.90625" style="23" customWidth="1"/>
    <col min="15104" max="15104" width="11.08984375" style="23" customWidth="1"/>
    <col min="15105" max="15105" width="2.90625" style="23" customWidth="1"/>
    <col min="15106" max="15106" width="3.54296875" style="23" customWidth="1"/>
    <col min="15107" max="15351" width="9.08984375" style="23"/>
    <col min="15352" max="15352" width="8.6328125" style="23" customWidth="1"/>
    <col min="15353" max="15353" width="9.90625" style="23" customWidth="1"/>
    <col min="15354" max="15354" width="14.453125" style="23" customWidth="1"/>
    <col min="15355" max="15355" width="7.36328125" style="23" customWidth="1"/>
    <col min="15356" max="15356" width="5.54296875" style="23" customWidth="1"/>
    <col min="15357" max="15357" width="9" style="23" customWidth="1"/>
    <col min="15358" max="15359" width="9.90625" style="23" customWidth="1"/>
    <col min="15360" max="15360" width="11.08984375" style="23" customWidth="1"/>
    <col min="15361" max="15361" width="2.90625" style="23" customWidth="1"/>
    <col min="15362" max="15362" width="3.54296875" style="23" customWidth="1"/>
    <col min="15363" max="15607" width="9.08984375" style="23"/>
    <col min="15608" max="15608" width="8.6328125" style="23" customWidth="1"/>
    <col min="15609" max="15609" width="9.90625" style="23" customWidth="1"/>
    <col min="15610" max="15610" width="14.453125" style="23" customWidth="1"/>
    <col min="15611" max="15611" width="7.36328125" style="23" customWidth="1"/>
    <col min="15612" max="15612" width="5.54296875" style="23" customWidth="1"/>
    <col min="15613" max="15613" width="9" style="23" customWidth="1"/>
    <col min="15614" max="15615" width="9.90625" style="23" customWidth="1"/>
    <col min="15616" max="15616" width="11.08984375" style="23" customWidth="1"/>
    <col min="15617" max="15617" width="2.90625" style="23" customWidth="1"/>
    <col min="15618" max="15618" width="3.54296875" style="23" customWidth="1"/>
    <col min="15619" max="15863" width="9.08984375" style="23"/>
    <col min="15864" max="15864" width="8.6328125" style="23" customWidth="1"/>
    <col min="15865" max="15865" width="9.90625" style="23" customWidth="1"/>
    <col min="15866" max="15866" width="14.453125" style="23" customWidth="1"/>
    <col min="15867" max="15867" width="7.36328125" style="23" customWidth="1"/>
    <col min="15868" max="15868" width="5.54296875" style="23" customWidth="1"/>
    <col min="15869" max="15869" width="9" style="23" customWidth="1"/>
    <col min="15870" max="15871" width="9.90625" style="23" customWidth="1"/>
    <col min="15872" max="15872" width="11.08984375" style="23" customWidth="1"/>
    <col min="15873" max="15873" width="2.90625" style="23" customWidth="1"/>
    <col min="15874" max="15874" width="3.54296875" style="23" customWidth="1"/>
    <col min="15875" max="16119" width="9.08984375" style="23"/>
    <col min="16120" max="16120" width="8.6328125" style="23" customWidth="1"/>
    <col min="16121" max="16121" width="9.90625" style="23" customWidth="1"/>
    <col min="16122" max="16122" width="14.453125" style="23" customWidth="1"/>
    <col min="16123" max="16123" width="7.36328125" style="23" customWidth="1"/>
    <col min="16124" max="16124" width="5.54296875" style="23" customWidth="1"/>
    <col min="16125" max="16125" width="9" style="23" customWidth="1"/>
    <col min="16126" max="16127" width="9.90625" style="23" customWidth="1"/>
    <col min="16128" max="16128" width="11.08984375" style="23" customWidth="1"/>
    <col min="16129" max="16129" width="2.90625" style="23" customWidth="1"/>
    <col min="16130" max="16130" width="3.54296875" style="23" customWidth="1"/>
    <col min="16131" max="16384" width="9.08984375" style="23"/>
  </cols>
  <sheetData>
    <row r="1" spans="1:8" ht="46.5" customHeight="1" x14ac:dyDescent="0.35">
      <c r="A1" s="193" t="s">
        <v>215</v>
      </c>
      <c r="B1" s="193"/>
      <c r="C1" s="193"/>
      <c r="D1" s="193"/>
      <c r="E1" s="193"/>
      <c r="F1" s="193"/>
      <c r="G1" s="193"/>
      <c r="H1" s="193"/>
    </row>
    <row r="2" spans="1:8" ht="16.5" customHeight="1" x14ac:dyDescent="0.35">
      <c r="A2" s="120" t="s">
        <v>0</v>
      </c>
      <c r="B2" s="120"/>
      <c r="C2" s="120"/>
      <c r="D2" s="120"/>
      <c r="E2" s="120"/>
      <c r="F2" s="120"/>
      <c r="G2" s="120"/>
      <c r="H2" s="120"/>
    </row>
    <row r="3" spans="1:8" x14ac:dyDescent="0.35">
      <c r="A3" s="143" t="s">
        <v>1</v>
      </c>
      <c r="B3" s="143"/>
      <c r="C3" s="143"/>
      <c r="D3" s="143"/>
      <c r="E3" s="194" t="str">
        <f ca="1">TEXT(TODAY(),"DD/MM/YYYY")</f>
        <v>27/09/2025</v>
      </c>
      <c r="F3" s="143"/>
      <c r="G3" s="143"/>
      <c r="H3" s="143"/>
    </row>
    <row r="4" spans="1:8" ht="15" customHeight="1" x14ac:dyDescent="0.35">
      <c r="A4" s="143" t="s">
        <v>2</v>
      </c>
      <c r="B4" s="143"/>
      <c r="C4" s="143"/>
      <c r="D4" s="143"/>
      <c r="E4" s="143" t="s">
        <v>160</v>
      </c>
      <c r="F4" s="143"/>
      <c r="G4" s="143"/>
      <c r="H4" s="143"/>
    </row>
    <row r="5" spans="1:8" x14ac:dyDescent="0.35">
      <c r="A5" s="143" t="s">
        <v>3</v>
      </c>
      <c r="B5" s="143"/>
      <c r="C5" s="143"/>
      <c r="D5" s="143"/>
      <c r="E5" s="194">
        <v>45927</v>
      </c>
      <c r="F5" s="143"/>
      <c r="G5" s="143"/>
      <c r="H5" s="143"/>
    </row>
    <row r="6" spans="1:8" ht="16.5" customHeight="1" x14ac:dyDescent="0.35">
      <c r="A6" s="143" t="s">
        <v>4</v>
      </c>
      <c r="B6" s="143"/>
      <c r="C6" s="143"/>
      <c r="D6" s="143"/>
      <c r="E6" s="143" t="s">
        <v>161</v>
      </c>
      <c r="F6" s="143"/>
      <c r="G6" s="143"/>
      <c r="H6" s="143"/>
    </row>
    <row r="7" spans="1:8" ht="15" customHeight="1" x14ac:dyDescent="0.35">
      <c r="A7" s="143" t="s">
        <v>5</v>
      </c>
      <c r="B7" s="143"/>
      <c r="C7" s="143"/>
      <c r="D7" s="143"/>
      <c r="E7" s="143" t="str">
        <f>E6</f>
        <v>M/s. Shree Rujve Enterprises</v>
      </c>
      <c r="F7" s="143"/>
      <c r="G7" s="143"/>
      <c r="H7" s="143"/>
    </row>
    <row r="8" spans="1:8" x14ac:dyDescent="0.35">
      <c r="A8" s="143" t="s">
        <v>6</v>
      </c>
      <c r="B8" s="143"/>
      <c r="C8" s="143"/>
      <c r="D8" s="143"/>
      <c r="E8" s="86" t="s">
        <v>162</v>
      </c>
      <c r="F8" s="86"/>
      <c r="G8" s="86"/>
      <c r="H8" s="86"/>
    </row>
    <row r="9" spans="1:8" x14ac:dyDescent="0.35">
      <c r="A9" s="143" t="s">
        <v>120</v>
      </c>
      <c r="B9" s="143"/>
      <c r="C9" s="143"/>
      <c r="D9" s="143"/>
      <c r="E9" s="143" t="s">
        <v>201</v>
      </c>
      <c r="F9" s="143"/>
      <c r="G9" s="143"/>
      <c r="H9" s="143"/>
    </row>
    <row r="10" spans="1:8" ht="34.5" customHeight="1" x14ac:dyDescent="0.35">
      <c r="A10" s="143" t="s">
        <v>7</v>
      </c>
      <c r="B10" s="143"/>
      <c r="C10" s="143"/>
      <c r="D10" s="143"/>
      <c r="E10" s="142" t="s">
        <v>164</v>
      </c>
      <c r="F10" s="143"/>
      <c r="G10" s="143"/>
      <c r="H10" s="143"/>
    </row>
    <row r="11" spans="1:8" x14ac:dyDescent="0.35">
      <c r="A11" s="161" t="s">
        <v>8</v>
      </c>
      <c r="B11" s="161"/>
      <c r="C11" s="161"/>
      <c r="D11" s="161"/>
      <c r="E11" s="142" t="s">
        <v>200</v>
      </c>
      <c r="F11" s="142"/>
      <c r="G11" s="142"/>
      <c r="H11" s="142"/>
    </row>
    <row r="12" spans="1:8" x14ac:dyDescent="0.35">
      <c r="A12" s="161" t="s">
        <v>9</v>
      </c>
      <c r="B12" s="161"/>
      <c r="C12" s="161"/>
      <c r="D12" s="161"/>
      <c r="E12" s="142" t="s">
        <v>163</v>
      </c>
      <c r="F12" s="143"/>
      <c r="G12" s="143"/>
      <c r="H12" s="143"/>
    </row>
    <row r="13" spans="1:8" ht="33" customHeight="1" x14ac:dyDescent="0.35">
      <c r="A13" s="142" t="s">
        <v>10</v>
      </c>
      <c r="B13" s="142"/>
      <c r="C13" s="14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Vrindavan Home Phase 2, Survey No.5/1/A/1, near Whistling Woods Park, Internal Road, Bandhivali, Shelu, Karjat, Raigad - 410101.</v>
      </c>
      <c r="D13" s="142"/>
      <c r="E13" s="142"/>
      <c r="F13" s="142"/>
      <c r="G13" s="142"/>
      <c r="H13" s="142"/>
    </row>
    <row r="14" spans="1:8" x14ac:dyDescent="0.35">
      <c r="A14" s="142" t="s">
        <v>165</v>
      </c>
      <c r="B14" s="142"/>
      <c r="C14" s="142" t="s">
        <v>166</v>
      </c>
      <c r="D14" s="142"/>
      <c r="E14" s="142"/>
      <c r="F14" s="142"/>
      <c r="G14" s="142"/>
      <c r="H14" s="142"/>
    </row>
    <row r="15" spans="1:8" ht="15.75" customHeight="1" x14ac:dyDescent="0.35">
      <c r="A15" s="142" t="s">
        <v>11</v>
      </c>
      <c r="B15" s="142"/>
      <c r="C15" s="143" t="s">
        <v>173</v>
      </c>
      <c r="D15" s="143"/>
      <c r="E15" s="142" t="s">
        <v>75</v>
      </c>
      <c r="F15" s="142"/>
      <c r="G15" s="142" t="s">
        <v>167</v>
      </c>
      <c r="H15" s="142"/>
    </row>
    <row r="16" spans="1:8" x14ac:dyDescent="0.35">
      <c r="A16" s="143" t="s">
        <v>13</v>
      </c>
      <c r="B16" s="143"/>
      <c r="C16" s="142" t="s">
        <v>174</v>
      </c>
      <c r="D16" s="142"/>
      <c r="E16" s="142" t="s">
        <v>12</v>
      </c>
      <c r="F16" s="142"/>
      <c r="G16" s="197" t="s">
        <v>168</v>
      </c>
      <c r="H16" s="197"/>
    </row>
    <row r="17" spans="1:8" x14ac:dyDescent="0.35">
      <c r="A17" s="143" t="s">
        <v>76</v>
      </c>
      <c r="B17" s="143"/>
      <c r="C17" s="142" t="s">
        <v>169</v>
      </c>
      <c r="D17" s="142"/>
      <c r="E17" s="142" t="s">
        <v>14</v>
      </c>
      <c r="F17" s="142"/>
      <c r="G17" s="142">
        <v>410101</v>
      </c>
      <c r="H17" s="142"/>
    </row>
    <row r="18" spans="1:8" ht="32.25" customHeight="1" x14ac:dyDescent="0.35">
      <c r="A18" s="143" t="s">
        <v>121</v>
      </c>
      <c r="B18" s="143"/>
      <c r="C18" s="142" t="s">
        <v>172</v>
      </c>
      <c r="D18" s="142"/>
      <c r="E18" s="142" t="s">
        <v>15</v>
      </c>
      <c r="F18" s="142"/>
      <c r="G18" s="142" t="s">
        <v>175</v>
      </c>
      <c r="H18" s="142"/>
    </row>
    <row r="19" spans="1:8" ht="15" customHeight="1" x14ac:dyDescent="0.35">
      <c r="A19" s="141" t="s">
        <v>79</v>
      </c>
      <c r="B19" s="141"/>
      <c r="C19" s="141"/>
      <c r="D19" s="141"/>
      <c r="E19" s="143" t="s">
        <v>16</v>
      </c>
      <c r="F19" s="143"/>
      <c r="G19" s="143"/>
      <c r="H19" s="143"/>
    </row>
    <row r="20" spans="1:8" ht="18.75" customHeight="1" x14ac:dyDescent="0.35">
      <c r="A20" s="141"/>
      <c r="B20" s="141"/>
      <c r="C20" s="141"/>
      <c r="D20" s="141"/>
      <c r="E20" s="143"/>
      <c r="F20" s="143"/>
      <c r="G20" s="143"/>
      <c r="H20" s="143"/>
    </row>
    <row r="21" spans="1:8" ht="15" customHeight="1" x14ac:dyDescent="0.35">
      <c r="A21" s="141" t="s">
        <v>17</v>
      </c>
      <c r="B21" s="141"/>
      <c r="C21" s="141"/>
      <c r="D21" s="141"/>
      <c r="E21" s="142" t="s">
        <v>18</v>
      </c>
      <c r="F21" s="142"/>
      <c r="G21" s="142"/>
      <c r="H21" s="142"/>
    </row>
    <row r="22" spans="1:8" ht="15" customHeight="1" x14ac:dyDescent="0.35">
      <c r="A22" s="161" t="s">
        <v>19</v>
      </c>
      <c r="B22" s="161"/>
      <c r="C22" s="161"/>
      <c r="D22" s="161"/>
      <c r="E22" s="142" t="str">
        <f>IF(AND(G16="Mumbai"),"Upper Class","Middle Class")</f>
        <v>Middle Class</v>
      </c>
      <c r="F22" s="142"/>
      <c r="G22" s="142"/>
      <c r="H22" s="142"/>
    </row>
    <row r="23" spans="1:8" x14ac:dyDescent="0.35">
      <c r="A23" s="161" t="s">
        <v>20</v>
      </c>
      <c r="B23" s="161"/>
      <c r="C23" s="161"/>
      <c r="D23" s="161"/>
      <c r="E23" s="142" t="s">
        <v>21</v>
      </c>
      <c r="F23" s="142"/>
      <c r="G23" s="142"/>
      <c r="H23" s="142"/>
    </row>
    <row r="24" spans="1:8" ht="15.75" customHeight="1" x14ac:dyDescent="0.35">
      <c r="A24" s="161" t="s">
        <v>22</v>
      </c>
      <c r="B24" s="161"/>
      <c r="C24" s="161"/>
      <c r="D24" s="161"/>
      <c r="E24" s="142" t="str">
        <f>IF(AND(G16="Mumbai"),"Developed","Developing")</f>
        <v>Developing</v>
      </c>
      <c r="F24" s="142"/>
      <c r="G24" s="142"/>
      <c r="H24" s="142"/>
    </row>
    <row r="25" spans="1:8" x14ac:dyDescent="0.35">
      <c r="A25" s="161" t="s">
        <v>23</v>
      </c>
      <c r="B25" s="161"/>
      <c r="C25" s="161"/>
      <c r="D25" s="161"/>
      <c r="E25" s="142" t="s">
        <v>24</v>
      </c>
      <c r="F25" s="142"/>
      <c r="G25" s="142"/>
      <c r="H25" s="142"/>
    </row>
    <row r="26" spans="1:8" ht="15.75" customHeight="1" x14ac:dyDescent="0.35">
      <c r="A26" s="161" t="s">
        <v>84</v>
      </c>
      <c r="B26" s="161"/>
      <c r="C26" s="161"/>
      <c r="D26" s="161"/>
      <c r="E26" s="142" t="s">
        <v>85</v>
      </c>
      <c r="F26" s="142"/>
      <c r="G26" s="142"/>
      <c r="H26" s="142"/>
    </row>
    <row r="27" spans="1:8" ht="15" customHeight="1" x14ac:dyDescent="0.35">
      <c r="A27" s="161" t="s">
        <v>33</v>
      </c>
      <c r="B27" s="161"/>
      <c r="C27" s="161"/>
      <c r="D27" s="161"/>
      <c r="E27" s="142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Commercial",IF(AND(ISNUMBER(SEARCH("Shop",D53)),ISNUMBER(SEARCH("Office",D53))),"Commercial",IF(ISNUMBER(SEARCH("Shop",D53)),"Commercial",IF(ISNUMBER(SEARCH("Office",D53)),"Commercial",IF(ISNUMBER(SEARCH("Flat",D53)),"Residentail")))))))</f>
        <v>Residential + Commercial</v>
      </c>
      <c r="F27" s="142"/>
      <c r="G27" s="142"/>
      <c r="H27" s="142"/>
    </row>
    <row r="28" spans="1:8" ht="15.75" customHeight="1" x14ac:dyDescent="0.35">
      <c r="A28" s="161" t="s">
        <v>96</v>
      </c>
      <c r="B28" s="161"/>
      <c r="C28" s="161"/>
      <c r="D28" s="161"/>
      <c r="E28" s="142" t="s">
        <v>34</v>
      </c>
      <c r="F28" s="142"/>
      <c r="G28" s="142"/>
      <c r="H28" s="142"/>
    </row>
    <row r="29" spans="1:8" s="24" customFormat="1" x14ac:dyDescent="0.35">
      <c r="A29" s="200" t="s">
        <v>97</v>
      </c>
      <c r="B29" s="200"/>
      <c r="C29" s="198" t="s">
        <v>29</v>
      </c>
      <c r="D29" s="198"/>
      <c r="E29" s="198"/>
      <c r="F29" s="198" t="s">
        <v>31</v>
      </c>
      <c r="G29" s="198"/>
      <c r="H29" s="198"/>
    </row>
    <row r="30" spans="1:8" s="24" customFormat="1" x14ac:dyDescent="0.35">
      <c r="A30" s="199" t="s">
        <v>25</v>
      </c>
      <c r="B30" s="199" t="s">
        <v>30</v>
      </c>
      <c r="C30" s="196" t="s">
        <v>30</v>
      </c>
      <c r="D30" s="196"/>
      <c r="E30" s="196"/>
      <c r="F30" s="196" t="s">
        <v>171</v>
      </c>
      <c r="G30" s="196"/>
      <c r="H30" s="196"/>
    </row>
    <row r="31" spans="1:8" x14ac:dyDescent="0.35">
      <c r="A31" s="199" t="s">
        <v>26</v>
      </c>
      <c r="B31" s="199" t="s">
        <v>30</v>
      </c>
      <c r="C31" s="196" t="s">
        <v>30</v>
      </c>
      <c r="D31" s="196"/>
      <c r="E31" s="196"/>
      <c r="F31" s="196" t="s">
        <v>172</v>
      </c>
      <c r="G31" s="196"/>
      <c r="H31" s="196"/>
    </row>
    <row r="32" spans="1:8" s="24" customFormat="1" x14ac:dyDescent="0.35">
      <c r="A32" s="199" t="s">
        <v>28</v>
      </c>
      <c r="B32" s="199" t="s">
        <v>30</v>
      </c>
      <c r="C32" s="196" t="s">
        <v>30</v>
      </c>
      <c r="D32" s="196"/>
      <c r="E32" s="196"/>
      <c r="F32" s="90" t="s">
        <v>170</v>
      </c>
      <c r="G32" s="196"/>
      <c r="H32" s="196"/>
    </row>
    <row r="33" spans="1:8" x14ac:dyDescent="0.35">
      <c r="A33" s="199" t="s">
        <v>27</v>
      </c>
      <c r="B33" s="199" t="s">
        <v>30</v>
      </c>
      <c r="C33" s="196" t="s">
        <v>30</v>
      </c>
      <c r="D33" s="196"/>
      <c r="E33" s="196"/>
      <c r="F33" s="196" t="s">
        <v>171</v>
      </c>
      <c r="G33" s="196"/>
      <c r="H33" s="196"/>
    </row>
    <row r="34" spans="1:8" x14ac:dyDescent="0.35">
      <c r="A34" s="161" t="s">
        <v>32</v>
      </c>
      <c r="B34" s="161"/>
      <c r="C34" s="161"/>
      <c r="D34" s="161"/>
      <c r="E34" s="161"/>
      <c r="F34" s="161"/>
      <c r="G34" s="161"/>
      <c r="H34" s="161"/>
    </row>
    <row r="35" spans="1:8" ht="15.75" customHeight="1" x14ac:dyDescent="0.35">
      <c r="A35" s="161" t="s">
        <v>216</v>
      </c>
      <c r="B35" s="161"/>
      <c r="C35" s="201" t="s">
        <v>217</v>
      </c>
      <c r="D35" s="201"/>
      <c r="E35" s="201"/>
      <c r="F35" s="201"/>
      <c r="G35" s="201"/>
      <c r="H35" s="201"/>
    </row>
    <row r="36" spans="1:8" ht="15.75" customHeight="1" x14ac:dyDescent="0.35">
      <c r="A36" s="161" t="s">
        <v>213</v>
      </c>
      <c r="B36" s="161"/>
      <c r="C36" s="223" t="s">
        <v>214</v>
      </c>
      <c r="D36" s="224"/>
      <c r="E36" s="224"/>
      <c r="F36" s="224"/>
      <c r="G36" s="224"/>
      <c r="H36" s="224"/>
    </row>
    <row r="37" spans="1:8" x14ac:dyDescent="0.35">
      <c r="A37" s="86" t="s">
        <v>35</v>
      </c>
      <c r="B37" s="86"/>
      <c r="C37" s="86"/>
      <c r="D37" s="86"/>
      <c r="E37" s="86"/>
      <c r="F37" s="86"/>
      <c r="G37" s="86"/>
      <c r="H37" s="86"/>
    </row>
    <row r="38" spans="1:8" x14ac:dyDescent="0.35">
      <c r="A38" s="143" t="s">
        <v>36</v>
      </c>
      <c r="B38" s="143"/>
      <c r="C38" s="143"/>
      <c r="D38" s="143"/>
      <c r="E38" s="195">
        <v>3297.66</v>
      </c>
      <c r="F38" s="195"/>
      <c r="G38" s="195"/>
      <c r="H38" s="195"/>
    </row>
    <row r="39" spans="1:8" x14ac:dyDescent="0.35">
      <c r="A39" s="143" t="s">
        <v>37</v>
      </c>
      <c r="B39" s="143"/>
      <c r="C39" s="143"/>
      <c r="D39" s="143"/>
      <c r="E39" s="170">
        <v>1.1000000000000001</v>
      </c>
      <c r="F39" s="170"/>
      <c r="G39" s="170"/>
      <c r="H39" s="170"/>
    </row>
    <row r="40" spans="1:8" x14ac:dyDescent="0.35">
      <c r="A40" s="143" t="s">
        <v>38</v>
      </c>
      <c r="B40" s="143"/>
      <c r="C40" s="143"/>
      <c r="D40" s="143"/>
      <c r="E40" s="170">
        <f>E42/E38-E39</f>
        <v>1.1989726048167486</v>
      </c>
      <c r="F40" s="170"/>
      <c r="G40" s="170"/>
      <c r="H40" s="170"/>
    </row>
    <row r="41" spans="1:8" x14ac:dyDescent="0.35">
      <c r="A41" s="143" t="s">
        <v>39</v>
      </c>
      <c r="B41" s="143"/>
      <c r="C41" s="143"/>
      <c r="D41" s="143"/>
      <c r="E41" s="170">
        <f>E39+E40</f>
        <v>2.2989726048167487</v>
      </c>
      <c r="F41" s="170"/>
      <c r="G41" s="170"/>
      <c r="H41" s="170"/>
    </row>
    <row r="42" spans="1:8" x14ac:dyDescent="0.35">
      <c r="A42" s="143" t="s">
        <v>95</v>
      </c>
      <c r="B42" s="143"/>
      <c r="C42" s="143"/>
      <c r="D42" s="143"/>
      <c r="E42" s="171">
        <v>7581.23</v>
      </c>
      <c r="F42" s="171"/>
      <c r="G42" s="171"/>
      <c r="H42" s="171"/>
    </row>
    <row r="43" spans="1:8" x14ac:dyDescent="0.35">
      <c r="A43" s="143" t="s">
        <v>40</v>
      </c>
      <c r="B43" s="143"/>
      <c r="C43" s="143"/>
      <c r="D43" s="143"/>
      <c r="E43" s="143" t="s">
        <v>204</v>
      </c>
      <c r="F43" s="143"/>
      <c r="G43" s="143"/>
      <c r="H43" s="143"/>
    </row>
    <row r="44" spans="1:8" x14ac:dyDescent="0.35">
      <c r="A44" s="172" t="s">
        <v>41</v>
      </c>
      <c r="B44" s="172"/>
      <c r="C44" s="172"/>
      <c r="D44" s="172"/>
      <c r="E44" s="172"/>
      <c r="F44" s="172"/>
      <c r="G44" s="172"/>
      <c r="H44" s="172"/>
    </row>
    <row r="45" spans="1:8" ht="33.75" customHeight="1" x14ac:dyDescent="0.35">
      <c r="A45" s="106" t="s">
        <v>150</v>
      </c>
      <c r="B45" s="108"/>
      <c r="C45" s="183" t="s">
        <v>176</v>
      </c>
      <c r="D45" s="184"/>
      <c r="E45" s="184"/>
      <c r="F45" s="184"/>
      <c r="G45" s="184"/>
      <c r="H45" s="185"/>
    </row>
    <row r="46" spans="1:8" ht="15.75" customHeight="1" x14ac:dyDescent="0.35">
      <c r="A46" s="106" t="s">
        <v>42</v>
      </c>
      <c r="B46" s="108"/>
      <c r="C46" s="134" t="s">
        <v>178</v>
      </c>
      <c r="D46" s="135"/>
      <c r="E46" s="136"/>
      <c r="F46" s="52" t="s">
        <v>43</v>
      </c>
      <c r="G46" s="178">
        <v>44530</v>
      </c>
      <c r="H46" s="136"/>
    </row>
    <row r="47" spans="1:8" x14ac:dyDescent="0.35">
      <c r="A47" s="106" t="s">
        <v>44</v>
      </c>
      <c r="B47" s="108"/>
      <c r="C47" s="134" t="s">
        <v>178</v>
      </c>
      <c r="D47" s="135"/>
      <c r="E47" s="136"/>
      <c r="F47" s="52" t="s">
        <v>43</v>
      </c>
      <c r="G47" s="178">
        <v>44530</v>
      </c>
      <c r="H47" s="136"/>
    </row>
    <row r="48" spans="1:8" s="25" customFormat="1" ht="15.75" customHeight="1" x14ac:dyDescent="0.35">
      <c r="A48" s="179" t="s">
        <v>154</v>
      </c>
      <c r="B48" s="180"/>
      <c r="C48" s="134" t="s">
        <v>177</v>
      </c>
      <c r="D48" s="135"/>
      <c r="E48" s="136"/>
      <c r="F48" s="52" t="s">
        <v>43</v>
      </c>
      <c r="G48" s="178">
        <v>44530</v>
      </c>
      <c r="H48" s="136"/>
    </row>
    <row r="49" spans="1:14" s="25" customFormat="1" ht="47.25" customHeight="1" x14ac:dyDescent="0.35">
      <c r="A49" s="181"/>
      <c r="B49" s="182"/>
      <c r="C49" s="106" t="s">
        <v>179</v>
      </c>
      <c r="D49" s="107"/>
      <c r="E49" s="107"/>
      <c r="F49" s="107"/>
      <c r="G49" s="107"/>
      <c r="H49" s="108"/>
    </row>
    <row r="50" spans="1:14" ht="140.5" customHeight="1" x14ac:dyDescent="0.35">
      <c r="A50" s="137" t="s">
        <v>45</v>
      </c>
      <c r="B50" s="138"/>
      <c r="C50" s="137" t="s">
        <v>232</v>
      </c>
      <c r="D50" s="139"/>
      <c r="E50" s="138"/>
      <c r="F50" s="46" t="s">
        <v>43</v>
      </c>
      <c r="G50" s="229">
        <v>45828</v>
      </c>
      <c r="H50" s="144"/>
    </row>
    <row r="51" spans="1:14" x14ac:dyDescent="0.35">
      <c r="A51" s="140" t="s">
        <v>47</v>
      </c>
      <c r="B51" s="140"/>
      <c r="C51" s="140"/>
      <c r="D51" s="140"/>
      <c r="E51" s="140"/>
      <c r="F51" s="140"/>
      <c r="G51" s="140"/>
      <c r="H51" s="140"/>
    </row>
    <row r="52" spans="1:14" x14ac:dyDescent="0.35">
      <c r="A52" s="141" t="s">
        <v>94</v>
      </c>
      <c r="B52" s="141"/>
      <c r="C52" s="141"/>
      <c r="D52" s="161">
        <f>529.52+2644.26+4072.93</f>
        <v>7246.71</v>
      </c>
      <c r="E52" s="161"/>
      <c r="F52" s="161"/>
      <c r="G52" s="161"/>
      <c r="H52" s="161"/>
    </row>
    <row r="53" spans="1:14" x14ac:dyDescent="0.35">
      <c r="A53" s="142" t="s">
        <v>48</v>
      </c>
      <c r="B53" s="143"/>
      <c r="C53" s="143"/>
      <c r="D53" s="143" t="s">
        <v>199</v>
      </c>
      <c r="E53" s="143"/>
      <c r="F53" s="143"/>
      <c r="G53" s="143"/>
      <c r="H53" s="143"/>
      <c r="I53" s="26"/>
    </row>
    <row r="54" spans="1:14" ht="48.75" customHeight="1" x14ac:dyDescent="0.35">
      <c r="A54" s="175" t="s">
        <v>49</v>
      </c>
      <c r="B54" s="176"/>
      <c r="C54" s="177"/>
      <c r="D54" s="173" t="s">
        <v>179</v>
      </c>
      <c r="E54" s="174"/>
      <c r="F54" s="174"/>
      <c r="G54" s="174"/>
      <c r="H54" s="174"/>
    </row>
    <row r="55" spans="1:14" ht="15.75" customHeight="1" x14ac:dyDescent="0.35">
      <c r="A55" s="175" t="s">
        <v>92</v>
      </c>
      <c r="B55" s="176"/>
      <c r="C55" s="176"/>
      <c r="D55" s="190" t="s">
        <v>227</v>
      </c>
      <c r="E55" s="191"/>
      <c r="F55" s="191"/>
      <c r="G55" s="191"/>
      <c r="H55" s="192"/>
      <c r="I55" s="70" t="s">
        <v>229</v>
      </c>
    </row>
    <row r="56" spans="1:14" ht="15.75" customHeight="1" x14ac:dyDescent="0.35">
      <c r="A56" s="186"/>
      <c r="B56" s="187"/>
      <c r="C56" s="187"/>
      <c r="D56" s="131" t="s">
        <v>180</v>
      </c>
      <c r="E56" s="132"/>
      <c r="F56" s="132"/>
      <c r="G56" s="132"/>
      <c r="H56" s="133"/>
    </row>
    <row r="57" spans="1:14" ht="15.75" customHeight="1" x14ac:dyDescent="0.35">
      <c r="A57" s="188"/>
      <c r="B57" s="189"/>
      <c r="C57" s="189"/>
      <c r="D57" s="103" t="s">
        <v>181</v>
      </c>
      <c r="E57" s="104"/>
      <c r="F57" s="104"/>
      <c r="G57" s="104"/>
      <c r="H57" s="105"/>
    </row>
    <row r="58" spans="1:14" ht="15.75" customHeight="1" x14ac:dyDescent="0.35">
      <c r="A58" s="161" t="s">
        <v>46</v>
      </c>
      <c r="B58" s="161"/>
      <c r="C58" s="161"/>
      <c r="D58" s="216" t="s">
        <v>231</v>
      </c>
      <c r="E58" s="216"/>
      <c r="F58" s="216"/>
      <c r="G58" s="216"/>
      <c r="H58" s="216"/>
      <c r="J58" s="27"/>
      <c r="K58" s="26"/>
      <c r="N58" s="26"/>
    </row>
    <row r="59" spans="1:14" ht="15.75" customHeight="1" x14ac:dyDescent="0.35">
      <c r="A59" s="161" t="s">
        <v>90</v>
      </c>
      <c r="B59" s="161"/>
      <c r="C59" s="161"/>
      <c r="D59" s="169" t="str">
        <f ca="1">(IF(G50="NA","60 Years",IF(G50&lt;&gt;"NA",""&amp;60-ROUNDDOWN((E3-G50)/360,0)&amp;" Years"," ")))</f>
        <v>60 Years</v>
      </c>
      <c r="E59" s="169"/>
      <c r="F59" s="169"/>
      <c r="G59" s="169"/>
      <c r="H59" s="169"/>
      <c r="N59" s="26"/>
    </row>
    <row r="60" spans="1:14" ht="15.75" customHeight="1" x14ac:dyDescent="0.35">
      <c r="A60" s="161" t="s">
        <v>91</v>
      </c>
      <c r="B60" s="161"/>
      <c r="C60" s="161"/>
      <c r="D60" s="141" t="s">
        <v>24</v>
      </c>
      <c r="E60" s="141"/>
      <c r="F60" s="141"/>
      <c r="G60" s="141"/>
      <c r="H60" s="141"/>
      <c r="J60" s="16"/>
      <c r="K60" s="16"/>
    </row>
    <row r="61" spans="1:14" ht="31.5" customHeight="1" x14ac:dyDescent="0.35">
      <c r="A61" s="161" t="s">
        <v>77</v>
      </c>
      <c r="B61" s="161"/>
      <c r="C61" s="161"/>
      <c r="D61" s="142" t="s">
        <v>208</v>
      </c>
      <c r="E61" s="141"/>
      <c r="F61" s="141"/>
      <c r="G61" s="141"/>
      <c r="H61" s="141"/>
    </row>
    <row r="62" spans="1:14" x14ac:dyDescent="0.35">
      <c r="A62" s="141" t="s">
        <v>147</v>
      </c>
      <c r="B62" s="141"/>
      <c r="C62" s="141"/>
      <c r="D62" s="141" t="s">
        <v>30</v>
      </c>
      <c r="E62" s="141"/>
      <c r="F62" s="141"/>
      <c r="G62" s="141"/>
      <c r="H62" s="141"/>
      <c r="I62" s="28"/>
      <c r="J62" s="28"/>
      <c r="K62" s="28"/>
      <c r="L62" s="28"/>
      <c r="M62" s="28"/>
      <c r="N62" s="28"/>
    </row>
    <row r="63" spans="1:14" ht="15.75" customHeight="1" x14ac:dyDescent="0.35">
      <c r="A63" s="161" t="s">
        <v>89</v>
      </c>
      <c r="B63" s="161"/>
      <c r="C63" s="161"/>
      <c r="D63" s="142" t="str">
        <f ca="1">(IF(G105&gt;95%,"Nothing",IF(G105&gt;0%,"Cement, Aggregate, Steel, etc",IF(G71=0%,"Work not yet Started"))))</f>
        <v>Nothing</v>
      </c>
      <c r="E63" s="142"/>
      <c r="F63" s="142"/>
      <c r="G63" s="142"/>
      <c r="H63" s="142"/>
      <c r="J63" s="16"/>
    </row>
    <row r="64" spans="1:14" ht="33.75" customHeight="1" thickBot="1" x14ac:dyDescent="0.4">
      <c r="A64" s="141" t="s">
        <v>116</v>
      </c>
      <c r="B64" s="141"/>
      <c r="C64" s="141"/>
      <c r="D64" s="142" t="str">
        <f ca="1">(IF(D63="Nothing","Yes",IF(D63="Cement, Aggregate, Steel, etc","Under Construction",IF(D63="Work not yet Started","Work not yet Started"))))</f>
        <v>Yes</v>
      </c>
      <c r="E64" s="142"/>
      <c r="F64" s="142" t="str">
        <f ca="1">(IF(D63="Nothing","Yes",IF(D63="Cement, Aggregate, Steel, etc","Under Construction",IF(D63="Work not yet Started","Work not yet Started"))))</f>
        <v>Yes</v>
      </c>
      <c r="G64" s="142"/>
      <c r="H64" s="142"/>
      <c r="I64" s="69" t="s">
        <v>229</v>
      </c>
    </row>
    <row r="65" spans="1:10" ht="15.75" customHeight="1" x14ac:dyDescent="0.35">
      <c r="A65" s="87" t="s">
        <v>139</v>
      </c>
      <c r="B65" s="87"/>
      <c r="C65" s="87" t="str">
        <f>D55</f>
        <v>Building A (Wing A1) = Gr/St + 1st to 6th Floor</v>
      </c>
      <c r="D65" s="87"/>
      <c r="E65" s="87"/>
      <c r="F65" s="87"/>
      <c r="G65" s="87"/>
      <c r="H65" s="87"/>
      <c r="I65" s="15" t="str">
        <f ca="1">(IF(E71&gt;99%,"All work completed. Please provide OC.",IF(E71&gt;89.8%,"Plinth, RCC, Brick, Plaster, Flooring, Painting work Completed. Finishing work is in process.",IF(E71&lt;94%,(IF(C71=0,"Work not yet Started.",IF(D71=25%,"Piling work in process",IF(D71=50%,"Excavation work in process",IF(D71=100%,"Excavation work Completed. ","0")))&amp;(IF(C72=0%,"",IF(C72=J73,"Footing work is process",IF(C72=J74,"Footing work Completed",IF(C72=J75,"1st Basement Completed",IF(C72=J76,"1st &amp; 2nd Basement Completed",IF(C72=J77,"1st to 3rd Basement Completed",IF(C72=J78,"1st to 4th Basement Completed",IF(C72=J79,"Plinth work is process",IF(C72=J80,"Plinth work completed","0")))))))))))&amp;(IF(C73=(D66+F66+H66),", RCC Slab Completed",IF(C73&gt;0,", RCC upto "&amp;C73&amp;" Slab Completed",""))&amp;(IF(C74=H66,", Brickwork Completed",IF(C74&gt;0,", Brickwork upto "&amp;C74&amp;" Floor Completed",""))&amp;(IF(C75=H66,", Internal Plaster Completed",IF(C75&gt;0,", Internal Plaster upto "&amp;C75&amp;" Floor Completed",""))&amp;(IF(C76=H66,", External Plaster Completed",IF(C76&gt;0,", External Plaster upto "&amp;C76&amp;" Floor Completed",""))&amp;(IF(C77=H66,", Flooring Completed",IF(C77&gt;0,", Flooring upto "&amp;C77&amp;" Floor Completed",""))&amp;(IF(C78=H66,", Painting Completed",IF(C78&gt;0,", Painting upto "&amp;C78&amp;" Floor Completed",""))&amp;(IF(C79&gt;0,", Finishing upto "&amp;C79&amp;" Floor Completed","")&amp;(IF(C73&gt;0.5,".",""))))))))))))))</f>
        <v>All work completed. Please provide OC.</v>
      </c>
      <c r="J65" s="29"/>
    </row>
    <row r="66" spans="1:10" x14ac:dyDescent="0.35">
      <c r="A66" s="73" t="s">
        <v>141</v>
      </c>
      <c r="B66" s="73">
        <v>0</v>
      </c>
      <c r="C66" s="73" t="s">
        <v>74</v>
      </c>
      <c r="D66" s="73">
        <v>1</v>
      </c>
      <c r="E66" s="73" t="s">
        <v>73</v>
      </c>
      <c r="F66" s="73">
        <v>0</v>
      </c>
      <c r="G66" s="73" t="s">
        <v>83</v>
      </c>
      <c r="H66" s="73">
        <f ca="1">--TRIM(RIGHT(SUBSTITUTE(LEFT(C65,_xlfn.AGGREGATE(16,6,FIND({0,1,2,3,4,5,6,7,8,9},C65,ROW(INDIRECT("1:"&amp;LEN(C65)))),1))," ",REPT(" ",LEN(C65))),LEN(C65)))</f>
        <v>6</v>
      </c>
      <c r="I66" s="16"/>
      <c r="J66" s="30"/>
    </row>
    <row r="67" spans="1:10" x14ac:dyDescent="0.35">
      <c r="A67" s="86" t="s">
        <v>93</v>
      </c>
      <c r="B67" s="86"/>
      <c r="C67" s="87" t="str">
        <f>(IF($G$50="NA",I65,"All work Completed. OC Received."))</f>
        <v>All work Completed. OC Received.</v>
      </c>
      <c r="D67" s="87"/>
      <c r="E67" s="87"/>
      <c r="F67" s="87"/>
      <c r="G67" s="87"/>
      <c r="H67" s="87"/>
      <c r="I67" s="16" t="s">
        <v>103</v>
      </c>
      <c r="J67" s="30"/>
    </row>
    <row r="68" spans="1:10" x14ac:dyDescent="0.35">
      <c r="A68" s="239" t="s">
        <v>88</v>
      </c>
      <c r="B68" s="239"/>
      <c r="C68" s="240">
        <f ca="1">E71</f>
        <v>1</v>
      </c>
      <c r="D68" s="241"/>
      <c r="E68" s="241" t="s">
        <v>87</v>
      </c>
      <c r="F68" s="241"/>
      <c r="G68" s="240">
        <f ca="1">G71</f>
        <v>1</v>
      </c>
      <c r="H68" s="241"/>
      <c r="I68" s="16"/>
      <c r="J68" s="30"/>
    </row>
    <row r="69" spans="1:10" ht="16" thickBot="1" x14ac:dyDescent="0.4">
      <c r="A69" s="239"/>
      <c r="B69" s="239"/>
      <c r="C69" s="241"/>
      <c r="D69" s="241"/>
      <c r="E69" s="241"/>
      <c r="F69" s="241"/>
      <c r="G69" s="241"/>
      <c r="H69" s="241"/>
      <c r="I69" s="16"/>
      <c r="J69" s="30"/>
    </row>
    <row r="70" spans="1:10" ht="15.75" hidden="1" customHeight="1" x14ac:dyDescent="0.35">
      <c r="A70" s="90" t="s">
        <v>50</v>
      </c>
      <c r="B70" s="90"/>
      <c r="C70" s="71" t="s">
        <v>138</v>
      </c>
      <c r="D70" s="71" t="s">
        <v>86</v>
      </c>
      <c r="E70" s="90" t="s">
        <v>88</v>
      </c>
      <c r="F70" s="90"/>
      <c r="G70" s="90" t="s">
        <v>87</v>
      </c>
      <c r="H70" s="90"/>
      <c r="I70" s="14" t="s">
        <v>140</v>
      </c>
      <c r="J70" s="31">
        <f ca="1">H66*25%</f>
        <v>1.5</v>
      </c>
    </row>
    <row r="71" spans="1:10" hidden="1" x14ac:dyDescent="0.35">
      <c r="A71" s="90" t="s">
        <v>127</v>
      </c>
      <c r="B71" s="90"/>
      <c r="C71" s="71">
        <f ca="1">J72</f>
        <v>6</v>
      </c>
      <c r="D71" s="48">
        <f ca="1">((100/H66)*C71)/100</f>
        <v>1</v>
      </c>
      <c r="E71" s="168">
        <f ca="1">(((C72/H66*10)+(40/(D66+F66+H66)*C73)+(7.5/(H66)*C74)+(7.5/(H66)*C75)+(10/H66*C76)+(10/H66*C77)+(5/H66*C78)+(5/H66*C79)+(5/H66*C80))/100)</f>
        <v>1</v>
      </c>
      <c r="F71" s="168"/>
      <c r="G71" s="168">
        <f ca="1">((((C71/H66)*20)+((C72/H66)*25)+(30/(H66+F66+D66)*C73)+(5/H66*C74)+(5/H66*C75)+(5/H66*C76)+(5/H66*C77)+(0/H66*C78)+(0/H66*C79)+(5/H66*C80))/100)</f>
        <v>1</v>
      </c>
      <c r="H71" s="168"/>
      <c r="I71" s="14" t="s">
        <v>98</v>
      </c>
      <c r="J71" s="32">
        <f ca="1">H66*50%</f>
        <v>3</v>
      </c>
    </row>
    <row r="72" spans="1:10" hidden="1" x14ac:dyDescent="0.35">
      <c r="A72" s="90" t="s">
        <v>51</v>
      </c>
      <c r="B72" s="90"/>
      <c r="C72" s="64">
        <f ca="1">J80</f>
        <v>6</v>
      </c>
      <c r="D72" s="48">
        <f ca="1">((100/H66)*C72)/100</f>
        <v>1</v>
      </c>
      <c r="E72" s="168"/>
      <c r="F72" s="168"/>
      <c r="G72" s="168"/>
      <c r="H72" s="168"/>
      <c r="I72" s="14" t="s">
        <v>99</v>
      </c>
      <c r="J72" s="32">
        <f ca="1">H66</f>
        <v>6</v>
      </c>
    </row>
    <row r="73" spans="1:10" ht="15.75" hidden="1" customHeight="1" x14ac:dyDescent="0.35">
      <c r="A73" s="90" t="s">
        <v>128</v>
      </c>
      <c r="B73" s="90"/>
      <c r="C73" s="71">
        <v>7</v>
      </c>
      <c r="D73" s="48">
        <f ca="1">((100/(D66+F66+H66))*C73)/100</f>
        <v>1</v>
      </c>
      <c r="E73" s="168"/>
      <c r="F73" s="168"/>
      <c r="G73" s="168"/>
      <c r="H73" s="168"/>
      <c r="I73" s="14" t="s">
        <v>100</v>
      </c>
      <c r="J73" s="33">
        <f ca="1">(IF(B66&gt;1,(H66/(B66+2)),H66/4))</f>
        <v>1.5</v>
      </c>
    </row>
    <row r="74" spans="1:10" ht="15.75" hidden="1" customHeight="1" x14ac:dyDescent="0.35">
      <c r="A74" s="90" t="s">
        <v>135</v>
      </c>
      <c r="B74" s="90" t="s">
        <v>129</v>
      </c>
      <c r="C74" s="71">
        <v>6</v>
      </c>
      <c r="D74" s="48">
        <f ca="1">((100/H66)*C74)/100</f>
        <v>1</v>
      </c>
      <c r="E74" s="168"/>
      <c r="F74" s="168"/>
      <c r="G74" s="168"/>
      <c r="H74" s="168"/>
      <c r="I74" s="14" t="s">
        <v>101</v>
      </c>
      <c r="J74" s="33">
        <f ca="1">(IF(B66&gt;1,(H66/(B66+2)+J73),H66/4+J73))</f>
        <v>3</v>
      </c>
    </row>
    <row r="75" spans="1:10" ht="15.75" hidden="1" customHeight="1" x14ac:dyDescent="0.35">
      <c r="A75" s="90" t="s">
        <v>136</v>
      </c>
      <c r="B75" s="90" t="s">
        <v>129</v>
      </c>
      <c r="C75" s="71">
        <v>6</v>
      </c>
      <c r="D75" s="48">
        <f ca="1">((100/H66)*C75)/100</f>
        <v>1</v>
      </c>
      <c r="E75" s="168"/>
      <c r="F75" s="168"/>
      <c r="G75" s="168"/>
      <c r="H75" s="168"/>
      <c r="I75" s="14" t="s">
        <v>145</v>
      </c>
      <c r="J75" s="33">
        <f>(IF(B66&gt;1,(H66/(B66+2)+J74),0))</f>
        <v>0</v>
      </c>
    </row>
    <row r="76" spans="1:10" ht="15" hidden="1" customHeight="1" x14ac:dyDescent="0.35">
      <c r="A76" s="90" t="s">
        <v>134</v>
      </c>
      <c r="B76" s="90" t="s">
        <v>131</v>
      </c>
      <c r="C76" s="71">
        <v>6</v>
      </c>
      <c r="D76" s="48">
        <f ca="1">((100/(H66))*C76)/100</f>
        <v>1</v>
      </c>
      <c r="E76" s="168"/>
      <c r="F76" s="168"/>
      <c r="G76" s="168"/>
      <c r="H76" s="168"/>
      <c r="I76" s="14" t="s">
        <v>142</v>
      </c>
      <c r="J76" s="33">
        <f>(IF(B66&gt;2,(H66/(B66+2)+J75),0))</f>
        <v>0</v>
      </c>
    </row>
    <row r="77" spans="1:10" ht="15.75" hidden="1" customHeight="1" x14ac:dyDescent="0.35">
      <c r="A77" s="90" t="s">
        <v>130</v>
      </c>
      <c r="B77" s="90" t="s">
        <v>130</v>
      </c>
      <c r="C77" s="71">
        <v>6</v>
      </c>
      <c r="D77" s="48">
        <f ca="1">((100/H66)*C77)/100</f>
        <v>1</v>
      </c>
      <c r="E77" s="168"/>
      <c r="F77" s="168"/>
      <c r="G77" s="168"/>
      <c r="H77" s="168"/>
      <c r="I77" s="14" t="s">
        <v>143</v>
      </c>
      <c r="J77" s="34">
        <f>(IF(B66&gt;3,(H66/(B66+2)+J76),0))</f>
        <v>0</v>
      </c>
    </row>
    <row r="78" spans="1:10" ht="15.75" hidden="1" customHeight="1" x14ac:dyDescent="0.35">
      <c r="A78" s="90" t="s">
        <v>137</v>
      </c>
      <c r="B78" s="90"/>
      <c r="C78" s="71">
        <v>6</v>
      </c>
      <c r="D78" s="48">
        <f ca="1">((100/H66)*C78)/100</f>
        <v>1</v>
      </c>
      <c r="E78" s="168"/>
      <c r="F78" s="168"/>
      <c r="G78" s="168"/>
      <c r="H78" s="168"/>
      <c r="I78" s="14" t="s">
        <v>144</v>
      </c>
      <c r="J78" s="33">
        <f>(IF(B66&gt;4,(H66/(B66+2)+J77),0))</f>
        <v>0</v>
      </c>
    </row>
    <row r="79" spans="1:10" ht="15.75" hidden="1" customHeight="1" x14ac:dyDescent="0.35">
      <c r="A79" s="90" t="s">
        <v>132</v>
      </c>
      <c r="B79" s="90" t="s">
        <v>132</v>
      </c>
      <c r="C79" s="71">
        <v>6</v>
      </c>
      <c r="D79" s="48">
        <f ca="1">((100/(H66))*C79)/100</f>
        <v>1</v>
      </c>
      <c r="E79" s="168"/>
      <c r="F79" s="168"/>
      <c r="G79" s="168"/>
      <c r="H79" s="168"/>
      <c r="I79" s="14" t="s">
        <v>146</v>
      </c>
      <c r="J79" s="33">
        <f ca="1">(IF(B66=1,(H66/(B66+3)+J74),IF(B66=0,(H66/4+J74),IF(B66&gt;1,0))))</f>
        <v>4.5</v>
      </c>
    </row>
    <row r="80" spans="1:10" ht="16" hidden="1" thickBot="1" x14ac:dyDescent="0.4">
      <c r="A80" s="90" t="s">
        <v>133</v>
      </c>
      <c r="B80" s="90"/>
      <c r="C80" s="71">
        <v>6</v>
      </c>
      <c r="D80" s="48">
        <f ca="1">((100/(H66))*C80)/100</f>
        <v>1</v>
      </c>
      <c r="E80" s="168"/>
      <c r="F80" s="168"/>
      <c r="G80" s="168"/>
      <c r="H80" s="168"/>
      <c r="I80" s="17" t="s">
        <v>102</v>
      </c>
      <c r="J80" s="35">
        <f ca="1">(IF(B66&gt;1.5,(H66/(B66+2)+J74+MAX(0,J75-J74)+MAX(0,J76-J75)+MAX(0,J77-J76)+MAX(0,J78-J77)+MAX(0,J79-J78)),IF(B66=1,(H66/(B66+3)+J79),IF(B66=0,H66/4+J79))))</f>
        <v>6</v>
      </c>
    </row>
    <row r="81" spans="1:10" ht="15.75" customHeight="1" x14ac:dyDescent="0.35">
      <c r="A81" s="87" t="s">
        <v>139</v>
      </c>
      <c r="B81" s="87"/>
      <c r="C81" s="87" t="str">
        <f>D56</f>
        <v>Building A (Wing A2) = Gr/St + 1st to 7th Floor</v>
      </c>
      <c r="D81" s="87"/>
      <c r="E81" s="87"/>
      <c r="F81" s="87"/>
      <c r="G81" s="87"/>
      <c r="H81" s="87"/>
      <c r="I81" s="15" t="str">
        <f ca="1">(IF(E87&gt;99%,"All work completed. Please provide OC.",IF(E87&gt;89.8%,"Plinth, RCC, Brick, Plaster, Flooring, Painting work Completed. Finishing work is in process.",IF(E87&lt;94%,(IF(C87=0,"Work not yet Started.",IF(D87=25%,"Piling work in process",IF(D87=50%,"Excavation work in process",IF(D87=100%,"Excavation work Completed. ","0")))&amp;(IF(C88=0%,"",IF(C88=J89,"Footing work is process",IF(C88=J90,"Footing work Completed",IF(C88=J91,"1st Basement Completed",IF(C88=J92,"1st &amp; 2nd Basement Completed",IF(C88=J93,"1st to 3rd Basement Completed",IF(C88=J94,"1st to 4th Basement Completed",IF(C88=J95,"Plinth work is process",IF(C88=J96,"Plinth work completed","0")))))))))))&amp;(IF(C89=(D82+F82+H82),", RCC Slab Completed",IF(C89&gt;0,", RCC upto "&amp;C89&amp;" Slab Completed",""))&amp;(IF(C90=H82,", Brickwork Completed",IF(C90&gt;0,", Brickwork upto "&amp;C90&amp;" Floor Completed",""))&amp;(IF(C91=H82,", Internal Plaster Completed",IF(C91&gt;0,", Internal Plaster upto "&amp;C91&amp;" Floor Completed",""))&amp;(IF(C92=H82,", External Plaster Completed",IF(C92&gt;0,", External Plaster upto "&amp;C92&amp;" Floor Completed",""))&amp;(IF(C93=H82,", Flooring Completed",IF(C93&gt;0,", Flooring upto "&amp;C93&amp;" Floor Completed",""))&amp;(IF(C94=H82,", Painting Completed",IF(C94&gt;0,", Painting upto "&amp;C94&amp;" Floor Completed",""))&amp;(IF(C95&gt;0,", Finishing upto "&amp;C95&amp;" Floor Completed","")&amp;(IF(C89&gt;0.5,".",""))))))))))))))</f>
        <v>All work completed. Please provide OC.</v>
      </c>
      <c r="J81" s="29"/>
    </row>
    <row r="82" spans="1:10" x14ac:dyDescent="0.35">
      <c r="A82" s="18" t="s">
        <v>141</v>
      </c>
      <c r="B82" s="22">
        <v>0</v>
      </c>
      <c r="C82" s="22" t="s">
        <v>74</v>
      </c>
      <c r="D82" s="22">
        <v>1</v>
      </c>
      <c r="E82" s="22" t="s">
        <v>73</v>
      </c>
      <c r="F82" s="22">
        <v>0</v>
      </c>
      <c r="G82" s="22" t="s">
        <v>83</v>
      </c>
      <c r="H82" s="19">
        <f ca="1">--TRIM(RIGHT(SUBSTITUTE(LEFT(C81,_xlfn.AGGREGATE(16,6,FIND({0,1,2,3,4,5,6,7,8,9},C81,ROW(INDIRECT("1:"&amp;LEN(C81)))),1))," ",REPT(" ",LEN(C81))),LEN(C81)))</f>
        <v>7</v>
      </c>
      <c r="I82" s="16"/>
      <c r="J82" s="30"/>
    </row>
    <row r="83" spans="1:10" x14ac:dyDescent="0.35">
      <c r="A83" s="85" t="s">
        <v>93</v>
      </c>
      <c r="B83" s="86"/>
      <c r="C83" s="87" t="str">
        <f>(IF($G$50="NA",I81,"All work Completed. OC Received."))</f>
        <v>All work Completed. OC Received.</v>
      </c>
      <c r="D83" s="87"/>
      <c r="E83" s="87"/>
      <c r="F83" s="87"/>
      <c r="G83" s="87"/>
      <c r="H83" s="88"/>
      <c r="I83" s="16" t="s">
        <v>103</v>
      </c>
      <c r="J83" s="30"/>
    </row>
    <row r="84" spans="1:10" x14ac:dyDescent="0.35">
      <c r="A84" s="230" t="s">
        <v>88</v>
      </c>
      <c r="B84" s="231"/>
      <c r="C84" s="232">
        <f ca="1">E87</f>
        <v>1</v>
      </c>
      <c r="D84" s="233"/>
      <c r="E84" s="234" t="s">
        <v>87</v>
      </c>
      <c r="F84" s="233"/>
      <c r="G84" s="232">
        <f ca="1">G87</f>
        <v>1</v>
      </c>
      <c r="H84" s="233"/>
      <c r="I84" s="16"/>
      <c r="J84" s="30"/>
    </row>
    <row r="85" spans="1:10" ht="16" thickBot="1" x14ac:dyDescent="0.4">
      <c r="A85" s="235"/>
      <c r="B85" s="236"/>
      <c r="C85" s="237"/>
      <c r="D85" s="238"/>
      <c r="E85" s="237"/>
      <c r="F85" s="238"/>
      <c r="G85" s="237"/>
      <c r="H85" s="238"/>
      <c r="I85" s="16"/>
      <c r="J85" s="30"/>
    </row>
    <row r="86" spans="1:10" ht="15.75" hidden="1" customHeight="1" x14ac:dyDescent="0.35">
      <c r="A86" s="89" t="s">
        <v>50</v>
      </c>
      <c r="B86" s="90"/>
      <c r="C86" s="47" t="s">
        <v>138</v>
      </c>
      <c r="D86" s="47" t="s">
        <v>86</v>
      </c>
      <c r="E86" s="90" t="s">
        <v>88</v>
      </c>
      <c r="F86" s="90"/>
      <c r="G86" s="90" t="s">
        <v>87</v>
      </c>
      <c r="H86" s="91"/>
      <c r="I86" s="14" t="s">
        <v>140</v>
      </c>
      <c r="J86" s="31">
        <f ca="1">H82*25%</f>
        <v>1.75</v>
      </c>
    </row>
    <row r="87" spans="1:10" hidden="1" x14ac:dyDescent="0.35">
      <c r="A87" s="89" t="s">
        <v>127</v>
      </c>
      <c r="B87" s="90"/>
      <c r="C87" s="47">
        <f ca="1">J88</f>
        <v>7</v>
      </c>
      <c r="D87" s="48">
        <f ca="1">((100/H82)*C87)/100</f>
        <v>1</v>
      </c>
      <c r="E87" s="92">
        <f ca="1">(((C88/H82*10)+(40/(D82+F82+H82)*C89)+(7.5/(H82)*C90)+(7.5/(H82)*C91)+(10/H82*C92)+(10/H82*C93)+(5/H82*C94)+(5/H82*C95)+(5/H82*C96))/100)</f>
        <v>1</v>
      </c>
      <c r="F87" s="93"/>
      <c r="G87" s="92">
        <f ca="1">((((C87/H82)*20)+((C88/H82)*25)+(30/(H82+F82+D82)*C89)+(5/H82*C90)+(5/H82*C91)+(5/H82*C92)+(5/H82*C93)+(0/H82*C94)+(0/H82*C95)+(5/H82*C96))/100)</f>
        <v>1</v>
      </c>
      <c r="H87" s="98"/>
      <c r="I87" s="14" t="s">
        <v>98</v>
      </c>
      <c r="J87" s="32">
        <f ca="1">H82*50%</f>
        <v>3.5</v>
      </c>
    </row>
    <row r="88" spans="1:10" hidden="1" x14ac:dyDescent="0.35">
      <c r="A88" s="89" t="s">
        <v>51</v>
      </c>
      <c r="B88" s="90"/>
      <c r="C88" s="64">
        <v>7</v>
      </c>
      <c r="D88" s="48">
        <f ca="1">((100/H82)*C88)/100</f>
        <v>1</v>
      </c>
      <c r="E88" s="94"/>
      <c r="F88" s="95"/>
      <c r="G88" s="94"/>
      <c r="H88" s="99"/>
      <c r="I88" s="14" t="s">
        <v>99</v>
      </c>
      <c r="J88" s="32">
        <f ca="1">H82</f>
        <v>7</v>
      </c>
    </row>
    <row r="89" spans="1:10" ht="15.75" hidden="1" customHeight="1" x14ac:dyDescent="0.35">
      <c r="A89" s="89" t="s">
        <v>128</v>
      </c>
      <c r="B89" s="90"/>
      <c r="C89" s="47">
        <v>8</v>
      </c>
      <c r="D89" s="48">
        <f ca="1">((100/(D82+F82+H82))*C89)/100</f>
        <v>1</v>
      </c>
      <c r="E89" s="94"/>
      <c r="F89" s="95"/>
      <c r="G89" s="94"/>
      <c r="H89" s="99"/>
      <c r="I89" s="14" t="s">
        <v>100</v>
      </c>
      <c r="J89" s="33">
        <f ca="1">(IF(B82&gt;1,(H82/(B82+2)),H82/4))</f>
        <v>1.75</v>
      </c>
    </row>
    <row r="90" spans="1:10" ht="15.75" hidden="1" customHeight="1" x14ac:dyDescent="0.35">
      <c r="A90" s="89" t="s">
        <v>135</v>
      </c>
      <c r="B90" s="90" t="s">
        <v>129</v>
      </c>
      <c r="C90" s="47">
        <v>7</v>
      </c>
      <c r="D90" s="48">
        <f ca="1">((100/H82)*C90)/100</f>
        <v>1</v>
      </c>
      <c r="E90" s="94"/>
      <c r="F90" s="95"/>
      <c r="G90" s="94"/>
      <c r="H90" s="99"/>
      <c r="I90" s="14" t="s">
        <v>101</v>
      </c>
      <c r="J90" s="33">
        <f ca="1">(IF(B82&gt;1,(H82/(B82+2)+J89),H82/4+J89))</f>
        <v>3.5</v>
      </c>
    </row>
    <row r="91" spans="1:10" ht="15.75" hidden="1" customHeight="1" x14ac:dyDescent="0.35">
      <c r="A91" s="89" t="s">
        <v>136</v>
      </c>
      <c r="B91" s="90" t="s">
        <v>129</v>
      </c>
      <c r="C91" s="47">
        <v>7</v>
      </c>
      <c r="D91" s="48">
        <f ca="1">((100/H82)*C91)/100</f>
        <v>1</v>
      </c>
      <c r="E91" s="94"/>
      <c r="F91" s="95"/>
      <c r="G91" s="94"/>
      <c r="H91" s="99"/>
      <c r="I91" s="14" t="s">
        <v>145</v>
      </c>
      <c r="J91" s="33">
        <f>(IF(B82&gt;1,(H82/(B82+2)+J90),0))</f>
        <v>0</v>
      </c>
    </row>
    <row r="92" spans="1:10" ht="15" hidden="1" customHeight="1" x14ac:dyDescent="0.35">
      <c r="A92" s="89" t="s">
        <v>134</v>
      </c>
      <c r="B92" s="90" t="s">
        <v>131</v>
      </c>
      <c r="C92" s="66">
        <v>7</v>
      </c>
      <c r="D92" s="48">
        <f ca="1">((100/(H82))*C92)/100</f>
        <v>1</v>
      </c>
      <c r="E92" s="94"/>
      <c r="F92" s="95"/>
      <c r="G92" s="94"/>
      <c r="H92" s="99"/>
      <c r="I92" s="14" t="s">
        <v>142</v>
      </c>
      <c r="J92" s="33">
        <f>(IF(B82&gt;2,(H82/(B82+2)+J91),0))</f>
        <v>0</v>
      </c>
    </row>
    <row r="93" spans="1:10" ht="15.75" hidden="1" customHeight="1" x14ac:dyDescent="0.35">
      <c r="A93" s="89" t="s">
        <v>130</v>
      </c>
      <c r="B93" s="90" t="s">
        <v>130</v>
      </c>
      <c r="C93" s="66">
        <v>7</v>
      </c>
      <c r="D93" s="48">
        <f ca="1">((100/H82)*C93)/100</f>
        <v>1</v>
      </c>
      <c r="E93" s="94"/>
      <c r="F93" s="95"/>
      <c r="G93" s="94"/>
      <c r="H93" s="99"/>
      <c r="I93" s="14" t="s">
        <v>143</v>
      </c>
      <c r="J93" s="34">
        <f>(IF(B82&gt;3,(H82/(B82+2)+J92),0))</f>
        <v>0</v>
      </c>
    </row>
    <row r="94" spans="1:10" ht="15.75" hidden="1" customHeight="1" x14ac:dyDescent="0.35">
      <c r="A94" s="89" t="s">
        <v>137</v>
      </c>
      <c r="B94" s="90"/>
      <c r="C94" s="66">
        <v>7</v>
      </c>
      <c r="D94" s="48">
        <f ca="1">((100/H82)*C94)/100</f>
        <v>1</v>
      </c>
      <c r="E94" s="94"/>
      <c r="F94" s="95"/>
      <c r="G94" s="94"/>
      <c r="H94" s="99"/>
      <c r="I94" s="14" t="s">
        <v>144</v>
      </c>
      <c r="J94" s="33">
        <f>(IF(B82&gt;4,(H82/(B82+2)+J93),0))</f>
        <v>0</v>
      </c>
    </row>
    <row r="95" spans="1:10" ht="15.75" hidden="1" customHeight="1" x14ac:dyDescent="0.35">
      <c r="A95" s="89" t="s">
        <v>132</v>
      </c>
      <c r="B95" s="90" t="s">
        <v>132</v>
      </c>
      <c r="C95" s="47">
        <v>7</v>
      </c>
      <c r="D95" s="48">
        <f ca="1">((100/(H82))*C95)/100</f>
        <v>1</v>
      </c>
      <c r="E95" s="94"/>
      <c r="F95" s="95"/>
      <c r="G95" s="94"/>
      <c r="H95" s="99"/>
      <c r="I95" s="14" t="s">
        <v>146</v>
      </c>
      <c r="J95" s="33">
        <f ca="1">(IF(B82=1,(H82/(B82+3)+J90),IF(B82=0,(H82/4+J90),IF(B82&gt;1,0))))</f>
        <v>5.25</v>
      </c>
    </row>
    <row r="96" spans="1:10" ht="16" hidden="1" thickBot="1" x14ac:dyDescent="0.4">
      <c r="A96" s="101" t="s">
        <v>133</v>
      </c>
      <c r="B96" s="102"/>
      <c r="C96" s="49">
        <v>7</v>
      </c>
      <c r="D96" s="50">
        <f ca="1">((100/(H82))*C96)/100</f>
        <v>1</v>
      </c>
      <c r="E96" s="96"/>
      <c r="F96" s="97"/>
      <c r="G96" s="96"/>
      <c r="H96" s="100"/>
      <c r="I96" s="17" t="s">
        <v>102</v>
      </c>
      <c r="J96" s="35">
        <f ca="1">(IF(B82&gt;1.5,(H82/(B82+2)+J90+MAX(0,J91-J90)+MAX(0,J92-J91)+MAX(0,J93-J92)+MAX(0,J94-J93)+MAX(0,J95-J94)),IF(B82=1,(H82/(B82+3)+J95),IF(B82=0,H82/4+J95))))</f>
        <v>7</v>
      </c>
    </row>
    <row r="97" spans="1:10" ht="15.75" hidden="1" customHeight="1" x14ac:dyDescent="0.35">
      <c r="A97" s="110" t="s">
        <v>218</v>
      </c>
      <c r="B97" s="111"/>
      <c r="C97" s="114">
        <f ca="1">AVERAGE(E71,E87)</f>
        <v>1</v>
      </c>
      <c r="D97" s="115"/>
      <c r="E97" s="110" t="s">
        <v>219</v>
      </c>
      <c r="F97" s="111"/>
      <c r="G97" s="114">
        <f ca="1">AVERAGE(G71,G87)</f>
        <v>1</v>
      </c>
      <c r="H97" s="115"/>
      <c r="I97" s="16"/>
      <c r="J97" s="30"/>
    </row>
    <row r="98" spans="1:10" ht="16" hidden="1" thickBot="1" x14ac:dyDescent="0.4">
      <c r="A98" s="112"/>
      <c r="B98" s="113"/>
      <c r="C98" s="116"/>
      <c r="D98" s="117"/>
      <c r="E98" s="112"/>
      <c r="F98" s="113"/>
      <c r="G98" s="116"/>
      <c r="H98" s="117"/>
      <c r="I98" s="16"/>
      <c r="J98" s="30"/>
    </row>
    <row r="99" spans="1:10" ht="15.75" customHeight="1" x14ac:dyDescent="0.35">
      <c r="A99" s="202" t="s">
        <v>139</v>
      </c>
      <c r="B99" s="203"/>
      <c r="C99" s="204" t="str">
        <f>D57</f>
        <v>Building B = Gr/St + 1st to 7th Floor</v>
      </c>
      <c r="D99" s="205"/>
      <c r="E99" s="205"/>
      <c r="F99" s="205"/>
      <c r="G99" s="205"/>
      <c r="H99" s="206"/>
      <c r="I99" s="15" t="str">
        <f ca="1">(IF(E105&gt;99%,"All work completed. Please provide OC.",IF(E105&gt;89.8%,"Plinth, RCC, Brick, Plaster, Flooring, Painting work Completed. Finishing work is in process.",IF(E105&lt;94%,(IF(C105=0,"Work not yet Started.",IF(D105=25%,"Piling work in process",IF(D105=50%,"Excavation work in process",IF(D105=100%,"Excavation work Completed. ","0")))&amp;(IF(C106=0%,"",IF(C106=J107,"Footing work is process",IF(C106=J108,"Footing work Completed",IF(C106=J109,"1st Basement Completed",IF(C106=J110,"1st &amp; 2nd Basement Completed",IF(C106=J111,"1st to 3rd Basement Completed",IF(C106=J112,"1st to 4th Basement Completed",IF(C106=J113,"Plinth work is process",IF(C106=J114,"Plinth work completed","0")))))))))))&amp;(IF(C107=(D100+F100+H100),", RCC Slab Completed",IF(C107&gt;0,", RCC upto "&amp;C107&amp;" Slab Completed",""))&amp;(IF(C108=H100,", Brickwork Completed",IF(C108&gt;0,", Brickwork upto "&amp;C108&amp;" Floor Completed",""))&amp;(IF(C109=H100,", Internal Plaster Completed",IF(C109&gt;0,", Internal Plaster upto "&amp;C109&amp;" Floor Completed",""))&amp;(IF(C110=H100,", External Plaster Completed",IF(C110&gt;0,", External Plaster upto "&amp;C110&amp;" Floor Completed",""))&amp;(IF(C111=H100,", Flooring Completed",IF(C111&gt;0,", Flooring upto "&amp;C111&amp;" Floor Completed",""))&amp;(IF(C112=H100,", Painting Completed",IF(C112&gt;0,", Painting upto "&amp;C112&amp;" Floor Completed",""))&amp;(IF(C113&gt;0,", Finishing upto "&amp;C113&amp;" Floor Completed","")&amp;(IF(C107&gt;0.5,".",""))))))))))))))</f>
        <v>All work completed. Please provide OC.</v>
      </c>
      <c r="J99" s="29"/>
    </row>
    <row r="100" spans="1:10" x14ac:dyDescent="0.35">
      <c r="A100" s="18" t="s">
        <v>141</v>
      </c>
      <c r="B100" s="22">
        <v>0</v>
      </c>
      <c r="C100" s="22" t="s">
        <v>74</v>
      </c>
      <c r="D100" s="22">
        <v>1</v>
      </c>
      <c r="E100" s="22" t="s">
        <v>73</v>
      </c>
      <c r="F100" s="22">
        <v>0</v>
      </c>
      <c r="G100" s="22" t="s">
        <v>83</v>
      </c>
      <c r="H100" s="19">
        <f ca="1">--TRIM(RIGHT(SUBSTITUTE(LEFT(C99,_xlfn.AGGREGATE(16,6,FIND({0,1,2,3,4,5,6,7,8,9},C99,ROW(INDIRECT("1:"&amp;LEN(C99)))),1))," ",REPT(" ",LEN(C99))),LEN(C99)))</f>
        <v>7</v>
      </c>
      <c r="I100" s="16"/>
      <c r="J100" s="30"/>
    </row>
    <row r="101" spans="1:10" x14ac:dyDescent="0.35">
      <c r="A101" s="85" t="s">
        <v>93</v>
      </c>
      <c r="B101" s="86"/>
      <c r="C101" s="87" t="str">
        <f ca="1">I99</f>
        <v>All work completed. Please provide OC.</v>
      </c>
      <c r="D101" s="87"/>
      <c r="E101" s="87"/>
      <c r="F101" s="87"/>
      <c r="G101" s="87"/>
      <c r="H101" s="88"/>
      <c r="I101" s="16" t="s">
        <v>103</v>
      </c>
      <c r="J101" s="30"/>
    </row>
    <row r="102" spans="1:10" x14ac:dyDescent="0.35">
      <c r="A102" s="230" t="s">
        <v>88</v>
      </c>
      <c r="B102" s="231"/>
      <c r="C102" s="232">
        <f ca="1">E105</f>
        <v>1</v>
      </c>
      <c r="D102" s="233"/>
      <c r="E102" s="234" t="s">
        <v>87</v>
      </c>
      <c r="F102" s="233"/>
      <c r="G102" s="232">
        <f ca="1">G105</f>
        <v>1</v>
      </c>
      <c r="H102" s="233"/>
      <c r="I102" s="16"/>
      <c r="J102" s="30"/>
    </row>
    <row r="103" spans="1:10" x14ac:dyDescent="0.35">
      <c r="A103" s="235"/>
      <c r="B103" s="236"/>
      <c r="C103" s="237"/>
      <c r="D103" s="238"/>
      <c r="E103" s="237"/>
      <c r="F103" s="238"/>
      <c r="G103" s="237"/>
      <c r="H103" s="238"/>
      <c r="I103" s="16"/>
      <c r="J103" s="30"/>
    </row>
    <row r="104" spans="1:10" ht="15.75" hidden="1" customHeight="1" x14ac:dyDescent="0.35">
      <c r="A104" s="89" t="s">
        <v>50</v>
      </c>
      <c r="B104" s="90"/>
      <c r="C104" s="47" t="s">
        <v>138</v>
      </c>
      <c r="D104" s="47" t="s">
        <v>86</v>
      </c>
      <c r="E104" s="90" t="s">
        <v>88</v>
      </c>
      <c r="F104" s="90"/>
      <c r="G104" s="90" t="s">
        <v>87</v>
      </c>
      <c r="H104" s="91"/>
      <c r="I104" s="14" t="s">
        <v>140</v>
      </c>
      <c r="J104" s="31">
        <f ca="1">H100*25%</f>
        <v>1.75</v>
      </c>
    </row>
    <row r="105" spans="1:10" hidden="1" x14ac:dyDescent="0.35">
      <c r="A105" s="89" t="s">
        <v>127</v>
      </c>
      <c r="B105" s="90"/>
      <c r="C105" s="47">
        <f ca="1">J106</f>
        <v>7</v>
      </c>
      <c r="D105" s="48">
        <f ca="1">((100/H100)*C105)/100</f>
        <v>1</v>
      </c>
      <c r="E105" s="92">
        <f ca="1">(((C106/H100*10)+(40/(D100+F100+H100)*C107)+(7.5/(H100)*C108)+(7.5/(H100)*C109)+(10/H100*C110)+(10/H100*C111)+(5/H100*C112)+(5/H100*C113)+(5/H100*C114))/100)</f>
        <v>1</v>
      </c>
      <c r="F105" s="93"/>
      <c r="G105" s="92">
        <f ca="1">((((C105/H100)*20)+((C106/H100)*25)+(30/(H100+F100+D100)*C107)+(5/H100*C108)+(5/H100*C109)+(5/H100*C110)+(5/H100*C111)+(0/H100*C112)+(0/H100*C113)+(5/H100*C114))/100)</f>
        <v>1</v>
      </c>
      <c r="H105" s="98"/>
      <c r="I105" s="14" t="s">
        <v>98</v>
      </c>
      <c r="J105" s="32">
        <f ca="1">H100*50%</f>
        <v>3.5</v>
      </c>
    </row>
    <row r="106" spans="1:10" hidden="1" x14ac:dyDescent="0.35">
      <c r="A106" s="89" t="s">
        <v>51</v>
      </c>
      <c r="B106" s="90"/>
      <c r="C106" s="47">
        <f ca="1">J114</f>
        <v>7</v>
      </c>
      <c r="D106" s="48">
        <f ca="1">((100/H100)*C106)/100</f>
        <v>1</v>
      </c>
      <c r="E106" s="94"/>
      <c r="F106" s="95"/>
      <c r="G106" s="94"/>
      <c r="H106" s="99"/>
      <c r="I106" s="14" t="s">
        <v>99</v>
      </c>
      <c r="J106" s="32">
        <f ca="1">H100</f>
        <v>7</v>
      </c>
    </row>
    <row r="107" spans="1:10" ht="15.75" hidden="1" customHeight="1" x14ac:dyDescent="0.35">
      <c r="A107" s="89" t="s">
        <v>128</v>
      </c>
      <c r="B107" s="90"/>
      <c r="C107" s="47">
        <v>8</v>
      </c>
      <c r="D107" s="48">
        <f ca="1">((100/(D100+F100+H100))*C107)/100</f>
        <v>1</v>
      </c>
      <c r="E107" s="94"/>
      <c r="F107" s="95"/>
      <c r="G107" s="94"/>
      <c r="H107" s="99"/>
      <c r="I107" s="14" t="s">
        <v>100</v>
      </c>
      <c r="J107" s="33">
        <f ca="1">(IF(B100&gt;1,(H100/(B100+2)),H100/4))</f>
        <v>1.75</v>
      </c>
    </row>
    <row r="108" spans="1:10" ht="15.75" hidden="1" customHeight="1" x14ac:dyDescent="0.35">
      <c r="A108" s="89" t="s">
        <v>135</v>
      </c>
      <c r="B108" s="90" t="s">
        <v>129</v>
      </c>
      <c r="C108" s="47">
        <v>7</v>
      </c>
      <c r="D108" s="48">
        <f ca="1">((100/H100)*C108)/100</f>
        <v>1</v>
      </c>
      <c r="E108" s="94"/>
      <c r="F108" s="95"/>
      <c r="G108" s="94"/>
      <c r="H108" s="99"/>
      <c r="I108" s="14" t="s">
        <v>101</v>
      </c>
      <c r="J108" s="33">
        <f ca="1">(IF(B100&gt;1,(H100/(B100+2)+J107),H100/4+J107))</f>
        <v>3.5</v>
      </c>
    </row>
    <row r="109" spans="1:10" ht="15.75" hidden="1" customHeight="1" x14ac:dyDescent="0.35">
      <c r="A109" s="89" t="s">
        <v>136</v>
      </c>
      <c r="B109" s="90" t="s">
        <v>129</v>
      </c>
      <c r="C109" s="47">
        <v>7</v>
      </c>
      <c r="D109" s="48">
        <f ca="1">((100/H100)*C109)/100</f>
        <v>1</v>
      </c>
      <c r="E109" s="94"/>
      <c r="F109" s="95"/>
      <c r="G109" s="94"/>
      <c r="H109" s="99"/>
      <c r="I109" s="14" t="s">
        <v>145</v>
      </c>
      <c r="J109" s="33">
        <f>(IF(B100&gt;1,(H100/(B100+2)+J108),0))</f>
        <v>0</v>
      </c>
    </row>
    <row r="110" spans="1:10" ht="15" hidden="1" customHeight="1" x14ac:dyDescent="0.35">
      <c r="A110" s="89" t="s">
        <v>134</v>
      </c>
      <c r="B110" s="90" t="s">
        <v>131</v>
      </c>
      <c r="C110" s="47">
        <v>7</v>
      </c>
      <c r="D110" s="48">
        <f ca="1">((100/(H100))*C110)/100</f>
        <v>1</v>
      </c>
      <c r="E110" s="94"/>
      <c r="F110" s="95"/>
      <c r="G110" s="94"/>
      <c r="H110" s="99"/>
      <c r="I110" s="14" t="s">
        <v>142</v>
      </c>
      <c r="J110" s="33">
        <f>(IF(B100&gt;2,(H100/(B100+2)+J109),0))</f>
        <v>0</v>
      </c>
    </row>
    <row r="111" spans="1:10" ht="15.75" hidden="1" customHeight="1" x14ac:dyDescent="0.35">
      <c r="A111" s="89" t="s">
        <v>130</v>
      </c>
      <c r="B111" s="90" t="s">
        <v>130</v>
      </c>
      <c r="C111" s="47">
        <v>7</v>
      </c>
      <c r="D111" s="48">
        <f ca="1">((100/H100)*C111)/100</f>
        <v>1</v>
      </c>
      <c r="E111" s="94"/>
      <c r="F111" s="95"/>
      <c r="G111" s="94"/>
      <c r="H111" s="99"/>
      <c r="I111" s="14" t="s">
        <v>143</v>
      </c>
      <c r="J111" s="34">
        <f>(IF(B100&gt;3,(H100/(B100+2)+J110),0))</f>
        <v>0</v>
      </c>
    </row>
    <row r="112" spans="1:10" ht="15.75" hidden="1" customHeight="1" x14ac:dyDescent="0.35">
      <c r="A112" s="89" t="s">
        <v>137</v>
      </c>
      <c r="B112" s="90"/>
      <c r="C112" s="47">
        <v>7</v>
      </c>
      <c r="D112" s="48">
        <f ca="1">((100/H100)*C112)/100</f>
        <v>1</v>
      </c>
      <c r="E112" s="94"/>
      <c r="F112" s="95"/>
      <c r="G112" s="94"/>
      <c r="H112" s="99"/>
      <c r="I112" s="14" t="s">
        <v>144</v>
      </c>
      <c r="J112" s="33">
        <f>(IF(B100&gt;4,(H100/(B100+2)+J111),0))</f>
        <v>0</v>
      </c>
    </row>
    <row r="113" spans="1:13" ht="15.75" hidden="1" customHeight="1" x14ac:dyDescent="0.35">
      <c r="A113" s="89" t="s">
        <v>132</v>
      </c>
      <c r="B113" s="90" t="s">
        <v>132</v>
      </c>
      <c r="C113" s="47">
        <v>7</v>
      </c>
      <c r="D113" s="48">
        <f ca="1">((100/(H100))*C113)/100</f>
        <v>1</v>
      </c>
      <c r="E113" s="94"/>
      <c r="F113" s="95"/>
      <c r="G113" s="94"/>
      <c r="H113" s="99"/>
      <c r="I113" s="14" t="s">
        <v>146</v>
      </c>
      <c r="J113" s="33">
        <f ca="1">(IF(B100=1,(H100/(B100+3)+J108),IF(B100=0,(H100/4+J108),IF(B100&gt;1,0))))</f>
        <v>5.25</v>
      </c>
    </row>
    <row r="114" spans="1:13" ht="16" hidden="1" thickBot="1" x14ac:dyDescent="0.4">
      <c r="A114" s="101" t="s">
        <v>133</v>
      </c>
      <c r="B114" s="102"/>
      <c r="C114" s="49">
        <v>7</v>
      </c>
      <c r="D114" s="50">
        <f ca="1">((100/(H100))*C114)/100</f>
        <v>1</v>
      </c>
      <c r="E114" s="96"/>
      <c r="F114" s="97"/>
      <c r="G114" s="96"/>
      <c r="H114" s="100"/>
      <c r="I114" s="17" t="s">
        <v>102</v>
      </c>
      <c r="J114" s="35">
        <f ca="1">(IF(B100&gt;1.5,(H100/(B100+2)+J108+MAX(0,J109-J108)+MAX(0,J110-J109)+MAX(0,J111-J110)+MAX(0,J112-J111)+MAX(0,J113-J112)),IF(B100=1,(H100/(B100+3)+J113),IF(B100=0,H100/4+J113))))</f>
        <v>7</v>
      </c>
    </row>
    <row r="115" spans="1:13" x14ac:dyDescent="0.35">
      <c r="A115" s="225" t="s">
        <v>156</v>
      </c>
      <c r="B115" s="225"/>
      <c r="C115" s="225"/>
      <c r="D115" s="225"/>
      <c r="E115" s="225"/>
      <c r="F115" s="226" t="s">
        <v>159</v>
      </c>
      <c r="G115" s="226"/>
      <c r="H115" s="226"/>
    </row>
    <row r="116" spans="1:13" x14ac:dyDescent="0.35">
      <c r="A116" s="143" t="s">
        <v>158</v>
      </c>
      <c r="B116" s="143"/>
      <c r="C116" s="143"/>
      <c r="D116" s="143"/>
      <c r="E116" s="143"/>
      <c r="F116" s="220">
        <v>3650</v>
      </c>
      <c r="G116" s="220"/>
      <c r="H116" s="220"/>
      <c r="J116" s="62" t="s">
        <v>210</v>
      </c>
      <c r="K116" s="62" t="s">
        <v>211</v>
      </c>
      <c r="L116" s="63">
        <v>44943</v>
      </c>
      <c r="M116" s="62" t="s">
        <v>212</v>
      </c>
    </row>
    <row r="117" spans="1:13" x14ac:dyDescent="0.35">
      <c r="A117" s="143" t="s">
        <v>157</v>
      </c>
      <c r="B117" s="143"/>
      <c r="C117" s="143"/>
      <c r="D117" s="143"/>
      <c r="E117" s="143"/>
      <c r="F117" s="165">
        <v>6000</v>
      </c>
      <c r="G117" s="165"/>
      <c r="H117" s="165"/>
    </row>
    <row r="118" spans="1:13" s="36" customFormat="1" ht="30.75" customHeight="1" x14ac:dyDescent="0.3">
      <c r="A118" s="142" t="s">
        <v>209</v>
      </c>
      <c r="B118" s="143"/>
      <c r="C118" s="143"/>
      <c r="D118" s="143"/>
      <c r="E118" s="143"/>
      <c r="F118" s="165">
        <v>200000</v>
      </c>
      <c r="G118" s="165"/>
      <c r="H118" s="165"/>
    </row>
    <row r="119" spans="1:13" x14ac:dyDescent="0.35">
      <c r="A119" s="143" t="s">
        <v>52</v>
      </c>
      <c r="B119" s="143"/>
      <c r="C119" s="143"/>
      <c r="D119" s="143"/>
      <c r="E119" s="143"/>
      <c r="F119" s="165">
        <v>100000</v>
      </c>
      <c r="G119" s="165"/>
      <c r="H119" s="165"/>
    </row>
    <row r="120" spans="1:13" s="37" customFormat="1" x14ac:dyDescent="0.35">
      <c r="A120" s="86" t="s">
        <v>53</v>
      </c>
      <c r="B120" s="86"/>
      <c r="C120" s="86"/>
      <c r="D120" s="86"/>
      <c r="E120" s="86"/>
      <c r="F120" s="165">
        <f>F116*0.8</f>
        <v>2920</v>
      </c>
      <c r="G120" s="165"/>
      <c r="H120" s="165"/>
    </row>
    <row r="121" spans="1:13" s="38" customFormat="1" ht="15.75" customHeight="1" x14ac:dyDescent="0.35">
      <c r="A121" s="164" t="s">
        <v>78</v>
      </c>
      <c r="B121" s="164"/>
      <c r="C121" s="164"/>
      <c r="D121" s="164"/>
      <c r="E121" s="164"/>
      <c r="F121" s="164"/>
      <c r="G121" s="164"/>
      <c r="H121" s="164"/>
    </row>
    <row r="122" spans="1:13" s="38" customFormat="1" ht="15.75" customHeight="1" x14ac:dyDescent="0.35">
      <c r="A122" s="118" t="s">
        <v>54</v>
      </c>
      <c r="B122" s="118"/>
      <c r="C122" s="119" t="s">
        <v>81</v>
      </c>
      <c r="D122" s="119"/>
      <c r="E122" s="167" t="s">
        <v>55</v>
      </c>
      <c r="F122" s="167"/>
      <c r="G122" s="118" t="s">
        <v>56</v>
      </c>
      <c r="H122" s="118"/>
      <c r="K122" s="55"/>
      <c r="L122" s="55"/>
    </row>
    <row r="123" spans="1:13" s="38" customFormat="1" x14ac:dyDescent="0.35">
      <c r="A123" s="166" t="s">
        <v>187</v>
      </c>
      <c r="B123" s="166"/>
      <c r="C123" s="121">
        <f>COUNT(D137:D139)</f>
        <v>3</v>
      </c>
      <c r="D123" s="122"/>
      <c r="E123" s="123">
        <f>SUM(D137:D139)</f>
        <v>383.19839999999999</v>
      </c>
      <c r="F123" s="124"/>
      <c r="G123" s="123">
        <f>SUM(F137:F139)</f>
        <v>574.79759999999999</v>
      </c>
      <c r="H123" s="124"/>
      <c r="J123" s="56"/>
      <c r="K123" s="57"/>
      <c r="L123" s="56"/>
    </row>
    <row r="124" spans="1:13" s="38" customFormat="1" x14ac:dyDescent="0.35">
      <c r="A124" s="164" t="s">
        <v>72</v>
      </c>
      <c r="B124" s="164"/>
      <c r="C124" s="164"/>
      <c r="D124" s="164"/>
      <c r="E124" s="164"/>
      <c r="F124" s="164"/>
      <c r="G124" s="164"/>
      <c r="H124" s="164"/>
      <c r="J124" s="56"/>
      <c r="K124" s="58"/>
      <c r="L124" s="61"/>
    </row>
    <row r="125" spans="1:13" s="38" customFormat="1" ht="15.75" customHeight="1" x14ac:dyDescent="0.35">
      <c r="A125" s="118" t="s">
        <v>54</v>
      </c>
      <c r="B125" s="118"/>
      <c r="C125" s="119" t="s">
        <v>81</v>
      </c>
      <c r="D125" s="119"/>
      <c r="E125" s="167" t="s">
        <v>55</v>
      </c>
      <c r="F125" s="167"/>
      <c r="G125" s="118" t="s">
        <v>56</v>
      </c>
      <c r="H125" s="118"/>
      <c r="J125" s="56"/>
      <c r="K125" s="58"/>
    </row>
    <row r="126" spans="1:13" s="38" customFormat="1" x14ac:dyDescent="0.35">
      <c r="A126" s="166" t="s">
        <v>197</v>
      </c>
      <c r="B126" s="166"/>
      <c r="C126" s="121">
        <f>COUNT(D146,D148,D150)</f>
        <v>3</v>
      </c>
      <c r="D126" s="122"/>
      <c r="E126" s="123">
        <f>SUM(D146,D148,D150)</f>
        <v>3273.1171199999999</v>
      </c>
      <c r="F126" s="124"/>
      <c r="G126" s="123">
        <f>SUM(F146,F148,F150)</f>
        <v>4746.0198239999991</v>
      </c>
      <c r="H126" s="124"/>
      <c r="J126" s="56"/>
      <c r="K126" s="58"/>
    </row>
    <row r="127" spans="1:13" s="38" customFormat="1" x14ac:dyDescent="0.35">
      <c r="A127" s="166" t="s">
        <v>198</v>
      </c>
      <c r="B127" s="166"/>
      <c r="C127" s="122">
        <f>COUNT(D153:D156)+COUNT(D158:D165)*7</f>
        <v>60</v>
      </c>
      <c r="D127" s="122"/>
      <c r="E127" s="123">
        <f>SUM(D153:D156)+SUM(D158:D165)*7</f>
        <v>21198.298679999996</v>
      </c>
      <c r="F127" s="124"/>
      <c r="G127" s="123">
        <f>SUM(F153:F156)+SUM(F158:F165)*7</f>
        <v>30737.533085999999</v>
      </c>
      <c r="H127" s="124"/>
      <c r="J127" s="56"/>
      <c r="K127" s="59"/>
    </row>
    <row r="128" spans="1:13" s="38" customFormat="1" x14ac:dyDescent="0.35">
      <c r="A128" s="166" t="s">
        <v>182</v>
      </c>
      <c r="B128" s="166"/>
      <c r="C128" s="122">
        <f>COUNT(D177:D180)+COUNT(D182:D195)*7</f>
        <v>102</v>
      </c>
      <c r="D128" s="122"/>
      <c r="E128" s="123">
        <f>SUM(D177:D180)+SUM(D182:D195)*7</f>
        <v>32297.597280000002</v>
      </c>
      <c r="F128" s="124"/>
      <c r="G128" s="123">
        <f>SUM(F177:F180)+SUM(F182:F195)*7</f>
        <v>46831.516056</v>
      </c>
      <c r="H128" s="124"/>
      <c r="J128" s="56"/>
      <c r="K128" s="60"/>
    </row>
    <row r="129" spans="1:14" s="38" customFormat="1" x14ac:dyDescent="0.35">
      <c r="A129" s="164" t="s">
        <v>149</v>
      </c>
      <c r="B129" s="164"/>
      <c r="C129" s="222">
        <f>SUM(C126:D128)</f>
        <v>165</v>
      </c>
      <c r="D129" s="119"/>
      <c r="E129" s="221">
        <f>SUM(E126:F128)</f>
        <v>56769.013079999997</v>
      </c>
      <c r="F129" s="167"/>
      <c r="G129" s="118">
        <f>SUM(G126:H128)</f>
        <v>82315.068965999992</v>
      </c>
      <c r="H129" s="118"/>
    </row>
    <row r="130" spans="1:14" s="37" customFormat="1" x14ac:dyDescent="0.35">
      <c r="A130" s="120" t="s">
        <v>57</v>
      </c>
      <c r="B130" s="120"/>
      <c r="C130" s="120"/>
      <c r="D130" s="120"/>
      <c r="E130" s="120"/>
      <c r="F130" s="120"/>
      <c r="G130" s="120"/>
      <c r="H130" s="120"/>
    </row>
    <row r="131" spans="1:14" x14ac:dyDescent="0.35">
      <c r="A131" s="120" t="s">
        <v>58</v>
      </c>
      <c r="B131" s="120"/>
      <c r="C131" s="120"/>
      <c r="D131" s="120"/>
      <c r="E131" s="120"/>
      <c r="F131" s="120"/>
      <c r="G131" s="120"/>
      <c r="H131" s="120"/>
    </row>
    <row r="132" spans="1:14" ht="47.25" customHeight="1" x14ac:dyDescent="0.35">
      <c r="A132" s="125" t="s">
        <v>118</v>
      </c>
      <c r="B132" s="125" t="s">
        <v>117</v>
      </c>
      <c r="C132" s="125" t="s">
        <v>59</v>
      </c>
      <c r="D132" s="125" t="s">
        <v>60</v>
      </c>
      <c r="E132" s="210" t="s">
        <v>155</v>
      </c>
      <c r="F132" s="45" t="s">
        <v>148</v>
      </c>
      <c r="G132" s="212" t="s">
        <v>62</v>
      </c>
      <c r="H132" s="213"/>
      <c r="J132" s="55"/>
    </row>
    <row r="133" spans="1:14" s="39" customFormat="1" x14ac:dyDescent="0.35">
      <c r="A133" s="126"/>
      <c r="B133" s="126"/>
      <c r="C133" s="126"/>
      <c r="D133" s="126"/>
      <c r="E133" s="211"/>
      <c r="F133" s="13">
        <v>0.5</v>
      </c>
      <c r="G133" s="214"/>
      <c r="H133" s="215"/>
    </row>
    <row r="134" spans="1:14" s="37" customFormat="1" x14ac:dyDescent="0.35">
      <c r="A134" s="154" t="s">
        <v>187</v>
      </c>
      <c r="B134" s="155"/>
      <c r="C134" s="155"/>
      <c r="D134" s="155"/>
      <c r="E134" s="155"/>
      <c r="F134" s="155"/>
      <c r="G134" s="155"/>
      <c r="H134" s="156"/>
    </row>
    <row r="135" spans="1:14" s="37" customFormat="1" x14ac:dyDescent="0.35">
      <c r="A135" s="154" t="s">
        <v>188</v>
      </c>
      <c r="B135" s="155"/>
      <c r="C135" s="155"/>
      <c r="D135" s="155"/>
      <c r="E135" s="155"/>
      <c r="F135" s="155"/>
      <c r="G135" s="155"/>
      <c r="H135" s="156"/>
    </row>
    <row r="136" spans="1:14" s="39" customFormat="1" x14ac:dyDescent="0.35">
      <c r="A136" s="207" t="s">
        <v>194</v>
      </c>
      <c r="B136" s="208"/>
      <c r="C136" s="208"/>
      <c r="D136" s="208"/>
      <c r="E136" s="208"/>
      <c r="F136" s="208"/>
      <c r="G136" s="208"/>
      <c r="H136" s="209"/>
      <c r="J136" s="40"/>
    </row>
    <row r="137" spans="1:14" s="39" customFormat="1" x14ac:dyDescent="0.35">
      <c r="A137" s="127">
        <v>1</v>
      </c>
      <c r="B137" s="128"/>
      <c r="C137" s="51" t="s">
        <v>190</v>
      </c>
      <c r="D137" s="51">
        <f>15.21*10.764</f>
        <v>163.72044</v>
      </c>
      <c r="E137" s="51">
        <v>0</v>
      </c>
      <c r="F137" s="51">
        <f>(D137+E137)*(($F$133)+1)</f>
        <v>245.58065999999999</v>
      </c>
      <c r="G137" s="127" t="str">
        <f>A136</f>
        <v>Ground Floor for Commercial</v>
      </c>
      <c r="H137" s="128"/>
      <c r="I137" s="40"/>
      <c r="L137" s="109"/>
      <c r="M137" s="109"/>
      <c r="N137" s="40"/>
    </row>
    <row r="138" spans="1:14" s="39" customFormat="1" x14ac:dyDescent="0.35">
      <c r="A138" s="127">
        <f t="shared" ref="A138:A139" si="0">A137+1</f>
        <v>2</v>
      </c>
      <c r="B138" s="128"/>
      <c r="C138" s="51" t="s">
        <v>190</v>
      </c>
      <c r="D138" s="51">
        <f>10.41*10.764</f>
        <v>112.05323999999999</v>
      </c>
      <c r="E138" s="51">
        <v>0</v>
      </c>
      <c r="F138" s="51">
        <f>(D138+E138)*(($F$133)+1)</f>
        <v>168.07986</v>
      </c>
      <c r="G138" s="127" t="str">
        <f t="shared" ref="G138:G139" si="1">G137</f>
        <v>Ground Floor for Commercial</v>
      </c>
      <c r="H138" s="128"/>
      <c r="I138" s="40"/>
      <c r="L138" s="109"/>
      <c r="M138" s="109"/>
      <c r="N138" s="40"/>
    </row>
    <row r="139" spans="1:14" s="39" customFormat="1" x14ac:dyDescent="0.35">
      <c r="A139" s="127">
        <f t="shared" si="0"/>
        <v>3</v>
      </c>
      <c r="B139" s="128"/>
      <c r="C139" s="51" t="s">
        <v>190</v>
      </c>
      <c r="D139" s="51">
        <f>9.98*10.764</f>
        <v>107.42471999999999</v>
      </c>
      <c r="E139" s="51">
        <v>0</v>
      </c>
      <c r="F139" s="51">
        <f>(D139+E139)*(($F$133)+1)</f>
        <v>161.13708</v>
      </c>
      <c r="G139" s="127" t="str">
        <f t="shared" si="1"/>
        <v>Ground Floor for Commercial</v>
      </c>
      <c r="H139" s="128"/>
      <c r="I139" s="40"/>
      <c r="L139" s="109"/>
      <c r="M139" s="109"/>
      <c r="N139" s="40"/>
    </row>
    <row r="140" spans="1:14" s="39" customFormat="1" x14ac:dyDescent="0.35">
      <c r="A140" s="74"/>
      <c r="B140" s="227"/>
      <c r="C140" s="227"/>
      <c r="D140" s="227"/>
      <c r="E140" s="227"/>
      <c r="F140" s="227"/>
      <c r="G140" s="227"/>
      <c r="H140" s="75"/>
      <c r="I140" s="40"/>
      <c r="N140" s="40"/>
    </row>
    <row r="141" spans="1:14" ht="47.25" customHeight="1" x14ac:dyDescent="0.35">
      <c r="A141" s="150" t="s">
        <v>203</v>
      </c>
      <c r="B141" s="150" t="s">
        <v>119</v>
      </c>
      <c r="C141" s="146" t="s">
        <v>59</v>
      </c>
      <c r="D141" s="146" t="s">
        <v>60</v>
      </c>
      <c r="E141" s="148" t="s">
        <v>61</v>
      </c>
      <c r="F141" s="53" t="s">
        <v>148</v>
      </c>
      <c r="G141" s="150" t="s">
        <v>62</v>
      </c>
      <c r="H141" s="151"/>
      <c r="I141" s="40"/>
    </row>
    <row r="142" spans="1:14" s="39" customFormat="1" x14ac:dyDescent="0.35">
      <c r="A142" s="152"/>
      <c r="B142" s="152"/>
      <c r="C142" s="147"/>
      <c r="D142" s="147"/>
      <c r="E142" s="149"/>
      <c r="F142" s="54">
        <v>0.45</v>
      </c>
      <c r="G142" s="152"/>
      <c r="H142" s="153"/>
      <c r="I142" s="40"/>
    </row>
    <row r="143" spans="1:14" s="37" customFormat="1" x14ac:dyDescent="0.35">
      <c r="A143" s="154" t="s">
        <v>187</v>
      </c>
      <c r="B143" s="155"/>
      <c r="C143" s="155"/>
      <c r="D143" s="155"/>
      <c r="E143" s="155"/>
      <c r="F143" s="155"/>
      <c r="G143" s="155"/>
      <c r="H143" s="156"/>
    </row>
    <row r="144" spans="1:14" s="37" customFormat="1" x14ac:dyDescent="0.35">
      <c r="A144" s="154" t="s">
        <v>188</v>
      </c>
      <c r="B144" s="155"/>
      <c r="C144" s="155"/>
      <c r="D144" s="155"/>
      <c r="E144" s="155"/>
      <c r="F144" s="155"/>
      <c r="G144" s="155"/>
      <c r="H144" s="156"/>
    </row>
    <row r="145" spans="1:14" s="39" customFormat="1" x14ac:dyDescent="0.35">
      <c r="A145" s="129" t="s">
        <v>205</v>
      </c>
      <c r="B145" s="129"/>
      <c r="C145" s="129"/>
      <c r="D145" s="129"/>
      <c r="E145" s="129"/>
      <c r="F145" s="129"/>
      <c r="G145" s="129"/>
      <c r="H145" s="129"/>
      <c r="I145" s="40"/>
      <c r="L145" s="109"/>
      <c r="M145" s="109"/>
    </row>
    <row r="146" spans="1:14" s="39" customFormat="1" ht="62" x14ac:dyDescent="0.35">
      <c r="A146" s="130">
        <v>101</v>
      </c>
      <c r="B146" s="130"/>
      <c r="C146" s="67" t="s">
        <v>191</v>
      </c>
      <c r="D146" s="67">
        <f>(51.13+36.56+10.92+2.75)*10.764</f>
        <v>1091.0390399999999</v>
      </c>
      <c r="E146" s="67">
        <v>0</v>
      </c>
      <c r="F146" s="67">
        <f t="shared" ref="F146" si="2">D146*(($F$142)+1)+(IF(E146&lt;101,E146,IF(E146&lt;201,E146/2,IF(E146&lt;=301,E146/3,E146/4))))</f>
        <v>1582.0066079999997</v>
      </c>
      <c r="G146" s="130" t="str">
        <f>A145</f>
        <v>1st Floor + 1st Upper Floor(2nd Floor)</v>
      </c>
      <c r="H146" s="130"/>
      <c r="I146" s="40"/>
      <c r="N146" s="40"/>
    </row>
    <row r="147" spans="1:14" s="39" customFormat="1" x14ac:dyDescent="0.35">
      <c r="A147" s="219" t="s">
        <v>206</v>
      </c>
      <c r="B147" s="219"/>
      <c r="C147" s="219"/>
      <c r="D147" s="219"/>
      <c r="E147" s="219"/>
      <c r="F147" s="219"/>
      <c r="G147" s="219"/>
      <c r="H147" s="219"/>
      <c r="I147" s="40"/>
      <c r="L147" s="109"/>
      <c r="M147" s="109"/>
    </row>
    <row r="148" spans="1:14" s="39" customFormat="1" ht="62" x14ac:dyDescent="0.35">
      <c r="A148" s="218">
        <v>301</v>
      </c>
      <c r="B148" s="218"/>
      <c r="C148" s="68" t="s">
        <v>192</v>
      </c>
      <c r="D148" s="68">
        <f>(51.13+36.56+10.92+2.75)*10.764</f>
        <v>1091.0390399999999</v>
      </c>
      <c r="E148" s="68">
        <v>0</v>
      </c>
      <c r="F148" s="68">
        <f t="shared" ref="F148" si="3">D148*(($F$142)+1)+(IF(E148&lt;101,E148,IF(E148&lt;201,E148/2,IF(E148&lt;=301,E148/3,E148/4))))</f>
        <v>1582.0066079999997</v>
      </c>
      <c r="G148" s="218" t="str">
        <f>A147</f>
        <v>3rd Floor + 3rd Upper Floor(3rd Floor)</v>
      </c>
      <c r="H148" s="218"/>
      <c r="I148" s="40"/>
      <c r="N148" s="40"/>
    </row>
    <row r="149" spans="1:14" s="39" customFormat="1" x14ac:dyDescent="0.35">
      <c r="A149" s="219" t="s">
        <v>207</v>
      </c>
      <c r="B149" s="219"/>
      <c r="C149" s="219"/>
      <c r="D149" s="219"/>
      <c r="E149" s="219"/>
      <c r="F149" s="219"/>
      <c r="G149" s="219"/>
      <c r="H149" s="219"/>
      <c r="I149" s="40"/>
      <c r="L149" s="109"/>
      <c r="M149" s="109"/>
    </row>
    <row r="150" spans="1:14" s="39" customFormat="1" ht="62" x14ac:dyDescent="0.35">
      <c r="A150" s="218">
        <v>501</v>
      </c>
      <c r="B150" s="218"/>
      <c r="C150" s="68" t="s">
        <v>193</v>
      </c>
      <c r="D150" s="68">
        <f>(51.13+36.56+10.92+2.75)*10.764</f>
        <v>1091.0390399999999</v>
      </c>
      <c r="E150" s="68">
        <v>0</v>
      </c>
      <c r="F150" s="68">
        <f t="shared" ref="F150" si="4">D150*(($F$142)+1)+(IF(E150&lt;101,E150,IF(E150&lt;201,E150/2,IF(E150&lt;=301,E150/3,E150/4))))</f>
        <v>1582.0066079999997</v>
      </c>
      <c r="G150" s="218" t="str">
        <f>A149</f>
        <v>5th Floor + 5th Upper Floor(6th Floor)</v>
      </c>
      <c r="H150" s="218"/>
      <c r="I150" s="40"/>
      <c r="N150" s="40"/>
    </row>
    <row r="151" spans="1:14" s="37" customFormat="1" ht="16.5" customHeight="1" x14ac:dyDescent="0.35">
      <c r="A151" s="157" t="s">
        <v>189</v>
      </c>
      <c r="B151" s="158"/>
      <c r="C151" s="158"/>
      <c r="D151" s="158"/>
      <c r="E151" s="158"/>
      <c r="F151" s="158"/>
      <c r="G151" s="158"/>
      <c r="H151" s="159"/>
    </row>
    <row r="152" spans="1:14" s="39" customFormat="1" x14ac:dyDescent="0.35">
      <c r="A152" s="82" t="s">
        <v>195</v>
      </c>
      <c r="B152" s="83"/>
      <c r="C152" s="83"/>
      <c r="D152" s="83"/>
      <c r="E152" s="83"/>
      <c r="F152" s="83"/>
      <c r="G152" s="83"/>
      <c r="H152" s="84"/>
      <c r="J152" s="40"/>
    </row>
    <row r="153" spans="1:14" s="39" customFormat="1" x14ac:dyDescent="0.35">
      <c r="A153" s="74">
        <v>1</v>
      </c>
      <c r="B153" s="75"/>
      <c r="C153" s="20" t="s">
        <v>183</v>
      </c>
      <c r="D153" s="20">
        <f>(27.37)*10.764</f>
        <v>294.61068</v>
      </c>
      <c r="E153" s="20">
        <v>0</v>
      </c>
      <c r="F153" s="20">
        <f>D153*(($F$142)+1)+(IF(E153&lt;101,E153,IF(E153&lt;201,E153/2,IF(E153&lt;=301,E153/3,E153/4))))</f>
        <v>427.18548599999997</v>
      </c>
      <c r="G153" s="74" t="str">
        <f>A152</f>
        <v>Ground Floor for Residential</v>
      </c>
      <c r="H153" s="75"/>
      <c r="I153" s="40"/>
      <c r="L153" s="109"/>
      <c r="M153" s="109"/>
      <c r="N153" s="40"/>
    </row>
    <row r="154" spans="1:14" s="39" customFormat="1" x14ac:dyDescent="0.35">
      <c r="A154" s="74">
        <f t="shared" ref="A154:A156" si="5">A153+1</f>
        <v>2</v>
      </c>
      <c r="B154" s="75"/>
      <c r="C154" s="20" t="s">
        <v>183</v>
      </c>
      <c r="D154" s="20">
        <f>(23.67)*10.764</f>
        <v>254.78388000000001</v>
      </c>
      <c r="E154" s="20">
        <v>0</v>
      </c>
      <c r="F154" s="20">
        <f>D154*(($F$142)+1)+(IF(E154&lt;101,E154,IF(E154&lt;201,E154/2,IF(E154&lt;=301,E154/3,E154/4))))</f>
        <v>369.43662599999999</v>
      </c>
      <c r="G154" s="74" t="str">
        <f t="shared" ref="G154:G156" si="6">G153</f>
        <v>Ground Floor for Residential</v>
      </c>
      <c r="H154" s="75"/>
      <c r="I154" s="40"/>
      <c r="L154" s="109"/>
      <c r="M154" s="109"/>
      <c r="N154" s="40"/>
    </row>
    <row r="155" spans="1:14" s="39" customFormat="1" x14ac:dyDescent="0.35">
      <c r="A155" s="74">
        <f t="shared" si="5"/>
        <v>3</v>
      </c>
      <c r="B155" s="75"/>
      <c r="C155" s="20" t="s">
        <v>183</v>
      </c>
      <c r="D155" s="20">
        <f>(23.66)*10.764</f>
        <v>254.67623999999998</v>
      </c>
      <c r="E155" s="20">
        <v>0</v>
      </c>
      <c r="F155" s="20">
        <f>D155*(($F$142)+1)+(IF(E155&lt;101,E155,IF(E155&lt;201,E155/2,IF(E155&lt;=301,E155/3,E155/4))))</f>
        <v>369.28054799999995</v>
      </c>
      <c r="G155" s="74" t="str">
        <f t="shared" si="6"/>
        <v>Ground Floor for Residential</v>
      </c>
      <c r="H155" s="75"/>
      <c r="I155" s="40"/>
      <c r="L155" s="109"/>
      <c r="M155" s="109"/>
      <c r="N155" s="40"/>
    </row>
    <row r="156" spans="1:14" s="39" customFormat="1" x14ac:dyDescent="0.35">
      <c r="A156" s="74">
        <f t="shared" si="5"/>
        <v>4</v>
      </c>
      <c r="B156" s="75"/>
      <c r="C156" s="20" t="s">
        <v>183</v>
      </c>
      <c r="D156" s="20">
        <f>(27)*10.764</f>
        <v>290.62799999999999</v>
      </c>
      <c r="E156" s="20">
        <v>0</v>
      </c>
      <c r="F156" s="20">
        <f>D156*(($F$142)+1)+(IF(E156&lt;101,E156,IF(E156&lt;201,E156/2,IF(E156&lt;=301,E156/3,E156/4))))</f>
        <v>421.41059999999999</v>
      </c>
      <c r="G156" s="74" t="str">
        <f t="shared" si="6"/>
        <v>Ground Floor for Residential</v>
      </c>
      <c r="H156" s="75"/>
      <c r="I156" s="40"/>
      <c r="L156" s="109"/>
      <c r="M156" s="109"/>
      <c r="N156" s="40"/>
    </row>
    <row r="157" spans="1:14" s="39" customFormat="1" x14ac:dyDescent="0.35">
      <c r="A157" s="82" t="s">
        <v>224</v>
      </c>
      <c r="B157" s="83"/>
      <c r="C157" s="83"/>
      <c r="D157" s="83"/>
      <c r="E157" s="83"/>
      <c r="F157" s="83"/>
      <c r="G157" s="83"/>
      <c r="H157" s="84"/>
      <c r="I157" s="40"/>
    </row>
    <row r="158" spans="1:14" s="39" customFormat="1" x14ac:dyDescent="0.35">
      <c r="A158" s="74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10^ROW(INDIRECT("1:"&amp;LEN((LEFT(A157,SUM(LEN(A157)-LEN(SUBSTITUTE(A157,{"0","1","2"},""))))))))/10))*100+1&amp;""&amp;" to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",LEN(A157))),LEN(A157)))))))/10))*100+1</f>
        <v>101 to 701</v>
      </c>
      <c r="B158" s="75"/>
      <c r="C158" s="20" t="s">
        <v>183</v>
      </c>
      <c r="D158" s="20">
        <f>(27.78+4.97)*10.764</f>
        <v>352.52099999999996</v>
      </c>
      <c r="E158" s="20">
        <v>0</v>
      </c>
      <c r="F158" s="20">
        <f t="shared" ref="F158:F165" si="7">D158*(($F$142)+1)+(IF(E158&lt;101,E158,IF(E158&lt;201,E158/2,IF(E158&lt;=301,E158/3,E158/4))))</f>
        <v>511.15544999999992</v>
      </c>
      <c r="G158" s="74" t="str">
        <f>A157</f>
        <v>1st to 3rd, 5th to 7th Floor</v>
      </c>
      <c r="H158" s="75"/>
      <c r="I158" s="40"/>
    </row>
    <row r="159" spans="1:14" s="39" customFormat="1" x14ac:dyDescent="0.35">
      <c r="A159" s="74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to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102 to 702</v>
      </c>
      <c r="B159" s="75"/>
      <c r="C159" s="20" t="s">
        <v>183</v>
      </c>
      <c r="D159" s="20">
        <f>(24.31+6.25)*10.764</f>
        <v>328.94783999999999</v>
      </c>
      <c r="E159" s="20">
        <v>0</v>
      </c>
      <c r="F159" s="20">
        <f t="shared" si="7"/>
        <v>476.97436799999997</v>
      </c>
      <c r="G159" s="74" t="str">
        <f t="shared" ref="G159:G165" si="8">G158</f>
        <v>1st to 3rd, 5th to 7th Floor</v>
      </c>
      <c r="H159" s="75"/>
      <c r="I159" s="40"/>
    </row>
    <row r="160" spans="1:14" s="39" customFormat="1" x14ac:dyDescent="0.35">
      <c r="A160" s="74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10^ROW(INDIRECT("1:"&amp;LEN((LEFT(A159,SUM(LEN(A159)-LEN(SUBSTITUTE(A159,{"0","1","2"},""))))))))/10))*1+1&amp;""&amp;" to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",LEN(A159))),LEN(A159)))))))/10))*1+1</f>
        <v>103 to 703</v>
      </c>
      <c r="B160" s="75"/>
      <c r="C160" s="20" t="s">
        <v>183</v>
      </c>
      <c r="D160" s="20">
        <f>(24.3+6.25)*10.764</f>
        <v>328.84019999999998</v>
      </c>
      <c r="E160" s="20">
        <v>0</v>
      </c>
      <c r="F160" s="20">
        <f t="shared" si="7"/>
        <v>476.81828999999993</v>
      </c>
      <c r="G160" s="74" t="str">
        <f t="shared" si="8"/>
        <v>1st to 3rd, 5th to 7th Floor</v>
      </c>
      <c r="H160" s="75"/>
      <c r="I160" s="40"/>
    </row>
    <row r="161" spans="1:14" s="39" customFormat="1" x14ac:dyDescent="0.35">
      <c r="A161" s="74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10^ROW(INDIRECT("1:"&amp;LEN((LEFT(A160,SUM(LEN(A160)-LEN(SUBSTITUTE(A160,{"0","1","2"},""))))))))/10))*1+1&amp;""&amp;" to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",LEN(A160))),LEN(A160)))))))/10))*1+1</f>
        <v>104 to 704</v>
      </c>
      <c r="B161" s="75"/>
      <c r="C161" s="20" t="s">
        <v>183</v>
      </c>
      <c r="D161" s="20">
        <f>(27.84+1.98)*10.764</f>
        <v>320.98248000000001</v>
      </c>
      <c r="E161" s="20">
        <v>0</v>
      </c>
      <c r="F161" s="20">
        <f t="shared" si="7"/>
        <v>465.42459600000001</v>
      </c>
      <c r="G161" s="74" t="str">
        <f t="shared" si="8"/>
        <v>1st to 3rd, 5th to 7th Floor</v>
      </c>
      <c r="H161" s="75"/>
      <c r="I161" s="40"/>
    </row>
    <row r="162" spans="1:14" s="39" customFormat="1" x14ac:dyDescent="0.35">
      <c r="A162" s="74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to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105 to 705</v>
      </c>
      <c r="B162" s="75"/>
      <c r="C162" s="20" t="s">
        <v>183</v>
      </c>
      <c r="D162" s="20">
        <f>(27.38+6.4)*10.764</f>
        <v>363.60791999999998</v>
      </c>
      <c r="E162" s="20">
        <v>0</v>
      </c>
      <c r="F162" s="20">
        <f t="shared" si="7"/>
        <v>527.23148399999991</v>
      </c>
      <c r="G162" s="74" t="str">
        <f t="shared" si="8"/>
        <v>1st to 3rd, 5th to 7th Floor</v>
      </c>
      <c r="H162" s="75"/>
      <c r="I162" s="40"/>
    </row>
    <row r="163" spans="1:14" s="39" customFormat="1" x14ac:dyDescent="0.35">
      <c r="A163" s="74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to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106 to 706</v>
      </c>
      <c r="B163" s="75"/>
      <c r="C163" s="20" t="s">
        <v>183</v>
      </c>
      <c r="D163" s="20">
        <f>(24.7+6.4)*10.764</f>
        <v>334.7604</v>
      </c>
      <c r="E163" s="20">
        <v>0</v>
      </c>
      <c r="F163" s="20">
        <f t="shared" si="7"/>
        <v>485.40258</v>
      </c>
      <c r="G163" s="74" t="str">
        <f t="shared" si="8"/>
        <v>1st to 3rd, 5th to 7th Floor</v>
      </c>
      <c r="H163" s="75"/>
      <c r="I163" s="40"/>
    </row>
    <row r="164" spans="1:14" s="39" customFormat="1" x14ac:dyDescent="0.35">
      <c r="A164" s="74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to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107 to 707</v>
      </c>
      <c r="B164" s="75"/>
      <c r="C164" s="20" t="s">
        <v>186</v>
      </c>
      <c r="D164" s="20">
        <f>(39.04+7.17)*10.764</f>
        <v>497.40443999999997</v>
      </c>
      <c r="E164" s="20">
        <v>0</v>
      </c>
      <c r="F164" s="20">
        <f t="shared" si="7"/>
        <v>721.23643799999991</v>
      </c>
      <c r="G164" s="74" t="str">
        <f t="shared" si="8"/>
        <v>1st to 3rd, 5th to 7th Floor</v>
      </c>
      <c r="H164" s="75"/>
      <c r="I164" s="40"/>
    </row>
    <row r="165" spans="1:14" s="39" customFormat="1" x14ac:dyDescent="0.35">
      <c r="A165" s="74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to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108 to 708</v>
      </c>
      <c r="B165" s="75"/>
      <c r="C165" s="20" t="s">
        <v>183</v>
      </c>
      <c r="D165" s="20">
        <f>(29.1+2.94)*10.764</f>
        <v>344.87855999999999</v>
      </c>
      <c r="E165" s="20">
        <v>0</v>
      </c>
      <c r="F165" s="20">
        <f t="shared" si="7"/>
        <v>500.07391199999995</v>
      </c>
      <c r="G165" s="74" t="str">
        <f t="shared" si="8"/>
        <v>1st to 3rd, 5th to 7th Floor</v>
      </c>
      <c r="H165" s="75"/>
      <c r="I165" s="40"/>
    </row>
    <row r="166" spans="1:14" s="39" customFormat="1" x14ac:dyDescent="0.35">
      <c r="A166" s="82" t="s">
        <v>223</v>
      </c>
      <c r="B166" s="83"/>
      <c r="C166" s="83"/>
      <c r="D166" s="83"/>
      <c r="E166" s="83"/>
      <c r="F166" s="83"/>
      <c r="G166" s="83"/>
      <c r="H166" s="84"/>
      <c r="I166" s="40"/>
    </row>
    <row r="167" spans="1:14" s="39" customFormat="1" x14ac:dyDescent="0.35">
      <c r="A167" s="74">
        <v>401</v>
      </c>
      <c r="B167" s="75"/>
      <c r="C167" s="20" t="s">
        <v>183</v>
      </c>
      <c r="D167" s="20">
        <f>(27.78+4.97)*10.764</f>
        <v>352.52099999999996</v>
      </c>
      <c r="E167" s="20">
        <v>0</v>
      </c>
      <c r="F167" s="20">
        <f t="shared" ref="F167:F174" si="9">D167*(($F$142)+1)+(IF(E167&lt;101,E167,IF(E167&lt;201,E167/2,IF(E167&lt;=301,E167/3,E167/4))))</f>
        <v>511.15544999999992</v>
      </c>
      <c r="G167" s="74" t="str">
        <f>A166</f>
        <v>4th Floor</v>
      </c>
      <c r="H167" s="75"/>
      <c r="I167" s="40"/>
    </row>
    <row r="168" spans="1:14" s="39" customFormat="1" x14ac:dyDescent="0.35">
      <c r="A168" s="74">
        <v>402</v>
      </c>
      <c r="B168" s="75"/>
      <c r="C168" s="20" t="s">
        <v>183</v>
      </c>
      <c r="D168" s="20">
        <f>(24.31+6.25)*10.764</f>
        <v>328.94783999999999</v>
      </c>
      <c r="E168" s="20">
        <v>0</v>
      </c>
      <c r="F168" s="20">
        <f t="shared" si="9"/>
        <v>476.97436799999997</v>
      </c>
      <c r="G168" s="74" t="str">
        <f t="shared" ref="G168:G174" si="10">G167</f>
        <v>4th Floor</v>
      </c>
      <c r="H168" s="75"/>
      <c r="I168" s="40"/>
    </row>
    <row r="169" spans="1:14" s="39" customFormat="1" x14ac:dyDescent="0.35">
      <c r="A169" s="74">
        <v>403</v>
      </c>
      <c r="B169" s="75"/>
      <c r="C169" s="20" t="s">
        <v>183</v>
      </c>
      <c r="D169" s="20">
        <f>(24.3+6.25)*10.764</f>
        <v>328.84019999999998</v>
      </c>
      <c r="E169" s="20">
        <v>0</v>
      </c>
      <c r="F169" s="20">
        <f t="shared" si="9"/>
        <v>476.81828999999993</v>
      </c>
      <c r="G169" s="74" t="str">
        <f t="shared" si="10"/>
        <v>4th Floor</v>
      </c>
      <c r="H169" s="75"/>
      <c r="I169" s="40"/>
    </row>
    <row r="170" spans="1:14" s="39" customFormat="1" x14ac:dyDescent="0.35">
      <c r="A170" s="74">
        <v>404</v>
      </c>
      <c r="B170" s="75"/>
      <c r="C170" s="20" t="s">
        <v>183</v>
      </c>
      <c r="D170" s="20">
        <f>(27.84+1.98)*10.764</f>
        <v>320.98248000000001</v>
      </c>
      <c r="E170" s="20">
        <v>0</v>
      </c>
      <c r="F170" s="20">
        <v>494</v>
      </c>
      <c r="G170" s="74" t="str">
        <f t="shared" si="10"/>
        <v>4th Floor</v>
      </c>
      <c r="H170" s="75"/>
      <c r="I170" s="40">
        <f>F116*F170+F118</f>
        <v>2003100</v>
      </c>
      <c r="J170" s="217" t="s">
        <v>225</v>
      </c>
      <c r="K170" s="217"/>
      <c r="L170" s="217"/>
      <c r="M170" s="217"/>
      <c r="N170" s="217"/>
    </row>
    <row r="171" spans="1:14" s="39" customFormat="1" x14ac:dyDescent="0.35">
      <c r="A171" s="74">
        <v>405</v>
      </c>
      <c r="B171" s="75"/>
      <c r="C171" s="20" t="s">
        <v>183</v>
      </c>
      <c r="D171" s="20">
        <f>(27.38+6.4)*10.764</f>
        <v>363.60791999999998</v>
      </c>
      <c r="E171" s="20">
        <v>0</v>
      </c>
      <c r="F171" s="20">
        <f t="shared" si="9"/>
        <v>527.23148399999991</v>
      </c>
      <c r="G171" s="74" t="str">
        <f t="shared" si="10"/>
        <v>4th Floor</v>
      </c>
      <c r="H171" s="75"/>
      <c r="I171" s="40"/>
    </row>
    <row r="172" spans="1:14" s="39" customFormat="1" x14ac:dyDescent="0.35">
      <c r="A172" s="74">
        <v>406</v>
      </c>
      <c r="B172" s="75"/>
      <c r="C172" s="20" t="s">
        <v>183</v>
      </c>
      <c r="D172" s="20">
        <f>(24.7+6.4)*10.764</f>
        <v>334.7604</v>
      </c>
      <c r="E172" s="20">
        <v>0</v>
      </c>
      <c r="F172" s="20">
        <f t="shared" si="9"/>
        <v>485.40258</v>
      </c>
      <c r="G172" s="74" t="str">
        <f t="shared" si="10"/>
        <v>4th Floor</v>
      </c>
      <c r="H172" s="75"/>
      <c r="I172" s="40"/>
    </row>
    <row r="173" spans="1:14" s="39" customFormat="1" x14ac:dyDescent="0.35">
      <c r="A173" s="74">
        <v>407</v>
      </c>
      <c r="B173" s="75"/>
      <c r="C173" s="20" t="s">
        <v>186</v>
      </c>
      <c r="D173" s="20">
        <f>(39.04+7.17)*10.764</f>
        <v>497.40443999999997</v>
      </c>
      <c r="E173" s="20">
        <v>0</v>
      </c>
      <c r="F173" s="20">
        <f t="shared" si="9"/>
        <v>721.23643799999991</v>
      </c>
      <c r="G173" s="74" t="str">
        <f t="shared" si="10"/>
        <v>4th Floor</v>
      </c>
      <c r="H173" s="75"/>
      <c r="I173" s="40"/>
    </row>
    <row r="174" spans="1:14" s="39" customFormat="1" x14ac:dyDescent="0.35">
      <c r="A174" s="74">
        <v>408</v>
      </c>
      <c r="B174" s="75"/>
      <c r="C174" s="20" t="s">
        <v>183</v>
      </c>
      <c r="D174" s="20">
        <f>(29.1+2.94)*10.764</f>
        <v>344.87855999999999</v>
      </c>
      <c r="E174" s="20">
        <v>0</v>
      </c>
      <c r="F174" s="20">
        <f t="shared" si="9"/>
        <v>500.07391199999995</v>
      </c>
      <c r="G174" s="74" t="str">
        <f t="shared" si="10"/>
        <v>4th Floor</v>
      </c>
      <c r="H174" s="75"/>
      <c r="I174" s="40"/>
    </row>
    <row r="175" spans="1:14" s="37" customFormat="1" x14ac:dyDescent="0.35">
      <c r="A175" s="157" t="s">
        <v>182</v>
      </c>
      <c r="B175" s="158"/>
      <c r="C175" s="158"/>
      <c r="D175" s="158"/>
      <c r="E175" s="158"/>
      <c r="F175" s="158"/>
      <c r="G175" s="158"/>
      <c r="H175" s="159"/>
    </row>
    <row r="176" spans="1:14" s="39" customFormat="1" ht="15.75" customHeight="1" x14ac:dyDescent="0.35">
      <c r="A176" s="82" t="s">
        <v>195</v>
      </c>
      <c r="B176" s="83"/>
      <c r="C176" s="83"/>
      <c r="D176" s="83"/>
      <c r="E176" s="83"/>
      <c r="F176" s="83"/>
      <c r="G176" s="83"/>
      <c r="H176" s="84"/>
      <c r="J176" s="40"/>
    </row>
    <row r="177" spans="1:14" s="39" customFormat="1" ht="15.75" customHeight="1" x14ac:dyDescent="0.35">
      <c r="A177" s="74">
        <v>1</v>
      </c>
      <c r="B177" s="75"/>
      <c r="C177" s="20" t="s">
        <v>183</v>
      </c>
      <c r="D177" s="20">
        <f>24.11*10.764</f>
        <v>259.52003999999999</v>
      </c>
      <c r="E177" s="20">
        <v>0</v>
      </c>
      <c r="F177" s="20">
        <f>D177*(($F$142)+1)+(IF(E177&lt;101,E177,IF(E177&lt;201,E177/2,IF(E177&lt;=301,E177/3,E177/4))))</f>
        <v>376.304058</v>
      </c>
      <c r="G177" s="74" t="str">
        <f>A176</f>
        <v>Ground Floor for Residential</v>
      </c>
      <c r="H177" s="75"/>
      <c r="I177" s="40"/>
      <c r="L177" s="109"/>
      <c r="M177" s="109"/>
      <c r="N177" s="40"/>
    </row>
    <row r="178" spans="1:14" s="39" customFormat="1" ht="15.75" customHeight="1" x14ac:dyDescent="0.35">
      <c r="A178" s="74">
        <f t="shared" ref="A178:A180" si="11">A177+1</f>
        <v>2</v>
      </c>
      <c r="B178" s="75"/>
      <c r="C178" s="20" t="s">
        <v>183</v>
      </c>
      <c r="D178" s="20">
        <f>23.69*10.764</f>
        <v>254.99915999999999</v>
      </c>
      <c r="E178" s="20">
        <v>0</v>
      </c>
      <c r="F178" s="20">
        <f>D178*(($F$142)+1)+(IF(E178&lt;101,E178,IF(E178&lt;201,E178/2,IF(E178&lt;=301,E178/3,E178/4))))</f>
        <v>369.74878199999995</v>
      </c>
      <c r="G178" s="74" t="str">
        <f t="shared" ref="G178:G180" si="12">G177</f>
        <v>Ground Floor for Residential</v>
      </c>
      <c r="H178" s="75"/>
      <c r="I178" s="40"/>
      <c r="L178" s="109"/>
      <c r="M178" s="109"/>
      <c r="N178" s="40"/>
    </row>
    <row r="179" spans="1:14" s="39" customFormat="1" ht="15.75" customHeight="1" x14ac:dyDescent="0.35">
      <c r="A179" s="74">
        <f t="shared" si="11"/>
        <v>3</v>
      </c>
      <c r="B179" s="75"/>
      <c r="C179" s="20" t="s">
        <v>184</v>
      </c>
      <c r="D179" s="20">
        <f>19.12*10.764</f>
        <v>205.80768</v>
      </c>
      <c r="E179" s="20">
        <v>0</v>
      </c>
      <c r="F179" s="20">
        <f>D179*(($F$142)+1)+(IF(E179&lt;101,E179,IF(E179&lt;201,E179/2,IF(E179&lt;=301,E179/3,E179/4))))</f>
        <v>298.42113599999999</v>
      </c>
      <c r="G179" s="74" t="str">
        <f t="shared" si="12"/>
        <v>Ground Floor for Residential</v>
      </c>
      <c r="H179" s="75"/>
      <c r="I179" s="40"/>
      <c r="L179" s="109"/>
      <c r="M179" s="109"/>
      <c r="N179" s="40"/>
    </row>
    <row r="180" spans="1:14" s="39" customFormat="1" x14ac:dyDescent="0.35">
      <c r="A180" s="74">
        <f t="shared" si="11"/>
        <v>4</v>
      </c>
      <c r="B180" s="75"/>
      <c r="C180" s="20" t="s">
        <v>183</v>
      </c>
      <c r="D180" s="20">
        <f>24.12*10.764</f>
        <v>259.62768</v>
      </c>
      <c r="E180" s="20">
        <v>0</v>
      </c>
      <c r="F180" s="20">
        <f>D180*(($F$142)+1)+(IF(E180&lt;101,E180,IF(E180&lt;201,E180/2,IF(E180&lt;=301,E180/3,E180/4))))</f>
        <v>376.46013599999998</v>
      </c>
      <c r="G180" s="74" t="str">
        <f t="shared" si="12"/>
        <v>Ground Floor for Residential</v>
      </c>
      <c r="H180" s="75"/>
      <c r="I180" s="40"/>
      <c r="L180" s="109"/>
      <c r="M180" s="109"/>
      <c r="N180" s="40"/>
    </row>
    <row r="181" spans="1:14" s="39" customFormat="1" x14ac:dyDescent="0.35">
      <c r="A181" s="82" t="s">
        <v>185</v>
      </c>
      <c r="B181" s="83"/>
      <c r="C181" s="83"/>
      <c r="D181" s="83"/>
      <c r="E181" s="83"/>
      <c r="F181" s="83"/>
      <c r="G181" s="83"/>
      <c r="H181" s="84"/>
      <c r="I181" s="40"/>
    </row>
    <row r="182" spans="1:14" s="39" customFormat="1" x14ac:dyDescent="0.35">
      <c r="A182" s="74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10^ROW(INDIRECT("1:"&amp;LEN((LEFT(A181,SUM(LEN(A181)-LEN(SUBSTITUTE(A181,{"0","1","2"},""))))))))/10))*100+1&amp;""&amp;" to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",LEN(A181))),LEN(A181)))))))/10))*100+1</f>
        <v>101 to 701</v>
      </c>
      <c r="B182" s="75"/>
      <c r="C182" s="20" t="s">
        <v>183</v>
      </c>
      <c r="D182" s="20">
        <f>(25.92+7.7)*10.764</f>
        <v>361.88568000000004</v>
      </c>
      <c r="E182" s="20">
        <v>0</v>
      </c>
      <c r="F182" s="20">
        <f t="shared" ref="F182:F195" si="13">D182*(($F$142)+1)+(IF(E182&lt;101,E182,IF(E182&lt;201,E182/2,IF(E182&lt;=301,E182/3,E182/4))))</f>
        <v>524.73423600000001</v>
      </c>
      <c r="G182" s="74" t="str">
        <f>A181</f>
        <v>1st to 7th Floor</v>
      </c>
      <c r="H182" s="75"/>
      <c r="I182" s="40"/>
    </row>
    <row r="183" spans="1:14" s="39" customFormat="1" x14ac:dyDescent="0.35">
      <c r="A183" s="74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to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102 to 702</v>
      </c>
      <c r="B183" s="75"/>
      <c r="C183" s="20" t="s">
        <v>183</v>
      </c>
      <c r="D183" s="20">
        <f>(26+7.74)*10.764</f>
        <v>363.17736000000002</v>
      </c>
      <c r="E183" s="20">
        <v>0</v>
      </c>
      <c r="F183" s="20">
        <f t="shared" si="13"/>
        <v>526.60717199999999</v>
      </c>
      <c r="G183" s="74" t="str">
        <f t="shared" ref="G183:G195" si="14">G182</f>
        <v>1st to 7th Floor</v>
      </c>
      <c r="H183" s="75"/>
      <c r="I183" s="40"/>
    </row>
    <row r="184" spans="1:14" s="39" customFormat="1" x14ac:dyDescent="0.35">
      <c r="A184" s="74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to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103 to 703</v>
      </c>
      <c r="B184" s="75"/>
      <c r="C184" s="20" t="s">
        <v>184</v>
      </c>
      <c r="D184" s="20">
        <f>(18.77+4.91)*10.764</f>
        <v>254.89151999999999</v>
      </c>
      <c r="E184" s="20">
        <v>0</v>
      </c>
      <c r="F184" s="20">
        <f t="shared" si="13"/>
        <v>369.59270399999997</v>
      </c>
      <c r="G184" s="74" t="str">
        <f t="shared" si="14"/>
        <v>1st to 7th Floor</v>
      </c>
      <c r="H184" s="75"/>
      <c r="I184" s="40"/>
    </row>
    <row r="185" spans="1:14" s="39" customFormat="1" x14ac:dyDescent="0.35">
      <c r="A185" s="74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to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104 to 704</v>
      </c>
      <c r="B185" s="75"/>
      <c r="C185" s="20" t="s">
        <v>183</v>
      </c>
      <c r="D185" s="20">
        <f>(23.03+6.87)*10.764</f>
        <v>321.84359999999998</v>
      </c>
      <c r="E185" s="20">
        <v>0</v>
      </c>
      <c r="F185" s="20">
        <f t="shared" si="13"/>
        <v>466.67321999999996</v>
      </c>
      <c r="G185" s="74" t="str">
        <f t="shared" si="14"/>
        <v>1st to 7th Floor</v>
      </c>
      <c r="H185" s="75"/>
      <c r="I185" s="40"/>
    </row>
    <row r="186" spans="1:14" s="39" customFormat="1" x14ac:dyDescent="0.35">
      <c r="A186" s="74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to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105 to 705</v>
      </c>
      <c r="B186" s="75"/>
      <c r="C186" s="20" t="s">
        <v>183</v>
      </c>
      <c r="D186" s="20">
        <f>(24.37+6.87)*10.764</f>
        <v>336.26736</v>
      </c>
      <c r="E186" s="20">
        <v>0</v>
      </c>
      <c r="F186" s="20">
        <f t="shared" si="13"/>
        <v>487.587672</v>
      </c>
      <c r="G186" s="74" t="str">
        <f t="shared" si="14"/>
        <v>1st to 7th Floor</v>
      </c>
      <c r="H186" s="75"/>
      <c r="I186" s="40"/>
    </row>
    <row r="187" spans="1:14" s="39" customFormat="1" x14ac:dyDescent="0.35">
      <c r="A187" s="74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to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106 to 706</v>
      </c>
      <c r="B187" s="75"/>
      <c r="C187" s="20" t="s">
        <v>183</v>
      </c>
      <c r="D187" s="20">
        <f>(23.95+6.65)*10.764</f>
        <v>329.3784</v>
      </c>
      <c r="E187" s="20">
        <v>0</v>
      </c>
      <c r="F187" s="20">
        <f t="shared" si="13"/>
        <v>477.59868</v>
      </c>
      <c r="G187" s="74" t="str">
        <f t="shared" si="14"/>
        <v>1st to 7th Floor</v>
      </c>
      <c r="H187" s="75"/>
      <c r="I187" s="40"/>
    </row>
    <row r="188" spans="1:14" s="39" customFormat="1" x14ac:dyDescent="0.35">
      <c r="A188" s="74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to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107 to 707</v>
      </c>
      <c r="B188" s="75"/>
      <c r="C188" s="20" t="s">
        <v>184</v>
      </c>
      <c r="D188" s="20">
        <f>(20+2.91)*10.764</f>
        <v>246.60324</v>
      </c>
      <c r="E188" s="20">
        <v>0</v>
      </c>
      <c r="F188" s="20">
        <f t="shared" si="13"/>
        <v>357.57469800000001</v>
      </c>
      <c r="G188" s="74" t="str">
        <f t="shared" si="14"/>
        <v>1st to 7th Floor</v>
      </c>
      <c r="H188" s="75"/>
      <c r="I188" s="40"/>
    </row>
    <row r="189" spans="1:14" s="39" customFormat="1" x14ac:dyDescent="0.35">
      <c r="A189" s="74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to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108 to 708</v>
      </c>
      <c r="B189" s="75"/>
      <c r="C189" s="20" t="s">
        <v>183</v>
      </c>
      <c r="D189" s="20">
        <f>(24.58+7.16)*10.764</f>
        <v>341.64935999999994</v>
      </c>
      <c r="E189" s="20">
        <v>0</v>
      </c>
      <c r="F189" s="20">
        <f t="shared" si="13"/>
        <v>495.39157199999988</v>
      </c>
      <c r="G189" s="74" t="str">
        <f t="shared" si="14"/>
        <v>1st to 7th Floor</v>
      </c>
      <c r="H189" s="75"/>
      <c r="I189" s="40"/>
    </row>
    <row r="190" spans="1:14" s="39" customFormat="1" x14ac:dyDescent="0.35">
      <c r="A190" s="74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to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109 to 709</v>
      </c>
      <c r="B190" s="75"/>
      <c r="C190" s="20" t="s">
        <v>184</v>
      </c>
      <c r="D190" s="20">
        <f>(17.64+5.14)*10.764</f>
        <v>245.20392000000001</v>
      </c>
      <c r="E190" s="20">
        <v>0</v>
      </c>
      <c r="F190" s="20">
        <f t="shared" si="13"/>
        <v>355.54568399999999</v>
      </c>
      <c r="G190" s="74" t="str">
        <f t="shared" si="14"/>
        <v>1st to 7th Floor</v>
      </c>
      <c r="H190" s="75"/>
      <c r="I190" s="40"/>
    </row>
    <row r="191" spans="1:14" s="39" customFormat="1" x14ac:dyDescent="0.35">
      <c r="A191" s="74" t="str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10^ROW(INDIRECT("1:"&amp;LEN((LEFT(A190,SUM(LEN(A190)-LEN(SUBSTITUTE(A190,{"0","1","2"},""))))))))/10))*1+1&amp;""&amp;" to "&amp;""&amp;(SUMPRODUCT(MID(0&amp;(--TRIM(RIGHT(SUBSTITUTE(LEFT(A190,_xlfn.AGGREGATE(16,6,FIND({0,1,2,3,4,5,6,7,8,9},A190,ROW(INDIRECT("1:"&amp;LEN(A190)))),1)),"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",LEN(A190))),LEN(A190)))))))/10))*1+1</f>
        <v>110 to 710</v>
      </c>
      <c r="B191" s="75"/>
      <c r="C191" s="20" t="s">
        <v>183</v>
      </c>
      <c r="D191" s="20">
        <f>(24.03+6.53)*10.764</f>
        <v>328.94783999999999</v>
      </c>
      <c r="E191" s="20">
        <v>0</v>
      </c>
      <c r="F191" s="20">
        <f t="shared" si="13"/>
        <v>476.97436799999997</v>
      </c>
      <c r="G191" s="74" t="str">
        <f t="shared" si="14"/>
        <v>1st to 7th Floor</v>
      </c>
      <c r="H191" s="75"/>
      <c r="I191" s="40"/>
    </row>
    <row r="192" spans="1:14" s="39" customFormat="1" x14ac:dyDescent="0.35">
      <c r="A192" s="74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10^ROW(INDIRECT("1:"&amp;LEN((LEFT(A191,SUM(LEN(A191)-LEN(SUBSTITUTE(A191,{"0","1","2"},""))))))))/10))*1+1&amp;""&amp;" to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",LEN(A191))),LEN(A191)))))))/10))*1+1</f>
        <v>111 to 711</v>
      </c>
      <c r="B192" s="75"/>
      <c r="C192" s="20" t="s">
        <v>183</v>
      </c>
      <c r="D192" s="20">
        <f>(24.72+6.56)*10.764</f>
        <v>336.69791999999995</v>
      </c>
      <c r="E192" s="20">
        <v>0</v>
      </c>
      <c r="F192" s="20">
        <f t="shared" si="13"/>
        <v>488.21198399999992</v>
      </c>
      <c r="G192" s="74" t="str">
        <f t="shared" si="14"/>
        <v>1st to 7th Floor</v>
      </c>
      <c r="H192" s="75"/>
      <c r="I192" s="40" t="s">
        <v>196</v>
      </c>
    </row>
    <row r="193" spans="1:9" s="39" customFormat="1" x14ac:dyDescent="0.35">
      <c r="A193" s="74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to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112 to 712</v>
      </c>
      <c r="B193" s="75"/>
      <c r="C193" s="20" t="s">
        <v>183</v>
      </c>
      <c r="D193" s="20">
        <f>(20.61+7.28)*10.764</f>
        <v>300.20796000000001</v>
      </c>
      <c r="E193" s="20">
        <v>0</v>
      </c>
      <c r="F193" s="20">
        <f t="shared" si="13"/>
        <v>435.30154199999998</v>
      </c>
      <c r="G193" s="74" t="str">
        <f t="shared" si="14"/>
        <v>1st to 7th Floor</v>
      </c>
      <c r="H193" s="75"/>
      <c r="I193" s="40"/>
    </row>
    <row r="194" spans="1:9" s="39" customFormat="1" x14ac:dyDescent="0.35">
      <c r="A194" s="74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to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113 to 713</v>
      </c>
      <c r="B194" s="75"/>
      <c r="C194" s="20" t="s">
        <v>186</v>
      </c>
      <c r="D194" s="20">
        <f>(35.81+10.43)*10.764</f>
        <v>497.72735999999998</v>
      </c>
      <c r="E194" s="20">
        <v>0</v>
      </c>
      <c r="F194" s="20">
        <f t="shared" si="13"/>
        <v>721.70467199999996</v>
      </c>
      <c r="G194" s="74" t="str">
        <f t="shared" si="14"/>
        <v>1st to 7th Floor</v>
      </c>
      <c r="H194" s="75"/>
      <c r="I194" s="40"/>
    </row>
    <row r="195" spans="1:9" s="39" customFormat="1" x14ac:dyDescent="0.35">
      <c r="A195" s="74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to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114 to 714</v>
      </c>
      <c r="B195" s="75"/>
      <c r="C195" s="20" t="s">
        <v>184</v>
      </c>
      <c r="D195" s="20">
        <f>(19.46)*10.764</f>
        <v>209.46744000000001</v>
      </c>
      <c r="E195" s="20">
        <v>0</v>
      </c>
      <c r="F195" s="20">
        <f t="shared" si="13"/>
        <v>303.72778800000003</v>
      </c>
      <c r="G195" s="74" t="str">
        <f t="shared" si="14"/>
        <v>1st to 7th Floor</v>
      </c>
      <c r="H195" s="75"/>
      <c r="I195" s="40"/>
    </row>
    <row r="196" spans="1:9" s="38" customFormat="1" x14ac:dyDescent="0.35">
      <c r="A196" s="160" t="s">
        <v>70</v>
      </c>
      <c r="B196" s="160"/>
      <c r="C196" s="160"/>
      <c r="D196" s="160"/>
      <c r="E196" s="160"/>
      <c r="F196" s="160"/>
      <c r="G196" s="160"/>
      <c r="H196" s="160"/>
    </row>
    <row r="197" spans="1:9" s="38" customFormat="1" ht="31.5" customHeight="1" x14ac:dyDescent="0.35">
      <c r="A197" s="21" t="s">
        <v>152</v>
      </c>
      <c r="B197" s="76" t="s">
        <v>233</v>
      </c>
      <c r="C197" s="77"/>
      <c r="D197" s="77"/>
      <c r="E197" s="77"/>
      <c r="F197" s="77"/>
      <c r="G197" s="77"/>
      <c r="H197" s="78"/>
    </row>
    <row r="198" spans="1:9" s="38" customFormat="1" x14ac:dyDescent="0.35">
      <c r="A198" s="21" t="s">
        <v>152</v>
      </c>
      <c r="B198" s="76" t="str">
        <f>(IF(F141="Saleable area Loading :","We have considered Saleable area of Flats as per our Calculation.","We considered Saleable area of Flat as per Builder area Sheet."))</f>
        <v>We have considered Saleable area of Flats as per our Calculation.</v>
      </c>
      <c r="C198" s="77"/>
      <c r="D198" s="77"/>
      <c r="E198" s="77"/>
      <c r="F198" s="77"/>
      <c r="G198" s="77"/>
      <c r="H198" s="78"/>
    </row>
    <row r="199" spans="1:9" s="38" customFormat="1" x14ac:dyDescent="0.35">
      <c r="A199" s="21" t="s">
        <v>152</v>
      </c>
      <c r="B199" s="76" t="str">
        <f>(IF(F132="Saleable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9" s="77"/>
      <c r="D199" s="77"/>
      <c r="E199" s="77"/>
      <c r="F199" s="77"/>
      <c r="G199" s="77"/>
      <c r="H199" s="78"/>
    </row>
    <row r="200" spans="1:9" s="38" customFormat="1" x14ac:dyDescent="0.35">
      <c r="A200" s="21" t="s">
        <v>152</v>
      </c>
      <c r="B200" s="76" t="s">
        <v>122</v>
      </c>
      <c r="C200" s="77"/>
      <c r="D200" s="77"/>
      <c r="E200" s="77"/>
      <c r="F200" s="77"/>
      <c r="G200" s="77"/>
      <c r="H200" s="78"/>
    </row>
    <row r="201" spans="1:9" s="38" customFormat="1" x14ac:dyDescent="0.35">
      <c r="A201" s="21" t="s">
        <v>152</v>
      </c>
      <c r="B201" s="76" t="s">
        <v>202</v>
      </c>
      <c r="C201" s="77"/>
      <c r="D201" s="77"/>
      <c r="E201" s="77"/>
      <c r="F201" s="77"/>
      <c r="G201" s="77"/>
      <c r="H201" s="78"/>
    </row>
    <row r="202" spans="1:9" s="38" customFormat="1" x14ac:dyDescent="0.35">
      <c r="A202" s="21" t="s">
        <v>152</v>
      </c>
      <c r="B202" s="76" t="s">
        <v>151</v>
      </c>
      <c r="C202" s="77"/>
      <c r="D202" s="77"/>
      <c r="E202" s="77"/>
      <c r="F202" s="77"/>
      <c r="G202" s="77"/>
      <c r="H202" s="78"/>
    </row>
    <row r="203" spans="1:9" s="38" customFormat="1" x14ac:dyDescent="0.35">
      <c r="A203" s="21" t="s">
        <v>152</v>
      </c>
      <c r="B203" s="76" t="s">
        <v>123</v>
      </c>
      <c r="C203" s="77"/>
      <c r="D203" s="77"/>
      <c r="E203" s="77"/>
      <c r="F203" s="77"/>
      <c r="G203" s="77"/>
      <c r="H203" s="78"/>
    </row>
    <row r="204" spans="1:9" s="38" customFormat="1" ht="34.5" customHeight="1" x14ac:dyDescent="0.35">
      <c r="A204" s="21" t="s">
        <v>152</v>
      </c>
      <c r="B204" s="76" t="s">
        <v>153</v>
      </c>
      <c r="C204" s="77"/>
      <c r="D204" s="77"/>
      <c r="E204" s="77"/>
      <c r="F204" s="77"/>
      <c r="G204" s="77"/>
      <c r="H204" s="78"/>
    </row>
    <row r="205" spans="1:9" s="38" customFormat="1" x14ac:dyDescent="0.35">
      <c r="A205" s="21" t="s">
        <v>152</v>
      </c>
      <c r="B205" s="76" t="s">
        <v>124</v>
      </c>
      <c r="C205" s="77"/>
      <c r="D205" s="77"/>
      <c r="E205" s="77"/>
      <c r="F205" s="77"/>
      <c r="G205" s="77"/>
      <c r="H205" s="78"/>
    </row>
    <row r="206" spans="1:9" s="38" customFormat="1" hidden="1" x14ac:dyDescent="0.35">
      <c r="A206" s="21" t="s">
        <v>152</v>
      </c>
      <c r="B206" s="76" t="s">
        <v>222</v>
      </c>
      <c r="C206" s="77"/>
      <c r="D206" s="77"/>
      <c r="E206" s="77"/>
      <c r="F206" s="77"/>
      <c r="G206" s="77"/>
      <c r="H206" s="78"/>
    </row>
    <row r="207" spans="1:9" s="38" customFormat="1" hidden="1" x14ac:dyDescent="0.35">
      <c r="A207" s="21" t="s">
        <v>152</v>
      </c>
      <c r="B207" s="76" t="s">
        <v>221</v>
      </c>
      <c r="C207" s="77"/>
      <c r="D207" s="77"/>
      <c r="E207" s="77"/>
      <c r="F207" s="77"/>
      <c r="G207" s="77"/>
      <c r="H207" s="78"/>
    </row>
    <row r="208" spans="1:9" s="38" customFormat="1" ht="32.25" customHeight="1" x14ac:dyDescent="0.35">
      <c r="A208" s="65" t="s">
        <v>152</v>
      </c>
      <c r="B208" s="79" t="s">
        <v>226</v>
      </c>
      <c r="C208" s="80"/>
      <c r="D208" s="80"/>
      <c r="E208" s="80"/>
      <c r="F208" s="80"/>
      <c r="G208" s="80"/>
      <c r="H208" s="81"/>
    </row>
    <row r="209" spans="1:8" s="38" customFormat="1" x14ac:dyDescent="0.35">
      <c r="A209" s="72" t="s">
        <v>152</v>
      </c>
      <c r="B209" s="76" t="s">
        <v>234</v>
      </c>
      <c r="C209" s="77"/>
      <c r="D209" s="77"/>
      <c r="E209" s="77"/>
      <c r="F209" s="77"/>
      <c r="G209" s="77"/>
      <c r="H209" s="78"/>
    </row>
    <row r="210" spans="1:8" x14ac:dyDescent="0.35">
      <c r="A210" s="140" t="s">
        <v>63</v>
      </c>
      <c r="B210" s="140"/>
      <c r="C210" s="140"/>
      <c r="D210" s="140"/>
      <c r="E210" s="140"/>
      <c r="F210" s="140"/>
      <c r="G210" s="140"/>
      <c r="H210" s="140"/>
    </row>
    <row r="211" spans="1:8" x14ac:dyDescent="0.35">
      <c r="A211" s="161" t="s">
        <v>64</v>
      </c>
      <c r="B211" s="161"/>
      <c r="C211" s="161"/>
      <c r="D211" s="161"/>
      <c r="E211" s="161"/>
      <c r="F211" s="161"/>
      <c r="G211" s="161"/>
      <c r="H211" s="161"/>
    </row>
    <row r="212" spans="1:8" ht="15.75" customHeight="1" x14ac:dyDescent="0.35">
      <c r="A212" s="145" t="s">
        <v>65</v>
      </c>
      <c r="B212" s="145"/>
      <c r="C212" s="145"/>
      <c r="D212" s="145"/>
      <c r="E212" s="145"/>
      <c r="F212" s="145"/>
      <c r="G212" s="145"/>
      <c r="H212" s="145"/>
    </row>
    <row r="213" spans="1:8" x14ac:dyDescent="0.35">
      <c r="A213" s="161" t="s">
        <v>66</v>
      </c>
      <c r="B213" s="161"/>
      <c r="C213" s="161"/>
      <c r="D213" s="161"/>
      <c r="E213" s="161"/>
      <c r="F213" s="161"/>
      <c r="G213" s="161"/>
      <c r="H213" s="161"/>
    </row>
    <row r="214" spans="1:8" x14ac:dyDescent="0.35">
      <c r="A214" s="161" t="s">
        <v>67</v>
      </c>
      <c r="B214" s="161"/>
      <c r="C214" s="161"/>
      <c r="D214" s="161"/>
      <c r="E214" s="161"/>
      <c r="F214" s="161"/>
      <c r="G214" s="161"/>
      <c r="H214" s="161"/>
    </row>
    <row r="215" spans="1:8" x14ac:dyDescent="0.35">
      <c r="A215" s="161" t="s">
        <v>125</v>
      </c>
      <c r="B215" s="161"/>
      <c r="C215" s="161"/>
      <c r="D215" s="161"/>
      <c r="E215" s="161"/>
      <c r="F215" s="161"/>
      <c r="G215" s="161"/>
      <c r="H215" s="161"/>
    </row>
    <row r="216" spans="1:8" ht="35.25" customHeight="1" x14ac:dyDescent="0.35">
      <c r="A216" s="141" t="s">
        <v>126</v>
      </c>
      <c r="B216" s="141"/>
      <c r="C216" s="141"/>
      <c r="D216" s="141"/>
      <c r="E216" s="141"/>
      <c r="F216" s="141"/>
      <c r="G216" s="141"/>
      <c r="H216" s="141"/>
    </row>
    <row r="217" spans="1:8" x14ac:dyDescent="0.35">
      <c r="A217" s="163" t="s">
        <v>80</v>
      </c>
      <c r="B217" s="163"/>
      <c r="C217" s="163" t="s">
        <v>220</v>
      </c>
      <c r="D217" s="163"/>
      <c r="E217" s="163" t="s">
        <v>104</v>
      </c>
      <c r="F217" s="163"/>
      <c r="G217" s="163" t="s">
        <v>230</v>
      </c>
      <c r="H217" s="163"/>
    </row>
    <row r="218" spans="1:8" x14ac:dyDescent="0.35">
      <c r="A218" s="162" t="s">
        <v>82</v>
      </c>
      <c r="B218" s="162"/>
      <c r="C218" s="162"/>
      <c r="D218" s="162"/>
      <c r="E218" s="162"/>
      <c r="F218" s="162"/>
      <c r="G218" s="162"/>
      <c r="H218" s="162"/>
    </row>
    <row r="219" spans="1:8" x14ac:dyDescent="0.35">
      <c r="A219" s="162"/>
      <c r="B219" s="162"/>
      <c r="C219" s="162"/>
      <c r="D219" s="162"/>
      <c r="E219" s="162"/>
      <c r="F219" s="162"/>
      <c r="G219" s="162"/>
      <c r="H219" s="162"/>
    </row>
    <row r="220" spans="1:8" x14ac:dyDescent="0.35">
      <c r="A220" s="162"/>
      <c r="B220" s="162"/>
      <c r="C220" s="162"/>
      <c r="D220" s="162"/>
      <c r="E220" s="162"/>
      <c r="F220" s="162"/>
      <c r="G220" s="162"/>
      <c r="H220" s="162"/>
    </row>
    <row r="221" spans="1:8" x14ac:dyDescent="0.35">
      <c r="A221" s="162"/>
      <c r="B221" s="162"/>
      <c r="C221" s="162"/>
      <c r="D221" s="162"/>
      <c r="E221" s="162"/>
      <c r="F221" s="162"/>
      <c r="G221" s="162"/>
      <c r="H221" s="162"/>
    </row>
    <row r="222" spans="1:8" x14ac:dyDescent="0.35">
      <c r="A222" s="41" t="s">
        <v>68</v>
      </c>
      <c r="B222" s="42"/>
      <c r="C222" s="42"/>
      <c r="D222" s="41" t="str">
        <f>E8</f>
        <v>Vrindavan Home Phase 2</v>
      </c>
      <c r="F222" s="42"/>
      <c r="G222" s="42"/>
      <c r="H222" s="42"/>
    </row>
    <row r="223" spans="1:8" x14ac:dyDescent="0.35">
      <c r="A223" s="42"/>
      <c r="B223" s="42"/>
      <c r="C223" s="42"/>
      <c r="D223" s="42"/>
      <c r="E223" s="42"/>
      <c r="F223" s="42"/>
      <c r="G223" s="42"/>
      <c r="H223" s="42"/>
    </row>
    <row r="224" spans="1:8" x14ac:dyDescent="0.35">
      <c r="A224" s="42"/>
      <c r="B224" s="42"/>
      <c r="C224" s="42"/>
      <c r="D224" s="42"/>
      <c r="E224" s="42"/>
      <c r="F224" s="42"/>
      <c r="G224" s="42"/>
      <c r="H224" s="42"/>
    </row>
    <row r="225" ht="15" customHeight="1" x14ac:dyDescent="0.35"/>
    <row r="265" spans="1:1" x14ac:dyDescent="0.35">
      <c r="A265" s="44" t="s">
        <v>228</v>
      </c>
    </row>
    <row r="303" spans="1:1" x14ac:dyDescent="0.35">
      <c r="A303" s="44" t="s">
        <v>69</v>
      </c>
    </row>
  </sheetData>
  <mergeCells count="408">
    <mergeCell ref="A84:B85"/>
    <mergeCell ref="C84:D85"/>
    <mergeCell ref="E84:F85"/>
    <mergeCell ref="G84:H85"/>
    <mergeCell ref="A102:B103"/>
    <mergeCell ref="C102:D103"/>
    <mergeCell ref="E102:F103"/>
    <mergeCell ref="G102:H103"/>
    <mergeCell ref="B209:H209"/>
    <mergeCell ref="B207:H207"/>
    <mergeCell ref="A36:B36"/>
    <mergeCell ref="C36:H36"/>
    <mergeCell ref="A137:B137"/>
    <mergeCell ref="A138:B138"/>
    <mergeCell ref="A139:B139"/>
    <mergeCell ref="A118:E118"/>
    <mergeCell ref="A180:B180"/>
    <mergeCell ref="A187:B187"/>
    <mergeCell ref="G187:H187"/>
    <mergeCell ref="A186:B186"/>
    <mergeCell ref="G163:H163"/>
    <mergeCell ref="A143:H143"/>
    <mergeCell ref="A144:H144"/>
    <mergeCell ref="A113:B113"/>
    <mergeCell ref="A115:E115"/>
    <mergeCell ref="F115:H115"/>
    <mergeCell ref="F118:H118"/>
    <mergeCell ref="A128:B128"/>
    <mergeCell ref="C128:D128"/>
    <mergeCell ref="E128:F128"/>
    <mergeCell ref="G128:H128"/>
    <mergeCell ref="A140:H140"/>
    <mergeCell ref="A141:A142"/>
    <mergeCell ref="B197:H197"/>
    <mergeCell ref="B198:H198"/>
    <mergeCell ref="B200:H200"/>
    <mergeCell ref="B201:H201"/>
    <mergeCell ref="B202:H202"/>
    <mergeCell ref="A195:B195"/>
    <mergeCell ref="G195:H195"/>
    <mergeCell ref="A193:B193"/>
    <mergeCell ref="G193:H193"/>
    <mergeCell ref="A194:B194"/>
    <mergeCell ref="G194:H194"/>
    <mergeCell ref="G129:H129"/>
    <mergeCell ref="G188:H188"/>
    <mergeCell ref="A129:B129"/>
    <mergeCell ref="E129:F129"/>
    <mergeCell ref="C129:D129"/>
    <mergeCell ref="E125:F125"/>
    <mergeCell ref="A150:B150"/>
    <mergeCell ref="A175:H175"/>
    <mergeCell ref="A164:B164"/>
    <mergeCell ref="G186:H186"/>
    <mergeCell ref="G154:H154"/>
    <mergeCell ref="A185:B185"/>
    <mergeCell ref="A183:B183"/>
    <mergeCell ref="A184:B184"/>
    <mergeCell ref="D132:D133"/>
    <mergeCell ref="A165:B165"/>
    <mergeCell ref="G165:H165"/>
    <mergeCell ref="A159:B159"/>
    <mergeCell ref="G159:H159"/>
    <mergeCell ref="A160:B160"/>
    <mergeCell ref="G160:H160"/>
    <mergeCell ref="A162:B162"/>
    <mergeCell ref="G162:H162"/>
    <mergeCell ref="A163:B163"/>
    <mergeCell ref="G104:H104"/>
    <mergeCell ref="A105:B105"/>
    <mergeCell ref="E105:F114"/>
    <mergeCell ref="A127:B127"/>
    <mergeCell ref="C127:D127"/>
    <mergeCell ref="E127:F127"/>
    <mergeCell ref="G127:H127"/>
    <mergeCell ref="C125:D125"/>
    <mergeCell ref="G125:H125"/>
    <mergeCell ref="A108:B108"/>
    <mergeCell ref="A109:B109"/>
    <mergeCell ref="A110:B110"/>
    <mergeCell ref="A112:B112"/>
    <mergeCell ref="A106:B106"/>
    <mergeCell ref="A107:B107"/>
    <mergeCell ref="F117:H117"/>
    <mergeCell ref="A117:E117"/>
    <mergeCell ref="A111:B111"/>
    <mergeCell ref="F116:H116"/>
    <mergeCell ref="G123:H123"/>
    <mergeCell ref="A114:B114"/>
    <mergeCell ref="G139:H139"/>
    <mergeCell ref="A157:H157"/>
    <mergeCell ref="G164:H164"/>
    <mergeCell ref="A158:B158"/>
    <mergeCell ref="G158:H158"/>
    <mergeCell ref="C141:C142"/>
    <mergeCell ref="A148:B148"/>
    <mergeCell ref="G148:H148"/>
    <mergeCell ref="A149:H149"/>
    <mergeCell ref="G146:H146"/>
    <mergeCell ref="A147:H147"/>
    <mergeCell ref="L154:M154"/>
    <mergeCell ref="G155:H155"/>
    <mergeCell ref="L155:M155"/>
    <mergeCell ref="A156:B156"/>
    <mergeCell ref="G156:H156"/>
    <mergeCell ref="A161:B161"/>
    <mergeCell ref="G161:H161"/>
    <mergeCell ref="L180:M180"/>
    <mergeCell ref="G177:H177"/>
    <mergeCell ref="L177:M177"/>
    <mergeCell ref="A178:B178"/>
    <mergeCell ref="G178:H178"/>
    <mergeCell ref="L178:M178"/>
    <mergeCell ref="A179:B179"/>
    <mergeCell ref="G179:H179"/>
    <mergeCell ref="L179:M179"/>
    <mergeCell ref="G180:H180"/>
    <mergeCell ref="A177:B177"/>
    <mergeCell ref="J170:N170"/>
    <mergeCell ref="A166:H166"/>
    <mergeCell ref="A167:B167"/>
    <mergeCell ref="G167:H167"/>
    <mergeCell ref="A168:B168"/>
    <mergeCell ref="G168:H168"/>
    <mergeCell ref="A37:H37"/>
    <mergeCell ref="C33:E33"/>
    <mergeCell ref="L139:M139"/>
    <mergeCell ref="L138:M138"/>
    <mergeCell ref="L137:M137"/>
    <mergeCell ref="A78:B78"/>
    <mergeCell ref="C126:D126"/>
    <mergeCell ref="E126:F126"/>
    <mergeCell ref="G126:H126"/>
    <mergeCell ref="A116:E116"/>
    <mergeCell ref="A99:B99"/>
    <mergeCell ref="C99:H99"/>
    <mergeCell ref="A136:H136"/>
    <mergeCell ref="E132:E133"/>
    <mergeCell ref="G132:H133"/>
    <mergeCell ref="A101:B101"/>
    <mergeCell ref="C101:H101"/>
    <mergeCell ref="A104:B104"/>
    <mergeCell ref="E104:F104"/>
    <mergeCell ref="A58:C58"/>
    <mergeCell ref="A59:C59"/>
    <mergeCell ref="D58:H58"/>
    <mergeCell ref="E39:H39"/>
    <mergeCell ref="A39:D39"/>
    <mergeCell ref="A28:D28"/>
    <mergeCell ref="E28:H28"/>
    <mergeCell ref="A24:D24"/>
    <mergeCell ref="E24:H24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2:B32"/>
    <mergeCell ref="C32:E32"/>
    <mergeCell ref="C35:H35"/>
    <mergeCell ref="E23:H23"/>
    <mergeCell ref="A25:D25"/>
    <mergeCell ref="E25:H25"/>
    <mergeCell ref="A22:D22"/>
    <mergeCell ref="E22:H22"/>
    <mergeCell ref="A26:D26"/>
    <mergeCell ref="E26:H26"/>
    <mergeCell ref="A23:D23"/>
    <mergeCell ref="A27:D27"/>
    <mergeCell ref="E27:H27"/>
    <mergeCell ref="A38:D38"/>
    <mergeCell ref="E38:H38"/>
    <mergeCell ref="F30:H30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59:H59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45:B45"/>
    <mergeCell ref="C45:H45"/>
    <mergeCell ref="A46:B46"/>
    <mergeCell ref="C46:E46"/>
    <mergeCell ref="G46:H46"/>
    <mergeCell ref="G48:H48"/>
    <mergeCell ref="D52:H52"/>
    <mergeCell ref="C48:E48"/>
    <mergeCell ref="A55:C57"/>
    <mergeCell ref="D55:H55"/>
    <mergeCell ref="A67:B67"/>
    <mergeCell ref="E70:F70"/>
    <mergeCell ref="A71:B71"/>
    <mergeCell ref="G70:H70"/>
    <mergeCell ref="E71:F80"/>
    <mergeCell ref="G71:H80"/>
    <mergeCell ref="A79:B79"/>
    <mergeCell ref="A80:B80"/>
    <mergeCell ref="A77:B77"/>
    <mergeCell ref="A70:B70"/>
    <mergeCell ref="A73:B73"/>
    <mergeCell ref="A75:B75"/>
    <mergeCell ref="A76:B76"/>
    <mergeCell ref="A68:B69"/>
    <mergeCell ref="C68:D69"/>
    <mergeCell ref="E68:F69"/>
    <mergeCell ref="G68:H69"/>
    <mergeCell ref="A61:C61"/>
    <mergeCell ref="D61:H61"/>
    <mergeCell ref="A64:C64"/>
    <mergeCell ref="D64:H64"/>
    <mergeCell ref="A62:C62"/>
    <mergeCell ref="D62:H62"/>
    <mergeCell ref="A63:C63"/>
    <mergeCell ref="D63:H63"/>
    <mergeCell ref="A65:B65"/>
    <mergeCell ref="C65:H65"/>
    <mergeCell ref="A60:C60"/>
    <mergeCell ref="D60:H60"/>
    <mergeCell ref="C67:H67"/>
    <mergeCell ref="A72:B72"/>
    <mergeCell ref="A74:B74"/>
    <mergeCell ref="A218:H221"/>
    <mergeCell ref="A217:B217"/>
    <mergeCell ref="E217:F217"/>
    <mergeCell ref="C217:D217"/>
    <mergeCell ref="G217:H217"/>
    <mergeCell ref="A121:H121"/>
    <mergeCell ref="A119:E119"/>
    <mergeCell ref="F119:H119"/>
    <mergeCell ref="A120:E120"/>
    <mergeCell ref="F120:H120"/>
    <mergeCell ref="A126:B126"/>
    <mergeCell ref="A123:B123"/>
    <mergeCell ref="A213:H213"/>
    <mergeCell ref="A124:H124"/>
    <mergeCell ref="A216:H216"/>
    <mergeCell ref="A214:H214"/>
    <mergeCell ref="E122:F122"/>
    <mergeCell ref="A130:H130"/>
    <mergeCell ref="A215:H215"/>
    <mergeCell ref="A212:H212"/>
    <mergeCell ref="G185:H185"/>
    <mergeCell ref="A125:B125"/>
    <mergeCell ref="D141:D142"/>
    <mergeCell ref="E141:E142"/>
    <mergeCell ref="G141:H142"/>
    <mergeCell ref="A134:H134"/>
    <mergeCell ref="A135:H135"/>
    <mergeCell ref="B205:H205"/>
    <mergeCell ref="B206:H206"/>
    <mergeCell ref="G183:H183"/>
    <mergeCell ref="A151:H151"/>
    <mergeCell ref="A152:H152"/>
    <mergeCell ref="A153:B153"/>
    <mergeCell ref="G153:H153"/>
    <mergeCell ref="A196:H196"/>
    <mergeCell ref="G184:H184"/>
    <mergeCell ref="C132:C133"/>
    <mergeCell ref="B141:B142"/>
    <mergeCell ref="A181:H181"/>
    <mergeCell ref="A210:H210"/>
    <mergeCell ref="A211:H211"/>
    <mergeCell ref="G138:H138"/>
    <mergeCell ref="A155:B155"/>
    <mergeCell ref="D56:H5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D57:H57"/>
    <mergeCell ref="C49:H49"/>
    <mergeCell ref="L156:M156"/>
    <mergeCell ref="A97:B98"/>
    <mergeCell ref="C97:D98"/>
    <mergeCell ref="E97:F98"/>
    <mergeCell ref="G97:H98"/>
    <mergeCell ref="A122:B122"/>
    <mergeCell ref="C122:D122"/>
    <mergeCell ref="A131:H131"/>
    <mergeCell ref="G122:H122"/>
    <mergeCell ref="C123:D123"/>
    <mergeCell ref="E123:F123"/>
    <mergeCell ref="B132:B133"/>
    <mergeCell ref="A132:A133"/>
    <mergeCell ref="L145:M145"/>
    <mergeCell ref="L147:M147"/>
    <mergeCell ref="L149:M149"/>
    <mergeCell ref="L153:M153"/>
    <mergeCell ref="A154:B154"/>
    <mergeCell ref="G137:H137"/>
    <mergeCell ref="G105:H114"/>
    <mergeCell ref="A145:H145"/>
    <mergeCell ref="A146:B146"/>
    <mergeCell ref="A190:B190"/>
    <mergeCell ref="G190:H190"/>
    <mergeCell ref="A191:B191"/>
    <mergeCell ref="G191:H191"/>
    <mergeCell ref="A81:B81"/>
    <mergeCell ref="C81:H81"/>
    <mergeCell ref="A83:B83"/>
    <mergeCell ref="C83:H83"/>
    <mergeCell ref="A86:B86"/>
    <mergeCell ref="E86:F86"/>
    <mergeCell ref="G86:H86"/>
    <mergeCell ref="A87:B87"/>
    <mergeCell ref="E87:F96"/>
    <mergeCell ref="G87:H96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G150:H150"/>
    <mergeCell ref="A192:B192"/>
    <mergeCell ref="G192:H192"/>
    <mergeCell ref="B203:H203"/>
    <mergeCell ref="B199:H199"/>
    <mergeCell ref="A169:B169"/>
    <mergeCell ref="G169:H169"/>
    <mergeCell ref="A170:B170"/>
    <mergeCell ref="G170:H170"/>
    <mergeCell ref="B208:H208"/>
    <mergeCell ref="A171:B171"/>
    <mergeCell ref="G171:H171"/>
    <mergeCell ref="A172:B172"/>
    <mergeCell ref="G172:H172"/>
    <mergeCell ref="A173:B173"/>
    <mergeCell ref="G173:H173"/>
    <mergeCell ref="A174:B174"/>
    <mergeCell ref="G174:H174"/>
    <mergeCell ref="A176:H176"/>
    <mergeCell ref="G182:H182"/>
    <mergeCell ref="A182:B182"/>
    <mergeCell ref="A188:B188"/>
    <mergeCell ref="B204:H204"/>
    <mergeCell ref="A189:B189"/>
    <mergeCell ref="G189:H189"/>
  </mergeCells>
  <hyperlinks>
    <hyperlink ref="C36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221" max="16383" man="1"/>
    <brk id="264" max="16383" man="1"/>
    <brk id="30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6328125" defaultRowHeight="14.5" x14ac:dyDescent="0.35"/>
  <cols>
    <col min="1" max="1" width="8.632812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63281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28" t="s">
        <v>105</v>
      </c>
      <c r="C3" s="228"/>
      <c r="D3" s="228"/>
      <c r="E3" s="228"/>
      <c r="F3" s="228"/>
      <c r="G3" s="228"/>
      <c r="H3" s="228"/>
    </row>
    <row r="4" spans="1:9" x14ac:dyDescent="0.35">
      <c r="A4" s="2"/>
      <c r="B4" s="3" t="s">
        <v>106</v>
      </c>
      <c r="C4" s="3" t="s">
        <v>107</v>
      </c>
      <c r="D4" s="3" t="s">
        <v>71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2025-09-27T09:56:01Z</cp:lastPrinted>
  <dcterms:created xsi:type="dcterms:W3CDTF">2019-07-16T09:29:46Z</dcterms:created>
  <dcterms:modified xsi:type="dcterms:W3CDTF">2025-09-27T09:57:00Z</dcterms:modified>
</cp:coreProperties>
</file>