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7-09-2025\"/>
    </mc:Choice>
  </mc:AlternateContent>
  <bookViews>
    <workbookView xWindow="0" yWindow="0" windowWidth="19200" windowHeight="6640" tabRatio="725"/>
  </bookViews>
  <sheets>
    <sheet name="Report" sheetId="1" r:id="rId1"/>
    <sheet name="valuation" sheetId="5" r:id="rId2"/>
    <sheet name="Research" sheetId="4" r:id="rId3"/>
  </sheets>
  <definedNames>
    <definedName name="_xlnm.Print_Area" localSheetId="0">Report!$A$1:$H$806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7" i="1" l="1"/>
  <c r="J236" i="1"/>
  <c r="D236" i="1"/>
  <c r="D235" i="1"/>
  <c r="D234" i="1"/>
  <c r="D233" i="1"/>
  <c r="D232" i="1"/>
  <c r="D231" i="1"/>
  <c r="J230" i="1"/>
  <c r="J231" i="1" s="1"/>
  <c r="D230" i="1"/>
  <c r="J229" i="1"/>
  <c r="C228" i="1" s="1"/>
  <c r="J228" i="1"/>
  <c r="J227" i="1"/>
  <c r="J224" i="1"/>
  <c r="J226" i="1" s="1"/>
  <c r="D223" i="1"/>
  <c r="J222" i="1"/>
  <c r="D222" i="1"/>
  <c r="D221" i="1"/>
  <c r="D220" i="1"/>
  <c r="D219" i="1"/>
  <c r="D218" i="1"/>
  <c r="D217" i="1"/>
  <c r="J216" i="1"/>
  <c r="J217" i="1" s="1"/>
  <c r="J218" i="1" s="1"/>
  <c r="J219" i="1" s="1"/>
  <c r="J220" i="1" s="1"/>
  <c r="J221" i="1" s="1"/>
  <c r="D216" i="1"/>
  <c r="J215" i="1"/>
  <c r="C214" i="1" s="1"/>
  <c r="J214" i="1"/>
  <c r="J213" i="1"/>
  <c r="J210" i="1"/>
  <c r="J212" i="1" s="1"/>
  <c r="D181" i="1"/>
  <c r="J180" i="1"/>
  <c r="D180" i="1"/>
  <c r="D179" i="1"/>
  <c r="D178" i="1"/>
  <c r="D177" i="1"/>
  <c r="D176" i="1"/>
  <c r="D175" i="1"/>
  <c r="J174" i="1"/>
  <c r="J175" i="1" s="1"/>
  <c r="D174" i="1"/>
  <c r="J173" i="1"/>
  <c r="D173" i="1"/>
  <c r="J172" i="1"/>
  <c r="C172" i="1" s="1"/>
  <c r="G172" i="1" s="1"/>
  <c r="E172" i="1"/>
  <c r="J171" i="1"/>
  <c r="J168" i="1"/>
  <c r="J170" i="1" s="1"/>
  <c r="D167" i="1"/>
  <c r="J166" i="1"/>
  <c r="D166" i="1"/>
  <c r="D165" i="1"/>
  <c r="D164" i="1"/>
  <c r="D163" i="1"/>
  <c r="D162" i="1"/>
  <c r="D161" i="1"/>
  <c r="J160" i="1"/>
  <c r="J161" i="1" s="1"/>
  <c r="J162" i="1" s="1"/>
  <c r="J163" i="1" s="1"/>
  <c r="J164" i="1" s="1"/>
  <c r="J165" i="1" s="1"/>
  <c r="D160" i="1"/>
  <c r="J159" i="1"/>
  <c r="D159" i="1"/>
  <c r="J158" i="1"/>
  <c r="C158" i="1" s="1"/>
  <c r="E158" i="1"/>
  <c r="J157" i="1"/>
  <c r="J154" i="1"/>
  <c r="J156" i="1" s="1"/>
  <c r="D153" i="1"/>
  <c r="J152" i="1"/>
  <c r="D152" i="1"/>
  <c r="J151" i="1"/>
  <c r="D151" i="1"/>
  <c r="D150" i="1"/>
  <c r="D149" i="1"/>
  <c r="D148" i="1"/>
  <c r="D147" i="1"/>
  <c r="J146" i="1"/>
  <c r="J147" i="1" s="1"/>
  <c r="D146" i="1"/>
  <c r="J145" i="1"/>
  <c r="C144" i="1" s="1"/>
  <c r="J144" i="1"/>
  <c r="J143" i="1"/>
  <c r="J140" i="1"/>
  <c r="J142" i="1" s="1"/>
  <c r="D125" i="1"/>
  <c r="J124" i="1"/>
  <c r="D124" i="1"/>
  <c r="J123" i="1"/>
  <c r="D123" i="1"/>
  <c r="D122" i="1"/>
  <c r="D121" i="1"/>
  <c r="D120" i="1"/>
  <c r="D119" i="1"/>
  <c r="J118" i="1"/>
  <c r="J119" i="1" s="1"/>
  <c r="D118" i="1"/>
  <c r="J117" i="1"/>
  <c r="C116" i="1" s="1"/>
  <c r="J116" i="1"/>
  <c r="J115" i="1"/>
  <c r="J112" i="1"/>
  <c r="J114" i="1" s="1"/>
  <c r="D111" i="1"/>
  <c r="J110" i="1"/>
  <c r="D110" i="1"/>
  <c r="J109" i="1"/>
  <c r="D109" i="1"/>
  <c r="D108" i="1"/>
  <c r="D107" i="1"/>
  <c r="D106" i="1"/>
  <c r="D105" i="1"/>
  <c r="J104" i="1"/>
  <c r="J105" i="1" s="1"/>
  <c r="D104" i="1"/>
  <c r="J103" i="1"/>
  <c r="C102" i="1" s="1"/>
  <c r="J102" i="1"/>
  <c r="J101" i="1"/>
  <c r="J98" i="1"/>
  <c r="J100" i="1" s="1"/>
  <c r="D83" i="1"/>
  <c r="J82" i="1"/>
  <c r="D82" i="1"/>
  <c r="J81" i="1"/>
  <c r="D81" i="1"/>
  <c r="D80" i="1"/>
  <c r="D79" i="1"/>
  <c r="D78" i="1"/>
  <c r="D77" i="1"/>
  <c r="J76" i="1"/>
  <c r="J77" i="1" s="1"/>
  <c r="D76" i="1"/>
  <c r="J75" i="1"/>
  <c r="C74" i="1" s="1"/>
  <c r="J74" i="1"/>
  <c r="J73" i="1"/>
  <c r="J70" i="1"/>
  <c r="J72" i="1" s="1"/>
  <c r="D97" i="1"/>
  <c r="J96" i="1"/>
  <c r="D96" i="1"/>
  <c r="J95" i="1"/>
  <c r="D95" i="1"/>
  <c r="D94" i="1"/>
  <c r="D93" i="1"/>
  <c r="D92" i="1"/>
  <c r="D91" i="1"/>
  <c r="J90" i="1"/>
  <c r="J91" i="1" s="1"/>
  <c r="D90" i="1"/>
  <c r="J89" i="1"/>
  <c r="C88" i="1" s="1"/>
  <c r="J88" i="1"/>
  <c r="J87" i="1"/>
  <c r="J84" i="1"/>
  <c r="J86" i="1" s="1"/>
  <c r="D88" i="1" l="1"/>
  <c r="C215" i="1"/>
  <c r="J232" i="1"/>
  <c r="D228" i="1"/>
  <c r="G214" i="1"/>
  <c r="D214" i="1"/>
  <c r="J223" i="1"/>
  <c r="J176" i="1"/>
  <c r="J177" i="1" s="1"/>
  <c r="J178" i="1" s="1"/>
  <c r="J179" i="1" s="1"/>
  <c r="D172" i="1"/>
  <c r="I169" i="1" s="1"/>
  <c r="G158" i="1"/>
  <c r="D158" i="1"/>
  <c r="I155" i="1" s="1"/>
  <c r="I156" i="1" s="1"/>
  <c r="J167" i="1"/>
  <c r="J148" i="1"/>
  <c r="J149" i="1" s="1"/>
  <c r="J150" i="1" s="1"/>
  <c r="D144" i="1"/>
  <c r="J120" i="1"/>
  <c r="D116" i="1"/>
  <c r="J106" i="1"/>
  <c r="J107" i="1" s="1"/>
  <c r="J108" i="1" s="1"/>
  <c r="D102" i="1"/>
  <c r="J78" i="1"/>
  <c r="J79" i="1" s="1"/>
  <c r="J80" i="1" s="1"/>
  <c r="D74" i="1"/>
  <c r="J92" i="1"/>
  <c r="J93" i="1" s="1"/>
  <c r="J94" i="1" s="1"/>
  <c r="D601" i="1"/>
  <c r="I600" i="1"/>
  <c r="D600" i="1"/>
  <c r="D596" i="1"/>
  <c r="D595" i="1"/>
  <c r="D592" i="1"/>
  <c r="D591" i="1"/>
  <c r="D586" i="1"/>
  <c r="E586" i="1"/>
  <c r="E585" i="1"/>
  <c r="D585" i="1"/>
  <c r="E584" i="1"/>
  <c r="D584" i="1"/>
  <c r="E583" i="1"/>
  <c r="D583" i="1"/>
  <c r="E581" i="1"/>
  <c r="D581" i="1"/>
  <c r="E580" i="1"/>
  <c r="D580" i="1"/>
  <c r="E579" i="1"/>
  <c r="D579" i="1"/>
  <c r="E578" i="1"/>
  <c r="D578" i="1"/>
  <c r="D576" i="1"/>
  <c r="D573" i="1"/>
  <c r="D575" i="1"/>
  <c r="D574" i="1"/>
  <c r="I569" i="1"/>
  <c r="D569" i="1"/>
  <c r="D568" i="1"/>
  <c r="E565" i="1"/>
  <c r="D565" i="1"/>
  <c r="E564" i="1"/>
  <c r="D564" i="1"/>
  <c r="D561" i="1"/>
  <c r="D560" i="1"/>
  <c r="E555" i="1"/>
  <c r="D555" i="1"/>
  <c r="E554" i="1"/>
  <c r="D554" i="1"/>
  <c r="E553" i="1"/>
  <c r="D553" i="1"/>
  <c r="E552" i="1"/>
  <c r="D552" i="1"/>
  <c r="E550" i="1"/>
  <c r="D550" i="1"/>
  <c r="E549" i="1"/>
  <c r="D549" i="1"/>
  <c r="E548" i="1"/>
  <c r="D548" i="1"/>
  <c r="E547" i="1"/>
  <c r="D547" i="1"/>
  <c r="D536" i="1"/>
  <c r="D535" i="1"/>
  <c r="D531" i="1"/>
  <c r="D530" i="1"/>
  <c r="E519" i="1"/>
  <c r="D519" i="1"/>
  <c r="D518" i="1"/>
  <c r="D516" i="1"/>
  <c r="D515" i="1"/>
  <c r="D513" i="1"/>
  <c r="D512" i="1"/>
  <c r="D511" i="1"/>
  <c r="D510" i="1"/>
  <c r="D507" i="1"/>
  <c r="D506" i="1"/>
  <c r="E508" i="1"/>
  <c r="D508" i="1"/>
  <c r="D505" i="1"/>
  <c r="E502" i="1"/>
  <c r="D502" i="1"/>
  <c r="E500" i="1"/>
  <c r="D500" i="1"/>
  <c r="E498" i="1"/>
  <c r="D498" i="1"/>
  <c r="E497" i="1"/>
  <c r="D497" i="1"/>
  <c r="E495" i="1"/>
  <c r="E494" i="1"/>
  <c r="D495" i="1"/>
  <c r="I494" i="1"/>
  <c r="D494" i="1"/>
  <c r="E491" i="1"/>
  <c r="D491" i="1"/>
  <c r="E490" i="1"/>
  <c r="D490" i="1"/>
  <c r="E488" i="1"/>
  <c r="D488" i="1"/>
  <c r="A488" i="1"/>
  <c r="A490" i="1" s="1"/>
  <c r="A491" i="1" s="1"/>
  <c r="E487" i="1"/>
  <c r="D487" i="1"/>
  <c r="E485" i="1"/>
  <c r="D485" i="1"/>
  <c r="E484" i="1"/>
  <c r="D484" i="1"/>
  <c r="E483" i="1"/>
  <c r="D483" i="1"/>
  <c r="A483" i="1"/>
  <c r="A484" i="1" s="1"/>
  <c r="A485" i="1" s="1"/>
  <c r="E482" i="1"/>
  <c r="D482" i="1"/>
  <c r="G480" i="1"/>
  <c r="E480" i="1"/>
  <c r="D480" i="1"/>
  <c r="E479" i="1"/>
  <c r="D479" i="1"/>
  <c r="E478" i="1"/>
  <c r="D478" i="1"/>
  <c r="A478" i="1"/>
  <c r="A479" i="1" s="1"/>
  <c r="A480" i="1" s="1"/>
  <c r="G477" i="1"/>
  <c r="E477" i="1"/>
  <c r="D477" i="1"/>
  <c r="E474" i="1"/>
  <c r="D474" i="1"/>
  <c r="E473" i="1"/>
  <c r="D473" i="1"/>
  <c r="E471" i="1"/>
  <c r="D471" i="1"/>
  <c r="A471" i="1"/>
  <c r="A473" i="1" s="1"/>
  <c r="A474" i="1" s="1"/>
  <c r="E470" i="1"/>
  <c r="D470" i="1"/>
  <c r="E468" i="1"/>
  <c r="D468" i="1"/>
  <c r="E467" i="1"/>
  <c r="D467" i="1"/>
  <c r="E466" i="1"/>
  <c r="D466" i="1"/>
  <c r="A466" i="1"/>
  <c r="A467" i="1" s="1"/>
  <c r="A468" i="1" s="1"/>
  <c r="E465" i="1"/>
  <c r="D465" i="1"/>
  <c r="G463" i="1"/>
  <c r="E463" i="1"/>
  <c r="D463" i="1"/>
  <c r="E462" i="1"/>
  <c r="D462" i="1"/>
  <c r="E461" i="1"/>
  <c r="D461" i="1"/>
  <c r="A461" i="1"/>
  <c r="A462" i="1" s="1"/>
  <c r="A463" i="1" s="1"/>
  <c r="G460" i="1"/>
  <c r="E460" i="1"/>
  <c r="D460" i="1"/>
  <c r="D457" i="1"/>
  <c r="D454" i="1"/>
  <c r="D453" i="1"/>
  <c r="D451" i="1"/>
  <c r="D450" i="1"/>
  <c r="D449" i="1"/>
  <c r="D448" i="1"/>
  <c r="D446" i="1"/>
  <c r="I443" i="1"/>
  <c r="D443" i="1"/>
  <c r="D440" i="1"/>
  <c r="I439" i="1"/>
  <c r="D439" i="1"/>
  <c r="D434" i="1"/>
  <c r="D433" i="1"/>
  <c r="D432" i="1"/>
  <c r="D431" i="1"/>
  <c r="D429" i="1"/>
  <c r="D428" i="1"/>
  <c r="J431" i="1"/>
  <c r="I431" i="1"/>
  <c r="E649" i="1"/>
  <c r="D649" i="1"/>
  <c r="A649" i="1"/>
  <c r="E648" i="1"/>
  <c r="D648" i="1"/>
  <c r="E646" i="1"/>
  <c r="D646" i="1"/>
  <c r="E644" i="1"/>
  <c r="D644" i="1"/>
  <c r="E643" i="1"/>
  <c r="D643" i="1"/>
  <c r="E642" i="1"/>
  <c r="D642" i="1"/>
  <c r="A642" i="1"/>
  <c r="A643" i="1" s="1"/>
  <c r="A644" i="1" s="1"/>
  <c r="E641" i="1"/>
  <c r="D641" i="1"/>
  <c r="E633" i="1"/>
  <c r="D633" i="1"/>
  <c r="A633" i="1"/>
  <c r="E632" i="1"/>
  <c r="D632" i="1"/>
  <c r="E630" i="1"/>
  <c r="D630" i="1"/>
  <c r="E628" i="1"/>
  <c r="D628" i="1"/>
  <c r="E627" i="1"/>
  <c r="D627" i="1"/>
  <c r="E626" i="1"/>
  <c r="D626" i="1"/>
  <c r="A626" i="1"/>
  <c r="A627" i="1" s="1"/>
  <c r="A628" i="1" s="1"/>
  <c r="E625" i="1"/>
  <c r="D625" i="1"/>
  <c r="E617" i="1"/>
  <c r="D617" i="1"/>
  <c r="E616" i="1"/>
  <c r="D616" i="1"/>
  <c r="E614" i="1"/>
  <c r="D614" i="1"/>
  <c r="E612" i="1"/>
  <c r="D612" i="1"/>
  <c r="E611" i="1"/>
  <c r="D611" i="1"/>
  <c r="E610" i="1"/>
  <c r="D610" i="1"/>
  <c r="E609" i="1"/>
  <c r="D609" i="1"/>
  <c r="E601" i="1"/>
  <c r="E600" i="1"/>
  <c r="E598" i="1"/>
  <c r="D598" i="1"/>
  <c r="E596" i="1"/>
  <c r="E595" i="1"/>
  <c r="E594" i="1"/>
  <c r="D594" i="1"/>
  <c r="G592" i="1"/>
  <c r="G591" i="1"/>
  <c r="G575" i="1"/>
  <c r="G574" i="1"/>
  <c r="E592" i="1"/>
  <c r="E591" i="1"/>
  <c r="E590" i="1"/>
  <c r="D590" i="1"/>
  <c r="E576" i="1"/>
  <c r="E575" i="1"/>
  <c r="E574" i="1"/>
  <c r="E573" i="1"/>
  <c r="E569" i="1"/>
  <c r="E568" i="1"/>
  <c r="E567" i="1"/>
  <c r="D567" i="1"/>
  <c r="E563" i="1"/>
  <c r="D563" i="1"/>
  <c r="G561" i="1"/>
  <c r="G560" i="1"/>
  <c r="G559" i="1"/>
  <c r="E561" i="1"/>
  <c r="E560" i="1"/>
  <c r="E559" i="1"/>
  <c r="D559" i="1"/>
  <c r="E537" i="1"/>
  <c r="D537" i="1"/>
  <c r="E536" i="1"/>
  <c r="E535" i="1"/>
  <c r="E534" i="1"/>
  <c r="D534" i="1"/>
  <c r="E532" i="1"/>
  <c r="D532" i="1"/>
  <c r="E531" i="1"/>
  <c r="E530" i="1"/>
  <c r="E529" i="1"/>
  <c r="D529" i="1"/>
  <c r="E518" i="1"/>
  <c r="E516" i="1"/>
  <c r="E515" i="1"/>
  <c r="E513" i="1"/>
  <c r="E512" i="1"/>
  <c r="E511" i="1"/>
  <c r="E510" i="1"/>
  <c r="G508" i="1"/>
  <c r="G506" i="1"/>
  <c r="G505" i="1"/>
  <c r="E507" i="1"/>
  <c r="E506" i="1"/>
  <c r="E505" i="1"/>
  <c r="G495" i="1"/>
  <c r="G494" i="1"/>
  <c r="E457" i="1"/>
  <c r="E456" i="1"/>
  <c r="D456" i="1"/>
  <c r="E454" i="1"/>
  <c r="E453" i="1"/>
  <c r="E451" i="1"/>
  <c r="E450" i="1"/>
  <c r="E449" i="1"/>
  <c r="E448" i="1"/>
  <c r="G446" i="1"/>
  <c r="G443" i="1"/>
  <c r="E446" i="1"/>
  <c r="E445" i="1"/>
  <c r="D445" i="1"/>
  <c r="E444" i="1"/>
  <c r="D444" i="1"/>
  <c r="E443" i="1"/>
  <c r="E440" i="1"/>
  <c r="E439" i="1"/>
  <c r="E437" i="1"/>
  <c r="D437" i="1"/>
  <c r="E436" i="1"/>
  <c r="D436" i="1"/>
  <c r="G429" i="1"/>
  <c r="G428" i="1"/>
  <c r="E434" i="1"/>
  <c r="E433" i="1"/>
  <c r="E432" i="1"/>
  <c r="E431" i="1"/>
  <c r="E429" i="1"/>
  <c r="E428" i="1"/>
  <c r="E427" i="1"/>
  <c r="D427" i="1"/>
  <c r="E426" i="1"/>
  <c r="D426" i="1"/>
  <c r="D419" i="1"/>
  <c r="H419" i="1" s="1"/>
  <c r="D418" i="1"/>
  <c r="F418" i="1" s="1"/>
  <c r="D417" i="1"/>
  <c r="F417" i="1" s="1"/>
  <c r="D416" i="1"/>
  <c r="H416" i="1" s="1"/>
  <c r="D415" i="1"/>
  <c r="H415" i="1" s="1"/>
  <c r="D414" i="1"/>
  <c r="H414" i="1" s="1"/>
  <c r="D413" i="1"/>
  <c r="F413" i="1" s="1"/>
  <c r="D412" i="1"/>
  <c r="H412" i="1" s="1"/>
  <c r="D406" i="1"/>
  <c r="H406" i="1" s="1"/>
  <c r="D405" i="1"/>
  <c r="H405" i="1" s="1"/>
  <c r="D404" i="1"/>
  <c r="H404" i="1" s="1"/>
  <c r="D403" i="1"/>
  <c r="F403" i="1" s="1"/>
  <c r="D402" i="1"/>
  <c r="H402" i="1" s="1"/>
  <c r="D401" i="1"/>
  <c r="H401" i="1" s="1"/>
  <c r="D400" i="1"/>
  <c r="H400" i="1" s="1"/>
  <c r="D399" i="1"/>
  <c r="F399" i="1" s="1"/>
  <c r="D393" i="1"/>
  <c r="H393" i="1" s="1"/>
  <c r="D392" i="1"/>
  <c r="F392" i="1" s="1"/>
  <c r="D391" i="1"/>
  <c r="F391" i="1" s="1"/>
  <c r="D390" i="1"/>
  <c r="H390" i="1" s="1"/>
  <c r="D389" i="1"/>
  <c r="H389" i="1" s="1"/>
  <c r="D388" i="1"/>
  <c r="H388" i="1" s="1"/>
  <c r="D387" i="1"/>
  <c r="F387" i="1" s="1"/>
  <c r="D386" i="1"/>
  <c r="H386" i="1" s="1"/>
  <c r="D378" i="1"/>
  <c r="D377" i="1"/>
  <c r="D376" i="1"/>
  <c r="D375" i="1"/>
  <c r="D374" i="1"/>
  <c r="D373" i="1"/>
  <c r="D372" i="1"/>
  <c r="D371" i="1"/>
  <c r="D370" i="1"/>
  <c r="D369" i="1"/>
  <c r="D368" i="1"/>
  <c r="D367" i="1"/>
  <c r="D366" i="1"/>
  <c r="D365" i="1"/>
  <c r="D364" i="1"/>
  <c r="D363" i="1"/>
  <c r="D357" i="1"/>
  <c r="D356" i="1"/>
  <c r="D355" i="1"/>
  <c r="D354" i="1"/>
  <c r="D353" i="1"/>
  <c r="D352" i="1"/>
  <c r="D351" i="1"/>
  <c r="D350" i="1"/>
  <c r="D344" i="1"/>
  <c r="D343" i="1"/>
  <c r="D342" i="1"/>
  <c r="D341" i="1"/>
  <c r="D340" i="1"/>
  <c r="D339" i="1"/>
  <c r="D337" i="1"/>
  <c r="D336" i="1"/>
  <c r="D335" i="1"/>
  <c r="D329" i="1"/>
  <c r="D328" i="1"/>
  <c r="D327" i="1"/>
  <c r="D326" i="1"/>
  <c r="D325" i="1"/>
  <c r="D324" i="1"/>
  <c r="D323" i="1"/>
  <c r="D322" i="1"/>
  <c r="D321" i="1"/>
  <c r="D320" i="1"/>
  <c r="D314" i="1"/>
  <c r="D313" i="1"/>
  <c r="D312" i="1"/>
  <c r="D311" i="1"/>
  <c r="D310" i="1"/>
  <c r="D309" i="1"/>
  <c r="D308" i="1"/>
  <c r="D307" i="1"/>
  <c r="D306" i="1"/>
  <c r="D305" i="1"/>
  <c r="D299" i="1"/>
  <c r="D298" i="1"/>
  <c r="D297" i="1"/>
  <c r="D296" i="1"/>
  <c r="D295" i="1"/>
  <c r="D294" i="1"/>
  <c r="D293" i="1"/>
  <c r="D292" i="1"/>
  <c r="D291" i="1"/>
  <c r="J428" i="1"/>
  <c r="J614" i="1"/>
  <c r="I614" i="1"/>
  <c r="A617" i="1"/>
  <c r="J609" i="1"/>
  <c r="I609" i="1"/>
  <c r="A610" i="1"/>
  <c r="A611" i="1" s="1"/>
  <c r="A612" i="1" s="1"/>
  <c r="J600" i="1"/>
  <c r="I591" i="1"/>
  <c r="J590" i="1"/>
  <c r="I590" i="1"/>
  <c r="A600" i="1"/>
  <c r="A601" i="1" s="1"/>
  <c r="A595" i="1"/>
  <c r="A596" i="1" s="1"/>
  <c r="A591" i="1"/>
  <c r="A592" i="1" s="1"/>
  <c r="I586" i="1"/>
  <c r="A584" i="1"/>
  <c r="A585" i="1" s="1"/>
  <c r="A586" i="1" s="1"/>
  <c r="A579" i="1"/>
  <c r="A580" i="1" s="1"/>
  <c r="A581" i="1" s="1"/>
  <c r="J574" i="1"/>
  <c r="J573" i="1"/>
  <c r="I574" i="1"/>
  <c r="I573" i="1"/>
  <c r="A574" i="1"/>
  <c r="A575" i="1" s="1"/>
  <c r="A576" i="1" s="1"/>
  <c r="I399" i="1"/>
  <c r="J569" i="1"/>
  <c r="A568" i="1"/>
  <c r="A569" i="1" s="1"/>
  <c r="A564" i="1"/>
  <c r="A565" i="1" s="1"/>
  <c r="K560" i="1"/>
  <c r="J560" i="1"/>
  <c r="I560" i="1"/>
  <c r="J559" i="1"/>
  <c r="I559" i="1"/>
  <c r="A560" i="1"/>
  <c r="A561" i="1" s="1"/>
  <c r="F388" i="1"/>
  <c r="I386" i="1"/>
  <c r="A553" i="1"/>
  <c r="A554" i="1" s="1"/>
  <c r="A555" i="1" s="1"/>
  <c r="A548" i="1"/>
  <c r="A549" i="1" s="1"/>
  <c r="A550" i="1" s="1"/>
  <c r="I537" i="1"/>
  <c r="A535" i="1"/>
  <c r="A536" i="1" s="1"/>
  <c r="A537" i="1" s="1"/>
  <c r="K530" i="1"/>
  <c r="J530" i="1"/>
  <c r="I530" i="1"/>
  <c r="I529" i="1"/>
  <c r="J529" i="1"/>
  <c r="A530" i="1"/>
  <c r="A531" i="1" s="1"/>
  <c r="A532" i="1" s="1"/>
  <c r="J518" i="1"/>
  <c r="I518" i="1"/>
  <c r="J515" i="1"/>
  <c r="A516" i="1"/>
  <c r="A518" i="1" s="1"/>
  <c r="A519" i="1" s="1"/>
  <c r="J506" i="1"/>
  <c r="I506" i="1"/>
  <c r="I428" i="1"/>
  <c r="J505" i="1"/>
  <c r="J169" i="1" l="1"/>
  <c r="J121" i="1"/>
  <c r="J122" i="1" s="1"/>
  <c r="J233" i="1"/>
  <c r="J234" i="1" s="1"/>
  <c r="J235" i="1" s="1"/>
  <c r="D215" i="1"/>
  <c r="I211" i="1" s="1"/>
  <c r="I212" i="1" s="1"/>
  <c r="E214" i="1"/>
  <c r="J211" i="1"/>
  <c r="I170" i="1"/>
  <c r="J181" i="1"/>
  <c r="J155" i="1"/>
  <c r="I154" i="1" s="1"/>
  <c r="C156" i="1" s="1"/>
  <c r="J97" i="1"/>
  <c r="C89" i="1" s="1"/>
  <c r="J153" i="1"/>
  <c r="C145" i="1" s="1"/>
  <c r="J141" i="1" s="1"/>
  <c r="J111" i="1"/>
  <c r="C103" i="1" s="1"/>
  <c r="J83" i="1"/>
  <c r="C75" i="1" s="1"/>
  <c r="F484" i="1"/>
  <c r="H484" i="1" s="1"/>
  <c r="F554" i="1"/>
  <c r="F552" i="1"/>
  <c r="F642" i="1"/>
  <c r="H642" i="1" s="1"/>
  <c r="F536" i="1"/>
  <c r="H536" i="1" s="1"/>
  <c r="F491" i="1"/>
  <c r="H491" i="1" s="1"/>
  <c r="F515" i="1"/>
  <c r="H515" i="1" s="1"/>
  <c r="F548" i="1"/>
  <c r="H548" i="1" s="1"/>
  <c r="F468" i="1"/>
  <c r="H468" i="1" s="1"/>
  <c r="F480" i="1"/>
  <c r="H480" i="1" s="1"/>
  <c r="F460" i="1"/>
  <c r="H460" i="1" s="1"/>
  <c r="F463" i="1"/>
  <c r="H463" i="1" s="1"/>
  <c r="F479" i="1"/>
  <c r="H479" i="1" s="1"/>
  <c r="F483" i="1"/>
  <c r="H483" i="1" s="1"/>
  <c r="F573" i="1"/>
  <c r="F537" i="1"/>
  <c r="F487" i="1"/>
  <c r="H487" i="1" s="1"/>
  <c r="F535" i="1"/>
  <c r="F563" i="1"/>
  <c r="H563" i="1" s="1"/>
  <c r="F625" i="1"/>
  <c r="F470" i="1"/>
  <c r="H470" i="1" s="1"/>
  <c r="F471" i="1"/>
  <c r="H471" i="1" s="1"/>
  <c r="F482" i="1"/>
  <c r="H482" i="1" s="1"/>
  <c r="F490" i="1"/>
  <c r="H490" i="1" s="1"/>
  <c r="F473" i="1"/>
  <c r="H473" i="1" s="1"/>
  <c r="F478" i="1"/>
  <c r="H478" i="1" s="1"/>
  <c r="F569" i="1"/>
  <c r="F465" i="1"/>
  <c r="H465" i="1" s="1"/>
  <c r="F516" i="1"/>
  <c r="H516" i="1" s="1"/>
  <c r="F560" i="1"/>
  <c r="H418" i="1"/>
  <c r="F534" i="1"/>
  <c r="H534" i="1" s="1"/>
  <c r="F633" i="1"/>
  <c r="H633" i="1" s="1"/>
  <c r="F646" i="1"/>
  <c r="H646" i="1" s="1"/>
  <c r="F462" i="1"/>
  <c r="H462" i="1" s="1"/>
  <c r="F467" i="1"/>
  <c r="H467" i="1" s="1"/>
  <c r="F477" i="1"/>
  <c r="F485" i="1"/>
  <c r="H485" i="1" s="1"/>
  <c r="F488" i="1"/>
  <c r="H488" i="1" s="1"/>
  <c r="F583" i="1"/>
  <c r="F419" i="1"/>
  <c r="F628" i="1"/>
  <c r="H628" i="1" s="1"/>
  <c r="F632" i="1"/>
  <c r="H632" i="1" s="1"/>
  <c r="F649" i="1"/>
  <c r="H649" i="1" s="1"/>
  <c r="F461" i="1"/>
  <c r="H461" i="1" s="1"/>
  <c r="F466" i="1"/>
  <c r="H466" i="1" s="1"/>
  <c r="F474" i="1"/>
  <c r="H474" i="1" s="1"/>
  <c r="F564" i="1"/>
  <c r="H564" i="1" s="1"/>
  <c r="F568" i="1"/>
  <c r="H568" i="1" s="1"/>
  <c r="F530" i="1"/>
  <c r="F626" i="1"/>
  <c r="H626" i="1" s="1"/>
  <c r="F643" i="1"/>
  <c r="H643" i="1" s="1"/>
  <c r="F414" i="1"/>
  <c r="F611" i="1"/>
  <c r="H611" i="1" s="1"/>
  <c r="F627" i="1"/>
  <c r="H627" i="1" s="1"/>
  <c r="F630" i="1"/>
  <c r="H630" i="1" s="1"/>
  <c r="F641" i="1"/>
  <c r="F644" i="1"/>
  <c r="H644" i="1" s="1"/>
  <c r="F648" i="1"/>
  <c r="H648" i="1" s="1"/>
  <c r="H399" i="1"/>
  <c r="F590" i="1"/>
  <c r="F601" i="1"/>
  <c r="H601" i="1" s="1"/>
  <c r="F559" i="1"/>
  <c r="F584" i="1"/>
  <c r="F586" i="1"/>
  <c r="F594" i="1"/>
  <c r="H594" i="1" s="1"/>
  <c r="F596" i="1"/>
  <c r="H596" i="1" s="1"/>
  <c r="F532" i="1"/>
  <c r="H532" i="1" s="1"/>
  <c r="F547" i="1"/>
  <c r="F550" i="1"/>
  <c r="F389" i="1"/>
  <c r="H403" i="1"/>
  <c r="F578" i="1"/>
  <c r="F580" i="1"/>
  <c r="F598" i="1"/>
  <c r="H598" i="1" s="1"/>
  <c r="F614" i="1"/>
  <c r="H614" i="1" s="1"/>
  <c r="F549" i="1"/>
  <c r="F555" i="1"/>
  <c r="F575" i="1"/>
  <c r="H575" i="1" s="1"/>
  <c r="F616" i="1"/>
  <c r="H616" i="1" s="1"/>
  <c r="F529" i="1"/>
  <c r="F531" i="1"/>
  <c r="H531" i="1" s="1"/>
  <c r="F574" i="1"/>
  <c r="H574" i="1" s="1"/>
  <c r="F576" i="1"/>
  <c r="F579" i="1"/>
  <c r="H579" i="1" s="1"/>
  <c r="F519" i="1"/>
  <c r="H519" i="1" s="1"/>
  <c r="F553" i="1"/>
  <c r="F565" i="1"/>
  <c r="F567" i="1"/>
  <c r="F402" i="1"/>
  <c r="F406" i="1"/>
  <c r="F592" i="1"/>
  <c r="H592" i="1" s="1"/>
  <c r="F609" i="1"/>
  <c r="F617" i="1"/>
  <c r="H617" i="1" s="1"/>
  <c r="F581" i="1"/>
  <c r="H581" i="1" s="1"/>
  <c r="F585" i="1"/>
  <c r="H585" i="1" s="1"/>
  <c r="F595" i="1"/>
  <c r="H595" i="1" s="1"/>
  <c r="F612" i="1"/>
  <c r="H612" i="1" s="1"/>
  <c r="F610" i="1"/>
  <c r="H610" i="1" s="1"/>
  <c r="F600" i="1"/>
  <c r="H600" i="1" s="1"/>
  <c r="F591" i="1"/>
  <c r="H591" i="1" s="1"/>
  <c r="F415" i="1"/>
  <c r="F412" i="1"/>
  <c r="H413" i="1"/>
  <c r="F416" i="1"/>
  <c r="H417" i="1"/>
  <c r="F401" i="1"/>
  <c r="F405" i="1"/>
  <c r="F400" i="1"/>
  <c r="F404" i="1"/>
  <c r="F561" i="1"/>
  <c r="H561" i="1" s="1"/>
  <c r="F393" i="1"/>
  <c r="H392" i="1"/>
  <c r="F386" i="1"/>
  <c r="H387" i="1"/>
  <c r="F390" i="1"/>
  <c r="H391" i="1"/>
  <c r="F518" i="1"/>
  <c r="F511" i="1"/>
  <c r="H511" i="1" s="1"/>
  <c r="F513" i="1"/>
  <c r="F512" i="1"/>
  <c r="A511" i="1"/>
  <c r="A512" i="1" s="1"/>
  <c r="A513" i="1" s="1"/>
  <c r="F510" i="1"/>
  <c r="H510" i="1" s="1"/>
  <c r="F505" i="1"/>
  <c r="F506" i="1"/>
  <c r="I505" i="1"/>
  <c r="F507" i="1"/>
  <c r="H507" i="1" s="1"/>
  <c r="A506" i="1"/>
  <c r="A507" i="1" s="1"/>
  <c r="A508" i="1" s="1"/>
  <c r="H373" i="1"/>
  <c r="F378" i="1"/>
  <c r="H377" i="1"/>
  <c r="H376" i="1"/>
  <c r="H375" i="1"/>
  <c r="H374" i="1"/>
  <c r="F372" i="1"/>
  <c r="H371" i="1"/>
  <c r="H370" i="1"/>
  <c r="H369" i="1"/>
  <c r="H368" i="1"/>
  <c r="H367" i="1"/>
  <c r="F366" i="1"/>
  <c r="H365" i="1"/>
  <c r="F364" i="1"/>
  <c r="H363" i="1"/>
  <c r="A502" i="1"/>
  <c r="A498" i="1"/>
  <c r="F494" i="1"/>
  <c r="J494" i="1"/>
  <c r="A495" i="1"/>
  <c r="F357" i="1"/>
  <c r="H356" i="1"/>
  <c r="H355" i="1"/>
  <c r="F354" i="1"/>
  <c r="F353" i="1"/>
  <c r="H352" i="1"/>
  <c r="H351" i="1"/>
  <c r="H350" i="1"/>
  <c r="H357" i="1"/>
  <c r="I453" i="1"/>
  <c r="F344" i="1"/>
  <c r="I335" i="1"/>
  <c r="F343" i="1"/>
  <c r="H342" i="1"/>
  <c r="F341" i="1"/>
  <c r="H340" i="1"/>
  <c r="H339" i="1"/>
  <c r="H337" i="1"/>
  <c r="F336" i="1"/>
  <c r="H335" i="1"/>
  <c r="A340" i="1"/>
  <c r="A341" i="1" s="1"/>
  <c r="A342" i="1" s="1"/>
  <c r="A343" i="1" s="1"/>
  <c r="F338" i="1"/>
  <c r="A336" i="1"/>
  <c r="A337" i="1" s="1"/>
  <c r="A338" i="1" s="1"/>
  <c r="F329" i="1"/>
  <c r="H328" i="1"/>
  <c r="H327" i="1"/>
  <c r="F326" i="1"/>
  <c r="H325" i="1"/>
  <c r="H324" i="1"/>
  <c r="H323" i="1"/>
  <c r="H322" i="1"/>
  <c r="H321" i="1"/>
  <c r="F320" i="1"/>
  <c r="A325" i="1"/>
  <c r="A326" i="1" s="1"/>
  <c r="A327" i="1" s="1"/>
  <c r="A328" i="1" s="1"/>
  <c r="A321" i="1"/>
  <c r="A322" i="1" s="1"/>
  <c r="A323" i="1" s="1"/>
  <c r="I168" i="1" l="1"/>
  <c r="C170" i="1" s="1"/>
  <c r="J125" i="1"/>
  <c r="C117" i="1" s="1"/>
  <c r="J113" i="1" s="1"/>
  <c r="E88" i="1"/>
  <c r="G88" i="1"/>
  <c r="D89" i="1"/>
  <c r="I85" i="1" s="1"/>
  <c r="J85" i="1"/>
  <c r="C276" i="1"/>
  <c r="E102" i="1"/>
  <c r="D103" i="1"/>
  <c r="I99" i="1" s="1"/>
  <c r="I100" i="1" s="1"/>
  <c r="J99" i="1"/>
  <c r="G102" i="1"/>
  <c r="D117" i="1"/>
  <c r="I113" i="1" s="1"/>
  <c r="I114" i="1" s="1"/>
  <c r="I112" i="1" s="1"/>
  <c r="C114" i="1" s="1"/>
  <c r="E116" i="1"/>
  <c r="G116" i="1"/>
  <c r="J237" i="1"/>
  <c r="C229" i="1" s="1"/>
  <c r="I210" i="1"/>
  <c r="C212" i="1" s="1"/>
  <c r="D229" i="1"/>
  <c r="I225" i="1" s="1"/>
  <c r="I226" i="1" s="1"/>
  <c r="E228" i="1"/>
  <c r="G228" i="1"/>
  <c r="J225" i="1"/>
  <c r="E144" i="1"/>
  <c r="D145" i="1"/>
  <c r="I141" i="1" s="1"/>
  <c r="I142" i="1" s="1"/>
  <c r="G144" i="1"/>
  <c r="D75" i="1"/>
  <c r="I71" i="1" s="1"/>
  <c r="I72" i="1" s="1"/>
  <c r="G74" i="1"/>
  <c r="E74" i="1"/>
  <c r="J71" i="1"/>
  <c r="C271" i="1"/>
  <c r="C278" i="1"/>
  <c r="C272" i="1"/>
  <c r="C268" i="1"/>
  <c r="C267" i="1"/>
  <c r="C275" i="1"/>
  <c r="C273" i="1"/>
  <c r="C277" i="1"/>
  <c r="C274" i="1"/>
  <c r="H609" i="1"/>
  <c r="G276" i="1" s="1"/>
  <c r="E276" i="1"/>
  <c r="H641" i="1"/>
  <c r="G278" i="1" s="1"/>
  <c r="E278" i="1"/>
  <c r="E274" i="1"/>
  <c r="C260" i="1"/>
  <c r="G261" i="1"/>
  <c r="H477" i="1"/>
  <c r="G268" i="1" s="1"/>
  <c r="E268" i="1"/>
  <c r="E267" i="1"/>
  <c r="E271" i="1"/>
  <c r="H547" i="1"/>
  <c r="E272" i="1"/>
  <c r="H590" i="1"/>
  <c r="G275" i="1" s="1"/>
  <c r="E275" i="1"/>
  <c r="E273" i="1"/>
  <c r="H625" i="1"/>
  <c r="G277" i="1" s="1"/>
  <c r="E277" i="1"/>
  <c r="G267" i="1"/>
  <c r="G260" i="1"/>
  <c r="C259" i="1"/>
  <c r="E259" i="1"/>
  <c r="G259" i="1"/>
  <c r="C261" i="1"/>
  <c r="E261" i="1"/>
  <c r="E260" i="1"/>
  <c r="H353" i="1"/>
  <c r="H354" i="1"/>
  <c r="F368" i="1"/>
  <c r="F369" i="1"/>
  <c r="F355" i="1"/>
  <c r="F495" i="1"/>
  <c r="H495" i="1" s="1"/>
  <c r="H372" i="1"/>
  <c r="F339" i="1"/>
  <c r="H364" i="1"/>
  <c r="H576" i="1"/>
  <c r="H535" i="1"/>
  <c r="H553" i="1"/>
  <c r="H573" i="1"/>
  <c r="H512" i="1"/>
  <c r="H518" i="1"/>
  <c r="H559" i="1"/>
  <c r="H584" i="1"/>
  <c r="H550" i="1"/>
  <c r="H529" i="1"/>
  <c r="M530" i="1" s="1"/>
  <c r="H565" i="1"/>
  <c r="H578" i="1"/>
  <c r="H554" i="1"/>
  <c r="H586" i="1"/>
  <c r="H555" i="1"/>
  <c r="H513" i="1"/>
  <c r="H560" i="1"/>
  <c r="H580" i="1"/>
  <c r="H549" i="1"/>
  <c r="H530" i="1"/>
  <c r="H537" i="1"/>
  <c r="M537" i="1" s="1"/>
  <c r="H569" i="1"/>
  <c r="H552" i="1"/>
  <c r="H567" i="1"/>
  <c r="H583" i="1"/>
  <c r="H326" i="1"/>
  <c r="H344" i="1"/>
  <c r="H378" i="1"/>
  <c r="F324" i="1"/>
  <c r="F500" i="1"/>
  <c r="H500" i="1" s="1"/>
  <c r="H329" i="1"/>
  <c r="F340" i="1"/>
  <c r="F497" i="1"/>
  <c r="H497" i="1" s="1"/>
  <c r="F498" i="1"/>
  <c r="H498" i="1" s="1"/>
  <c r="F502" i="1"/>
  <c r="H502" i="1" s="1"/>
  <c r="H506" i="1"/>
  <c r="H505" i="1"/>
  <c r="F375" i="1"/>
  <c r="F327" i="1"/>
  <c r="F342" i="1"/>
  <c r="F373" i="1"/>
  <c r="F508" i="1"/>
  <c r="H508" i="1" s="1"/>
  <c r="F376" i="1"/>
  <c r="F370" i="1"/>
  <c r="H366" i="1"/>
  <c r="F365" i="1"/>
  <c r="F371" i="1"/>
  <c r="F374" i="1"/>
  <c r="F377" i="1"/>
  <c r="F363" i="1"/>
  <c r="F367" i="1"/>
  <c r="H494" i="1"/>
  <c r="F356" i="1"/>
  <c r="F350" i="1"/>
  <c r="F351" i="1"/>
  <c r="F352" i="1"/>
  <c r="H343" i="1"/>
  <c r="H341" i="1"/>
  <c r="F335" i="1"/>
  <c r="F337" i="1"/>
  <c r="H336" i="1"/>
  <c r="H338" i="1"/>
  <c r="F328" i="1"/>
  <c r="F325" i="1"/>
  <c r="F321" i="1"/>
  <c r="F322" i="1"/>
  <c r="F323" i="1"/>
  <c r="H320" i="1"/>
  <c r="I446" i="1"/>
  <c r="I456" i="1"/>
  <c r="J456" i="1"/>
  <c r="I445" i="1"/>
  <c r="A454" i="1"/>
  <c r="A449" i="1"/>
  <c r="A450" i="1" s="1"/>
  <c r="A451" i="1" s="1"/>
  <c r="J445" i="1"/>
  <c r="J443" i="1"/>
  <c r="A432" i="1"/>
  <c r="A433" i="1" s="1"/>
  <c r="A434" i="1" s="1"/>
  <c r="A444" i="1"/>
  <c r="A445" i="1" s="1"/>
  <c r="A446" i="1" s="1"/>
  <c r="F313" i="1"/>
  <c r="H308" i="1"/>
  <c r="I305" i="1"/>
  <c r="A437" i="1"/>
  <c r="A439" i="1" s="1"/>
  <c r="A440" i="1" s="1"/>
  <c r="I224" i="1" l="1"/>
  <c r="C226" i="1" s="1"/>
  <c r="I98" i="1"/>
  <c r="C100" i="1" s="1"/>
  <c r="I86" i="1"/>
  <c r="I84" i="1" s="1"/>
  <c r="C86" i="1" s="1"/>
  <c r="I140" i="1"/>
  <c r="C142" i="1" s="1"/>
  <c r="I70" i="1"/>
  <c r="C72" i="1" s="1"/>
  <c r="G257" i="1"/>
  <c r="G271" i="1"/>
  <c r="C270" i="1"/>
  <c r="C269" i="1"/>
  <c r="G256" i="1"/>
  <c r="G270" i="1"/>
  <c r="C255" i="1"/>
  <c r="G269" i="1"/>
  <c r="G274" i="1"/>
  <c r="G258" i="1"/>
  <c r="G273" i="1"/>
  <c r="E270" i="1"/>
  <c r="G272" i="1"/>
  <c r="E269" i="1"/>
  <c r="E256" i="1"/>
  <c r="C256" i="1"/>
  <c r="C257" i="1"/>
  <c r="E257" i="1"/>
  <c r="E258" i="1"/>
  <c r="C258" i="1"/>
  <c r="E255" i="1"/>
  <c r="G255" i="1"/>
  <c r="F433" i="1"/>
  <c r="H433" i="1" s="1"/>
  <c r="F431" i="1"/>
  <c r="H431" i="1" s="1"/>
  <c r="F449" i="1"/>
  <c r="F451" i="1"/>
  <c r="F308" i="1"/>
  <c r="F456" i="1"/>
  <c r="H456" i="1" s="1"/>
  <c r="F450" i="1"/>
  <c r="F453" i="1"/>
  <c r="H453" i="1" s="1"/>
  <c r="F454" i="1"/>
  <c r="H454" i="1" s="1"/>
  <c r="H313" i="1"/>
  <c r="F432" i="1"/>
  <c r="H432" i="1" s="1"/>
  <c r="F434" i="1"/>
  <c r="H434" i="1" s="1"/>
  <c r="F448" i="1"/>
  <c r="F457" i="1"/>
  <c r="H457" i="1" s="1"/>
  <c r="A456" i="1"/>
  <c r="A457" i="1" s="1"/>
  <c r="I429" i="1"/>
  <c r="J429" i="1"/>
  <c r="J426" i="1" l="1"/>
  <c r="I426" i="1"/>
  <c r="F429" i="1"/>
  <c r="H429" i="1" s="1"/>
  <c r="H299" i="1"/>
  <c r="F298" i="1"/>
  <c r="H297" i="1"/>
  <c r="F296" i="1"/>
  <c r="H295" i="1"/>
  <c r="F293" i="1"/>
  <c r="H292" i="1"/>
  <c r="F291" i="1"/>
  <c r="I295" i="1"/>
  <c r="I292" i="1"/>
  <c r="I291" i="1"/>
  <c r="F299" i="1"/>
  <c r="H298" i="1"/>
  <c r="F297" i="1"/>
  <c r="H314" i="1"/>
  <c r="F314" i="1"/>
  <c r="H312" i="1"/>
  <c r="F312" i="1"/>
  <c r="H311" i="1"/>
  <c r="F311" i="1"/>
  <c r="H310" i="1"/>
  <c r="F310" i="1"/>
  <c r="A310" i="1"/>
  <c r="A311" i="1" s="1"/>
  <c r="A312" i="1" s="1"/>
  <c r="A313" i="1" s="1"/>
  <c r="H309" i="1"/>
  <c r="F309" i="1"/>
  <c r="H307" i="1"/>
  <c r="F307" i="1"/>
  <c r="H306" i="1"/>
  <c r="F306" i="1"/>
  <c r="H305" i="1"/>
  <c r="F305" i="1"/>
  <c r="A306" i="1"/>
  <c r="A307" i="1" s="1"/>
  <c r="A308" i="1" s="1"/>
  <c r="H294" i="1"/>
  <c r="F294" i="1"/>
  <c r="A293" i="1"/>
  <c r="A294" i="1" s="1"/>
  <c r="A295" i="1" s="1"/>
  <c r="A296" i="1" s="1"/>
  <c r="A297" i="1" s="1"/>
  <c r="A298" i="1" s="1"/>
  <c r="A299" i="1" s="1"/>
  <c r="G50" i="1"/>
  <c r="G51" i="1" s="1"/>
  <c r="E42" i="1"/>
  <c r="E254" i="1" l="1"/>
  <c r="C254" i="1"/>
  <c r="G254" i="1"/>
  <c r="H293" i="1"/>
  <c r="F292" i="1"/>
  <c r="H296" i="1"/>
  <c r="F295" i="1"/>
  <c r="E253" i="1" s="1"/>
  <c r="H291" i="1"/>
  <c r="H451" i="1"/>
  <c r="H450" i="1"/>
  <c r="H449" i="1"/>
  <c r="H448" i="1"/>
  <c r="F446" i="1"/>
  <c r="H446" i="1" s="1"/>
  <c r="F445" i="1"/>
  <c r="H445" i="1" s="1"/>
  <c r="F444" i="1"/>
  <c r="H444" i="1" s="1"/>
  <c r="F443" i="1"/>
  <c r="F440" i="1"/>
  <c r="H440" i="1" s="1"/>
  <c r="F439" i="1"/>
  <c r="H439" i="1" s="1"/>
  <c r="F437" i="1"/>
  <c r="H437" i="1" s="1"/>
  <c r="F436" i="1"/>
  <c r="H436" i="1" s="1"/>
  <c r="B653" i="1"/>
  <c r="B652" i="1"/>
  <c r="F426" i="1"/>
  <c r="F427" i="1"/>
  <c r="F428" i="1"/>
  <c r="E262" i="1" l="1"/>
  <c r="C266" i="1"/>
  <c r="E265" i="1"/>
  <c r="C265" i="1"/>
  <c r="C279" i="1" s="1"/>
  <c r="C253" i="1"/>
  <c r="C262" i="1" s="1"/>
  <c r="H443" i="1"/>
  <c r="G266" i="1" s="1"/>
  <c r="E266" i="1"/>
  <c r="G253" i="1"/>
  <c r="G262" i="1" s="1"/>
  <c r="C15" i="1"/>
  <c r="E279" i="1" l="1"/>
  <c r="Z12" i="1"/>
  <c r="I14" i="1"/>
  <c r="E280" i="1" l="1"/>
  <c r="C280" i="1"/>
  <c r="E43" i="1" l="1"/>
  <c r="E44" i="1" s="1"/>
  <c r="E30" i="1" l="1"/>
  <c r="H426" i="1" l="1"/>
  <c r="H427" i="1"/>
  <c r="H428" i="1"/>
  <c r="A427" i="1"/>
  <c r="A428" i="1" s="1"/>
  <c r="A429" i="1" s="1"/>
  <c r="G265" i="1" l="1"/>
  <c r="G279" i="1" s="1"/>
  <c r="G280" i="1" s="1"/>
  <c r="F250" i="1"/>
  <c r="F11" i="5" l="1"/>
  <c r="G11" i="5" s="1"/>
  <c r="F10" i="5"/>
  <c r="G10" i="5" s="1"/>
  <c r="F9" i="5"/>
  <c r="G9" i="5" s="1"/>
  <c r="F8" i="5"/>
  <c r="G8" i="5" s="1"/>
  <c r="F7" i="5"/>
  <c r="G7" i="5" s="1"/>
  <c r="F6" i="5"/>
  <c r="G6" i="5" s="1"/>
  <c r="F5" i="5"/>
  <c r="G5" i="5" s="1"/>
  <c r="G12" i="5" s="1"/>
  <c r="D675" i="1"/>
  <c r="D57" i="1"/>
  <c r="C50" i="1"/>
  <c r="E27" i="1"/>
  <c r="E25" i="1"/>
  <c r="E3" i="1"/>
  <c r="D64" i="1" l="1"/>
  <c r="J196" i="1"/>
  <c r="J198" i="1" s="1"/>
  <c r="J200" i="1"/>
  <c r="D209" i="1"/>
  <c r="D207" i="1"/>
  <c r="D205" i="1"/>
  <c r="D203" i="1"/>
  <c r="J201" i="1"/>
  <c r="C200" i="1" s="1"/>
  <c r="J199" i="1"/>
  <c r="J202" i="1"/>
  <c r="J203" i="1" s="1"/>
  <c r="J208" i="1" s="1"/>
  <c r="D208" i="1"/>
  <c r="D206" i="1"/>
  <c r="D204" i="1"/>
  <c r="J187" i="1" l="1"/>
  <c r="J185" i="1"/>
  <c r="J188" i="1"/>
  <c r="J189" i="1" s="1"/>
  <c r="J194" i="1" s="1"/>
  <c r="J182" i="1"/>
  <c r="J184" i="1" s="1"/>
  <c r="D190" i="1"/>
  <c r="D192" i="1"/>
  <c r="D195" i="1"/>
  <c r="D189" i="1"/>
  <c r="D193" i="1"/>
  <c r="D194" i="1"/>
  <c r="D191" i="1"/>
  <c r="J186" i="1"/>
  <c r="C186" i="1" s="1"/>
  <c r="D139" i="1"/>
  <c r="D137" i="1"/>
  <c r="D136" i="1"/>
  <c r="D133" i="1"/>
  <c r="D135" i="1"/>
  <c r="J132" i="1"/>
  <c r="J133" i="1" s="1"/>
  <c r="J138" i="1" s="1"/>
  <c r="D138" i="1"/>
  <c r="J126" i="1"/>
  <c r="J128" i="1" s="1"/>
  <c r="D134" i="1"/>
  <c r="J130" i="1"/>
  <c r="J131" i="1"/>
  <c r="C130" i="1" s="1"/>
  <c r="J129" i="1"/>
  <c r="J204" i="1"/>
  <c r="J205" i="1" s="1"/>
  <c r="J206" i="1" s="1"/>
  <c r="J207" i="1" s="1"/>
  <c r="J209" i="1" s="1"/>
  <c r="D202" i="1"/>
  <c r="D200" i="1"/>
  <c r="D188" i="1"/>
  <c r="D132" i="1"/>
  <c r="J134" i="1" l="1"/>
  <c r="J135" i="1" s="1"/>
  <c r="J136" i="1" s="1"/>
  <c r="J137" i="1" s="1"/>
  <c r="J190" i="1"/>
  <c r="J191" i="1" s="1"/>
  <c r="J192" i="1" s="1"/>
  <c r="J193" i="1" s="1"/>
  <c r="D186" i="1"/>
  <c r="D130" i="1"/>
  <c r="E200" i="1"/>
  <c r="G200" i="1"/>
  <c r="D201" i="1"/>
  <c r="I197" i="1" s="1"/>
  <c r="J197" i="1"/>
  <c r="J139" i="1" l="1"/>
  <c r="J195" i="1"/>
  <c r="J183" i="1"/>
  <c r="E186" i="1"/>
  <c r="G186" i="1"/>
  <c r="D187" i="1"/>
  <c r="I183" i="1" s="1"/>
  <c r="I184" i="1" s="1"/>
  <c r="I198" i="1"/>
  <c r="I196" i="1" s="1"/>
  <c r="C198" i="1" s="1"/>
  <c r="C131" i="1" l="1"/>
  <c r="I182" i="1"/>
  <c r="C184" i="1" s="1"/>
  <c r="J127" i="1" l="1"/>
  <c r="D131" i="1"/>
  <c r="I127" i="1" s="1"/>
  <c r="E130" i="1"/>
  <c r="G130" i="1"/>
  <c r="D68" i="1" s="1"/>
  <c r="D69" i="1" l="1"/>
  <c r="F69" i="1"/>
  <c r="I128" i="1"/>
  <c r="I126" i="1" s="1"/>
  <c r="C128" i="1"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<sst xmlns="http://schemas.openxmlformats.org/spreadsheetml/2006/main" count="1217" uniqueCount="353">
  <si>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</si>
  <si>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</si>
  <si>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</si>
  <si>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</si>
  <si>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</si>
  <si>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</si>
  <si>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</si>
  <si>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</si>
  <si>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</si>
  <si>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</si>
  <si>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</si>
  <si>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</si>
  <si>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</si>
  <si>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</si>
  <si>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</si>
  <si>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</si>
  <si>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</si>
  <si>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</si>
  <si>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</si>
  <si>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</si>
  <si>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</si>
  <si>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</si>
  <si>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</si>
  <si>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</si>
  <si>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</si>
  <si>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</si>
  <si>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</si>
  <si>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</si>
  <si>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</si>
  <si>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</si>
  <si>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</si>
  <si>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</si>
  <si>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</si>
  <si>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</si>
  <si>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</si>
  <si>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</si>
  <si>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</si>
  <si>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</si>
  <si>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</si>
  <si>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</si>
  <si>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</si>
  <si>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</si>
  <si>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</si>
  <si>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</si>
  <si>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</si>
  <si>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</si>
  <si>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</si>
  <si>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</si>
  <si>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</si>
  <si>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</si>
  <si>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</si>
  <si>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</si>
  <si>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</si>
  <si>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</si>
  <si>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</si>
  <si>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</si>
  <si>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</si>
  <si>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</si>
  <si>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</si>
  <si>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</si>
  <si>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</si>
  <si>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</si>
  <si>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</si>
  <si>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</si>
  <si>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</si>
  <si>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</si>
  <si>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</si>
  <si>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</si>
  <si>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</si>
  <si>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</si>
  <si>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</si>
  <si>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</si>
  <si>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</si>
  <si>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</si>
  <si>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</si>
  <si>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</si>
  <si>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</si>
  <si>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</si>
  <si>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</si>
  <si>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</si>
  <si>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</si>
  <si>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</si>
  <si>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</si>
  <si>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</si>
  <si>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</si>
  <si>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</si>
  <si>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</si>
  <si>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</si>
  <si>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</si>
  <si>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</si>
  <si>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</si>
  <si>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</si>
  <si>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</si>
  <si>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</si>
  <si>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</si>
  <si>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</si>
  <si>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</si>
  <si>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</si>
  <si>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</si>
  <si>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</si>
  <si>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</si>
  <si>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</si>
  <si>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</si>
  <si>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</si>
  <si>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</si>
  <si>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</si>
  <si>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</si>
  <si>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</si>
  <si>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</si>
  <si>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</si>
  <si>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</si>
  <si>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</si>
  <si>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</si>
  <si>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</si>
  <si>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</si>
  <si>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</si>
  <si>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</si>
  <si>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</si>
  <si>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</si>
  <si>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</si>
  <si>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</si>
  <si>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</si>
  <si>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</si>
  <si>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</si>
  <si>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</si>
  <si>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</si>
  <si>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</si>
  <si>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</si>
  <si>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</si>
  <si>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</si>
  <si>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</si>
  <si>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</si>
  <si>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</si>
  <si>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</si>
  <si>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</si>
  <si>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</si>
  <si>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</si>
  <si>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</si>
  <si>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</si>
  <si>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</si>
  <si>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</si>
  <si>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</si>
  <si>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</si>
  <si>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</si>
  <si>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</si>
  <si>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</si>
  <si>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</si>
  <si>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</si>
  <si>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</si>
  <si>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</si>
  <si>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</si>
  <si>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</si>
  <si>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</si>
  <si>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</si>
  <si>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</si>
  <si>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</si>
  <si>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</si>
  <si>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</si>
  <si>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</si>
  <si>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</si>
  <si>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Construction work is in process at the time of Visit (labour found)
Construction work was not active at the time of Visit. (labour Not found)
All work completed. Wait for OC / OC received.
Work not yet Started.</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</si>
  <si>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</si>
  <si>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</si>
  <si>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</si>
  <si>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</si>
  <si>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</si>
  <si>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</si>
  <si>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</si>
  <si>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</si>
  <si>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</si>
  <si>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</si>
  <si>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</si>
  <si>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</si>
  <si>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</si>
  <si>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</si>
  <si>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</si>
  <si>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</si>
  <si>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</si>
  <si>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</si>
  <si>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</si>
  <si>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</si>
  <si>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</si>
  <si>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</si>
  <si>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</si>
  <si>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</si>
  <si>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</si>
  <si>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</si>
  <si>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</si>
  <si>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</si>
  <si>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</si>
  <si>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</si>
  <si>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</si>
  <si>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</si>
  <si>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</si>
  <si>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</si>
  <si>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</si>
  <si>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</si>
  <si>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</si>
  <si>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</si>
  <si>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</si>
  <si>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</si>
  <si>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</si>
  <si>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</si>
  <si>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</si>
  <si>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</si>
  <si>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</si>
  <si>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</si>
  <si>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</si>
  <si>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</si>
  <si>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</si>
  <si>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</si>
  <si>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</si>
  <si>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</si>
  <si>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</si>
  <si>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</si>
  <si>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</si>
  <si>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</si>
  <si>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</si>
  <si>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</si>
  <si>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</si>
  <si>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</si>
  <si>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</si>
  <si>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</si>
  <si>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</si>
  <si>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</si>
  <si>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</si>
  <si>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</si>
  <si>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</si>
  <si>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</si>
  <si>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</si>
  <si>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Axis Sanpada</t>
  </si>
  <si>
    <t>Vision Infra</t>
  </si>
  <si>
    <t>Palm Amore</t>
  </si>
  <si>
    <t>Mr. Kartik 9920753330</t>
  </si>
  <si>
    <t>Wing A to N</t>
  </si>
  <si>
    <t>P51700052377</t>
  </si>
  <si>
    <t>https://maps.app.goo.gl/jYhP7DKMbuDJgNUGA</t>
  </si>
  <si>
    <t>19.009113,73.015496</t>
  </si>
  <si>
    <t>Plot No</t>
  </si>
  <si>
    <t>Nerul</t>
  </si>
  <si>
    <t>Sant Nirankari Road</t>
  </si>
  <si>
    <t>Navi Mumbai</t>
  </si>
  <si>
    <t>Saikrupa C.H.S.L</t>
  </si>
  <si>
    <t>Sant Nirankari Road/Saikrupa C.H.S.L</t>
  </si>
  <si>
    <t>Play Ground</t>
  </si>
  <si>
    <t>Service Road/Palm Beach Road</t>
  </si>
  <si>
    <t>Open Plot</t>
  </si>
  <si>
    <t>Open Plot, 15.00 M Wide Road</t>
  </si>
  <si>
    <t>Other Plot</t>
  </si>
  <si>
    <t>15.00 M Wide Road</t>
  </si>
  <si>
    <t>15.00 M Wide Road/38.00 M Wide Palm Beach Road</t>
  </si>
  <si>
    <t>14 Wings</t>
  </si>
  <si>
    <t xml:space="preserve">Navi Mumbai Municipal Corporation (NNMC)
</t>
  </si>
  <si>
    <t>NRV/A-/18753</t>
  </si>
  <si>
    <t>NMMC/TPO/BP/18753/2023</t>
  </si>
  <si>
    <t>Mayur Ranvare</t>
  </si>
  <si>
    <t xml:space="preserve">As per RERA - 31/03/2031 </t>
  </si>
  <si>
    <t xml:space="preserve">Swimming Pool, Jogging Track, Gymnasium, Kid's Play
Area, Lawn Area, Club House, Garden Area, Meditation Area, Multi Purpose Turf Court, Car Parking, Space High Speed
Elevators, Mini Theatre, Parking
</t>
  </si>
  <si>
    <t>https://www.gamigroup.in/gami-palm-amore/index.aspx</t>
  </si>
  <si>
    <r>
      <t xml:space="preserve">Proposed Amenities :                                                                                                                                                                                                                         </t>
    </r>
    <r>
      <rPr>
        <b/>
        <sz val="12"/>
        <color theme="1"/>
        <rFont val="Times New Roman"/>
        <family val="1"/>
      </rPr>
      <t xml:space="preserve">                                               </t>
    </r>
  </si>
  <si>
    <t>s</t>
  </si>
  <si>
    <t>Building No.1 (Wing A to F)  = 3B to 1B + B(Pt) + Gr + 1st to 15th Floor</t>
  </si>
  <si>
    <t>Building No.2 (Wing J &amp; K) = 3B to 1B + B(Pt) + Gr + 1st to 15th Floor</t>
  </si>
  <si>
    <t>Building No.2 (Wing G to I, L to N) = 4B +  3B to 1B + B(Pt) + Gr + 1st to 15th Floor</t>
  </si>
  <si>
    <t>Building No.1 (Wing A to F)  = 3B to 1B + B(Pt) + Gr + 1st to 15th Floor
Building No.2 (Wing G to I, L to N) = 4B +  3B to 1B + B(Pt) + Gr + 1st to 15th Floor
Building No.2 (Wing J &amp; K) = 3B to 1B + B(Pt) + Gr + 1st to 15th Floor</t>
  </si>
  <si>
    <t>Building No.1</t>
  </si>
  <si>
    <t>Wing A</t>
  </si>
  <si>
    <t>Gami Group</t>
  </si>
  <si>
    <t>Wing B</t>
  </si>
  <si>
    <t>2nd &amp; 3rd Basement Floor For Parking</t>
  </si>
  <si>
    <t>Part Basement Floor For Parking</t>
  </si>
  <si>
    <t>Shop</t>
  </si>
  <si>
    <t>3BHK</t>
  </si>
  <si>
    <t>4BHK</t>
  </si>
  <si>
    <t>Balcony Area</t>
  </si>
  <si>
    <t>7th &amp; 11th Floor (Part Refuge Area)</t>
  </si>
  <si>
    <t>-</t>
  </si>
  <si>
    <t>Refuge Area</t>
  </si>
  <si>
    <t>1st Basement Floor For Lobby &amp; Parking</t>
  </si>
  <si>
    <t>1st Floor For Residential</t>
  </si>
  <si>
    <t xml:space="preserve">2nd to 6th, 8th to 10th &amp; 12th to 15th Floor </t>
  </si>
  <si>
    <t>2nd to 6th, 8th to 10th &amp; 12th to 15th Floor</t>
  </si>
  <si>
    <t>Wing C</t>
  </si>
  <si>
    <t>Wing D</t>
  </si>
  <si>
    <t>Ground Floor For Commercial, Lobby, Meter Room &amp; Parking</t>
  </si>
  <si>
    <t>Ground Floor For Commercial, Lobby &amp; Parking</t>
  </si>
  <si>
    <t>Ground Floor For Commercial, Creche Area, Lobby, Society Office &amp; Parking</t>
  </si>
  <si>
    <t>Ground Floor For Commercial, Lobby, Driver's Room &amp; Parking</t>
  </si>
  <si>
    <t>Wing E</t>
  </si>
  <si>
    <t>1st Basement Floor For &amp; Parking</t>
  </si>
  <si>
    <t>Ground Floor For Commercial</t>
  </si>
  <si>
    <t>7th &amp; 11th Floor (Part Refuge Balcony Area)</t>
  </si>
  <si>
    <t>Refuge Balcony Area</t>
  </si>
  <si>
    <t>Ground Floor For Commercial &amp; Meter Room</t>
  </si>
  <si>
    <t>deck area considered</t>
  </si>
  <si>
    <t>Wing F</t>
  </si>
  <si>
    <t>Building No.2</t>
  </si>
  <si>
    <t>4th Basement Floor For Lobby &amp; Parking</t>
  </si>
  <si>
    <t>1st Basement Floor For Parking</t>
  </si>
  <si>
    <t>Ground Floor For Meter Room &amp; Parking</t>
  </si>
  <si>
    <t>1st to 6th, 8th to 10th &amp; 12th to 15th Floor For Residential</t>
  </si>
  <si>
    <t>2BHK</t>
  </si>
  <si>
    <t>Wing G</t>
  </si>
  <si>
    <t>Wing H</t>
  </si>
  <si>
    <t>Wing J</t>
  </si>
  <si>
    <t>Wing I</t>
  </si>
  <si>
    <t>Ground Floor For Commercial, Meter Room &amp; Parking</t>
  </si>
  <si>
    <t>Ground Floor For Commercial, Meter Room, Game Zone &amp; Parking</t>
  </si>
  <si>
    <t>Wing K</t>
  </si>
  <si>
    <t>Wing L</t>
  </si>
  <si>
    <t>Ground Floor For Meter Room, Banquet Hall &amp; Parking</t>
  </si>
  <si>
    <t>We considered Gross carpet area = Net carpet + Balcony</t>
  </si>
  <si>
    <r>
      <t xml:space="preserve">Flat No.
</t>
    </r>
    <r>
      <rPr>
        <b/>
        <sz val="11"/>
        <color theme="1"/>
        <rFont val="Times New Roman"/>
        <family val="1"/>
      </rPr>
      <t>(Approved Plan)</t>
    </r>
  </si>
  <si>
    <t>Commercial Area Details : Shops</t>
  </si>
  <si>
    <t>Wing M</t>
  </si>
  <si>
    <t>Wing N</t>
  </si>
  <si>
    <t>Flats - 774, Shops - 87</t>
  </si>
  <si>
    <t>Mr. Hiren Ravariya 9819061946</t>
  </si>
  <si>
    <t>Proposed Builtup Area 129338.717 Sq.M
Residential Unit : 774 Nos.
Commercial Unit : 87 Nos.</t>
  </si>
  <si>
    <t>Seawoods Darave West</t>
  </si>
  <si>
    <t>1.7 KM from Seawoods Darave Railway Station</t>
  </si>
  <si>
    <t>5A, Sector - 46A</t>
  </si>
  <si>
    <t>4.5BHK</t>
  </si>
  <si>
    <t>Some 4BHK &amp; 3BHK Flat consists of an individual servant Room.</t>
  </si>
  <si>
    <t>Building No.1 (Wing A)  = 3B to 1B + B(Pt) + Gr + 1st to 15th Floor</t>
  </si>
  <si>
    <t>Building No.1 (Wing B)  = 3B to 1B + B(Pt) + Gr + 1st to 15th Floor</t>
  </si>
  <si>
    <t>Building No.1 (Wing C)  = 3B to 1B + B(Pt) + Gr + 1st to 15th Floor</t>
  </si>
  <si>
    <t>Building No.1 (Wing D)  = 3B to 1B + B(Pt) + Gr + 1st to 15th Floor</t>
  </si>
  <si>
    <t>Building No.1 (Wing F)  = 3B to 1B + B(Pt) + Gr + 1st to 15th Floor</t>
  </si>
  <si>
    <t>Building No.2 (Wing G &amp; H) = 4B +  3B to 1B + B(Pt) + Gr + 1st to 15th Floor</t>
  </si>
  <si>
    <t>Building No.2 (Wing L) = 4B +  3B to 1B + B(Pt) + Gr + 1st to 15th Floor</t>
  </si>
  <si>
    <t>Building No.2 (Wing I) = 4B +  3B to 1B + B(Pt) + Gr + 1st to 15th Floor</t>
  </si>
  <si>
    <t xml:space="preserve">Building No.2 (Wing J &amp; K) = 3B to 1B + B(Pt) + Gr + 1st to 15th Floor
</t>
  </si>
  <si>
    <t>Building No.2 (Wing M) = 4B +  3B to 1B + B(Pt) + Gr + 1st to 15th Floor</t>
  </si>
  <si>
    <t>Building No.2 (Wing N) = 4B +  3B to 1B + B(Pt) + Gr + 1st to 15th Floor</t>
  </si>
  <si>
    <t>Park 10L, Dev Charg 4L, Club society 4L by Nilesh Hatode from Cost sheet for Case G wing flat no.701 on 16/07/2025</t>
  </si>
  <si>
    <t>Club + Society Charges</t>
  </si>
  <si>
    <t>SIA/MH/INFRA2/421160/2023</t>
  </si>
  <si>
    <t xml:space="preserve">Environmental Clearance Certificate No
Valid Up to: </t>
  </si>
  <si>
    <t xml:space="preserve">Plot No. 5A &amp; Sector - 46A
Proposed Builtup Area 215956.473 Sq.M
</t>
  </si>
  <si>
    <t>Approved Plans, CC, Sale Plans, EC</t>
  </si>
  <si>
    <t xml:space="preserve">We have updated Environmental Clearance Certificate on 21/07/2025.
</t>
  </si>
  <si>
    <t xml:space="preserve"> Flat G1201</t>
  </si>
  <si>
    <t>15K TO 16K</t>
  </si>
  <si>
    <t>Other Charges 8L to 10L</t>
  </si>
  <si>
    <t xml:space="preserve">smith </t>
  </si>
  <si>
    <t>cost sheet</t>
  </si>
  <si>
    <t>Recommended Other charges of the Property have been revised on 16/07/2025 &amp; 04/09/2025.</t>
  </si>
  <si>
    <t>Building No.1 (Wing E)  = 3B to 1B + B(Pt) + Gr + 1st to 15th Floor</t>
  </si>
  <si>
    <t>I J K = not started yet as per site visit dtd 5/9/2025</t>
  </si>
  <si>
    <t>Wing A to F, L &amp; N = Construction work is in process at the time of Visit
Wing G to K = Excavation Work is in process.
Wing M = Construction work is in process at the time of visit (Slow Speed).</t>
  </si>
  <si>
    <t>Pooja Kawale</t>
  </si>
  <si>
    <t>Picture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</si>
</sst>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
      <b/>
      <sz val="11"/>
      <color theme="1"/>
      <name val="Times New Roman"/>
      <family val="1"/>
    </font>
    <font>
      <sz val="11"/>
      <color theme="1"/>
      <name val="Calibri"/>
      <family val="2"/>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cellStyleXfs>
  <cellXfs count="23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15" fillId="0" borderId="0" xfId="1" applyNumberFormat="1" applyFont="1" applyAlignment="1">
      <alignment horizontal="center" vertical="center"/>
    </xf>
    <xf numFmtId="1" fontId="17" fillId="0" borderId="7" xfId="0" applyNumberFormat="1" applyFont="1" applyBorder="1" applyAlignment="1" applyProtection="1">
      <alignment vertical="top"/>
      <protection locked="0"/>
    </xf>
    <xf numFmtId="1" fontId="17" fillId="0" borderId="0" xfId="0" applyNumberFormat="1" applyFont="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2" fontId="7" fillId="0" borderId="0" xfId="0" applyNumberFormat="1" applyFont="1" applyAlignment="1">
      <alignment horizontal="center" vertical="center"/>
    </xf>
    <xf numFmtId="1" fontId="7" fillId="0" borderId="0" xfId="0" applyNumberFormat="1" applyFont="1" applyAlignment="1">
      <alignment horizontal="center" vertical="center"/>
    </xf>
    <xf numFmtId="1" fontId="7" fillId="0" borderId="1" xfId="0" applyNumberFormat="1" applyFont="1" applyBorder="1" applyAlignment="1">
      <alignment horizontal="center" vertical="center"/>
    </xf>
    <xf numFmtId="1" fontId="7" fillId="0" borderId="1" xfId="1" applyNumberFormat="1" applyFont="1" applyBorder="1" applyAlignment="1">
      <alignment horizontal="center" vertical="center"/>
    </xf>
    <xf numFmtId="0" fontId="15" fillId="0" borderId="0" xfId="0" applyFont="1" applyAlignment="1">
      <alignment horizontal="center" vertical="center"/>
    </xf>
    <xf numFmtId="1" fontId="15" fillId="0" borderId="0" xfId="0" applyNumberFormat="1" applyFont="1" applyAlignment="1">
      <alignment horizontal="center" vertical="center"/>
    </xf>
    <xf numFmtId="1" fontId="10" fillId="0" borderId="2" xfId="1" applyNumberFormat="1" applyFont="1" applyBorder="1" applyAlignment="1" applyProtection="1">
      <alignment horizontal="center" vertical="top" wrapText="1"/>
      <protection locked="0"/>
    </xf>
    <xf numFmtId="9" fontId="10" fillId="0" borderId="15"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9" fontId="13" fillId="0" borderId="15"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0" fontId="26"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6" fillId="0" borderId="0" xfId="0" applyFont="1" applyProtection="1">
      <protection hidden="1"/>
    </xf>
    <xf numFmtId="0" fontId="16" fillId="0" borderId="9" xfId="0" applyFont="1" applyBorder="1" applyProtection="1">
      <protection hidden="1"/>
    </xf>
    <xf numFmtId="1" fontId="26" fillId="0" borderId="9" xfId="0" applyNumberFormat="1" applyFont="1" applyBorder="1"/>
    <xf numFmtId="1" fontId="26" fillId="0" borderId="9" xfId="0" applyNumberFormat="1" applyFont="1" applyBorder="1" applyAlignment="1">
      <alignment horizontal="right"/>
    </xf>
    <xf numFmtId="0" fontId="16" fillId="0" borderId="10" xfId="0" applyFont="1" applyBorder="1" applyProtection="1">
      <protection hidden="1"/>
    </xf>
    <xf numFmtId="1" fontId="26" fillId="0" borderId="11" xfId="0" applyNumberFormat="1" applyFont="1" applyBorder="1"/>
    <xf numFmtId="0" fontId="27" fillId="0" borderId="0" xfId="1" applyFont="1"/>
    <xf numFmtId="14" fontId="27" fillId="0" borderId="0" xfId="1" applyNumberFormat="1" applyFont="1"/>
    <xf numFmtId="0" fontId="26" fillId="2" borderId="14" xfId="0" applyFont="1" applyFill="1" applyBorder="1"/>
    <xf numFmtId="0" fontId="26" fillId="0" borderId="8" xfId="0" applyFont="1" applyBorder="1"/>
    <xf numFmtId="0" fontId="7" fillId="0" borderId="2" xfId="1" applyFont="1" applyBorder="1" applyAlignment="1" applyProtection="1">
      <alignment horizontal="center" vertical="top" wrapText="1"/>
      <protection locked="0"/>
    </xf>
    <xf numFmtId="9" fontId="7" fillId="0" borderId="2" xfId="8" applyFont="1" applyFill="1" applyBorder="1" applyAlignment="1" applyProtection="1">
      <alignment horizontal="center" vertical="top" wrapText="1"/>
      <protection locked="0"/>
    </xf>
    <xf numFmtId="1" fontId="6" fillId="3"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0" fillId="0" borderId="35"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10" fillId="0" borderId="37"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0" fontId="7" fillId="0" borderId="38" xfId="1" applyFont="1" applyBorder="1" applyAlignment="1" applyProtection="1">
      <alignment horizontal="center" vertical="top" wrapText="1"/>
      <protection locked="0"/>
    </xf>
    <xf numFmtId="0" fontId="7" fillId="0" borderId="2"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0" fillId="0" borderId="21"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1" fontId="7" fillId="0" borderId="7"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protection locked="0"/>
    </xf>
    <xf numFmtId="1" fontId="7" fillId="0" borderId="7"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center" wrapText="1"/>
      <protection locked="0"/>
    </xf>
    <xf numFmtId="1" fontId="6" fillId="0" borderId="34"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0" fillId="0" borderId="7"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24" fillId="0" borderId="0" xfId="10" applyBorder="1" applyAlignment="1">
      <alignment horizontal="center"/>
    </xf>
    <xf numFmtId="0" fontId="7" fillId="0" borderId="0" xfId="1" applyFont="1" applyAlignment="1">
      <alignment horizontal="center"/>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7" fillId="0" borderId="0" xfId="1" applyFont="1" applyAlignment="1">
      <alignment horizontal="center" vertical="center"/>
    </xf>
    <xf numFmtId="0" fontId="24"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0" fillId="0" borderId="2" xfId="1" applyNumberFormat="1"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top" wrapText="1"/>
      <protection locked="0"/>
    </xf>
    <xf numFmtId="1" fontId="25" fillId="0" borderId="2" xfId="1" applyNumberFormat="1" applyFont="1" applyBorder="1" applyAlignment="1" applyProtection="1">
      <alignment horizontal="center" vertical="top" wrapText="1"/>
      <protection locked="0"/>
    </xf>
    <xf numFmtId="1" fontId="25" fillId="0" borderId="15"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1" fontId="10"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0" applyNumberFormat="1" applyFont="1" applyBorder="1" applyAlignment="1" applyProtection="1">
      <alignment horizontal="center" vertical="center"/>
      <protection locked="0"/>
    </xf>
    <xf numFmtId="0" fontId="8" fillId="0" borderId="15" xfId="1" applyFont="1" applyBorder="1" applyAlignment="1" applyProtection="1">
      <alignment horizontal="center" vertical="top"/>
      <protection locked="0"/>
    </xf>
    <xf numFmtId="1" fontId="17" fillId="0" borderId="1"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24" xfId="1" applyFont="1" applyBorder="1" applyAlignment="1">
      <alignment horizontal="center"/>
    </xf>
    <xf numFmtId="0" fontId="10" fillId="0" borderId="7"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1" fontId="13" fillId="3" borderId="1" xfId="0" applyNumberFormat="1" applyFont="1" applyFill="1" applyBorder="1" applyAlignment="1" applyProtection="1">
      <alignmen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271188</xdr:colOff>
      <xdr:row>763</xdr:row>
      <xdr:rowOff>125369</xdr:rowOff>
    </xdr:from>
    <xdr:to>
      <xdr:col>6</xdr:col>
      <xdr:colOff>600858</xdr:colOff>
      <xdr:row>780</xdr:row>
      <xdr:rowOff>137517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33188" y="153063739"/>
          <a:ext cx="4479257" cy="3391453"/>
        </a:xfrm>
        <a:prstGeom prst="rect">
          <a:avLst/>
        </a:prstGeom>
        <a:ln w="9525">
          <a:solidFill>
            <a:schemeClr val="tx1"/>
          </a:solidFill>
        </a:ln>
      </xdr:spPr>
    </xdr:pic>
    <xdr:clientData/>
  </xdr:twoCellAnchor>
  <xdr:twoCellAnchor editAs="oneCell">
    <xdr:from>
      <xdr:col>1</xdr:col>
      <xdr:colOff>742296</xdr:colOff>
      <xdr:row>718</xdr:row>
      <xdr:rowOff>155863</xdr:rowOff>
    </xdr:from>
    <xdr:to>
      <xdr:col>5</xdr:col>
      <xdr:colOff>613910</xdr:colOff>
      <xdr:row>736</xdr:row>
      <xdr:rowOff>100894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504296" y="53833568"/>
          <a:ext cx="3240000" cy="3529895"/>
        </a:xfrm>
        <a:prstGeom prst="rect">
          <a:avLst/>
        </a:prstGeom>
        <a:ln w="9525">
          <a:solidFill>
            <a:schemeClr val="tx1"/>
          </a:solidFill>
        </a:ln>
      </xdr:spPr>
    </xdr:pic>
    <xdr:clientData/>
  </xdr:twoCellAnchor>
  <xdr:twoCellAnchor editAs="oneCell">
    <xdr:from>
      <xdr:col>0</xdr:col>
      <xdr:colOff>424296</xdr:colOff>
      <xdr:row>737</xdr:row>
      <xdr:rowOff>52344</xdr:rowOff>
    </xdr:from>
    <xdr:to>
      <xdr:col>7</xdr:col>
      <xdr:colOff>152591</xdr:colOff>
      <xdr:row>757</xdr:row>
      <xdr:rowOff>132179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srcRect t="2479" r="5928"/>
        <a:stretch/>
      </xdr:blipFill>
      <xdr:spPr>
        <a:xfrm>
          <a:off x="424296" y="57514071"/>
          <a:ext cx="5400000" cy="4063021"/>
        </a:xfrm>
        <a:prstGeom prst="rect">
          <a:avLst/>
        </a:prstGeom>
        <a:ln w="9525">
          <a:solidFill>
            <a:schemeClr val="tx1"/>
          </a:solidFill>
        </a:ln>
      </xdr:spPr>
    </xdr:pic>
    <xdr:clientData/>
  </xdr:twoCellAnchor>
  <xdr:twoCellAnchor>
    <xdr:from>
      <xdr:col>0</xdr:col>
      <xdr:colOff>563397</xdr:colOff>
      <xdr:row>750</xdr:row>
      <xdr:rowOff>51521</xdr:rowOff>
    </xdr:from>
    <xdr:to>
      <xdr:col>1</xdr:col>
      <xdr:colOff>762567</xdr:colOff>
      <xdr:row>754</xdr:row>
      <xdr:rowOff>85064</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rot="21227327">
          <a:off x="563397" y="60102316"/>
          <a:ext cx="961170" cy="830180"/>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751687</xdr:colOff>
      <xdr:row>749</xdr:row>
      <xdr:rowOff>197377</xdr:rowOff>
    </xdr:from>
    <xdr:to>
      <xdr:col>2</xdr:col>
      <xdr:colOff>798480</xdr:colOff>
      <xdr:row>753</xdr:row>
      <xdr:rowOff>152296</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rot="20912076">
          <a:off x="1513687" y="60049013"/>
          <a:ext cx="843429" cy="751556"/>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761068</xdr:colOff>
      <xdr:row>748</xdr:row>
      <xdr:rowOff>178001</xdr:rowOff>
    </xdr:from>
    <xdr:to>
      <xdr:col>3</xdr:col>
      <xdr:colOff>771163</xdr:colOff>
      <xdr:row>752</xdr:row>
      <xdr:rowOff>112470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rot="20635067">
          <a:off x="2319704" y="59830478"/>
          <a:ext cx="858686" cy="731106"/>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719246</xdr:colOff>
      <xdr:row>747</xdr:row>
      <xdr:rowOff>92164</xdr:rowOff>
    </xdr:from>
    <xdr:to>
      <xdr:col>4</xdr:col>
      <xdr:colOff>590271</xdr:colOff>
      <xdr:row>751</xdr:row>
      <xdr:rowOff>24015</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rot="20250940">
          <a:off x="3126473" y="59545482"/>
          <a:ext cx="814866" cy="728488"/>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27563</xdr:colOff>
      <xdr:row>754</xdr:row>
      <xdr:rowOff>11514</xdr:rowOff>
    </xdr:from>
    <xdr:to>
      <xdr:col>2</xdr:col>
      <xdr:colOff>236767</xdr:colOff>
      <xdr:row>755</xdr:row>
      <xdr:rowOff>58576</xdr:rowOff>
    </xdr:to>
    <xdr:sp macro="" textlink="">
      <xdr:nvSpPr>
        <xdr:cNvPr id="11" name="TextBox 4">
          <a:extLst>
            <a:ext uri="{FF2B5EF4-FFF2-40B4-BE49-F238E27FC236}">
              <a16:creationId xmlns:a16="http://schemas.microsoft.com/office/drawing/2014/main" id="{00000000-0008-0000-0000-00000B000000}"/>
            </a:ext>
          </a:extLst>
        </xdr:cNvPr>
        <xdr:cNvSpPr txBox="1"/>
      </xdr:nvSpPr>
      <xdr:spPr>
        <a:xfrm rot="21000358">
          <a:off x="789563" y="60858946"/>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A</a:t>
          </a:r>
          <a:endParaRPr lang="en-IN" sz="1000" b="1">
            <a:solidFill>
              <a:srgbClr val="800080"/>
            </a:solidFill>
          </a:endParaRPr>
        </a:p>
      </xdr:txBody>
    </xdr:sp>
    <xdr:clientData/>
  </xdr:twoCellAnchor>
  <xdr:twoCellAnchor>
    <xdr:from>
      <xdr:col>2</xdr:col>
      <xdr:colOff>220844</xdr:colOff>
      <xdr:row>753</xdr:row>
      <xdr:rowOff>31217</xdr:rowOff>
    </xdr:from>
    <xdr:to>
      <xdr:col>3</xdr:col>
      <xdr:colOff>378093</xdr:colOff>
      <xdr:row>754</xdr:row>
      <xdr:rowOff>78279</xdr:rowOff>
    </xdr:to>
    <xdr:sp macro="" textlink="">
      <xdr:nvSpPr>
        <xdr:cNvPr id="12" name="TextBox 12">
          <a:extLst>
            <a:ext uri="{FF2B5EF4-FFF2-40B4-BE49-F238E27FC236}">
              <a16:creationId xmlns:a16="http://schemas.microsoft.com/office/drawing/2014/main" id="{00000000-0008-0000-0000-00000C000000}"/>
            </a:ext>
          </a:extLst>
        </xdr:cNvPr>
        <xdr:cNvSpPr txBox="1"/>
      </xdr:nvSpPr>
      <xdr:spPr>
        <a:xfrm rot="21000358">
          <a:off x="1779480" y="60679490"/>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B</a:t>
          </a:r>
          <a:endParaRPr lang="en-IN" sz="1000" b="1">
            <a:solidFill>
              <a:srgbClr val="800080"/>
            </a:solidFill>
          </a:endParaRPr>
        </a:p>
      </xdr:txBody>
    </xdr:sp>
    <xdr:clientData/>
  </xdr:twoCellAnchor>
  <xdr:twoCellAnchor>
    <xdr:from>
      <xdr:col>3</xdr:col>
      <xdr:colOff>118710</xdr:colOff>
      <xdr:row>752</xdr:row>
      <xdr:rowOff>72804</xdr:rowOff>
    </xdr:from>
    <xdr:to>
      <xdr:col>4</xdr:col>
      <xdr:colOff>180709</xdr:colOff>
      <xdr:row>753</xdr:row>
      <xdr:rowOff>119866</xdr:rowOff>
    </xdr:to>
    <xdr:sp macro="" textlink="">
      <xdr:nvSpPr>
        <xdr:cNvPr id="13" name="TextBox 13">
          <a:extLst>
            <a:ext uri="{FF2B5EF4-FFF2-40B4-BE49-F238E27FC236}">
              <a16:creationId xmlns:a16="http://schemas.microsoft.com/office/drawing/2014/main" id="{00000000-0008-0000-0000-00000D000000}"/>
            </a:ext>
          </a:extLst>
        </xdr:cNvPr>
        <xdr:cNvSpPr txBox="1"/>
      </xdr:nvSpPr>
      <xdr:spPr>
        <a:xfrm rot="21000358">
          <a:off x="2525937" y="60521918"/>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C</a:t>
          </a:r>
          <a:endParaRPr lang="en-IN" sz="1000" b="1">
            <a:solidFill>
              <a:srgbClr val="800080"/>
            </a:solidFill>
          </a:endParaRPr>
        </a:p>
      </xdr:txBody>
    </xdr:sp>
    <xdr:clientData/>
  </xdr:twoCellAnchor>
  <xdr:twoCellAnchor>
    <xdr:from>
      <xdr:col>4</xdr:col>
      <xdr:colOff>25926</xdr:colOff>
      <xdr:row>750</xdr:row>
      <xdr:rowOff>142175</xdr:rowOff>
    </xdr:from>
    <xdr:to>
      <xdr:col>5</xdr:col>
      <xdr:colOff>252448</xdr:colOff>
      <xdr:row>751</xdr:row>
      <xdr:rowOff>189236</xdr:rowOff>
    </xdr:to>
    <xdr:sp macro="" textlink="">
      <xdr:nvSpPr>
        <xdr:cNvPr id="14" name="TextBox 14">
          <a:extLst>
            <a:ext uri="{FF2B5EF4-FFF2-40B4-BE49-F238E27FC236}">
              <a16:creationId xmlns:a16="http://schemas.microsoft.com/office/drawing/2014/main" id="{00000000-0008-0000-0000-00000E000000}"/>
            </a:ext>
          </a:extLst>
        </xdr:cNvPr>
        <xdr:cNvSpPr txBox="1"/>
      </xdr:nvSpPr>
      <xdr:spPr>
        <a:xfrm rot="19932543">
          <a:off x="3376994" y="60192970"/>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D</a:t>
          </a:r>
          <a:endParaRPr lang="en-IN" sz="1000" b="1">
            <a:solidFill>
              <a:srgbClr val="800080"/>
            </a:solidFill>
          </a:endParaRPr>
        </a:p>
      </xdr:txBody>
    </xdr:sp>
    <xdr:clientData/>
  </xdr:twoCellAnchor>
  <xdr:twoCellAnchor>
    <xdr:from>
      <xdr:col>5</xdr:col>
      <xdr:colOff>372156</xdr:colOff>
      <xdr:row>742</xdr:row>
      <xdr:rowOff>54587</xdr:rowOff>
    </xdr:from>
    <xdr:to>
      <xdr:col>6</xdr:col>
      <xdr:colOff>621415</xdr:colOff>
      <xdr:row>747</xdr:row>
      <xdr:rowOff>52780</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rot="19607670">
          <a:off x="4502542" y="58512110"/>
          <a:ext cx="1028578" cy="993988"/>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29512</xdr:colOff>
      <xdr:row>748</xdr:row>
      <xdr:rowOff>168863</xdr:rowOff>
    </xdr:from>
    <xdr:to>
      <xdr:col>6</xdr:col>
      <xdr:colOff>256033</xdr:colOff>
      <xdr:row>750</xdr:row>
      <xdr:rowOff>16766</xdr:rowOff>
    </xdr:to>
    <xdr:sp macro="" textlink="">
      <xdr:nvSpPr>
        <xdr:cNvPr id="16" name="TextBox 17">
          <a:extLst>
            <a:ext uri="{FF2B5EF4-FFF2-40B4-BE49-F238E27FC236}">
              <a16:creationId xmlns:a16="http://schemas.microsoft.com/office/drawing/2014/main" id="{00000000-0008-0000-0000-000010000000}"/>
            </a:ext>
          </a:extLst>
        </xdr:cNvPr>
        <xdr:cNvSpPr txBox="1"/>
      </xdr:nvSpPr>
      <xdr:spPr>
        <a:xfrm rot="19932543">
          <a:off x="4159898" y="59821340"/>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E</a:t>
          </a:r>
          <a:endParaRPr lang="en-IN" sz="1000" b="1">
            <a:solidFill>
              <a:srgbClr val="800080"/>
            </a:solidFill>
          </a:endParaRPr>
        </a:p>
      </xdr:txBody>
    </xdr:sp>
    <xdr:clientData/>
  </xdr:twoCellAnchor>
  <xdr:twoCellAnchor>
    <xdr:from>
      <xdr:col>6</xdr:col>
      <xdr:colOff>60658</xdr:colOff>
      <xdr:row>746</xdr:row>
      <xdr:rowOff>176956</xdr:rowOff>
    </xdr:from>
    <xdr:to>
      <xdr:col>7</xdr:col>
      <xdr:colOff>304498</xdr:colOff>
      <xdr:row>748</xdr:row>
      <xdr:rowOff>24859</xdr:rowOff>
    </xdr:to>
    <xdr:sp macro="" textlink="">
      <xdr:nvSpPr>
        <xdr:cNvPr id="17" name="TextBox 18">
          <a:extLst>
            <a:ext uri="{FF2B5EF4-FFF2-40B4-BE49-F238E27FC236}">
              <a16:creationId xmlns:a16="http://schemas.microsoft.com/office/drawing/2014/main" id="{00000000-0008-0000-0000-000011000000}"/>
            </a:ext>
          </a:extLst>
        </xdr:cNvPr>
        <xdr:cNvSpPr txBox="1"/>
      </xdr:nvSpPr>
      <xdr:spPr>
        <a:xfrm rot="19932543">
          <a:off x="4970363" y="59431115"/>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F</a:t>
          </a:r>
        </a:p>
      </xdr:txBody>
    </xdr:sp>
    <xdr:clientData/>
  </xdr:twoCellAnchor>
  <xdr:twoCellAnchor>
    <xdr:from>
      <xdr:col>2</xdr:col>
      <xdr:colOff>722793</xdr:colOff>
      <xdr:row>741</xdr:row>
      <xdr:rowOff>2644</xdr:rowOff>
    </xdr:from>
    <xdr:to>
      <xdr:col>3</xdr:col>
      <xdr:colOff>555307</xdr:colOff>
      <xdr:row>744</xdr:row>
      <xdr:rowOff>5660</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rot="3035527">
          <a:off x="2321735" y="58220702"/>
          <a:ext cx="600493" cy="681105"/>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253861</xdr:colOff>
      <xdr:row>743</xdr:row>
      <xdr:rowOff>68438</xdr:rowOff>
    </xdr:from>
    <xdr:to>
      <xdr:col>3</xdr:col>
      <xdr:colOff>934966</xdr:colOff>
      <xdr:row>746</xdr:row>
      <xdr:rowOff>71454</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rot="3035527">
          <a:off x="2701394" y="58684814"/>
          <a:ext cx="600493" cy="681105"/>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894283</xdr:colOff>
      <xdr:row>741</xdr:row>
      <xdr:rowOff>107030</xdr:rowOff>
    </xdr:from>
    <xdr:to>
      <xdr:col>4</xdr:col>
      <xdr:colOff>196663</xdr:colOff>
      <xdr:row>746</xdr:row>
      <xdr:rowOff>117075</xdr:rowOff>
    </xdr:to>
    <xdr:sp macro="" textlink="">
      <xdr:nvSpPr>
        <xdr:cNvPr id="20" name="TextBox 22">
          <a:extLst>
            <a:ext uri="{FF2B5EF4-FFF2-40B4-BE49-F238E27FC236}">
              <a16:creationId xmlns:a16="http://schemas.microsoft.com/office/drawing/2014/main" id="{00000000-0008-0000-0000-000014000000}"/>
            </a:ext>
          </a:extLst>
        </xdr:cNvPr>
        <xdr:cNvSpPr txBox="1"/>
      </xdr:nvSpPr>
      <xdr:spPr>
        <a:xfrm rot="2938586">
          <a:off x="2921701" y="58745203"/>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G</a:t>
          </a:r>
        </a:p>
      </xdr:txBody>
    </xdr:sp>
    <xdr:clientData/>
  </xdr:twoCellAnchor>
  <xdr:twoCellAnchor>
    <xdr:from>
      <xdr:col>3</xdr:col>
      <xdr:colOff>576131</xdr:colOff>
      <xdr:row>739</xdr:row>
      <xdr:rowOff>123907</xdr:rowOff>
    </xdr:from>
    <xdr:to>
      <xdr:col>3</xdr:col>
      <xdr:colOff>822352</xdr:colOff>
      <xdr:row>744</xdr:row>
      <xdr:rowOff>133951</xdr:rowOff>
    </xdr:to>
    <xdr:sp macro="" textlink="">
      <xdr:nvSpPr>
        <xdr:cNvPr id="21" name="TextBox 23">
          <a:extLst>
            <a:ext uri="{FF2B5EF4-FFF2-40B4-BE49-F238E27FC236}">
              <a16:creationId xmlns:a16="http://schemas.microsoft.com/office/drawing/2014/main" id="{00000000-0008-0000-0000-000015000000}"/>
            </a:ext>
          </a:extLst>
        </xdr:cNvPr>
        <xdr:cNvSpPr txBox="1"/>
      </xdr:nvSpPr>
      <xdr:spPr>
        <a:xfrm rot="2938586">
          <a:off x="2603549" y="58363761"/>
          <a:ext cx="100584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H</a:t>
          </a:r>
        </a:p>
      </xdr:txBody>
    </xdr:sp>
    <xdr:clientData/>
  </xdr:twoCellAnchor>
  <xdr:twoCellAnchor>
    <xdr:from>
      <xdr:col>4</xdr:col>
      <xdr:colOff>566805</xdr:colOff>
      <xdr:row>746</xdr:row>
      <xdr:rowOff>45058</xdr:rowOff>
    </xdr:from>
    <xdr:to>
      <xdr:col>5</xdr:col>
      <xdr:colOff>602353</xdr:colOff>
      <xdr:row>749</xdr:row>
      <xdr:rowOff>94820</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rot="19967885">
          <a:off x="3917873" y="59299217"/>
          <a:ext cx="814866" cy="647239"/>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360721</xdr:colOff>
      <xdr:row>739</xdr:row>
      <xdr:rowOff>48963</xdr:rowOff>
    </xdr:from>
    <xdr:to>
      <xdr:col>3</xdr:col>
      <xdr:colOff>171284</xdr:colOff>
      <xdr:row>742</xdr:row>
      <xdr:rowOff>61550</xdr:rowOff>
    </xdr:to>
    <xdr:sp macro="" textlink="">
      <xdr:nvSpPr>
        <xdr:cNvPr id="23" name="Freeform 22">
          <a:extLst>
            <a:ext uri="{FF2B5EF4-FFF2-40B4-BE49-F238E27FC236}">
              <a16:creationId xmlns:a16="http://schemas.microsoft.com/office/drawing/2014/main" id="{00000000-0008-0000-0000-000017000000}"/>
            </a:ext>
          </a:extLst>
        </xdr:cNvPr>
        <xdr:cNvSpPr/>
      </xdr:nvSpPr>
      <xdr:spPr>
        <a:xfrm>
          <a:off x="1919357" y="57909008"/>
          <a:ext cx="659154" cy="610065"/>
        </a:xfrm>
        <a:custGeom>
          <a:avLst/>
          <a:gdLst>
            <a:gd name="connsiteX0" fmla="*/ 19050 w 635000"/>
            <a:gd name="connsiteY0" fmla="*/ 6350 h 590550"/>
            <a:gd name="connsiteX1" fmla="*/ 0 w 635000"/>
            <a:gd name="connsiteY1" fmla="*/ 590550 h 590550"/>
            <a:gd name="connsiteX2" fmla="*/ 260350 w 635000"/>
            <a:gd name="connsiteY2" fmla="*/ 584200 h 590550"/>
            <a:gd name="connsiteX3" fmla="*/ 247650 w 635000"/>
            <a:gd name="connsiteY3" fmla="*/ 342900 h 590550"/>
            <a:gd name="connsiteX4" fmla="*/ 635000 w 635000"/>
            <a:gd name="connsiteY4" fmla="*/ 342900 h 590550"/>
            <a:gd name="connsiteX5" fmla="*/ 635000 w 635000"/>
            <a:gd name="connsiteY5" fmla="*/ 0 h 590550"/>
            <a:gd name="connsiteX6" fmla="*/ 19050 w 635000"/>
            <a:gd name="connsiteY6" fmla="*/ 6350 h 590550"/>
            <a:gd name="connsiteX0" fmla="*/ 19050 w 635000"/>
            <a:gd name="connsiteY0" fmla="*/ 6350 h 590550"/>
            <a:gd name="connsiteX1" fmla="*/ 0 w 635000"/>
            <a:gd name="connsiteY1" fmla="*/ 590550 h 590550"/>
            <a:gd name="connsiteX2" fmla="*/ 260350 w 635000"/>
            <a:gd name="connsiteY2" fmla="*/ 584200 h 590550"/>
            <a:gd name="connsiteX3" fmla="*/ 258811 w 635000"/>
            <a:gd name="connsiteY3" fmla="*/ 363467 h 590550"/>
            <a:gd name="connsiteX4" fmla="*/ 635000 w 635000"/>
            <a:gd name="connsiteY4" fmla="*/ 342900 h 590550"/>
            <a:gd name="connsiteX5" fmla="*/ 635000 w 635000"/>
            <a:gd name="connsiteY5" fmla="*/ 0 h 590550"/>
            <a:gd name="connsiteX6" fmla="*/ 19050 w 635000"/>
            <a:gd name="connsiteY6" fmla="*/ 6350 h 590550"/>
            <a:gd name="connsiteX0" fmla="*/ 19050 w 639464"/>
            <a:gd name="connsiteY0" fmla="*/ 6350 h 590550"/>
            <a:gd name="connsiteX1" fmla="*/ 0 w 639464"/>
            <a:gd name="connsiteY1" fmla="*/ 590550 h 590550"/>
            <a:gd name="connsiteX2" fmla="*/ 260350 w 639464"/>
            <a:gd name="connsiteY2" fmla="*/ 584200 h 590550"/>
            <a:gd name="connsiteX3" fmla="*/ 258811 w 639464"/>
            <a:gd name="connsiteY3" fmla="*/ 363467 h 590550"/>
            <a:gd name="connsiteX4" fmla="*/ 639464 w 639464"/>
            <a:gd name="connsiteY4" fmla="*/ 361182 h 590550"/>
            <a:gd name="connsiteX5" fmla="*/ 635000 w 639464"/>
            <a:gd name="connsiteY5" fmla="*/ 0 h 590550"/>
            <a:gd name="connsiteX6" fmla="*/ 19050 w 639464"/>
            <a:gd name="connsiteY6" fmla="*/ 6350 h 590550"/>
            <a:gd name="connsiteX0" fmla="*/ 19050 w 639464"/>
            <a:gd name="connsiteY0" fmla="*/ 6350 h 590550"/>
            <a:gd name="connsiteX1" fmla="*/ 0 w 639464"/>
            <a:gd name="connsiteY1" fmla="*/ 590550 h 590550"/>
            <a:gd name="connsiteX2" fmla="*/ 284904 w 639464"/>
            <a:gd name="connsiteY2" fmla="*/ 588772 h 590550"/>
            <a:gd name="connsiteX3" fmla="*/ 258811 w 639464"/>
            <a:gd name="connsiteY3" fmla="*/ 363467 h 590550"/>
            <a:gd name="connsiteX4" fmla="*/ 639464 w 639464"/>
            <a:gd name="connsiteY4" fmla="*/ 361182 h 590550"/>
            <a:gd name="connsiteX5" fmla="*/ 635000 w 639464"/>
            <a:gd name="connsiteY5" fmla="*/ 0 h 590550"/>
            <a:gd name="connsiteX6" fmla="*/ 19050 w 639464"/>
            <a:gd name="connsiteY6" fmla="*/ 6350 h 590550"/>
            <a:gd name="connsiteX0" fmla="*/ 19050 w 639464"/>
            <a:gd name="connsiteY0" fmla="*/ 6350 h 590550"/>
            <a:gd name="connsiteX1" fmla="*/ 0 w 639464"/>
            <a:gd name="connsiteY1" fmla="*/ 590550 h 590550"/>
            <a:gd name="connsiteX2" fmla="*/ 284904 w 639464"/>
            <a:gd name="connsiteY2" fmla="*/ 588772 h 590550"/>
            <a:gd name="connsiteX3" fmla="*/ 283366 w 639464"/>
            <a:gd name="connsiteY3" fmla="*/ 370324 h 590550"/>
            <a:gd name="connsiteX4" fmla="*/ 639464 w 639464"/>
            <a:gd name="connsiteY4" fmla="*/ 361182 h 590550"/>
            <a:gd name="connsiteX5" fmla="*/ 635000 w 639464"/>
            <a:gd name="connsiteY5" fmla="*/ 0 h 590550"/>
            <a:gd name="connsiteX6" fmla="*/ 19050 w 639464"/>
            <a:gd name="connsiteY6" fmla="*/ 6350 h 590550"/>
            <a:gd name="connsiteX0" fmla="*/ 19050 w 635000"/>
            <a:gd name="connsiteY0" fmla="*/ 6350 h 590550"/>
            <a:gd name="connsiteX1" fmla="*/ 0 w 635000"/>
            <a:gd name="connsiteY1" fmla="*/ 590550 h 590550"/>
            <a:gd name="connsiteX2" fmla="*/ 284904 w 635000"/>
            <a:gd name="connsiteY2" fmla="*/ 588772 h 590550"/>
            <a:gd name="connsiteX3" fmla="*/ 283366 w 635000"/>
            <a:gd name="connsiteY3" fmla="*/ 370324 h 590550"/>
            <a:gd name="connsiteX4" fmla="*/ 621607 w 635000"/>
            <a:gd name="connsiteY4" fmla="*/ 352041 h 590550"/>
            <a:gd name="connsiteX5" fmla="*/ 635000 w 635000"/>
            <a:gd name="connsiteY5" fmla="*/ 0 h 590550"/>
            <a:gd name="connsiteX6" fmla="*/ 19050 w 635000"/>
            <a:gd name="connsiteY6" fmla="*/ 6350 h 590550"/>
            <a:gd name="connsiteX0" fmla="*/ 19050 w 623839"/>
            <a:gd name="connsiteY0" fmla="*/ 0 h 584200"/>
            <a:gd name="connsiteX1" fmla="*/ 0 w 623839"/>
            <a:gd name="connsiteY1" fmla="*/ 584200 h 584200"/>
            <a:gd name="connsiteX2" fmla="*/ 284904 w 623839"/>
            <a:gd name="connsiteY2" fmla="*/ 582422 h 584200"/>
            <a:gd name="connsiteX3" fmla="*/ 283366 w 623839"/>
            <a:gd name="connsiteY3" fmla="*/ 363974 h 584200"/>
            <a:gd name="connsiteX4" fmla="*/ 621607 w 623839"/>
            <a:gd name="connsiteY4" fmla="*/ 345691 h 584200"/>
            <a:gd name="connsiteX5" fmla="*/ 623839 w 623839"/>
            <a:gd name="connsiteY5" fmla="*/ 2791 h 584200"/>
            <a:gd name="connsiteX6" fmla="*/ 19050 w 623839"/>
            <a:gd name="connsiteY6" fmla="*/ 0 h 584200"/>
            <a:gd name="connsiteX0" fmla="*/ 19050 w 623839"/>
            <a:gd name="connsiteY0" fmla="*/ 0 h 584200"/>
            <a:gd name="connsiteX1" fmla="*/ 0 w 623839"/>
            <a:gd name="connsiteY1" fmla="*/ 584200 h 584200"/>
            <a:gd name="connsiteX2" fmla="*/ 284904 w 623839"/>
            <a:gd name="connsiteY2" fmla="*/ 582422 h 584200"/>
            <a:gd name="connsiteX3" fmla="*/ 283366 w 623839"/>
            <a:gd name="connsiteY3" fmla="*/ 363974 h 584200"/>
            <a:gd name="connsiteX4" fmla="*/ 621607 w 623839"/>
            <a:gd name="connsiteY4" fmla="*/ 357117 h 584200"/>
            <a:gd name="connsiteX5" fmla="*/ 623839 w 623839"/>
            <a:gd name="connsiteY5" fmla="*/ 2791 h 584200"/>
            <a:gd name="connsiteX6" fmla="*/ 19050 w 623839"/>
            <a:gd name="connsiteY6" fmla="*/ 0 h 584200"/>
            <a:gd name="connsiteX0" fmla="*/ 0 w 604789"/>
            <a:gd name="connsiteY0" fmla="*/ 0 h 590345"/>
            <a:gd name="connsiteX1" fmla="*/ 4255 w 604789"/>
            <a:gd name="connsiteY1" fmla="*/ 590345 h 590345"/>
            <a:gd name="connsiteX2" fmla="*/ 265854 w 604789"/>
            <a:gd name="connsiteY2" fmla="*/ 582422 h 590345"/>
            <a:gd name="connsiteX3" fmla="*/ 264316 w 604789"/>
            <a:gd name="connsiteY3" fmla="*/ 363974 h 590345"/>
            <a:gd name="connsiteX4" fmla="*/ 602557 w 604789"/>
            <a:gd name="connsiteY4" fmla="*/ 357117 h 590345"/>
            <a:gd name="connsiteX5" fmla="*/ 604789 w 604789"/>
            <a:gd name="connsiteY5" fmla="*/ 2791 h 590345"/>
            <a:gd name="connsiteX6" fmla="*/ 0 w 604789"/>
            <a:gd name="connsiteY6" fmla="*/ 0 h 590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04789" h="590345">
              <a:moveTo>
                <a:pt x="0" y="0"/>
              </a:moveTo>
              <a:cubicBezTo>
                <a:pt x="1418" y="196782"/>
                <a:pt x="2837" y="393563"/>
                <a:pt x="4255" y="590345"/>
              </a:cubicBezTo>
              <a:lnTo>
                <a:pt x="265854" y="582422"/>
              </a:lnTo>
              <a:cubicBezTo>
                <a:pt x="265341" y="509606"/>
                <a:pt x="264829" y="436790"/>
                <a:pt x="264316" y="363974"/>
              </a:cubicBezTo>
              <a:lnTo>
                <a:pt x="602557" y="357117"/>
              </a:lnTo>
              <a:lnTo>
                <a:pt x="604789" y="2791"/>
              </a:lnTo>
              <a:lnTo>
                <a:pt x="0" y="0"/>
              </a:lnTo>
              <a:close/>
            </a:path>
          </a:pathLst>
        </a:custGeom>
        <a:noFill/>
        <a:ln w="1270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0</xdr:col>
      <xdr:colOff>627108</xdr:colOff>
      <xdr:row>739</xdr:row>
      <xdr:rowOff>48963</xdr:rowOff>
    </xdr:from>
    <xdr:to>
      <xdr:col>1</xdr:col>
      <xdr:colOff>524262</xdr:colOff>
      <xdr:row>742</xdr:row>
      <xdr:rowOff>61550</xdr:rowOff>
    </xdr:to>
    <xdr:sp macro="" textlink="">
      <xdr:nvSpPr>
        <xdr:cNvPr id="24" name="Freeform 23">
          <a:extLst>
            <a:ext uri="{FF2B5EF4-FFF2-40B4-BE49-F238E27FC236}">
              <a16:creationId xmlns:a16="http://schemas.microsoft.com/office/drawing/2014/main" id="{00000000-0008-0000-0000-000018000000}"/>
            </a:ext>
          </a:extLst>
        </xdr:cNvPr>
        <xdr:cNvSpPr/>
      </xdr:nvSpPr>
      <xdr:spPr>
        <a:xfrm flipH="1">
          <a:off x="627108" y="57909008"/>
          <a:ext cx="659154" cy="610065"/>
        </a:xfrm>
        <a:custGeom>
          <a:avLst/>
          <a:gdLst>
            <a:gd name="connsiteX0" fmla="*/ 19050 w 635000"/>
            <a:gd name="connsiteY0" fmla="*/ 6350 h 590550"/>
            <a:gd name="connsiteX1" fmla="*/ 0 w 635000"/>
            <a:gd name="connsiteY1" fmla="*/ 590550 h 590550"/>
            <a:gd name="connsiteX2" fmla="*/ 260350 w 635000"/>
            <a:gd name="connsiteY2" fmla="*/ 584200 h 590550"/>
            <a:gd name="connsiteX3" fmla="*/ 247650 w 635000"/>
            <a:gd name="connsiteY3" fmla="*/ 342900 h 590550"/>
            <a:gd name="connsiteX4" fmla="*/ 635000 w 635000"/>
            <a:gd name="connsiteY4" fmla="*/ 342900 h 590550"/>
            <a:gd name="connsiteX5" fmla="*/ 635000 w 635000"/>
            <a:gd name="connsiteY5" fmla="*/ 0 h 590550"/>
            <a:gd name="connsiteX6" fmla="*/ 19050 w 635000"/>
            <a:gd name="connsiteY6" fmla="*/ 6350 h 590550"/>
            <a:gd name="connsiteX0" fmla="*/ 19050 w 635000"/>
            <a:gd name="connsiteY0" fmla="*/ 6350 h 590550"/>
            <a:gd name="connsiteX1" fmla="*/ 0 w 635000"/>
            <a:gd name="connsiteY1" fmla="*/ 590550 h 590550"/>
            <a:gd name="connsiteX2" fmla="*/ 260350 w 635000"/>
            <a:gd name="connsiteY2" fmla="*/ 584200 h 590550"/>
            <a:gd name="connsiteX3" fmla="*/ 258811 w 635000"/>
            <a:gd name="connsiteY3" fmla="*/ 363467 h 590550"/>
            <a:gd name="connsiteX4" fmla="*/ 635000 w 635000"/>
            <a:gd name="connsiteY4" fmla="*/ 342900 h 590550"/>
            <a:gd name="connsiteX5" fmla="*/ 635000 w 635000"/>
            <a:gd name="connsiteY5" fmla="*/ 0 h 590550"/>
            <a:gd name="connsiteX6" fmla="*/ 19050 w 635000"/>
            <a:gd name="connsiteY6" fmla="*/ 6350 h 590550"/>
            <a:gd name="connsiteX0" fmla="*/ 19050 w 639464"/>
            <a:gd name="connsiteY0" fmla="*/ 6350 h 590550"/>
            <a:gd name="connsiteX1" fmla="*/ 0 w 639464"/>
            <a:gd name="connsiteY1" fmla="*/ 590550 h 590550"/>
            <a:gd name="connsiteX2" fmla="*/ 260350 w 639464"/>
            <a:gd name="connsiteY2" fmla="*/ 584200 h 590550"/>
            <a:gd name="connsiteX3" fmla="*/ 258811 w 639464"/>
            <a:gd name="connsiteY3" fmla="*/ 363467 h 590550"/>
            <a:gd name="connsiteX4" fmla="*/ 639464 w 639464"/>
            <a:gd name="connsiteY4" fmla="*/ 361182 h 590550"/>
            <a:gd name="connsiteX5" fmla="*/ 635000 w 639464"/>
            <a:gd name="connsiteY5" fmla="*/ 0 h 590550"/>
            <a:gd name="connsiteX6" fmla="*/ 19050 w 639464"/>
            <a:gd name="connsiteY6" fmla="*/ 6350 h 590550"/>
            <a:gd name="connsiteX0" fmla="*/ 19050 w 639464"/>
            <a:gd name="connsiteY0" fmla="*/ 6350 h 590550"/>
            <a:gd name="connsiteX1" fmla="*/ 0 w 639464"/>
            <a:gd name="connsiteY1" fmla="*/ 590550 h 590550"/>
            <a:gd name="connsiteX2" fmla="*/ 284904 w 639464"/>
            <a:gd name="connsiteY2" fmla="*/ 588772 h 590550"/>
            <a:gd name="connsiteX3" fmla="*/ 258811 w 639464"/>
            <a:gd name="connsiteY3" fmla="*/ 363467 h 590550"/>
            <a:gd name="connsiteX4" fmla="*/ 639464 w 639464"/>
            <a:gd name="connsiteY4" fmla="*/ 361182 h 590550"/>
            <a:gd name="connsiteX5" fmla="*/ 635000 w 639464"/>
            <a:gd name="connsiteY5" fmla="*/ 0 h 590550"/>
            <a:gd name="connsiteX6" fmla="*/ 19050 w 639464"/>
            <a:gd name="connsiteY6" fmla="*/ 6350 h 590550"/>
            <a:gd name="connsiteX0" fmla="*/ 19050 w 639464"/>
            <a:gd name="connsiteY0" fmla="*/ 6350 h 590550"/>
            <a:gd name="connsiteX1" fmla="*/ 0 w 639464"/>
            <a:gd name="connsiteY1" fmla="*/ 590550 h 590550"/>
            <a:gd name="connsiteX2" fmla="*/ 284904 w 639464"/>
            <a:gd name="connsiteY2" fmla="*/ 588772 h 590550"/>
            <a:gd name="connsiteX3" fmla="*/ 283366 w 639464"/>
            <a:gd name="connsiteY3" fmla="*/ 370324 h 590550"/>
            <a:gd name="connsiteX4" fmla="*/ 639464 w 639464"/>
            <a:gd name="connsiteY4" fmla="*/ 361182 h 590550"/>
            <a:gd name="connsiteX5" fmla="*/ 635000 w 639464"/>
            <a:gd name="connsiteY5" fmla="*/ 0 h 590550"/>
            <a:gd name="connsiteX6" fmla="*/ 19050 w 639464"/>
            <a:gd name="connsiteY6" fmla="*/ 6350 h 590550"/>
            <a:gd name="connsiteX0" fmla="*/ 19050 w 635000"/>
            <a:gd name="connsiteY0" fmla="*/ 6350 h 590550"/>
            <a:gd name="connsiteX1" fmla="*/ 0 w 635000"/>
            <a:gd name="connsiteY1" fmla="*/ 590550 h 590550"/>
            <a:gd name="connsiteX2" fmla="*/ 284904 w 635000"/>
            <a:gd name="connsiteY2" fmla="*/ 588772 h 590550"/>
            <a:gd name="connsiteX3" fmla="*/ 283366 w 635000"/>
            <a:gd name="connsiteY3" fmla="*/ 370324 h 590550"/>
            <a:gd name="connsiteX4" fmla="*/ 621607 w 635000"/>
            <a:gd name="connsiteY4" fmla="*/ 352041 h 590550"/>
            <a:gd name="connsiteX5" fmla="*/ 635000 w 635000"/>
            <a:gd name="connsiteY5" fmla="*/ 0 h 590550"/>
            <a:gd name="connsiteX6" fmla="*/ 19050 w 635000"/>
            <a:gd name="connsiteY6" fmla="*/ 6350 h 590550"/>
            <a:gd name="connsiteX0" fmla="*/ 19050 w 623839"/>
            <a:gd name="connsiteY0" fmla="*/ 0 h 584200"/>
            <a:gd name="connsiteX1" fmla="*/ 0 w 623839"/>
            <a:gd name="connsiteY1" fmla="*/ 584200 h 584200"/>
            <a:gd name="connsiteX2" fmla="*/ 284904 w 623839"/>
            <a:gd name="connsiteY2" fmla="*/ 582422 h 584200"/>
            <a:gd name="connsiteX3" fmla="*/ 283366 w 623839"/>
            <a:gd name="connsiteY3" fmla="*/ 363974 h 584200"/>
            <a:gd name="connsiteX4" fmla="*/ 621607 w 623839"/>
            <a:gd name="connsiteY4" fmla="*/ 345691 h 584200"/>
            <a:gd name="connsiteX5" fmla="*/ 623839 w 623839"/>
            <a:gd name="connsiteY5" fmla="*/ 2791 h 584200"/>
            <a:gd name="connsiteX6" fmla="*/ 19050 w 623839"/>
            <a:gd name="connsiteY6" fmla="*/ 0 h 584200"/>
            <a:gd name="connsiteX0" fmla="*/ 19050 w 623839"/>
            <a:gd name="connsiteY0" fmla="*/ 0 h 584200"/>
            <a:gd name="connsiteX1" fmla="*/ 0 w 623839"/>
            <a:gd name="connsiteY1" fmla="*/ 584200 h 584200"/>
            <a:gd name="connsiteX2" fmla="*/ 284904 w 623839"/>
            <a:gd name="connsiteY2" fmla="*/ 582422 h 584200"/>
            <a:gd name="connsiteX3" fmla="*/ 283366 w 623839"/>
            <a:gd name="connsiteY3" fmla="*/ 363974 h 584200"/>
            <a:gd name="connsiteX4" fmla="*/ 621607 w 623839"/>
            <a:gd name="connsiteY4" fmla="*/ 357117 h 584200"/>
            <a:gd name="connsiteX5" fmla="*/ 623839 w 623839"/>
            <a:gd name="connsiteY5" fmla="*/ 2791 h 584200"/>
            <a:gd name="connsiteX6" fmla="*/ 19050 w 623839"/>
            <a:gd name="connsiteY6" fmla="*/ 0 h 584200"/>
            <a:gd name="connsiteX0" fmla="*/ 0 w 604789"/>
            <a:gd name="connsiteY0" fmla="*/ 0 h 590345"/>
            <a:gd name="connsiteX1" fmla="*/ 4255 w 604789"/>
            <a:gd name="connsiteY1" fmla="*/ 590345 h 590345"/>
            <a:gd name="connsiteX2" fmla="*/ 265854 w 604789"/>
            <a:gd name="connsiteY2" fmla="*/ 582422 h 590345"/>
            <a:gd name="connsiteX3" fmla="*/ 264316 w 604789"/>
            <a:gd name="connsiteY3" fmla="*/ 363974 h 590345"/>
            <a:gd name="connsiteX4" fmla="*/ 602557 w 604789"/>
            <a:gd name="connsiteY4" fmla="*/ 357117 h 590345"/>
            <a:gd name="connsiteX5" fmla="*/ 604789 w 604789"/>
            <a:gd name="connsiteY5" fmla="*/ 2791 h 590345"/>
            <a:gd name="connsiteX6" fmla="*/ 0 w 604789"/>
            <a:gd name="connsiteY6" fmla="*/ 0 h 590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04789" h="590345">
              <a:moveTo>
                <a:pt x="0" y="0"/>
              </a:moveTo>
              <a:cubicBezTo>
                <a:pt x="1418" y="196782"/>
                <a:pt x="2837" y="393563"/>
                <a:pt x="4255" y="590345"/>
              </a:cubicBezTo>
              <a:lnTo>
                <a:pt x="265854" y="582422"/>
              </a:lnTo>
              <a:cubicBezTo>
                <a:pt x="265341" y="509606"/>
                <a:pt x="264829" y="436790"/>
                <a:pt x="264316" y="363974"/>
              </a:cubicBezTo>
              <a:lnTo>
                <a:pt x="602557" y="357117"/>
              </a:lnTo>
              <a:lnTo>
                <a:pt x="604789" y="2791"/>
              </a:lnTo>
              <a:lnTo>
                <a:pt x="0" y="0"/>
              </a:lnTo>
              <a:close/>
            </a:path>
          </a:pathLst>
        </a:custGeom>
        <a:noFill/>
        <a:ln w="1270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524262</xdr:colOff>
      <xdr:row>739</xdr:row>
      <xdr:rowOff>65136</xdr:rowOff>
    </xdr:from>
    <xdr:to>
      <xdr:col>2</xdr:col>
      <xdr:colOff>339960</xdr:colOff>
      <xdr:row>742</xdr:row>
      <xdr:rowOff>46974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1286262" y="57925181"/>
          <a:ext cx="612334" cy="579316"/>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381670</xdr:colOff>
      <xdr:row>737</xdr:row>
      <xdr:rowOff>175205</xdr:rowOff>
    </xdr:from>
    <xdr:to>
      <xdr:col>3</xdr:col>
      <xdr:colOff>289778</xdr:colOff>
      <xdr:row>739</xdr:row>
      <xdr:rowOff>23108</xdr:rowOff>
    </xdr:to>
    <xdr:sp macro="" textlink="">
      <xdr:nvSpPr>
        <xdr:cNvPr id="26" name="TextBox 31">
          <a:extLst>
            <a:ext uri="{FF2B5EF4-FFF2-40B4-BE49-F238E27FC236}">
              <a16:creationId xmlns:a16="http://schemas.microsoft.com/office/drawing/2014/main" id="{00000000-0008-0000-0000-00001A000000}"/>
            </a:ext>
          </a:extLst>
        </xdr:cNvPr>
        <xdr:cNvSpPr txBox="1"/>
      </xdr:nvSpPr>
      <xdr:spPr>
        <a:xfrm>
          <a:off x="1940306" y="57636932"/>
          <a:ext cx="756699"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I</a:t>
          </a:r>
        </a:p>
      </xdr:txBody>
    </xdr:sp>
    <xdr:clientData/>
  </xdr:twoCellAnchor>
  <xdr:twoCellAnchor>
    <xdr:from>
      <xdr:col>1</xdr:col>
      <xdr:colOff>533828</xdr:colOff>
      <xdr:row>737</xdr:row>
      <xdr:rowOff>192973</xdr:rowOff>
    </xdr:from>
    <xdr:to>
      <xdr:col>2</xdr:col>
      <xdr:colOff>493891</xdr:colOff>
      <xdr:row>739</xdr:row>
      <xdr:rowOff>40876</xdr:rowOff>
    </xdr:to>
    <xdr:sp macro="" textlink="">
      <xdr:nvSpPr>
        <xdr:cNvPr id="27" name="TextBox 32">
          <a:extLst>
            <a:ext uri="{FF2B5EF4-FFF2-40B4-BE49-F238E27FC236}">
              <a16:creationId xmlns:a16="http://schemas.microsoft.com/office/drawing/2014/main" id="{00000000-0008-0000-0000-00001B000000}"/>
            </a:ext>
          </a:extLst>
        </xdr:cNvPr>
        <xdr:cNvSpPr txBox="1"/>
      </xdr:nvSpPr>
      <xdr:spPr>
        <a:xfrm>
          <a:off x="1295828" y="57654700"/>
          <a:ext cx="756699"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J</a:t>
          </a:r>
        </a:p>
      </xdr:txBody>
    </xdr:sp>
    <xdr:clientData/>
  </xdr:twoCellAnchor>
  <xdr:twoCellAnchor>
    <xdr:from>
      <xdr:col>0</xdr:col>
      <xdr:colOff>655301</xdr:colOff>
      <xdr:row>737</xdr:row>
      <xdr:rowOff>192973</xdr:rowOff>
    </xdr:from>
    <xdr:to>
      <xdr:col>1</xdr:col>
      <xdr:colOff>650000</xdr:colOff>
      <xdr:row>739</xdr:row>
      <xdr:rowOff>40876</xdr:rowOff>
    </xdr:to>
    <xdr:sp macro="" textlink="">
      <xdr:nvSpPr>
        <xdr:cNvPr id="28" name="TextBox 33">
          <a:extLst>
            <a:ext uri="{FF2B5EF4-FFF2-40B4-BE49-F238E27FC236}">
              <a16:creationId xmlns:a16="http://schemas.microsoft.com/office/drawing/2014/main" id="{00000000-0008-0000-0000-00001C000000}"/>
            </a:ext>
          </a:extLst>
        </xdr:cNvPr>
        <xdr:cNvSpPr txBox="1"/>
      </xdr:nvSpPr>
      <xdr:spPr>
        <a:xfrm>
          <a:off x="655301" y="57654700"/>
          <a:ext cx="756699"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K</a:t>
          </a:r>
        </a:p>
      </xdr:txBody>
    </xdr:sp>
    <xdr:clientData/>
  </xdr:twoCellAnchor>
  <xdr:twoCellAnchor>
    <xdr:from>
      <xdr:col>0</xdr:col>
      <xdr:colOff>655299</xdr:colOff>
      <xdr:row>742</xdr:row>
      <xdr:rowOff>61551</xdr:rowOff>
    </xdr:from>
    <xdr:to>
      <xdr:col>1</xdr:col>
      <xdr:colOff>505188</xdr:colOff>
      <xdr:row>744</xdr:row>
      <xdr:rowOff>145974</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rot="5400000">
          <a:off x="719873" y="58454500"/>
          <a:ext cx="482741" cy="611889"/>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0</xdr:col>
      <xdr:colOff>655299</xdr:colOff>
      <xdr:row>744</xdr:row>
      <xdr:rowOff>174159</xdr:rowOff>
    </xdr:from>
    <xdr:to>
      <xdr:col>1</xdr:col>
      <xdr:colOff>505188</xdr:colOff>
      <xdr:row>747</xdr:row>
      <xdr:rowOff>27850</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rot="5400000">
          <a:off x="735660" y="58949639"/>
          <a:ext cx="451168" cy="611889"/>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0</xdr:col>
      <xdr:colOff>655297</xdr:colOff>
      <xdr:row>747</xdr:row>
      <xdr:rowOff>49439</xdr:rowOff>
    </xdr:from>
    <xdr:to>
      <xdr:col>1</xdr:col>
      <xdr:colOff>505186</xdr:colOff>
      <xdr:row>749</xdr:row>
      <xdr:rowOff>121048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rot="5400000">
          <a:off x="726278" y="59431776"/>
          <a:ext cx="469927" cy="611889"/>
        </a:xfrm>
        <a:prstGeom prst="rect">
          <a:avLst/>
        </a:prstGeom>
        <a:noFill/>
        <a:ln w="19050">
          <a:solidFill>
            <a:srgbClr val="80008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0</xdr:col>
      <xdr:colOff>473359</xdr:colOff>
      <xdr:row>741</xdr:row>
      <xdr:rowOff>14936</xdr:rowOff>
    </xdr:from>
    <xdr:to>
      <xdr:col>0</xdr:col>
      <xdr:colOff>719580</xdr:colOff>
      <xdr:row>744</xdr:row>
      <xdr:rowOff>174158</xdr:rowOff>
    </xdr:to>
    <xdr:sp macro="" textlink="">
      <xdr:nvSpPr>
        <xdr:cNvPr id="32" name="TextBox 41">
          <a:extLst>
            <a:ext uri="{FF2B5EF4-FFF2-40B4-BE49-F238E27FC236}">
              <a16:creationId xmlns:a16="http://schemas.microsoft.com/office/drawing/2014/main" id="{00000000-0008-0000-0000-000020000000}"/>
            </a:ext>
          </a:extLst>
        </xdr:cNvPr>
        <xdr:cNvSpPr txBox="1"/>
      </xdr:nvSpPr>
      <xdr:spPr>
        <a:xfrm rot="16200000">
          <a:off x="218120" y="58528539"/>
          <a:ext cx="756699"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L</a:t>
          </a:r>
        </a:p>
      </xdr:txBody>
    </xdr:sp>
    <xdr:clientData/>
  </xdr:twoCellAnchor>
  <xdr:twoCellAnchor>
    <xdr:from>
      <xdr:col>0</xdr:col>
      <xdr:colOff>460999</xdr:colOff>
      <xdr:row>746</xdr:row>
      <xdr:rowOff>192104</xdr:rowOff>
    </xdr:from>
    <xdr:to>
      <xdr:col>0</xdr:col>
      <xdr:colOff>707220</xdr:colOff>
      <xdr:row>750</xdr:row>
      <xdr:rowOff>36866</xdr:rowOff>
    </xdr:to>
    <xdr:sp macro="" textlink="">
      <xdr:nvSpPr>
        <xdr:cNvPr id="33" name="TextBox 42">
          <a:extLst>
            <a:ext uri="{FF2B5EF4-FFF2-40B4-BE49-F238E27FC236}">
              <a16:creationId xmlns:a16="http://schemas.microsoft.com/office/drawing/2014/main" id="{00000000-0008-0000-0000-000021000000}"/>
            </a:ext>
          </a:extLst>
        </xdr:cNvPr>
        <xdr:cNvSpPr txBox="1"/>
      </xdr:nvSpPr>
      <xdr:spPr>
        <a:xfrm rot="16200000">
          <a:off x="263411" y="59643851"/>
          <a:ext cx="641398"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N</a:t>
          </a:r>
        </a:p>
      </xdr:txBody>
    </xdr:sp>
    <xdr:clientData/>
  </xdr:twoCellAnchor>
  <xdr:twoCellAnchor>
    <xdr:from>
      <xdr:col>0</xdr:col>
      <xdr:colOff>466401</xdr:colOff>
      <xdr:row>738</xdr:row>
      <xdr:rowOff>144142</xdr:rowOff>
    </xdr:from>
    <xdr:to>
      <xdr:col>0</xdr:col>
      <xdr:colOff>712622</xdr:colOff>
      <xdr:row>747</xdr:row>
      <xdr:rowOff>147738</xdr:rowOff>
    </xdr:to>
    <xdr:sp macro="" textlink="">
      <xdr:nvSpPr>
        <xdr:cNvPr id="34" name="TextBox 43">
          <a:extLst>
            <a:ext uri="{FF2B5EF4-FFF2-40B4-BE49-F238E27FC236}">
              <a16:creationId xmlns:a16="http://schemas.microsoft.com/office/drawing/2014/main" id="{00000000-0008-0000-0000-000022000000}"/>
            </a:ext>
          </a:extLst>
        </xdr:cNvPr>
        <xdr:cNvSpPr txBox="1"/>
      </xdr:nvSpPr>
      <xdr:spPr>
        <a:xfrm rot="16200000">
          <a:off x="-308502" y="58579931"/>
          <a:ext cx="1796028"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800080"/>
              </a:solidFill>
            </a:rPr>
            <a:t>Wing M </a:t>
          </a:r>
        </a:p>
      </xdr:txBody>
    </xdr:sp>
    <xdr:clientData/>
  </xdr:twoCellAnchor>
  <xdr:twoCellAnchor editAs="oneCell">
    <xdr:from>
      <xdr:col>8</xdr:col>
      <xdr:colOff>428625</xdr:colOff>
      <xdr:row>56</xdr:row>
      <xdr:rowOff>47625</xdr:rowOff>
    </xdr:from>
    <xdr:to>
      <xdr:col>12</xdr:col>
      <xdr:colOff>267143</xdr:colOff>
      <xdr:row>58</xdr:row>
      <xdr:rowOff>419209</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4"/>
        <a:stretch>
          <a:fillRect/>
        </a:stretch>
      </xdr:blipFill>
      <xdr:spPr>
        <a:xfrm>
          <a:off x="6896100" y="13154025"/>
          <a:ext cx="3172268" cy="771633"/>
        </a:xfrm>
        <a:prstGeom prst="rect">
          <a:avLst/>
        </a:prstGeom>
      </xdr:spPr>
    </xdr:pic>
    <xdr:clientData/>
  </xdr:twoCellAnchor>
  <xdr:twoCellAnchor editAs="oneCell">
    <xdr:from>
      <xdr:col>9</xdr:col>
      <xdr:colOff>89647</xdr:colOff>
      <xdr:row>287</xdr:row>
      <xdr:rowOff>56029</xdr:rowOff>
    </xdr:from>
    <xdr:to>
      <xdr:col>11</xdr:col>
      <xdr:colOff>22047</xdr:colOff>
      <xdr:row>300</xdr:row>
      <xdr:rowOff>158383</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a:stretch>
          <a:fillRect/>
        </a:stretch>
      </xdr:blipFill>
      <xdr:spPr>
        <a:xfrm>
          <a:off x="7732059" y="33628853"/>
          <a:ext cx="1400370" cy="2724530"/>
        </a:xfrm>
        <a:prstGeom prst="rect">
          <a:avLst/>
        </a:prstGeom>
      </xdr:spPr>
    </xdr:pic>
    <xdr:clientData/>
  </xdr:twoCellAnchor>
  <xdr:twoCellAnchor editAs="oneCell">
    <xdr:from>
      <xdr:col>10</xdr:col>
      <xdr:colOff>122784</xdr:colOff>
      <xdr:row>420</xdr:row>
      <xdr:rowOff>287029</xdr:rowOff>
    </xdr:from>
    <xdr:to>
      <xdr:col>13</xdr:col>
      <xdr:colOff>79707</xdr:colOff>
      <xdr:row>435</xdr:row>
      <xdr:rowOff>45840</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6"/>
        <a:stretch>
          <a:fillRect/>
        </a:stretch>
      </xdr:blipFill>
      <xdr:spPr>
        <a:xfrm>
          <a:off x="8527196" y="54232147"/>
          <a:ext cx="2164482" cy="3187812"/>
        </a:xfrm>
        <a:prstGeom prst="rect">
          <a:avLst/>
        </a:prstGeom>
      </xdr:spPr>
    </xdr:pic>
    <xdr:clientData/>
  </xdr:twoCellAnchor>
  <xdr:twoCellAnchor editAs="oneCell">
    <xdr:from>
      <xdr:col>8</xdr:col>
      <xdr:colOff>1137958</xdr:colOff>
      <xdr:row>301</xdr:row>
      <xdr:rowOff>56590</xdr:rowOff>
    </xdr:from>
    <xdr:to>
      <xdr:col>11</xdr:col>
      <xdr:colOff>423850</xdr:colOff>
      <xdr:row>316</xdr:row>
      <xdr:rowOff>37956</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7"/>
        <a:stretch>
          <a:fillRect/>
        </a:stretch>
      </xdr:blipFill>
      <xdr:spPr>
        <a:xfrm>
          <a:off x="7614958" y="36453296"/>
          <a:ext cx="1919274" cy="3006954"/>
        </a:xfrm>
        <a:prstGeom prst="rect">
          <a:avLst/>
        </a:prstGeom>
      </xdr:spPr>
    </xdr:pic>
    <xdr:clientData/>
  </xdr:twoCellAnchor>
  <xdr:twoCellAnchor editAs="oneCell">
    <xdr:from>
      <xdr:col>11</xdr:col>
      <xdr:colOff>34403</xdr:colOff>
      <xdr:row>437</xdr:row>
      <xdr:rowOff>118552</xdr:rowOff>
    </xdr:from>
    <xdr:to>
      <xdr:col>15</xdr:col>
      <xdr:colOff>639230</xdr:colOff>
      <xdr:row>462</xdr:row>
      <xdr:rowOff>120015</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a:stretch>
          <a:fillRect/>
        </a:stretch>
      </xdr:blipFill>
      <xdr:spPr>
        <a:xfrm>
          <a:off x="9144785" y="65964317"/>
          <a:ext cx="3608004" cy="5077728"/>
        </a:xfrm>
        <a:prstGeom prst="rect">
          <a:avLst/>
        </a:prstGeom>
      </xdr:spPr>
    </xdr:pic>
    <xdr:clientData/>
  </xdr:twoCellAnchor>
  <xdr:twoCellAnchor editAs="oneCell">
    <xdr:from>
      <xdr:col>8</xdr:col>
      <xdr:colOff>728027</xdr:colOff>
      <xdr:row>333</xdr:row>
      <xdr:rowOff>8504</xdr:rowOff>
    </xdr:from>
    <xdr:to>
      <xdr:col>11</xdr:col>
      <xdr:colOff>618720</xdr:colOff>
      <xdr:row>344</xdr:row>
      <xdr:rowOff>136043</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a:stretch>
          <a:fillRect/>
        </a:stretch>
      </xdr:blipFill>
      <xdr:spPr>
        <a:xfrm>
          <a:off x="7205027" y="42859798"/>
          <a:ext cx="2524075" cy="2346305"/>
        </a:xfrm>
        <a:prstGeom prst="rect">
          <a:avLst/>
        </a:prstGeom>
      </xdr:spPr>
    </xdr:pic>
    <xdr:clientData/>
  </xdr:twoCellAnchor>
  <xdr:twoCellAnchor editAs="oneCell">
    <xdr:from>
      <xdr:col>15</xdr:col>
      <xdr:colOff>367393</xdr:colOff>
      <xdr:row>447</xdr:row>
      <xdr:rowOff>68036</xdr:rowOff>
    </xdr:from>
    <xdr:to>
      <xdr:col>21</xdr:col>
      <xdr:colOff>130179</xdr:colOff>
      <xdr:row>456</xdr:row>
      <xdr:rowOff>181335</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0"/>
        <a:stretch>
          <a:fillRect/>
        </a:stretch>
      </xdr:blipFill>
      <xdr:spPr>
        <a:xfrm>
          <a:off x="12436929" y="54265286"/>
          <a:ext cx="3600000" cy="1950263"/>
        </a:xfrm>
        <a:prstGeom prst="rect">
          <a:avLst/>
        </a:prstGeom>
      </xdr:spPr>
    </xdr:pic>
    <xdr:clientData/>
  </xdr:twoCellAnchor>
  <xdr:twoCellAnchor editAs="oneCell">
    <xdr:from>
      <xdr:col>8</xdr:col>
      <xdr:colOff>347383</xdr:colOff>
      <xdr:row>346</xdr:row>
      <xdr:rowOff>145676</xdr:rowOff>
    </xdr:from>
    <xdr:to>
      <xdr:col>9</xdr:col>
      <xdr:colOff>725236</xdr:colOff>
      <xdr:row>356</xdr:row>
      <xdr:rowOff>148199</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1"/>
        <a:stretch>
          <a:fillRect/>
        </a:stretch>
      </xdr:blipFill>
      <xdr:spPr>
        <a:xfrm>
          <a:off x="6824383" y="47434500"/>
          <a:ext cx="1543265" cy="2019582"/>
        </a:xfrm>
        <a:prstGeom prst="rect">
          <a:avLst/>
        </a:prstGeom>
      </xdr:spPr>
    </xdr:pic>
    <xdr:clientData/>
  </xdr:twoCellAnchor>
  <xdr:twoCellAnchor editAs="oneCell">
    <xdr:from>
      <xdr:col>10</xdr:col>
      <xdr:colOff>507067</xdr:colOff>
      <xdr:row>488</xdr:row>
      <xdr:rowOff>127749</xdr:rowOff>
    </xdr:from>
    <xdr:to>
      <xdr:col>15</xdr:col>
      <xdr:colOff>39601</xdr:colOff>
      <xdr:row>499</xdr:row>
      <xdr:rowOff>61233</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a:stretch>
          <a:fillRect/>
        </a:stretch>
      </xdr:blipFill>
      <xdr:spPr>
        <a:xfrm>
          <a:off x="8911479" y="76294131"/>
          <a:ext cx="3241681" cy="2152249"/>
        </a:xfrm>
        <a:prstGeom prst="rect">
          <a:avLst/>
        </a:prstGeom>
      </xdr:spPr>
    </xdr:pic>
    <xdr:clientData/>
  </xdr:twoCellAnchor>
  <xdr:twoCellAnchor editAs="oneCell">
    <xdr:from>
      <xdr:col>8</xdr:col>
      <xdr:colOff>257175</xdr:colOff>
      <xdr:row>357</xdr:row>
      <xdr:rowOff>85725</xdr:rowOff>
    </xdr:from>
    <xdr:to>
      <xdr:col>9</xdr:col>
      <xdr:colOff>752706</xdr:colOff>
      <xdr:row>379</xdr:row>
      <xdr:rowOff>38709</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3"/>
        <a:stretch>
          <a:fillRect/>
        </a:stretch>
      </xdr:blipFill>
      <xdr:spPr>
        <a:xfrm>
          <a:off x="6724650" y="47453550"/>
          <a:ext cx="1657581" cy="4353533"/>
        </a:xfrm>
        <a:prstGeom prst="rect">
          <a:avLst/>
        </a:prstGeom>
      </xdr:spPr>
    </xdr:pic>
    <xdr:clientData/>
  </xdr:twoCellAnchor>
  <xdr:twoCellAnchor editAs="oneCell">
    <xdr:from>
      <xdr:col>9</xdr:col>
      <xdr:colOff>694202</xdr:colOff>
      <xdr:row>503</xdr:row>
      <xdr:rowOff>170570</xdr:rowOff>
    </xdr:from>
    <xdr:to>
      <xdr:col>13</xdr:col>
      <xdr:colOff>480633</xdr:colOff>
      <xdr:row>523</xdr:row>
      <xdr:rowOff>190184</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4"/>
        <a:stretch>
          <a:fillRect/>
        </a:stretch>
      </xdr:blipFill>
      <xdr:spPr>
        <a:xfrm>
          <a:off x="8323727" y="70779395"/>
          <a:ext cx="2748706" cy="4020112"/>
        </a:xfrm>
        <a:prstGeom prst="rect">
          <a:avLst/>
        </a:prstGeom>
      </xdr:spPr>
    </xdr:pic>
    <xdr:clientData/>
  </xdr:twoCellAnchor>
  <xdr:twoCellAnchor editAs="oneCell">
    <xdr:from>
      <xdr:col>8</xdr:col>
      <xdr:colOff>922242</xdr:colOff>
      <xdr:row>524</xdr:row>
      <xdr:rowOff>21855</xdr:rowOff>
    </xdr:from>
    <xdr:to>
      <xdr:col>11</xdr:col>
      <xdr:colOff>586946</xdr:colOff>
      <xdr:row>541</xdr:row>
      <xdr:rowOff>127120</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5"/>
        <a:stretch>
          <a:fillRect/>
        </a:stretch>
      </xdr:blipFill>
      <xdr:spPr>
        <a:xfrm>
          <a:off x="7399242" y="75381414"/>
          <a:ext cx="2298086" cy="3534264"/>
        </a:xfrm>
        <a:prstGeom prst="rect">
          <a:avLst/>
        </a:prstGeom>
      </xdr:spPr>
    </xdr:pic>
    <xdr:clientData/>
  </xdr:twoCellAnchor>
  <xdr:twoCellAnchor editAs="oneCell">
    <xdr:from>
      <xdr:col>8</xdr:col>
      <xdr:colOff>1143000</xdr:colOff>
      <xdr:row>380</xdr:row>
      <xdr:rowOff>56029</xdr:rowOff>
    </xdr:from>
    <xdr:to>
      <xdr:col>10</xdr:col>
      <xdr:colOff>655588</xdr:colOff>
      <xdr:row>392</xdr:row>
      <xdr:rowOff>31197</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6"/>
        <a:stretch>
          <a:fillRect/>
        </a:stretch>
      </xdr:blipFill>
      <xdr:spPr>
        <a:xfrm>
          <a:off x="7620000" y="52387500"/>
          <a:ext cx="1440000" cy="2395637"/>
        </a:xfrm>
        <a:prstGeom prst="rect">
          <a:avLst/>
        </a:prstGeom>
      </xdr:spPr>
    </xdr:pic>
    <xdr:clientData/>
  </xdr:twoCellAnchor>
  <xdr:twoCellAnchor editAs="oneCell">
    <xdr:from>
      <xdr:col>9</xdr:col>
      <xdr:colOff>649943</xdr:colOff>
      <xdr:row>551</xdr:row>
      <xdr:rowOff>44824</xdr:rowOff>
    </xdr:from>
    <xdr:to>
      <xdr:col>13</xdr:col>
      <xdr:colOff>281072</xdr:colOff>
      <xdr:row>561</xdr:row>
      <xdr:rowOff>28293</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7"/>
        <a:stretch>
          <a:fillRect/>
        </a:stretch>
      </xdr:blipFill>
      <xdr:spPr>
        <a:xfrm>
          <a:off x="8292355" y="88918677"/>
          <a:ext cx="2600688" cy="2000529"/>
        </a:xfrm>
        <a:prstGeom prst="rect">
          <a:avLst/>
        </a:prstGeom>
      </xdr:spPr>
    </xdr:pic>
    <xdr:clientData/>
  </xdr:twoCellAnchor>
  <xdr:twoCellAnchor editAs="oneCell">
    <xdr:from>
      <xdr:col>9</xdr:col>
      <xdr:colOff>201705</xdr:colOff>
      <xdr:row>560</xdr:row>
      <xdr:rowOff>145678</xdr:rowOff>
    </xdr:from>
    <xdr:to>
      <xdr:col>12</xdr:col>
      <xdr:colOff>187764</xdr:colOff>
      <xdr:row>568</xdr:row>
      <xdr:rowOff>101021</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8"/>
        <a:stretch>
          <a:fillRect/>
        </a:stretch>
      </xdr:blipFill>
      <xdr:spPr>
        <a:xfrm>
          <a:off x="7844117" y="90834884"/>
          <a:ext cx="2160000" cy="1568990"/>
        </a:xfrm>
        <a:prstGeom prst="rect">
          <a:avLst/>
        </a:prstGeom>
      </xdr:spPr>
    </xdr:pic>
    <xdr:clientData/>
  </xdr:twoCellAnchor>
  <xdr:twoCellAnchor editAs="oneCell">
    <xdr:from>
      <xdr:col>8</xdr:col>
      <xdr:colOff>1109383</xdr:colOff>
      <xdr:row>395</xdr:row>
      <xdr:rowOff>78441</xdr:rowOff>
    </xdr:from>
    <xdr:to>
      <xdr:col>10</xdr:col>
      <xdr:colOff>553762</xdr:colOff>
      <xdr:row>407</xdr:row>
      <xdr:rowOff>68131</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9"/>
        <a:stretch>
          <a:fillRect/>
        </a:stretch>
      </xdr:blipFill>
      <xdr:spPr>
        <a:xfrm>
          <a:off x="7586383" y="55435500"/>
          <a:ext cx="1371791" cy="2410161"/>
        </a:xfrm>
        <a:prstGeom prst="rect">
          <a:avLst/>
        </a:prstGeom>
      </xdr:spPr>
    </xdr:pic>
    <xdr:clientData/>
  </xdr:twoCellAnchor>
  <xdr:twoCellAnchor editAs="oneCell">
    <xdr:from>
      <xdr:col>10</xdr:col>
      <xdr:colOff>268943</xdr:colOff>
      <xdr:row>569</xdr:row>
      <xdr:rowOff>112060</xdr:rowOff>
    </xdr:from>
    <xdr:to>
      <xdr:col>13</xdr:col>
      <xdr:colOff>221384</xdr:colOff>
      <xdr:row>585</xdr:row>
      <xdr:rowOff>100219</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0"/>
        <a:stretch>
          <a:fillRect/>
        </a:stretch>
      </xdr:blipFill>
      <xdr:spPr>
        <a:xfrm>
          <a:off x="8673355" y="92616619"/>
          <a:ext cx="2160000" cy="3215454"/>
        </a:xfrm>
        <a:prstGeom prst="rect">
          <a:avLst/>
        </a:prstGeom>
      </xdr:spPr>
    </xdr:pic>
    <xdr:clientData/>
  </xdr:twoCellAnchor>
  <xdr:twoCellAnchor editAs="oneCell">
    <xdr:from>
      <xdr:col>8</xdr:col>
      <xdr:colOff>997324</xdr:colOff>
      <xdr:row>408</xdr:row>
      <xdr:rowOff>190500</xdr:rowOff>
    </xdr:from>
    <xdr:to>
      <xdr:col>10</xdr:col>
      <xdr:colOff>479809</xdr:colOff>
      <xdr:row>420</xdr:row>
      <xdr:rowOff>246876</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1"/>
        <a:stretch>
          <a:fillRect/>
        </a:stretch>
      </xdr:blipFill>
      <xdr:spPr>
        <a:xfrm>
          <a:off x="7474324" y="58169735"/>
          <a:ext cx="1409897" cy="2476846"/>
        </a:xfrm>
        <a:prstGeom prst="rect">
          <a:avLst/>
        </a:prstGeom>
      </xdr:spPr>
    </xdr:pic>
    <xdr:clientData/>
  </xdr:twoCellAnchor>
  <xdr:twoCellAnchor editAs="oneCell">
    <xdr:from>
      <xdr:col>9</xdr:col>
      <xdr:colOff>717176</xdr:colOff>
      <xdr:row>584</xdr:row>
      <xdr:rowOff>145678</xdr:rowOff>
    </xdr:from>
    <xdr:to>
      <xdr:col>13</xdr:col>
      <xdr:colOff>627617</xdr:colOff>
      <xdr:row>603</xdr:row>
      <xdr:rowOff>192610</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2"/>
        <a:stretch>
          <a:fillRect/>
        </a:stretch>
      </xdr:blipFill>
      <xdr:spPr>
        <a:xfrm>
          <a:off x="8359588" y="95675825"/>
          <a:ext cx="2880000" cy="3879344"/>
        </a:xfrm>
        <a:prstGeom prst="rect">
          <a:avLst/>
        </a:prstGeom>
      </xdr:spPr>
    </xdr:pic>
    <xdr:clientData/>
  </xdr:twoCellAnchor>
  <xdr:twoCellAnchor editAs="oneCell">
    <xdr:from>
      <xdr:col>8</xdr:col>
      <xdr:colOff>1154206</xdr:colOff>
      <xdr:row>604</xdr:row>
      <xdr:rowOff>156883</xdr:rowOff>
    </xdr:from>
    <xdr:to>
      <xdr:col>16</xdr:col>
      <xdr:colOff>353769</xdr:colOff>
      <xdr:row>615</xdr:row>
      <xdr:rowOff>176806</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3"/>
        <a:stretch>
          <a:fillRect/>
        </a:stretch>
      </xdr:blipFill>
      <xdr:spPr>
        <a:xfrm>
          <a:off x="7631206" y="102545030"/>
          <a:ext cx="5620534" cy="2238687"/>
        </a:xfrm>
        <a:prstGeom prst="rect">
          <a:avLst/>
        </a:prstGeom>
      </xdr:spPr>
    </xdr:pic>
    <xdr:clientData/>
  </xdr:twoCellAnchor>
  <xdr:twoCellAnchor editAs="oneCell">
    <xdr:from>
      <xdr:col>8</xdr:col>
      <xdr:colOff>459441</xdr:colOff>
      <xdr:row>264</xdr:row>
      <xdr:rowOff>11206</xdr:rowOff>
    </xdr:from>
    <xdr:to>
      <xdr:col>12</xdr:col>
      <xdr:colOff>120882</xdr:colOff>
      <xdr:row>275</xdr:row>
      <xdr:rowOff>126392</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4"/>
        <a:stretch>
          <a:fillRect/>
        </a:stretch>
      </xdr:blipFill>
      <xdr:spPr>
        <a:xfrm>
          <a:off x="6936441" y="32351382"/>
          <a:ext cx="3000794" cy="2333951"/>
        </a:xfrm>
        <a:prstGeom prst="rect">
          <a:avLst/>
        </a:prstGeom>
      </xdr:spPr>
    </xdr:pic>
    <xdr:clientData/>
  </xdr:twoCellAnchor>
  <xdr:twoCellAnchor>
    <xdr:from>
      <xdr:col>9</xdr:col>
      <xdr:colOff>0</xdr:colOff>
      <xdr:row>675</xdr:row>
      <xdr:rowOff>0</xdr:rowOff>
    </xdr:from>
    <xdr:to>
      <xdr:col>9</xdr:col>
      <xdr:colOff>377795</xdr:colOff>
      <xdr:row>676</xdr:row>
      <xdr:rowOff>46524</xdr:rowOff>
    </xdr:to>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8001000" y="137464800"/>
          <a:ext cx="377795" cy="24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0">
              <a:solidFill>
                <a:srgbClr val="FFFF00"/>
              </a:solidFill>
            </a:rPr>
            <a:t>3B</a:t>
          </a:r>
        </a:p>
      </xdr:txBody>
    </xdr:sp>
    <xdr:clientData/>
  </xdr:twoCellAnchor>
  <xdr:twoCellAnchor editAs="oneCell">
    <xdr:from>
      <xdr:col>0</xdr:col>
      <xdr:colOff>470647</xdr:colOff>
      <xdr:row>781</xdr:row>
      <xdr:rowOff>123265</xdr:rowOff>
    </xdr:from>
    <xdr:to>
      <xdr:col>7</xdr:col>
      <xdr:colOff>382193</xdr:colOff>
      <xdr:row>799</xdr:row>
      <xdr:rowOff>44824</xdr:rowOff>
    </xdr:to>
    <xdr:pic>
      <xdr:nvPicPr>
        <xdr:cNvPr id="38" name="Picture 37">
          <a:extLst>
            <a:ext uri="{FF2B5EF4-FFF2-40B4-BE49-F238E27FC236}">
              <a16:creationId xmlns:a16="http://schemas.microsoft.com/office/drawing/2014/main" id="{F9F771F8-31E3-027D-908F-F7B2E2B0E66D}"/>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70647" y="162306000"/>
          <a:ext cx="5592928" cy="3552265"/>
        </a:xfrm>
        <a:prstGeom prst="rect">
          <a:avLst/>
        </a:prstGeom>
        <a:ln>
          <a:solidFill>
            <a:sysClr val="windowText" lastClr="000000"/>
          </a:solidFill>
        </a:ln>
      </xdr:spPr>
    </xdr:pic>
    <xdr:clientData/>
  </xdr:twoCellAnchor>
  <xdr:twoCellAnchor editAs="oneCell">
    <xdr:from>
      <xdr:col>0</xdr:col>
      <xdr:colOff>272196</xdr:colOff>
      <xdr:row>687</xdr:row>
      <xdr:rowOff>148244</xdr:rowOff>
    </xdr:from>
    <xdr:to>
      <xdr:col>3</xdr:col>
      <xdr:colOff>742931</xdr:colOff>
      <xdr:row>698</xdr:row>
      <xdr:rowOff>89479</xdr:rowOff>
    </xdr:to>
    <xdr:pic>
      <xdr:nvPicPr>
        <xdr:cNvPr id="39" name="Picture 38">
          <a:extLst>
            <a:ext uri="{FF2B5EF4-FFF2-40B4-BE49-F238E27FC236}">
              <a16:creationId xmlns:a16="http://schemas.microsoft.com/office/drawing/2014/main" id="{F22E3346-BEC5-8B7D-E0B1-BD894A842EA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72196" y="143370626"/>
          <a:ext cx="2880000" cy="2160000"/>
        </a:xfrm>
        <a:prstGeom prst="rect">
          <a:avLst/>
        </a:prstGeom>
        <a:ln>
          <a:solidFill>
            <a:schemeClr val="tx1"/>
          </a:solidFill>
        </a:ln>
      </xdr:spPr>
    </xdr:pic>
    <xdr:clientData/>
  </xdr:twoCellAnchor>
  <xdr:twoCellAnchor editAs="oneCell">
    <xdr:from>
      <xdr:col>3</xdr:col>
      <xdr:colOff>911789</xdr:colOff>
      <xdr:row>676</xdr:row>
      <xdr:rowOff>44825</xdr:rowOff>
    </xdr:from>
    <xdr:to>
      <xdr:col>7</xdr:col>
      <xdr:colOff>519672</xdr:colOff>
      <xdr:row>686</xdr:row>
      <xdr:rowOff>187767</xdr:rowOff>
    </xdr:to>
    <xdr:pic>
      <xdr:nvPicPr>
        <xdr:cNvPr id="41" name="Picture 40">
          <a:extLst>
            <a:ext uri="{FF2B5EF4-FFF2-40B4-BE49-F238E27FC236}">
              <a16:creationId xmlns:a16="http://schemas.microsoft.com/office/drawing/2014/main" id="{27E4F48D-08FE-0F49-762F-409836F34D06}"/>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321054" y="141048443"/>
          <a:ext cx="2880000" cy="2160000"/>
        </a:xfrm>
        <a:prstGeom prst="rect">
          <a:avLst/>
        </a:prstGeom>
        <a:ln>
          <a:solidFill>
            <a:schemeClr val="tx1"/>
          </a:solidFill>
        </a:ln>
      </xdr:spPr>
    </xdr:pic>
    <xdr:clientData/>
  </xdr:twoCellAnchor>
  <xdr:twoCellAnchor editAs="oneCell">
    <xdr:from>
      <xdr:col>0</xdr:col>
      <xdr:colOff>268942</xdr:colOff>
      <xdr:row>699</xdr:row>
      <xdr:rowOff>63271</xdr:rowOff>
    </xdr:from>
    <xdr:to>
      <xdr:col>3</xdr:col>
      <xdr:colOff>742681</xdr:colOff>
      <xdr:row>710</xdr:row>
      <xdr:rowOff>4506</xdr:rowOff>
    </xdr:to>
    <xdr:pic>
      <xdr:nvPicPr>
        <xdr:cNvPr id="42" name="Picture 41">
          <a:extLst>
            <a:ext uri="{FF2B5EF4-FFF2-40B4-BE49-F238E27FC236}">
              <a16:creationId xmlns:a16="http://schemas.microsoft.com/office/drawing/2014/main" id="{17B1D684-EAAC-8FBF-4B85-518E17E39C87}"/>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68942" y="145706124"/>
          <a:ext cx="2883004" cy="2160000"/>
        </a:xfrm>
        <a:prstGeom prst="rect">
          <a:avLst/>
        </a:prstGeom>
        <a:ln>
          <a:solidFill>
            <a:schemeClr val="tx1"/>
          </a:solidFill>
        </a:ln>
      </xdr:spPr>
    </xdr:pic>
    <xdr:clientData/>
  </xdr:twoCellAnchor>
  <xdr:twoCellAnchor editAs="oneCell">
    <xdr:from>
      <xdr:col>3</xdr:col>
      <xdr:colOff>922995</xdr:colOff>
      <xdr:row>699</xdr:row>
      <xdr:rowOff>63271</xdr:rowOff>
    </xdr:from>
    <xdr:to>
      <xdr:col>7</xdr:col>
      <xdr:colOff>530878</xdr:colOff>
      <xdr:row>710</xdr:row>
      <xdr:rowOff>4506</xdr:rowOff>
    </xdr:to>
    <xdr:pic>
      <xdr:nvPicPr>
        <xdr:cNvPr id="43" name="Picture 42">
          <a:extLst>
            <a:ext uri="{FF2B5EF4-FFF2-40B4-BE49-F238E27FC236}">
              <a16:creationId xmlns:a16="http://schemas.microsoft.com/office/drawing/2014/main" id="{D7AB9765-29E3-7319-B4BC-C5BBF196FB9B}"/>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332260" y="145706124"/>
          <a:ext cx="2880000" cy="2160000"/>
        </a:xfrm>
        <a:prstGeom prst="rect">
          <a:avLst/>
        </a:prstGeom>
        <a:ln>
          <a:solidFill>
            <a:schemeClr val="tx1"/>
          </a:solidFill>
        </a:ln>
      </xdr:spPr>
    </xdr:pic>
    <xdr:clientData/>
  </xdr:twoCellAnchor>
  <xdr:oneCellAnchor>
    <xdr:from>
      <xdr:col>4</xdr:col>
      <xdr:colOff>449093</xdr:colOff>
      <xdr:row>680</xdr:row>
      <xdr:rowOff>2</xdr:rowOff>
    </xdr:from>
    <xdr:ext cx="293285" cy="342786"/>
    <xdr:sp macro="" textlink="">
      <xdr:nvSpPr>
        <xdr:cNvPr id="68" name="TextBox 67">
          <a:extLst>
            <a:ext uri="{FF2B5EF4-FFF2-40B4-BE49-F238E27FC236}">
              <a16:creationId xmlns:a16="http://schemas.microsoft.com/office/drawing/2014/main" id="{8677480B-CB49-4A90-B10B-EE71EC949E33}"/>
            </a:ext>
          </a:extLst>
        </xdr:cNvPr>
        <xdr:cNvSpPr txBox="1"/>
      </xdr:nvSpPr>
      <xdr:spPr>
        <a:xfrm>
          <a:off x="3799652" y="141810443"/>
          <a:ext cx="29328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C</a:t>
          </a:r>
        </a:p>
      </xdr:txBody>
    </xdr:sp>
    <xdr:clientData/>
  </xdr:oneCellAnchor>
  <xdr:oneCellAnchor>
    <xdr:from>
      <xdr:col>5</xdr:col>
      <xdr:colOff>373907</xdr:colOff>
      <xdr:row>680</xdr:row>
      <xdr:rowOff>22416</xdr:rowOff>
    </xdr:from>
    <xdr:ext cx="299697" cy="342786"/>
    <xdr:sp macro="" textlink="">
      <xdr:nvSpPr>
        <xdr:cNvPr id="69" name="TextBox 68">
          <a:extLst>
            <a:ext uri="{FF2B5EF4-FFF2-40B4-BE49-F238E27FC236}">
              <a16:creationId xmlns:a16="http://schemas.microsoft.com/office/drawing/2014/main" id="{7AD9067E-EAEB-464F-86ED-FFC099467988}"/>
            </a:ext>
          </a:extLst>
        </xdr:cNvPr>
        <xdr:cNvSpPr txBox="1"/>
      </xdr:nvSpPr>
      <xdr:spPr>
        <a:xfrm>
          <a:off x="4508878" y="141832857"/>
          <a:ext cx="29969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B</a:t>
          </a:r>
        </a:p>
      </xdr:txBody>
    </xdr:sp>
    <xdr:clientData/>
  </xdr:oneCellAnchor>
  <xdr:oneCellAnchor>
    <xdr:from>
      <xdr:col>6</xdr:col>
      <xdr:colOff>317878</xdr:colOff>
      <xdr:row>679</xdr:row>
      <xdr:rowOff>3</xdr:rowOff>
    </xdr:from>
    <xdr:ext cx="308995" cy="342786"/>
    <xdr:sp macro="" textlink="">
      <xdr:nvSpPr>
        <xdr:cNvPr id="70" name="TextBox 69">
          <a:extLst>
            <a:ext uri="{FF2B5EF4-FFF2-40B4-BE49-F238E27FC236}">
              <a16:creationId xmlns:a16="http://schemas.microsoft.com/office/drawing/2014/main" id="{99CEB23F-298A-4388-8675-A794BFCB2320}"/>
            </a:ext>
          </a:extLst>
        </xdr:cNvPr>
        <xdr:cNvSpPr txBox="1"/>
      </xdr:nvSpPr>
      <xdr:spPr>
        <a:xfrm>
          <a:off x="5237260" y="141608738"/>
          <a:ext cx="30899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A</a:t>
          </a:r>
        </a:p>
      </xdr:txBody>
    </xdr:sp>
    <xdr:clientData/>
  </xdr:oneCellAnchor>
  <xdr:oneCellAnchor>
    <xdr:from>
      <xdr:col>3</xdr:col>
      <xdr:colOff>160137</xdr:colOff>
      <xdr:row>687</xdr:row>
      <xdr:rowOff>159450</xdr:rowOff>
    </xdr:from>
    <xdr:ext cx="313997" cy="342786"/>
    <xdr:sp macro="" textlink="">
      <xdr:nvSpPr>
        <xdr:cNvPr id="73" name="TextBox 72">
          <a:extLst>
            <a:ext uri="{FF2B5EF4-FFF2-40B4-BE49-F238E27FC236}">
              <a16:creationId xmlns:a16="http://schemas.microsoft.com/office/drawing/2014/main" id="{22AF6910-D627-4C4C-8C0B-DF6DCBB95028}"/>
            </a:ext>
          </a:extLst>
        </xdr:cNvPr>
        <xdr:cNvSpPr txBox="1"/>
      </xdr:nvSpPr>
      <xdr:spPr>
        <a:xfrm>
          <a:off x="2569402" y="143381832"/>
          <a:ext cx="31399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D</a:t>
          </a:r>
        </a:p>
      </xdr:txBody>
    </xdr:sp>
    <xdr:clientData/>
  </xdr:oneCellAnchor>
  <xdr:twoCellAnchor>
    <xdr:from>
      <xdr:col>0</xdr:col>
      <xdr:colOff>260990</xdr:colOff>
      <xdr:row>676</xdr:row>
      <xdr:rowOff>44824</xdr:rowOff>
    </xdr:from>
    <xdr:to>
      <xdr:col>3</xdr:col>
      <xdr:colOff>731725</xdr:colOff>
      <xdr:row>686</xdr:row>
      <xdr:rowOff>187766</xdr:rowOff>
    </xdr:to>
    <xdr:grpSp>
      <xdr:nvGrpSpPr>
        <xdr:cNvPr id="81" name="Group 80">
          <a:extLst>
            <a:ext uri="{FF2B5EF4-FFF2-40B4-BE49-F238E27FC236}">
              <a16:creationId xmlns:a16="http://schemas.microsoft.com/office/drawing/2014/main" id="{EFDA0DEF-345D-9069-B922-71652FF2CE05}"/>
            </a:ext>
          </a:extLst>
        </xdr:cNvPr>
        <xdr:cNvGrpSpPr/>
      </xdr:nvGrpSpPr>
      <xdr:grpSpPr>
        <a:xfrm>
          <a:off x="260990" y="138106524"/>
          <a:ext cx="2998035" cy="2111442"/>
          <a:chOff x="260990" y="141048442"/>
          <a:chExt cx="2880000" cy="2160000"/>
        </a:xfrm>
      </xdr:grpSpPr>
      <xdr:pic>
        <xdr:nvPicPr>
          <xdr:cNvPr id="55" name="Picture 54">
            <a:extLst>
              <a:ext uri="{FF2B5EF4-FFF2-40B4-BE49-F238E27FC236}">
                <a16:creationId xmlns:a16="http://schemas.microsoft.com/office/drawing/2014/main" id="{057B1BBB-29AF-DDB9-A1C2-B014BD0DB8B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260990" y="141048442"/>
            <a:ext cx="2880000" cy="2160000"/>
          </a:xfrm>
          <a:prstGeom prst="rect">
            <a:avLst/>
          </a:prstGeom>
          <a:ln>
            <a:solidFill>
              <a:schemeClr val="tx1"/>
            </a:solidFill>
          </a:ln>
        </xdr:spPr>
      </xdr:pic>
      <xdr:sp macro="" textlink="">
        <xdr:nvSpPr>
          <xdr:cNvPr id="64" name="TextBox 63">
            <a:extLst>
              <a:ext uri="{FF2B5EF4-FFF2-40B4-BE49-F238E27FC236}">
                <a16:creationId xmlns:a16="http://schemas.microsoft.com/office/drawing/2014/main" id="{F87841A4-6E60-3822-47C3-6C21B112261E}"/>
              </a:ext>
            </a:extLst>
          </xdr:cNvPr>
          <xdr:cNvSpPr txBox="1"/>
        </xdr:nvSpPr>
        <xdr:spPr>
          <a:xfrm>
            <a:off x="2409265" y="141227735"/>
            <a:ext cx="29328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C</a:t>
            </a:r>
          </a:p>
        </xdr:txBody>
      </xdr:sp>
      <xdr:sp macro="" textlink="">
        <xdr:nvSpPr>
          <xdr:cNvPr id="65" name="TextBox 64">
            <a:extLst>
              <a:ext uri="{FF2B5EF4-FFF2-40B4-BE49-F238E27FC236}">
                <a16:creationId xmlns:a16="http://schemas.microsoft.com/office/drawing/2014/main" id="{E4A68FB8-0384-4DE1-B462-512A0FD770A3}"/>
              </a:ext>
            </a:extLst>
          </xdr:cNvPr>
          <xdr:cNvSpPr txBox="1"/>
        </xdr:nvSpPr>
        <xdr:spPr>
          <a:xfrm>
            <a:off x="1740167" y="141608737"/>
            <a:ext cx="31399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D</a:t>
            </a:r>
          </a:p>
        </xdr:txBody>
      </xdr:sp>
      <xdr:sp macro="" textlink="">
        <xdr:nvSpPr>
          <xdr:cNvPr id="66" name="TextBox 65">
            <a:extLst>
              <a:ext uri="{FF2B5EF4-FFF2-40B4-BE49-F238E27FC236}">
                <a16:creationId xmlns:a16="http://schemas.microsoft.com/office/drawing/2014/main" id="{9E1D344A-7E61-4805-9DBD-0444B2FE123F}"/>
              </a:ext>
            </a:extLst>
          </xdr:cNvPr>
          <xdr:cNvSpPr txBox="1"/>
        </xdr:nvSpPr>
        <xdr:spPr>
          <a:xfrm>
            <a:off x="1359167" y="141844060"/>
            <a:ext cx="29328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E</a:t>
            </a:r>
          </a:p>
        </xdr:txBody>
      </xdr:sp>
      <xdr:sp macro="" textlink="">
        <xdr:nvSpPr>
          <xdr:cNvPr id="67" name="TextBox 66">
            <a:extLst>
              <a:ext uri="{FF2B5EF4-FFF2-40B4-BE49-F238E27FC236}">
                <a16:creationId xmlns:a16="http://schemas.microsoft.com/office/drawing/2014/main" id="{F278246A-E778-4191-981F-108988BBC500}"/>
              </a:ext>
            </a:extLst>
          </xdr:cNvPr>
          <xdr:cNvSpPr txBox="1"/>
        </xdr:nvSpPr>
        <xdr:spPr>
          <a:xfrm>
            <a:off x="742843" y="141720795"/>
            <a:ext cx="56824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600" b="1"/>
              <a:t>F</a:t>
            </a:r>
          </a:p>
        </xdr:txBody>
      </xdr:sp>
      <xdr:sp macro="" textlink="">
        <xdr:nvSpPr>
          <xdr:cNvPr id="74" name="TextBox 73">
            <a:extLst>
              <a:ext uri="{FF2B5EF4-FFF2-40B4-BE49-F238E27FC236}">
                <a16:creationId xmlns:a16="http://schemas.microsoft.com/office/drawing/2014/main" id="{E5C830A1-7FD3-4399-94B7-DC102A2B6270}"/>
              </a:ext>
            </a:extLst>
          </xdr:cNvPr>
          <xdr:cNvSpPr txBox="1"/>
        </xdr:nvSpPr>
        <xdr:spPr>
          <a:xfrm>
            <a:off x="1224696" y="142505208"/>
            <a:ext cx="348109"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FFFF00"/>
                </a:solidFill>
              </a:rPr>
              <a:t>G</a:t>
            </a:r>
          </a:p>
        </xdr:txBody>
      </xdr:sp>
    </xdr:grpSp>
    <xdr:clientData/>
  </xdr:twoCellAnchor>
  <xdr:oneCellAnchor>
    <xdr:from>
      <xdr:col>2</xdr:col>
      <xdr:colOff>249784</xdr:colOff>
      <xdr:row>693</xdr:row>
      <xdr:rowOff>2567</xdr:rowOff>
    </xdr:from>
    <xdr:ext cx="348109" cy="405432"/>
    <xdr:sp macro="" textlink="">
      <xdr:nvSpPr>
        <xdr:cNvPr id="75" name="TextBox 74">
          <a:extLst>
            <a:ext uri="{FF2B5EF4-FFF2-40B4-BE49-F238E27FC236}">
              <a16:creationId xmlns:a16="http://schemas.microsoft.com/office/drawing/2014/main" id="{05771E21-7397-4756-B577-98F1A566A30E}"/>
            </a:ext>
          </a:extLst>
        </xdr:cNvPr>
        <xdr:cNvSpPr txBox="1"/>
      </xdr:nvSpPr>
      <xdr:spPr>
        <a:xfrm>
          <a:off x="1807402" y="144435185"/>
          <a:ext cx="348109"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FFFF00"/>
              </a:solidFill>
            </a:rPr>
            <a:t>G</a:t>
          </a:r>
        </a:p>
      </xdr:txBody>
    </xdr:sp>
    <xdr:clientData/>
  </xdr:oneCellAnchor>
  <xdr:oneCellAnchor>
    <xdr:from>
      <xdr:col>1</xdr:col>
      <xdr:colOff>350637</xdr:colOff>
      <xdr:row>694</xdr:row>
      <xdr:rowOff>58596</xdr:rowOff>
    </xdr:from>
    <xdr:ext cx="348109" cy="405432"/>
    <xdr:sp macro="" textlink="">
      <xdr:nvSpPr>
        <xdr:cNvPr id="76" name="TextBox 75">
          <a:extLst>
            <a:ext uri="{FF2B5EF4-FFF2-40B4-BE49-F238E27FC236}">
              <a16:creationId xmlns:a16="http://schemas.microsoft.com/office/drawing/2014/main" id="{A1FA3D10-CC11-488D-A557-386F7B7D0224}"/>
            </a:ext>
          </a:extLst>
        </xdr:cNvPr>
        <xdr:cNvSpPr txBox="1"/>
      </xdr:nvSpPr>
      <xdr:spPr>
        <a:xfrm>
          <a:off x="1112637" y="144692920"/>
          <a:ext cx="348109"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FFFF00"/>
              </a:solidFill>
            </a:rPr>
            <a:t>H</a:t>
          </a:r>
        </a:p>
      </xdr:txBody>
    </xdr:sp>
    <xdr:clientData/>
  </xdr:oneCellAnchor>
  <xdr:twoCellAnchor>
    <xdr:from>
      <xdr:col>3</xdr:col>
      <xdr:colOff>922995</xdr:colOff>
      <xdr:row>687</xdr:row>
      <xdr:rowOff>76459</xdr:rowOff>
    </xdr:from>
    <xdr:to>
      <xdr:col>7</xdr:col>
      <xdr:colOff>543653</xdr:colOff>
      <xdr:row>698</xdr:row>
      <xdr:rowOff>96136</xdr:rowOff>
    </xdr:to>
    <xdr:grpSp>
      <xdr:nvGrpSpPr>
        <xdr:cNvPr id="80" name="Group 79">
          <a:extLst>
            <a:ext uri="{FF2B5EF4-FFF2-40B4-BE49-F238E27FC236}">
              <a16:creationId xmlns:a16="http://schemas.microsoft.com/office/drawing/2014/main" id="{A70C89E3-533A-F507-0B34-72DBF29947E5}"/>
            </a:ext>
          </a:extLst>
        </xdr:cNvPr>
        <xdr:cNvGrpSpPr/>
      </xdr:nvGrpSpPr>
      <xdr:grpSpPr>
        <a:xfrm>
          <a:off x="3450295" y="140303509"/>
          <a:ext cx="3049658" cy="2185027"/>
          <a:chOff x="3332260" y="143298841"/>
          <a:chExt cx="2892775" cy="2238442"/>
        </a:xfrm>
      </xdr:grpSpPr>
      <xdr:pic>
        <xdr:nvPicPr>
          <xdr:cNvPr id="40" name="Picture 39">
            <a:extLst>
              <a:ext uri="{FF2B5EF4-FFF2-40B4-BE49-F238E27FC236}">
                <a16:creationId xmlns:a16="http://schemas.microsoft.com/office/drawing/2014/main" id="{8819A8DA-9F7B-C045-DCCF-787F87360D0E}"/>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332260" y="143377283"/>
            <a:ext cx="2880000" cy="2160000"/>
          </a:xfrm>
          <a:prstGeom prst="rect">
            <a:avLst/>
          </a:prstGeom>
          <a:ln>
            <a:solidFill>
              <a:schemeClr val="tx1"/>
            </a:solidFill>
          </a:ln>
        </xdr:spPr>
      </xdr:pic>
      <xdr:sp macro="" textlink="">
        <xdr:nvSpPr>
          <xdr:cNvPr id="77" name="TextBox 76">
            <a:extLst>
              <a:ext uri="{FF2B5EF4-FFF2-40B4-BE49-F238E27FC236}">
                <a16:creationId xmlns:a16="http://schemas.microsoft.com/office/drawing/2014/main" id="{67379B50-5677-4B99-B685-F091411A14C3}"/>
              </a:ext>
            </a:extLst>
          </xdr:cNvPr>
          <xdr:cNvSpPr txBox="1"/>
        </xdr:nvSpPr>
        <xdr:spPr>
          <a:xfrm>
            <a:off x="4150289" y="143298841"/>
            <a:ext cx="348109"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ysClr val="windowText" lastClr="000000"/>
                </a:solidFill>
              </a:rPr>
              <a:t>A</a:t>
            </a:r>
          </a:p>
        </xdr:txBody>
      </xdr:sp>
      <xdr:sp macro="" textlink="">
        <xdr:nvSpPr>
          <xdr:cNvPr id="78" name="Rectangle 77">
            <a:extLst>
              <a:ext uri="{FF2B5EF4-FFF2-40B4-BE49-F238E27FC236}">
                <a16:creationId xmlns:a16="http://schemas.microsoft.com/office/drawing/2014/main" id="{C920C017-CE64-D409-CAE7-7F0EC5BF0894}"/>
              </a:ext>
            </a:extLst>
          </xdr:cNvPr>
          <xdr:cNvSpPr/>
        </xdr:nvSpPr>
        <xdr:spPr>
          <a:xfrm>
            <a:off x="4885765" y="143502529"/>
            <a:ext cx="1277470" cy="1378324"/>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9" name="TextBox 78">
            <a:extLst>
              <a:ext uri="{FF2B5EF4-FFF2-40B4-BE49-F238E27FC236}">
                <a16:creationId xmlns:a16="http://schemas.microsoft.com/office/drawing/2014/main" id="{F39D026C-BE02-F93B-7558-692BCE38AF1B}"/>
              </a:ext>
            </a:extLst>
          </xdr:cNvPr>
          <xdr:cNvSpPr txBox="1"/>
        </xdr:nvSpPr>
        <xdr:spPr>
          <a:xfrm>
            <a:off x="4796118" y="144858441"/>
            <a:ext cx="14289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FF00"/>
                </a:solidFill>
              </a:rPr>
              <a:t>Different</a:t>
            </a:r>
            <a:r>
              <a:rPr lang="en-IN" sz="1400" b="1" baseline="0">
                <a:solidFill>
                  <a:srgbClr val="FFFF00"/>
                </a:solidFill>
              </a:rPr>
              <a:t> Project</a:t>
            </a:r>
            <a:endParaRPr lang="en-IN" sz="1400" b="1">
              <a:solidFill>
                <a:srgbClr val="FFFF00"/>
              </a:solidFill>
            </a:endParaRPr>
          </a:p>
        </xdr:txBody>
      </xdr:sp>
    </xdr:grpSp>
    <xdr:clientData/>
  </xdr:twoCellAnchor>
  <xdr:oneCellAnchor>
    <xdr:from>
      <xdr:col>5</xdr:col>
      <xdr:colOff>389595</xdr:colOff>
      <xdr:row>695</xdr:row>
      <xdr:rowOff>133609</xdr:rowOff>
    </xdr:from>
    <xdr:ext cx="293094" cy="405432"/>
    <xdr:sp macro="" textlink="">
      <xdr:nvSpPr>
        <xdr:cNvPr id="82" name="TextBox 81">
          <a:extLst>
            <a:ext uri="{FF2B5EF4-FFF2-40B4-BE49-F238E27FC236}">
              <a16:creationId xmlns:a16="http://schemas.microsoft.com/office/drawing/2014/main" id="{05771E21-7397-4756-B577-98F1A566A30E}"/>
            </a:ext>
          </a:extLst>
        </xdr:cNvPr>
        <xdr:cNvSpPr txBox="1"/>
      </xdr:nvSpPr>
      <xdr:spPr>
        <a:xfrm>
          <a:off x="4726645" y="141935459"/>
          <a:ext cx="293094"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FFFF00"/>
              </a:solidFill>
            </a:rPr>
            <a:t>L</a:t>
          </a:r>
        </a:p>
      </xdr:txBody>
    </xdr:sp>
    <xdr:clientData/>
  </xdr:oneCellAnchor>
  <xdr:oneCellAnchor>
    <xdr:from>
      <xdr:col>4</xdr:col>
      <xdr:colOff>770595</xdr:colOff>
      <xdr:row>693</xdr:row>
      <xdr:rowOff>127259</xdr:rowOff>
    </xdr:from>
    <xdr:ext cx="408830" cy="405432"/>
    <xdr:sp macro="" textlink="">
      <xdr:nvSpPr>
        <xdr:cNvPr id="83" name="TextBox 82">
          <a:extLst>
            <a:ext uri="{FF2B5EF4-FFF2-40B4-BE49-F238E27FC236}">
              <a16:creationId xmlns:a16="http://schemas.microsoft.com/office/drawing/2014/main" id="{05771E21-7397-4756-B577-98F1A566A30E}"/>
            </a:ext>
          </a:extLst>
        </xdr:cNvPr>
        <xdr:cNvSpPr txBox="1"/>
      </xdr:nvSpPr>
      <xdr:spPr>
        <a:xfrm>
          <a:off x="4288495" y="141535409"/>
          <a:ext cx="40883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FFFF00"/>
              </a:solidFill>
            </a:rPr>
            <a:t>M</a:t>
          </a:r>
        </a:p>
      </xdr:txBody>
    </xdr:sp>
    <xdr:clientData/>
  </xdr:oneCellAnchor>
  <xdr:oneCellAnchor>
    <xdr:from>
      <xdr:col>5</xdr:col>
      <xdr:colOff>364195</xdr:colOff>
      <xdr:row>689</xdr:row>
      <xdr:rowOff>159009</xdr:rowOff>
    </xdr:from>
    <xdr:ext cx="353623" cy="405432"/>
    <xdr:sp macro="" textlink="">
      <xdr:nvSpPr>
        <xdr:cNvPr id="84" name="TextBox 83">
          <a:extLst>
            <a:ext uri="{FF2B5EF4-FFF2-40B4-BE49-F238E27FC236}">
              <a16:creationId xmlns:a16="http://schemas.microsoft.com/office/drawing/2014/main" id="{05771E21-7397-4756-B577-98F1A566A30E}"/>
            </a:ext>
          </a:extLst>
        </xdr:cNvPr>
        <xdr:cNvSpPr txBox="1"/>
      </xdr:nvSpPr>
      <xdr:spPr>
        <a:xfrm>
          <a:off x="4701245" y="140779759"/>
          <a:ext cx="35362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ysClr val="windowText" lastClr="000000"/>
              </a:solidFill>
            </a:rPr>
            <a:t>N</a:t>
          </a:r>
        </a:p>
      </xdr:txBody>
    </xdr:sp>
    <xdr:clientData/>
  </xdr:oneCellAnchor>
  <xdr:twoCellAnchor>
    <xdr:from>
      <xdr:col>5</xdr:col>
      <xdr:colOff>412750</xdr:colOff>
      <xdr:row>691</xdr:row>
      <xdr:rowOff>50800</xdr:rowOff>
    </xdr:from>
    <xdr:to>
      <xdr:col>5</xdr:col>
      <xdr:colOff>533400</xdr:colOff>
      <xdr:row>692</xdr:row>
      <xdr:rowOff>152400</xdr:rowOff>
    </xdr:to>
    <xdr:cxnSp macro="">
      <xdr:nvCxnSpPr>
        <xdr:cNvPr id="4" name="Straight Arrow Connector 3"/>
        <xdr:cNvCxnSpPr/>
      </xdr:nvCxnSpPr>
      <xdr:spPr>
        <a:xfrm flipH="1">
          <a:off x="4749800" y="141065250"/>
          <a:ext cx="120650" cy="298450"/>
        </a:xfrm>
        <a:prstGeom prst="straightConnector1">
          <a:avLst/>
        </a:prstGeom>
        <a:ln w="127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migroup.in/gami-palm-amore/index.aspx" TargetMode="External"/><Relationship Id="rId1" Type="http://schemas.openxmlformats.org/officeDocument/2006/relationships/hyperlink" Target="https://maps.app.goo.gl/jYhP7DKMbuDJgNUG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784"/>
  <sheetViews>
    <sheetView tabSelected="1" view="pageBreakPreview" topLeftCell="A189" zoomScaleNormal="85" zoomScaleSheetLayoutView="100" zoomScalePageLayoutView="85" workbookViewId="0">
      <selection activeCell="E9" sqref="E9:H9"/>
    </sheetView>
  </sheetViews>
  <sheetFormatPr defaultColWidth="9.1796875" defaultRowHeight="15.5" x14ac:dyDescent="0.35"/>
  <cols>
    <col min="1" max="1" width="11.453125" style="31" customWidth="1"/>
    <col min="2" max="2" width="12" style="31" customWidth="1"/>
    <col min="3" max="3" width="12.7265625" style="31" customWidth="1"/>
    <col min="4" max="4" width="14.1796875" style="31" customWidth="1"/>
    <col min="5" max="6" width="11.7265625" style="31" customWidth="1"/>
    <col min="7" max="7" width="11.453125" style="31" customWidth="1"/>
    <col min="8" max="8" width="11.81640625" style="31" customWidth="1"/>
    <col min="9" max="9" width="17.453125" style="16" customWidth="1"/>
    <col min="10" max="10" width="11.453125" style="16" customWidth="1"/>
    <col min="11" max="11" width="10.54296875" style="16" bestFit="1" customWidth="1"/>
    <col min="12" max="12" width="10.54296875" style="16" customWidth="1"/>
    <col min="13" max="13" width="11.81640625" style="16" customWidth="1"/>
    <col min="14" max="14" width="12.54296875" style="16" customWidth="1"/>
    <col min="15" max="15" width="9.81640625" style="16" customWidth="1"/>
    <col min="16" max="16" width="11.7265625" style="16" customWidth="1"/>
    <col min="17"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200" t="s">
        <v>162</v>
      </c>
      <c r="B1" s="200"/>
      <c r="C1" s="200"/>
      <c r="D1" s="200"/>
      <c r="E1" s="200"/>
      <c r="F1" s="200"/>
      <c r="G1" s="200"/>
      <c r="H1" s="200"/>
    </row>
    <row r="2" spans="1:26" ht="16.5" customHeight="1" x14ac:dyDescent="0.35">
      <c r="A2" s="201" t="s">
        <v>0</v>
      </c>
      <c r="B2" s="201"/>
      <c r="C2" s="201"/>
      <c r="D2" s="201"/>
      <c r="E2" s="201"/>
      <c r="F2" s="201"/>
      <c r="G2" s="201"/>
      <c r="H2" s="201"/>
    </row>
    <row r="3" spans="1:26" x14ac:dyDescent="0.35">
      <c r="A3" s="174" t="s">
        <v>1</v>
      </c>
      <c r="B3" s="174"/>
      <c r="C3" s="174"/>
      <c r="D3" s="174"/>
      <c r="E3" s="174" t="str">
        <f ca="1">TEXT(TODAY(),"DD/MM/YYYY")</f>
        <v>27/09/2025</v>
      </c>
      <c r="F3" s="174"/>
      <c r="G3" s="174"/>
      <c r="H3" s="174"/>
    </row>
    <row r="4" spans="1:26" ht="15" customHeight="1" x14ac:dyDescent="0.35">
      <c r="A4" s="174" t="s">
        <v>2</v>
      </c>
      <c r="B4" s="174"/>
      <c r="C4" s="174"/>
      <c r="D4" s="174"/>
      <c r="E4" s="150" t="s">
        <v>230</v>
      </c>
      <c r="F4" s="150"/>
      <c r="G4" s="150"/>
      <c r="H4" s="150"/>
    </row>
    <row r="5" spans="1:26" x14ac:dyDescent="0.35">
      <c r="A5" s="174" t="s">
        <v>3</v>
      </c>
      <c r="B5" s="174"/>
      <c r="C5" s="174"/>
      <c r="D5" s="174"/>
      <c r="E5" s="203">
        <v>45927</v>
      </c>
      <c r="F5" s="174"/>
      <c r="G5" s="174"/>
      <c r="H5" s="174"/>
    </row>
    <row r="6" spans="1:26" ht="16.5" customHeight="1" x14ac:dyDescent="0.35">
      <c r="A6" s="174" t="s">
        <v>4</v>
      </c>
      <c r="B6" s="174"/>
      <c r="C6" s="174"/>
      <c r="D6" s="174"/>
      <c r="E6" s="150" t="s">
        <v>267</v>
      </c>
      <c r="F6" s="150"/>
      <c r="G6" s="150"/>
      <c r="H6" s="150"/>
    </row>
    <row r="7" spans="1:26" ht="15" customHeight="1" x14ac:dyDescent="0.35">
      <c r="A7" s="174" t="s">
        <v>5</v>
      </c>
      <c r="B7" s="174"/>
      <c r="C7" s="174"/>
      <c r="D7" s="174"/>
      <c r="E7" s="174" t="s">
        <v>231</v>
      </c>
      <c r="F7" s="174"/>
      <c r="G7" s="174"/>
      <c r="H7" s="174"/>
    </row>
    <row r="8" spans="1:26" x14ac:dyDescent="0.35">
      <c r="A8" s="174" t="s">
        <v>6</v>
      </c>
      <c r="B8" s="174"/>
      <c r="C8" s="174"/>
      <c r="D8" s="174"/>
      <c r="E8" s="202" t="s">
        <v>232</v>
      </c>
      <c r="F8" s="202"/>
      <c r="G8" s="202"/>
      <c r="H8" s="202"/>
    </row>
    <row r="9" spans="1:26" x14ac:dyDescent="0.35">
      <c r="A9" s="174" t="s">
        <v>165</v>
      </c>
      <c r="B9" s="174"/>
      <c r="C9" s="174"/>
      <c r="D9" s="174"/>
      <c r="E9" s="174" t="s">
        <v>317</v>
      </c>
      <c r="F9" s="174"/>
      <c r="G9" s="174"/>
      <c r="H9" s="174"/>
    </row>
    <row r="10" spans="1:26" hidden="1" x14ac:dyDescent="0.35">
      <c r="A10" s="174" t="s">
        <v>166</v>
      </c>
      <c r="B10" s="174"/>
      <c r="C10" s="174"/>
      <c r="D10" s="174"/>
      <c r="E10" s="174" t="s">
        <v>233</v>
      </c>
      <c r="F10" s="174"/>
      <c r="G10" s="174"/>
      <c r="H10" s="174"/>
    </row>
    <row r="11" spans="1:26" x14ac:dyDescent="0.35">
      <c r="A11" s="174" t="s">
        <v>7</v>
      </c>
      <c r="B11" s="174"/>
      <c r="C11" s="174"/>
      <c r="D11" s="174"/>
      <c r="E11" s="174" t="s">
        <v>234</v>
      </c>
      <c r="F11" s="174"/>
      <c r="G11" s="174"/>
      <c r="H11" s="174"/>
    </row>
    <row r="12" spans="1:26" x14ac:dyDescent="0.35">
      <c r="A12" s="174" t="s">
        <v>168</v>
      </c>
      <c r="B12" s="174"/>
      <c r="C12" s="174"/>
      <c r="D12" s="174"/>
      <c r="E12" s="174" t="s">
        <v>29</v>
      </c>
      <c r="F12" s="174"/>
      <c r="G12" s="174"/>
      <c r="H12" s="174"/>
      <c r="S12" s="37" t="s">
        <v>176</v>
      </c>
      <c r="T12" s="37" t="s">
        <v>186</v>
      </c>
      <c r="U12" s="37" t="s">
        <v>169</v>
      </c>
      <c r="V12" s="37" t="s">
        <v>191</v>
      </c>
      <c r="W12" s="37" t="s">
        <v>209</v>
      </c>
      <c r="X12"/>
      <c r="Y12" t="s">
        <v>191</v>
      </c>
      <c r="Z12" t="e">
        <f ca="1">OFFSET($S$12,1,MATCH($G19,$S$12:$W$12,0)-1,15,1)</f>
        <v>#VALUE!</v>
      </c>
    </row>
    <row r="13" spans="1:26" ht="14.25" customHeight="1" x14ac:dyDescent="0.35">
      <c r="A13" s="148" t="s">
        <v>8</v>
      </c>
      <c r="B13" s="148"/>
      <c r="C13" s="148"/>
      <c r="D13" s="148"/>
      <c r="E13" s="151" t="s">
        <v>340</v>
      </c>
      <c r="F13" s="199"/>
      <c r="G13" s="199"/>
      <c r="H13" s="199"/>
      <c r="S13" s="37" t="s">
        <v>177</v>
      </c>
      <c r="T13" s="37" t="s">
        <v>184</v>
      </c>
      <c r="U13" s="37" t="s">
        <v>206</v>
      </c>
      <c r="V13" s="37" t="s">
        <v>192</v>
      </c>
      <c r="W13" s="37" t="s">
        <v>210</v>
      </c>
      <c r="X13"/>
      <c r="Y13"/>
      <c r="Z13"/>
    </row>
    <row r="14" spans="1:26" x14ac:dyDescent="0.35">
      <c r="A14" s="148" t="s">
        <v>9</v>
      </c>
      <c r="B14" s="148"/>
      <c r="C14" s="148"/>
      <c r="D14" s="148"/>
      <c r="E14" s="151" t="s">
        <v>235</v>
      </c>
      <c r="F14" s="150"/>
      <c r="G14" s="150"/>
      <c r="H14" s="150"/>
      <c r="I14" s="231" t="e">
        <f ca="1">OFFSET($D$4,1,MATCH($J12,$D$4:$H$4,0)-1,15,1)</f>
        <v>#N/A</v>
      </c>
      <c r="J14" s="141"/>
      <c r="K14" s="141"/>
      <c r="L14" s="141"/>
      <c r="M14" s="141"/>
      <c r="N14" s="141"/>
      <c r="O14" s="141"/>
      <c r="P14" s="141"/>
      <c r="S14" s="37" t="s">
        <v>178</v>
      </c>
      <c r="T14" s="37" t="s">
        <v>185</v>
      </c>
      <c r="U14" s="37" t="s">
        <v>207</v>
      </c>
      <c r="V14" s="37" t="s">
        <v>193</v>
      </c>
      <c r="W14" s="37" t="s">
        <v>223</v>
      </c>
      <c r="X14"/>
      <c r="Y14"/>
      <c r="Z14"/>
    </row>
    <row r="15" spans="1:26" ht="34.5" customHeight="1" x14ac:dyDescent="0.35">
      <c r="A15" s="149" t="s">
        <v>10</v>
      </c>
      <c r="B15" s="149"/>
      <c r="C15" s="149" t="str">
        <f>CONCATENATE((IF(OR(E8="",E8="NA"),"",E8)),", ",(IF(OR(A16="",A16="NA"),"",A16)),".",(IF(OR(C16="",C16="NA"),"",C16)),", near ",(IF(OR(C21="",C21="NA"),"",C21)),", ",(IF(OR(C18="",C18="NA"),"",C18)),", ",(IF(OR(C17="",C17="NA"),"",C17)),", ",(IF(OR(G18="",G18="NA"),"",G18)),", ",(IF(OR(C19="",C19="NA"),"",C19)),", ",(IF(OR(C20="",C20="NA"),"",C20)),", ",(IF(OR(G19="",G19="NA"),"",G19))," - ",(IF(OR(G20="",G20="NA"),"",G20)),".")</f>
        <v>Palm Amore, Plot No.5A, Sector - 46A, near Saikrupa C.H.S.L, Sant Nirankari Road, Navi Mumbai, Nerul, Seawoods Darave West, Thane, Thane  - 400706.</v>
      </c>
      <c r="D15" s="149"/>
      <c r="E15" s="149"/>
      <c r="F15" s="149"/>
      <c r="G15" s="149"/>
      <c r="H15" s="149"/>
      <c r="S15" s="37" t="s">
        <v>179</v>
      </c>
      <c r="T15" s="37" t="s">
        <v>187</v>
      </c>
      <c r="U15" s="37" t="s">
        <v>208</v>
      </c>
      <c r="V15" s="37" t="s">
        <v>194</v>
      </c>
      <c r="W15" s="37" t="s">
        <v>211</v>
      </c>
      <c r="X15"/>
      <c r="Y15"/>
      <c r="Z15"/>
    </row>
    <row r="16" spans="1:26" x14ac:dyDescent="0.35">
      <c r="A16" s="151" t="s">
        <v>238</v>
      </c>
      <c r="B16" s="151"/>
      <c r="C16" s="151" t="s">
        <v>321</v>
      </c>
      <c r="D16" s="151"/>
      <c r="E16" s="151"/>
      <c r="F16" s="151"/>
      <c r="G16" s="151"/>
      <c r="H16" s="151"/>
      <c r="S16" s="37" t="s">
        <v>180</v>
      </c>
      <c r="T16" s="37" t="s">
        <v>188</v>
      </c>
      <c r="U16" s="37" t="s">
        <v>169</v>
      </c>
      <c r="V16" s="37" t="s">
        <v>195</v>
      </c>
      <c r="W16" s="37" t="s">
        <v>212</v>
      </c>
      <c r="X16"/>
      <c r="Y16"/>
      <c r="Z16"/>
    </row>
    <row r="17" spans="1:26" ht="15.75" customHeight="1" x14ac:dyDescent="0.35">
      <c r="A17" s="163" t="s">
        <v>159</v>
      </c>
      <c r="B17" s="163"/>
      <c r="C17" s="151" t="s">
        <v>241</v>
      </c>
      <c r="D17" s="151"/>
      <c r="E17" s="151"/>
      <c r="F17" s="151"/>
      <c r="G17" s="151"/>
      <c r="H17" s="151"/>
      <c r="S17" s="37" t="s">
        <v>181</v>
      </c>
      <c r="T17" s="37" t="s">
        <v>186</v>
      </c>
      <c r="U17" s="37"/>
      <c r="V17" s="37" t="s">
        <v>196</v>
      </c>
      <c r="W17" s="37" t="s">
        <v>213</v>
      </c>
      <c r="X17"/>
      <c r="Y17"/>
      <c r="Z17"/>
    </row>
    <row r="18" spans="1:26" ht="15.75" customHeight="1" x14ac:dyDescent="0.35">
      <c r="A18" s="149" t="s">
        <v>11</v>
      </c>
      <c r="B18" s="149"/>
      <c r="C18" s="150" t="s">
        <v>240</v>
      </c>
      <c r="D18" s="150"/>
      <c r="E18" s="151" t="s">
        <v>72</v>
      </c>
      <c r="F18" s="151"/>
      <c r="G18" s="151" t="s">
        <v>239</v>
      </c>
      <c r="H18" s="151"/>
      <c r="S18" s="37" t="s">
        <v>182</v>
      </c>
      <c r="T18" s="37" t="s">
        <v>189</v>
      </c>
      <c r="U18" s="37"/>
      <c r="V18" s="37" t="s">
        <v>197</v>
      </c>
      <c r="W18" s="37" t="s">
        <v>214</v>
      </c>
      <c r="X18"/>
      <c r="Y18"/>
      <c r="Z18"/>
    </row>
    <row r="19" spans="1:26" x14ac:dyDescent="0.35">
      <c r="A19" s="148" t="s">
        <v>13</v>
      </c>
      <c r="B19" s="148"/>
      <c r="C19" s="151" t="s">
        <v>319</v>
      </c>
      <c r="D19" s="151"/>
      <c r="E19" s="151" t="s">
        <v>12</v>
      </c>
      <c r="F19" s="151"/>
      <c r="G19" s="198" t="s">
        <v>176</v>
      </c>
      <c r="H19" s="198"/>
      <c r="S19" s="37" t="s">
        <v>183</v>
      </c>
      <c r="T19" s="37" t="s">
        <v>190</v>
      </c>
      <c r="U19" s="37"/>
      <c r="V19" s="37" t="s">
        <v>198</v>
      </c>
      <c r="W19" s="37" t="s">
        <v>215</v>
      </c>
      <c r="X19"/>
      <c r="Y19"/>
      <c r="Z19"/>
    </row>
    <row r="20" spans="1:26" x14ac:dyDescent="0.35">
      <c r="A20" s="148" t="s">
        <v>73</v>
      </c>
      <c r="B20" s="148"/>
      <c r="C20" s="151" t="s">
        <v>177</v>
      </c>
      <c r="D20" s="151"/>
      <c r="E20" s="151" t="s">
        <v>14</v>
      </c>
      <c r="F20" s="151"/>
      <c r="G20" s="151">
        <v>400706</v>
      </c>
      <c r="H20" s="151"/>
      <c r="S20" s="37"/>
      <c r="T20" s="37"/>
      <c r="U20" s="37"/>
      <c r="V20" s="37" t="s">
        <v>199</v>
      </c>
      <c r="W20" s="37" t="s">
        <v>216</v>
      </c>
      <c r="X20"/>
      <c r="Y20"/>
      <c r="Z20"/>
    </row>
    <row r="21" spans="1:26" ht="33.75" customHeight="1" x14ac:dyDescent="0.35">
      <c r="A21" s="148" t="s">
        <v>118</v>
      </c>
      <c r="B21" s="148"/>
      <c r="C21" s="163" t="s">
        <v>242</v>
      </c>
      <c r="D21" s="163"/>
      <c r="E21" s="149" t="s">
        <v>15</v>
      </c>
      <c r="F21" s="149"/>
      <c r="G21" s="151" t="s">
        <v>320</v>
      </c>
      <c r="H21" s="151"/>
      <c r="S21" s="37"/>
      <c r="T21" s="37"/>
      <c r="U21" s="37"/>
      <c r="V21" s="37" t="s">
        <v>200</v>
      </c>
      <c r="W21" s="37" t="s">
        <v>217</v>
      </c>
      <c r="X21"/>
      <c r="Y21"/>
      <c r="Z21"/>
    </row>
    <row r="22" spans="1:26" ht="15" customHeight="1" x14ac:dyDescent="0.35">
      <c r="A22" s="149" t="s">
        <v>74</v>
      </c>
      <c r="B22" s="149"/>
      <c r="C22" s="149"/>
      <c r="D22" s="149"/>
      <c r="E22" s="174" t="s">
        <v>16</v>
      </c>
      <c r="F22" s="174"/>
      <c r="G22" s="174"/>
      <c r="H22" s="174"/>
      <c r="S22" s="37"/>
      <c r="T22" s="37"/>
      <c r="U22" s="37"/>
      <c r="V22" s="37" t="s">
        <v>201</v>
      </c>
      <c r="W22" s="37" t="s">
        <v>218</v>
      </c>
      <c r="X22"/>
      <c r="Y22"/>
      <c r="Z22"/>
    </row>
    <row r="23" spans="1:26" ht="18.75" customHeight="1" x14ac:dyDescent="0.35">
      <c r="A23" s="149"/>
      <c r="B23" s="149"/>
      <c r="C23" s="149"/>
      <c r="D23" s="149"/>
      <c r="E23" s="174"/>
      <c r="F23" s="174"/>
      <c r="G23" s="174"/>
      <c r="H23" s="174"/>
      <c r="S23" s="37"/>
      <c r="T23" s="37"/>
      <c r="U23" s="37"/>
      <c r="V23" s="37" t="s">
        <v>202</v>
      </c>
      <c r="W23" s="37" t="s">
        <v>219</v>
      </c>
      <c r="X23"/>
      <c r="Y23"/>
      <c r="Z23"/>
    </row>
    <row r="24" spans="1:26" ht="15" customHeight="1" x14ac:dyDescent="0.35">
      <c r="A24" s="149" t="s">
        <v>17</v>
      </c>
      <c r="B24" s="149"/>
      <c r="C24" s="149"/>
      <c r="D24" s="149"/>
      <c r="E24" s="163" t="s">
        <v>18</v>
      </c>
      <c r="F24" s="163"/>
      <c r="G24" s="163"/>
      <c r="H24" s="163"/>
      <c r="S24" s="37"/>
      <c r="T24" s="37"/>
      <c r="U24" s="37"/>
      <c r="V24" s="37" t="s">
        <v>203</v>
      </c>
      <c r="W24" s="37" t="s">
        <v>220</v>
      </c>
      <c r="X24"/>
      <c r="Y24"/>
      <c r="Z24"/>
    </row>
    <row r="25" spans="1:26" ht="15" customHeight="1" x14ac:dyDescent="0.35">
      <c r="A25" s="148" t="s">
        <v>19</v>
      </c>
      <c r="B25" s="148"/>
      <c r="C25" s="148"/>
      <c r="D25" s="148"/>
      <c r="E25" s="163" t="str">
        <f>IF(AND(G19="Mumbai"),"Upper Class","Middle Class")</f>
        <v>Middle Class</v>
      </c>
      <c r="F25" s="163"/>
      <c r="G25" s="163"/>
      <c r="H25" s="163"/>
      <c r="S25" s="37"/>
      <c r="T25" s="37"/>
      <c r="U25" s="37"/>
      <c r="V25" s="37" t="s">
        <v>204</v>
      </c>
      <c r="W25" s="37" t="s">
        <v>221</v>
      </c>
      <c r="X25"/>
      <c r="Y25"/>
      <c r="Z25"/>
    </row>
    <row r="26" spans="1:26" x14ac:dyDescent="0.35">
      <c r="A26" s="148" t="s">
        <v>20</v>
      </c>
      <c r="B26" s="148"/>
      <c r="C26" s="148"/>
      <c r="D26" s="148"/>
      <c r="E26" s="163" t="s">
        <v>21</v>
      </c>
      <c r="F26" s="163"/>
      <c r="G26" s="163"/>
      <c r="H26" s="163"/>
      <c r="S26" s="37"/>
      <c r="T26" s="37"/>
      <c r="U26" s="37"/>
      <c r="V26" s="37" t="s">
        <v>205</v>
      </c>
      <c r="W26" s="37" t="s">
        <v>222</v>
      </c>
      <c r="X26"/>
      <c r="Y26"/>
      <c r="Z26"/>
    </row>
    <row r="27" spans="1:26" ht="15.75" customHeight="1" x14ac:dyDescent="0.35">
      <c r="A27" s="148" t="s">
        <v>22</v>
      </c>
      <c r="B27" s="148"/>
      <c r="C27" s="148"/>
      <c r="D27" s="148"/>
      <c r="E27" s="163" t="str">
        <f>IF(AND(G19="Mumbai"),"Developed","Developing")</f>
        <v>Developing</v>
      </c>
      <c r="F27" s="163"/>
      <c r="G27" s="163"/>
      <c r="H27" s="163"/>
    </row>
    <row r="28" spans="1:26" x14ac:dyDescent="0.35">
      <c r="A28" s="148" t="s">
        <v>23</v>
      </c>
      <c r="B28" s="148"/>
      <c r="C28" s="148"/>
      <c r="D28" s="148"/>
      <c r="E28" s="163" t="s">
        <v>24</v>
      </c>
      <c r="F28" s="163"/>
      <c r="G28" s="163"/>
      <c r="H28" s="163"/>
    </row>
    <row r="29" spans="1:26" ht="15.75" customHeight="1" x14ac:dyDescent="0.35">
      <c r="A29" s="148" t="s">
        <v>79</v>
      </c>
      <c r="B29" s="148"/>
      <c r="C29" s="148"/>
      <c r="D29" s="148"/>
      <c r="E29" s="163" t="s">
        <v>80</v>
      </c>
      <c r="F29" s="163"/>
      <c r="G29" s="163"/>
      <c r="H29" s="163"/>
    </row>
    <row r="30" spans="1:26" ht="15" customHeight="1" x14ac:dyDescent="0.35">
      <c r="A30" s="148" t="s">
        <v>32</v>
      </c>
      <c r="B30" s="148"/>
      <c r="C30" s="148"/>
      <c r="D30" s="148"/>
      <c r="E30" s="163"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 + Commercial</v>
      </c>
      <c r="F30" s="163"/>
      <c r="G30" s="163"/>
      <c r="H30" s="163"/>
    </row>
    <row r="31" spans="1:26" ht="15.75" customHeight="1" x14ac:dyDescent="0.35">
      <c r="A31" s="148" t="s">
        <v>91</v>
      </c>
      <c r="B31" s="148"/>
      <c r="C31" s="148"/>
      <c r="D31" s="148"/>
      <c r="E31" s="163" t="s">
        <v>33</v>
      </c>
      <c r="F31" s="163"/>
      <c r="G31" s="163"/>
      <c r="H31" s="163"/>
    </row>
    <row r="32" spans="1:26" s="17" customFormat="1" x14ac:dyDescent="0.35">
      <c r="A32" s="194" t="s">
        <v>92</v>
      </c>
      <c r="B32" s="194"/>
      <c r="C32" s="190" t="s">
        <v>170</v>
      </c>
      <c r="D32" s="191"/>
      <c r="E32" s="192"/>
      <c r="F32" s="190" t="s">
        <v>30</v>
      </c>
      <c r="G32" s="191"/>
      <c r="H32" s="192"/>
    </row>
    <row r="33" spans="1:8" s="17" customFormat="1" x14ac:dyDescent="0.35">
      <c r="A33" s="193" t="s">
        <v>25</v>
      </c>
      <c r="B33" s="193" t="s">
        <v>29</v>
      </c>
      <c r="C33" s="195" t="s">
        <v>247</v>
      </c>
      <c r="D33" s="196"/>
      <c r="E33" s="197"/>
      <c r="F33" s="195" t="s">
        <v>244</v>
      </c>
      <c r="G33" s="196"/>
      <c r="H33" s="197"/>
    </row>
    <row r="34" spans="1:8" x14ac:dyDescent="0.35">
      <c r="A34" s="193" t="s">
        <v>26</v>
      </c>
      <c r="B34" s="193" t="s">
        <v>29</v>
      </c>
      <c r="C34" s="195" t="s">
        <v>248</v>
      </c>
      <c r="D34" s="196"/>
      <c r="E34" s="197"/>
      <c r="F34" s="195" t="s">
        <v>246</v>
      </c>
      <c r="G34" s="196"/>
      <c r="H34" s="197"/>
    </row>
    <row r="35" spans="1:8" s="17" customFormat="1" x14ac:dyDescent="0.35">
      <c r="A35" s="186" t="s">
        <v>28</v>
      </c>
      <c r="B35" s="186" t="s">
        <v>29</v>
      </c>
      <c r="C35" s="187" t="s">
        <v>249</v>
      </c>
      <c r="D35" s="188"/>
      <c r="E35" s="189"/>
      <c r="F35" s="178" t="s">
        <v>243</v>
      </c>
      <c r="G35" s="179"/>
      <c r="H35" s="180"/>
    </row>
    <row r="36" spans="1:8" ht="32.25" customHeight="1" x14ac:dyDescent="0.35">
      <c r="A36" s="177" t="s">
        <v>27</v>
      </c>
      <c r="B36" s="177" t="s">
        <v>29</v>
      </c>
      <c r="C36" s="178" t="s">
        <v>250</v>
      </c>
      <c r="D36" s="179"/>
      <c r="E36" s="180"/>
      <c r="F36" s="178" t="s">
        <v>245</v>
      </c>
      <c r="G36" s="179"/>
      <c r="H36" s="180"/>
    </row>
    <row r="37" spans="1:8" x14ac:dyDescent="0.35">
      <c r="A37" s="148" t="s">
        <v>31</v>
      </c>
      <c r="B37" s="148"/>
      <c r="C37" s="148"/>
      <c r="D37" s="148"/>
      <c r="E37" s="148"/>
      <c r="F37" s="148"/>
      <c r="G37" s="148"/>
      <c r="H37" s="148"/>
    </row>
    <row r="38" spans="1:8" ht="15.75" customHeight="1" x14ac:dyDescent="0.35">
      <c r="A38" s="148" t="s">
        <v>163</v>
      </c>
      <c r="B38" s="148"/>
      <c r="C38" s="171" t="s">
        <v>237</v>
      </c>
      <c r="D38" s="171"/>
      <c r="E38" s="171"/>
      <c r="F38" s="171"/>
      <c r="G38" s="171"/>
      <c r="H38" s="171"/>
    </row>
    <row r="39" spans="1:8" x14ac:dyDescent="0.35">
      <c r="A39" s="148" t="s">
        <v>158</v>
      </c>
      <c r="B39" s="148"/>
      <c r="C39" s="162" t="s">
        <v>236</v>
      </c>
      <c r="D39" s="163"/>
      <c r="E39" s="163"/>
      <c r="F39" s="163"/>
      <c r="G39" s="163"/>
      <c r="H39" s="163"/>
    </row>
    <row r="40" spans="1:8" x14ac:dyDescent="0.35">
      <c r="A40" s="171" t="s">
        <v>34</v>
      </c>
      <c r="B40" s="171"/>
      <c r="C40" s="171"/>
      <c r="D40" s="171"/>
      <c r="E40" s="171"/>
      <c r="F40" s="171"/>
      <c r="G40" s="171"/>
      <c r="H40" s="171"/>
    </row>
    <row r="41" spans="1:8" x14ac:dyDescent="0.35">
      <c r="A41" s="148" t="s">
        <v>35</v>
      </c>
      <c r="B41" s="148"/>
      <c r="C41" s="148"/>
      <c r="D41" s="148"/>
      <c r="E41" s="181">
        <v>22999.08</v>
      </c>
      <c r="F41" s="181"/>
      <c r="G41" s="181"/>
      <c r="H41" s="181"/>
    </row>
    <row r="42" spans="1:8" x14ac:dyDescent="0.35">
      <c r="A42" s="148" t="s">
        <v>36</v>
      </c>
      <c r="B42" s="148"/>
      <c r="C42" s="148"/>
      <c r="D42" s="148"/>
      <c r="E42" s="184">
        <f>80496.78/E41</f>
        <v>3.4999999999999996</v>
      </c>
      <c r="F42" s="184"/>
      <c r="G42" s="184"/>
      <c r="H42" s="184"/>
    </row>
    <row r="43" spans="1:8" x14ac:dyDescent="0.35">
      <c r="A43" s="148" t="s">
        <v>37</v>
      </c>
      <c r="B43" s="148"/>
      <c r="C43" s="148"/>
      <c r="D43" s="148"/>
      <c r="E43" s="184">
        <f>E45/E41-E42</f>
        <v>2.1236474241578365</v>
      </c>
      <c r="F43" s="184"/>
      <c r="G43" s="184"/>
      <c r="H43" s="184"/>
    </row>
    <row r="44" spans="1:8" x14ac:dyDescent="0.35">
      <c r="A44" s="148" t="s">
        <v>38</v>
      </c>
      <c r="B44" s="148"/>
      <c r="C44" s="148"/>
      <c r="D44" s="148"/>
      <c r="E44" s="184">
        <f>E42+E43</f>
        <v>5.623647424157836</v>
      </c>
      <c r="F44" s="184"/>
      <c r="G44" s="184"/>
      <c r="H44" s="184"/>
    </row>
    <row r="45" spans="1:8" x14ac:dyDescent="0.35">
      <c r="A45" s="148" t="s">
        <v>90</v>
      </c>
      <c r="B45" s="148"/>
      <c r="C45" s="148"/>
      <c r="D45" s="148"/>
      <c r="E45" s="185">
        <v>129338.717</v>
      </c>
      <c r="F45" s="185"/>
      <c r="G45" s="185"/>
      <c r="H45" s="185"/>
    </row>
    <row r="46" spans="1:8" x14ac:dyDescent="0.35">
      <c r="A46" s="174" t="s">
        <v>39</v>
      </c>
      <c r="B46" s="174"/>
      <c r="C46" s="174"/>
      <c r="D46" s="174"/>
      <c r="E46" s="150" t="s">
        <v>251</v>
      </c>
      <c r="F46" s="150"/>
      <c r="G46" s="150"/>
      <c r="H46" s="150"/>
    </row>
    <row r="47" spans="1:8" x14ac:dyDescent="0.35">
      <c r="A47" s="171" t="s">
        <v>40</v>
      </c>
      <c r="B47" s="171"/>
      <c r="C47" s="171"/>
      <c r="D47" s="171"/>
      <c r="E47" s="171"/>
      <c r="F47" s="171"/>
      <c r="G47" s="171"/>
      <c r="H47" s="171"/>
    </row>
    <row r="48" spans="1:8" ht="33.75" customHeight="1" x14ac:dyDescent="0.35">
      <c r="A48" s="149" t="s">
        <v>147</v>
      </c>
      <c r="B48" s="149"/>
      <c r="C48" s="93" t="s">
        <v>252</v>
      </c>
      <c r="D48" s="92"/>
      <c r="E48" s="92"/>
      <c r="F48" s="92"/>
      <c r="G48" s="92"/>
      <c r="H48" s="92"/>
    </row>
    <row r="49" spans="1:14" ht="15.75" customHeight="1" x14ac:dyDescent="0.35">
      <c r="A49" s="82" t="s">
        <v>41</v>
      </c>
      <c r="B49" s="84"/>
      <c r="C49" s="82" t="s">
        <v>253</v>
      </c>
      <c r="D49" s="83"/>
      <c r="E49" s="84"/>
      <c r="F49" s="13" t="s">
        <v>42</v>
      </c>
      <c r="G49" s="85">
        <v>45139</v>
      </c>
      <c r="H49" s="84"/>
    </row>
    <row r="50" spans="1:14" x14ac:dyDescent="0.35">
      <c r="A50" s="82" t="s">
        <v>43</v>
      </c>
      <c r="B50" s="84"/>
      <c r="C50" s="82" t="str">
        <f>C49</f>
        <v>NRV/A-/18753</v>
      </c>
      <c r="D50" s="83"/>
      <c r="E50" s="84"/>
      <c r="F50" s="13" t="s">
        <v>42</v>
      </c>
      <c r="G50" s="85">
        <f>G49</f>
        <v>45139</v>
      </c>
      <c r="H50" s="84"/>
    </row>
    <row r="51" spans="1:14" s="18" customFormat="1" ht="15.75" customHeight="1" x14ac:dyDescent="0.35">
      <c r="A51" s="78" t="s">
        <v>151</v>
      </c>
      <c r="B51" s="79"/>
      <c r="C51" s="82" t="s">
        <v>254</v>
      </c>
      <c r="D51" s="83"/>
      <c r="E51" s="84"/>
      <c r="F51" s="13" t="s">
        <v>42</v>
      </c>
      <c r="G51" s="85">
        <f>G50</f>
        <v>45139</v>
      </c>
      <c r="H51" s="84"/>
    </row>
    <row r="52" spans="1:14" s="18" customFormat="1" ht="48.75" customHeight="1" x14ac:dyDescent="0.35">
      <c r="A52" s="80"/>
      <c r="B52" s="81"/>
      <c r="C52" s="82" t="s">
        <v>318</v>
      </c>
      <c r="D52" s="83"/>
      <c r="E52" s="83"/>
      <c r="F52" s="83"/>
      <c r="G52" s="83"/>
      <c r="H52" s="84"/>
    </row>
    <row r="53" spans="1:14" s="18" customFormat="1" ht="15.75" customHeight="1" x14ac:dyDescent="0.35">
      <c r="A53" s="78" t="s">
        <v>338</v>
      </c>
      <c r="B53" s="79"/>
      <c r="C53" s="82" t="s">
        <v>337</v>
      </c>
      <c r="D53" s="83"/>
      <c r="E53" s="84"/>
      <c r="F53" s="13" t="s">
        <v>42</v>
      </c>
      <c r="G53" s="85">
        <v>45128</v>
      </c>
      <c r="H53" s="84"/>
    </row>
    <row r="54" spans="1:14" s="18" customFormat="1" ht="34.5" customHeight="1" x14ac:dyDescent="0.35">
      <c r="A54" s="80"/>
      <c r="B54" s="81"/>
      <c r="C54" s="82" t="s">
        <v>339</v>
      </c>
      <c r="D54" s="83"/>
      <c r="E54" s="83"/>
      <c r="F54" s="83"/>
      <c r="G54" s="83"/>
      <c r="H54" s="84"/>
    </row>
    <row r="55" spans="1:14" x14ac:dyDescent="0.35">
      <c r="A55" s="232" t="s">
        <v>44</v>
      </c>
      <c r="B55" s="233"/>
      <c r="C55" s="232" t="s">
        <v>103</v>
      </c>
      <c r="D55" s="234"/>
      <c r="E55" s="233"/>
      <c r="F55" s="34" t="s">
        <v>42</v>
      </c>
      <c r="G55" s="229" t="s">
        <v>29</v>
      </c>
      <c r="H55" s="230"/>
    </row>
    <row r="56" spans="1:14" x14ac:dyDescent="0.35">
      <c r="A56" s="207" t="s">
        <v>46</v>
      </c>
      <c r="B56" s="207"/>
      <c r="C56" s="207"/>
      <c r="D56" s="207"/>
      <c r="E56" s="207"/>
      <c r="F56" s="207"/>
      <c r="G56" s="207"/>
      <c r="H56" s="207"/>
    </row>
    <row r="57" spans="1:14" x14ac:dyDescent="0.35">
      <c r="A57" s="149" t="s">
        <v>89</v>
      </c>
      <c r="B57" s="149"/>
      <c r="C57" s="149"/>
      <c r="D57" s="148">
        <f>E45</f>
        <v>129338.717</v>
      </c>
      <c r="E57" s="148"/>
      <c r="F57" s="148"/>
      <c r="G57" s="148"/>
      <c r="H57" s="148"/>
    </row>
    <row r="58" spans="1:14" x14ac:dyDescent="0.35">
      <c r="A58" s="163" t="s">
        <v>47</v>
      </c>
      <c r="B58" s="174"/>
      <c r="C58" s="174"/>
      <c r="D58" s="174" t="s">
        <v>316</v>
      </c>
      <c r="E58" s="174"/>
      <c r="F58" s="174"/>
      <c r="G58" s="174"/>
      <c r="H58" s="174"/>
      <c r="I58" s="19"/>
    </row>
    <row r="59" spans="1:14" ht="96.75" customHeight="1" x14ac:dyDescent="0.35">
      <c r="A59" s="142" t="s">
        <v>48</v>
      </c>
      <c r="B59" s="143"/>
      <c r="C59" s="144"/>
      <c r="D59" s="175" t="s">
        <v>264</v>
      </c>
      <c r="E59" s="176"/>
      <c r="F59" s="176"/>
      <c r="G59" s="176"/>
      <c r="H59" s="176"/>
    </row>
    <row r="60" spans="1:14" ht="30.75" customHeight="1" x14ac:dyDescent="0.35">
      <c r="A60" s="142" t="s">
        <v>87</v>
      </c>
      <c r="B60" s="143"/>
      <c r="C60" s="144"/>
      <c r="D60" s="151" t="s">
        <v>261</v>
      </c>
      <c r="E60" s="150"/>
      <c r="F60" s="150"/>
      <c r="G60" s="150"/>
      <c r="H60" s="150"/>
    </row>
    <row r="61" spans="1:14" ht="33.75" customHeight="1" x14ac:dyDescent="0.35">
      <c r="A61" s="145"/>
      <c r="B61" s="146"/>
      <c r="C61" s="147"/>
      <c r="D61" s="151" t="s">
        <v>263</v>
      </c>
      <c r="E61" s="150"/>
      <c r="F61" s="150"/>
      <c r="G61" s="150"/>
      <c r="H61" s="150"/>
    </row>
    <row r="62" spans="1:14" ht="33" customHeight="1" x14ac:dyDescent="0.35">
      <c r="A62" s="145"/>
      <c r="B62" s="146"/>
      <c r="C62" s="147"/>
      <c r="D62" s="151" t="s">
        <v>262</v>
      </c>
      <c r="E62" s="150"/>
      <c r="F62" s="150"/>
      <c r="G62" s="150"/>
      <c r="H62" s="150"/>
    </row>
    <row r="63" spans="1:14" ht="15.75" customHeight="1" x14ac:dyDescent="0.35">
      <c r="A63" s="148" t="s">
        <v>45</v>
      </c>
      <c r="B63" s="148"/>
      <c r="C63" s="148"/>
      <c r="D63" s="182" t="s">
        <v>256</v>
      </c>
      <c r="E63" s="182"/>
      <c r="F63" s="182"/>
      <c r="G63" s="182"/>
      <c r="H63" s="182"/>
      <c r="J63" s="20"/>
      <c r="K63" s="19"/>
      <c r="L63" s="16" t="s">
        <v>260</v>
      </c>
      <c r="N63" s="19"/>
    </row>
    <row r="64" spans="1:14" ht="15.75" customHeight="1" x14ac:dyDescent="0.35">
      <c r="A64" s="148" t="s">
        <v>85</v>
      </c>
      <c r="B64" s="148"/>
      <c r="C64" s="148"/>
      <c r="D64" s="183" t="str">
        <f>(IF(G55="NA","60 Years After Completion",IF(G55&lt;&gt;"NA",""&amp;60-ROUNDDOWN((E3-G55)/360,0)&amp;" Years"," ")))</f>
        <v>60 Years After Completion</v>
      </c>
      <c r="E64" s="183"/>
      <c r="F64" s="183"/>
      <c r="G64" s="183"/>
      <c r="H64" s="183"/>
      <c r="N64" s="19"/>
    </row>
    <row r="65" spans="1:14" ht="15.75" customHeight="1" x14ac:dyDescent="0.35">
      <c r="A65" s="148" t="s">
        <v>86</v>
      </c>
      <c r="B65" s="148"/>
      <c r="C65" s="148"/>
      <c r="D65" s="149" t="s">
        <v>24</v>
      </c>
      <c r="E65" s="149"/>
      <c r="F65" s="149"/>
      <c r="G65" s="149"/>
      <c r="H65" s="149"/>
      <c r="J65" s="21"/>
      <c r="K65" s="21"/>
    </row>
    <row r="66" spans="1:14" ht="63.75" customHeight="1" x14ac:dyDescent="0.35">
      <c r="A66" s="150" t="s">
        <v>259</v>
      </c>
      <c r="B66" s="150"/>
      <c r="C66" s="150"/>
      <c r="D66" s="151" t="s">
        <v>257</v>
      </c>
      <c r="E66" s="151"/>
      <c r="F66" s="151"/>
      <c r="G66" s="151"/>
      <c r="H66" s="151"/>
      <c r="I66" s="140" t="s">
        <v>258</v>
      </c>
      <c r="J66" s="141"/>
      <c r="K66" s="141"/>
      <c r="L66" s="141"/>
    </row>
    <row r="67" spans="1:14" x14ac:dyDescent="0.35">
      <c r="A67" s="149" t="s">
        <v>144</v>
      </c>
      <c r="B67" s="149"/>
      <c r="C67" s="149"/>
      <c r="D67" s="149" t="s">
        <v>29</v>
      </c>
      <c r="E67" s="149"/>
      <c r="F67" s="149"/>
      <c r="G67" s="149"/>
      <c r="H67" s="149"/>
      <c r="I67" s="22"/>
      <c r="J67" s="22"/>
      <c r="K67" s="22"/>
      <c r="L67" s="22"/>
      <c r="M67" s="22"/>
      <c r="N67" s="22"/>
    </row>
    <row r="68" spans="1:14" ht="15.75" customHeight="1" x14ac:dyDescent="0.35">
      <c r="A68" s="148" t="s">
        <v>84</v>
      </c>
      <c r="B68" s="148"/>
      <c r="C68" s="148"/>
      <c r="D68" s="163" t="str">
        <f>(IF(G130&gt;95%,"Nothing",IF(G130&gt;0%,"Cement, Aggregate, Steel, etc",IF(G130=0%,"Work not yet Started"))))</f>
        <v>Cement, Aggregate, Steel, etc</v>
      </c>
      <c r="E68" s="163"/>
      <c r="F68" s="163"/>
      <c r="G68" s="163"/>
      <c r="H68" s="163"/>
      <c r="J68" s="21"/>
    </row>
    <row r="69" spans="1:14" ht="33.75" customHeight="1" thickBot="1" x14ac:dyDescent="0.4">
      <c r="A69" s="149" t="s">
        <v>116</v>
      </c>
      <c r="B69" s="149"/>
      <c r="C69" s="149"/>
      <c r="D69" s="163" t="str">
        <f>(IF(D68="Nothing","Yes",IF(D68="Cement, Aggregate, Steel, etc","Under Construction",IF(D68="Work not yet Started","Work not yet Started"))))</f>
        <v>Under Construction</v>
      </c>
      <c r="E69" s="163"/>
      <c r="F69" s="163" t="str">
        <f>(IF(D68="Nothing","Yes",IF(D68="Cement, Aggregate, Steel, etc","Under Construction",IF(D68="Work not yet Started","Work not yet Started"))))</f>
        <v>Under Construction</v>
      </c>
      <c r="G69" s="163"/>
      <c r="H69" s="163"/>
    </row>
    <row r="70" spans="1:14" ht="15.75" customHeight="1" x14ac:dyDescent="0.35">
      <c r="A70" s="93" t="s">
        <v>136</v>
      </c>
      <c r="B70" s="93"/>
      <c r="C70" s="93" t="s">
        <v>324</v>
      </c>
      <c r="D70" s="93"/>
      <c r="E70" s="93"/>
      <c r="F70" s="93"/>
      <c r="G70" s="93"/>
      <c r="H70" s="93"/>
      <c r="I70" s="72" t="str">
        <f>IF(D83=100%,"All work Completed. Possession granted to the Building.",IF(D82=100%,"All work Completed, Waiting for OC",I71&amp;""&amp;I72&amp;""&amp;J71&amp;""&amp;J70&amp;" "&amp;J72))</f>
        <v>Excavation, Plinth Completed, RCC upto 12 Slab, Brickwork upto 6 Floor Completed</v>
      </c>
      <c r="J70" s="61" t="str">
        <f>(IF(C76=(D71+F71+H71),"",IF(C76&gt;0,",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RCC upto 12 Slab, Brickwork upto 6 Floor</v>
      </c>
    </row>
    <row r="71" spans="1:14" x14ac:dyDescent="0.35">
      <c r="A71" s="58" t="s">
        <v>138</v>
      </c>
      <c r="B71" s="58">
        <v>4</v>
      </c>
      <c r="C71" s="58" t="s">
        <v>71</v>
      </c>
      <c r="D71" s="58">
        <v>1</v>
      </c>
      <c r="E71" s="58" t="s">
        <v>70</v>
      </c>
      <c r="F71" s="58">
        <v>0</v>
      </c>
      <c r="G71" s="58" t="s">
        <v>78</v>
      </c>
      <c r="H71" s="58">
        <v>15</v>
      </c>
      <c r="I71" s="73" t="str">
        <f>IF(D74=100%,"Excavation","")&amp;IF(D75=100%,", Plinth","")&amp;IF(D76=100%,", RCC Slab","")&amp;IF(D77=100%,", Brickwork","")&amp;IF(D78=100%,", Internal Plaster","")&amp;IF(D79=100%,", External Plaster","")&amp;IF(D80=100%,", Flooring","")&amp;IF(D81=100%,", Painting","")&amp;IF(D82=100%,", Building common Amenities","")</f>
        <v>Excavation, Plinth</v>
      </c>
      <c r="J71" s="63" t="str">
        <f>(IF(C74=0,"Work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row>
    <row r="72" spans="1:14" ht="32.25" customHeight="1" x14ac:dyDescent="0.35">
      <c r="A72" s="92" t="s">
        <v>88</v>
      </c>
      <c r="B72" s="92"/>
      <c r="C72" s="93" t="str">
        <f>I70</f>
        <v>Excavation, Plinth Completed, RCC upto 12 Slab, Brickwork upto 6 Floor Completed</v>
      </c>
      <c r="D72" s="93"/>
      <c r="E72" s="93"/>
      <c r="F72" s="93"/>
      <c r="G72" s="93"/>
      <c r="H72" s="93"/>
      <c r="I72" s="73" t="str">
        <f>IF(I71&lt;&gt;""," Completed","")</f>
        <v xml:space="preserve"> Completed</v>
      </c>
      <c r="J72" s="63" t="str">
        <f>IF(J70&lt;&gt;"","Completed","")</f>
        <v>Completed</v>
      </c>
    </row>
    <row r="73" spans="1:14" ht="15.75" customHeight="1" x14ac:dyDescent="0.35">
      <c r="A73" s="96" t="s">
        <v>49</v>
      </c>
      <c r="B73" s="96"/>
      <c r="C73" s="55" t="s">
        <v>135</v>
      </c>
      <c r="D73" s="55" t="s">
        <v>81</v>
      </c>
      <c r="E73" s="96" t="s">
        <v>83</v>
      </c>
      <c r="F73" s="96"/>
      <c r="G73" s="96" t="s">
        <v>82</v>
      </c>
      <c r="H73" s="96"/>
      <c r="I73" s="64" t="s">
        <v>137</v>
      </c>
      <c r="J73" s="23">
        <f>H71*25%</f>
        <v>3.75</v>
      </c>
    </row>
    <row r="74" spans="1:14" x14ac:dyDescent="0.35">
      <c r="A74" s="96" t="s">
        <v>124</v>
      </c>
      <c r="B74" s="96"/>
      <c r="C74" s="55">
        <f>J75</f>
        <v>15</v>
      </c>
      <c r="D74" s="14">
        <f>((100/H71)*C74)/100</f>
        <v>1</v>
      </c>
      <c r="E74" s="98">
        <f>(((C75/H71*10)+(40/(D71+F71+H71)*C76)+(7.5/(H71)*C77)+(7.5/(H71)*C78)+(10/H71*C79)+(10/H71*C80)+(5/H71*C81)+(5/H71*C82)+(5/H71*C83))/100)</f>
        <v>0.43</v>
      </c>
      <c r="F74" s="98"/>
      <c r="G74" s="98">
        <f>((((C74/H71)*20)+((C75/H71)*25)+(30/(H71+F71+D71)*C76)+(5/H71*C77)+(5/H71*C78)+(5/H71*C79)+(5/H71*C80)+(0/H71*C81)+(0/H71*C82)+(5/H71*C83))/100)</f>
        <v>0.69499999999999995</v>
      </c>
      <c r="H74" s="98"/>
      <c r="I74" s="64" t="s">
        <v>98</v>
      </c>
      <c r="J74" s="65">
        <f>H71*50%</f>
        <v>7.5</v>
      </c>
    </row>
    <row r="75" spans="1:14" x14ac:dyDescent="0.35">
      <c r="A75" s="96" t="s">
        <v>50</v>
      </c>
      <c r="B75" s="96"/>
      <c r="C75" s="35">
        <f>J83</f>
        <v>15</v>
      </c>
      <c r="D75" s="14">
        <f>((100/H71)*C75)/100</f>
        <v>1</v>
      </c>
      <c r="E75" s="98"/>
      <c r="F75" s="98"/>
      <c r="G75" s="98"/>
      <c r="H75" s="98"/>
      <c r="I75" s="64" t="s">
        <v>99</v>
      </c>
      <c r="J75" s="65">
        <f>H71</f>
        <v>15</v>
      </c>
    </row>
    <row r="76" spans="1:14" ht="15.75" customHeight="1" x14ac:dyDescent="0.35">
      <c r="A76" s="96" t="s">
        <v>125</v>
      </c>
      <c r="B76" s="96"/>
      <c r="C76" s="55">
        <v>12</v>
      </c>
      <c r="D76" s="14">
        <f>((100/(D71+F71+H71))*C76)/100</f>
        <v>0.75</v>
      </c>
      <c r="E76" s="98"/>
      <c r="F76" s="98"/>
      <c r="G76" s="98"/>
      <c r="H76" s="98"/>
      <c r="I76" s="64" t="s">
        <v>100</v>
      </c>
      <c r="J76" s="66">
        <f>(IF(B71&gt;1,(H71/(B71+2)),H71/4))</f>
        <v>2.5</v>
      </c>
    </row>
    <row r="77" spans="1:14" ht="15.75" customHeight="1" x14ac:dyDescent="0.35">
      <c r="A77" s="96" t="s">
        <v>132</v>
      </c>
      <c r="B77" s="96" t="s">
        <v>126</v>
      </c>
      <c r="C77" s="55">
        <v>6</v>
      </c>
      <c r="D77" s="14">
        <f>((100/H71)*C77)/100</f>
        <v>0.4</v>
      </c>
      <c r="E77" s="98"/>
      <c r="F77" s="98"/>
      <c r="G77" s="98"/>
      <c r="H77" s="98"/>
      <c r="I77" s="64" t="s">
        <v>101</v>
      </c>
      <c r="J77" s="66">
        <f>(IF(B71&gt;1,(H71/(B71+2)+J76),H71/4+J76))</f>
        <v>5</v>
      </c>
    </row>
    <row r="78" spans="1:14" ht="15.75" customHeight="1" x14ac:dyDescent="0.35">
      <c r="A78" s="96" t="s">
        <v>133</v>
      </c>
      <c r="B78" s="96" t="s">
        <v>126</v>
      </c>
      <c r="C78" s="55">
        <v>0</v>
      </c>
      <c r="D78" s="14">
        <f>((100/H71)*C78)/100</f>
        <v>0</v>
      </c>
      <c r="E78" s="98"/>
      <c r="F78" s="98"/>
      <c r="G78" s="98"/>
      <c r="H78" s="98"/>
      <c r="I78" s="64" t="s">
        <v>142</v>
      </c>
      <c r="J78" s="66">
        <f>(IF(B71&gt;1,(H71/(B71+2)+J77),0))</f>
        <v>7.5</v>
      </c>
    </row>
    <row r="79" spans="1:14" ht="15" customHeight="1" x14ac:dyDescent="0.35">
      <c r="A79" s="96" t="s">
        <v>131</v>
      </c>
      <c r="B79" s="96" t="s">
        <v>128</v>
      </c>
      <c r="C79" s="55">
        <v>0</v>
      </c>
      <c r="D79" s="14">
        <f>((100/(H71))*C79)/100</f>
        <v>0</v>
      </c>
      <c r="E79" s="98"/>
      <c r="F79" s="98"/>
      <c r="G79" s="98"/>
      <c r="H79" s="98"/>
      <c r="I79" s="64" t="s">
        <v>139</v>
      </c>
      <c r="J79" s="66">
        <f>(IF(B71&gt;2,(H71/(B71+2)+J78),0))</f>
        <v>10</v>
      </c>
    </row>
    <row r="80" spans="1:14" ht="15.75" customHeight="1" x14ac:dyDescent="0.35">
      <c r="A80" s="96" t="s">
        <v>127</v>
      </c>
      <c r="B80" s="96" t="s">
        <v>127</v>
      </c>
      <c r="C80" s="55">
        <v>0</v>
      </c>
      <c r="D80" s="14">
        <f>((100/H71)*C80)/100</f>
        <v>0</v>
      </c>
      <c r="E80" s="98"/>
      <c r="F80" s="98"/>
      <c r="G80" s="98"/>
      <c r="H80" s="98"/>
      <c r="I80" s="64" t="s">
        <v>140</v>
      </c>
      <c r="J80" s="67">
        <f>(IF(B71&gt;3,(H71/(B71+2)+J79),0))</f>
        <v>12.5</v>
      </c>
    </row>
    <row r="81" spans="1:10" ht="15.75" customHeight="1" x14ac:dyDescent="0.35">
      <c r="A81" s="96" t="s">
        <v>134</v>
      </c>
      <c r="B81" s="96"/>
      <c r="C81" s="55">
        <v>0</v>
      </c>
      <c r="D81" s="14">
        <f>((100/H71)*C81)/100</f>
        <v>0</v>
      </c>
      <c r="E81" s="98"/>
      <c r="F81" s="98"/>
      <c r="G81" s="98"/>
      <c r="H81" s="98"/>
      <c r="I81" s="64" t="s">
        <v>141</v>
      </c>
      <c r="J81" s="66">
        <f>(IF(B71&gt;4,(H71/(B71+2)+J80),0))</f>
        <v>0</v>
      </c>
    </row>
    <row r="82" spans="1:10" ht="15.75" customHeight="1" x14ac:dyDescent="0.35">
      <c r="A82" s="96" t="s">
        <v>129</v>
      </c>
      <c r="B82" s="96" t="s">
        <v>129</v>
      </c>
      <c r="C82" s="55">
        <v>0</v>
      </c>
      <c r="D82" s="14">
        <f>((100/(H71))*C82)/100</f>
        <v>0</v>
      </c>
      <c r="E82" s="98"/>
      <c r="F82" s="98"/>
      <c r="G82" s="98"/>
      <c r="H82" s="98"/>
      <c r="I82" s="64" t="s">
        <v>143</v>
      </c>
      <c r="J82" s="66">
        <f>(IF(B71=1,(H71/(B71+3)+J77),IF(B71=0,(H71/4+J77),IF(B71&gt;1,0))))</f>
        <v>0</v>
      </c>
    </row>
    <row r="83" spans="1:10" ht="16" thickBot="1" x14ac:dyDescent="0.4">
      <c r="A83" s="96" t="s">
        <v>130</v>
      </c>
      <c r="B83" s="96"/>
      <c r="C83" s="55">
        <v>0</v>
      </c>
      <c r="D83" s="14">
        <f>((100/(H71))*C83)/100</f>
        <v>0</v>
      </c>
      <c r="E83" s="98"/>
      <c r="F83" s="98"/>
      <c r="G83" s="98"/>
      <c r="H83" s="98"/>
      <c r="I83" s="68" t="s">
        <v>102</v>
      </c>
      <c r="J83" s="69">
        <f>(IF(B71&gt;1.5,(H71/(B71+2)+J77+MAX(0,J78-J77)+MAX(0,J79-J78)+MAX(0,J80-J79)+MAX(0,J81-J80)+MAX(0,J82-J81)),IF(B71=1,(H71/(B71+3)+J82),IF(B71=0,H71/4+J82))))</f>
        <v>15</v>
      </c>
    </row>
    <row r="84" spans="1:10" ht="15.75" customHeight="1" x14ac:dyDescent="0.35">
      <c r="A84" s="86" t="s">
        <v>136</v>
      </c>
      <c r="B84" s="87"/>
      <c r="C84" s="88" t="s">
        <v>325</v>
      </c>
      <c r="D84" s="89"/>
      <c r="E84" s="89"/>
      <c r="F84" s="89"/>
      <c r="G84" s="89"/>
      <c r="H84" s="90"/>
      <c r="I84" s="60" t="str">
        <f>IF(D97=100%,"All work Completed. Possession granted to the Building.",IF(D96=100%,"All work Completed, Waiting for OC",I85&amp;""&amp;I86&amp;""&amp;J85&amp;""&amp;J84&amp;" "&amp;J86))</f>
        <v>Excavation, Plinth Completed, RCC upto 10 Slab, Brickwork upto 6 Floor Completed</v>
      </c>
      <c r="J84" s="61" t="str">
        <f>(IF(C90=(D85+F85+H85),"",IF(C90&gt;0,",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RCC upto 10 Slab, Brickwork upto 6 Floor</v>
      </c>
    </row>
    <row r="85" spans="1:10" x14ac:dyDescent="0.35">
      <c r="A85" s="57" t="s">
        <v>138</v>
      </c>
      <c r="B85" s="58">
        <v>4</v>
      </c>
      <c r="C85" s="58" t="s">
        <v>71</v>
      </c>
      <c r="D85" s="58">
        <v>1</v>
      </c>
      <c r="E85" s="58" t="s">
        <v>70</v>
      </c>
      <c r="F85" s="58">
        <v>0</v>
      </c>
      <c r="G85" s="58" t="s">
        <v>78</v>
      </c>
      <c r="H85" s="59">
        <v>15</v>
      </c>
      <c r="I85" s="62" t="str">
        <f>IF(D88=100%,"Excavation","")&amp;IF(D89=100%,", Plinth","")&amp;IF(D90=100%,", RCC Slab","")&amp;IF(D91=100%,", Brickwork","")&amp;IF(D92=100%,", Internal Plaster","")&amp;IF(D93=100%,", External Plaster","")&amp;IF(D94=100%,", Flooring","")&amp;IF(D95=100%,", Painting","")&amp;IF(D96=100%,", Building common Amenities","")</f>
        <v>Excavation, Plinth</v>
      </c>
      <c r="J85" s="63" t="str">
        <f>(IF(C88=0,"Work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c>
    </row>
    <row r="86" spans="1:10" ht="31" customHeight="1" x14ac:dyDescent="0.35">
      <c r="A86" s="91" t="s">
        <v>88</v>
      </c>
      <c r="B86" s="92"/>
      <c r="C86" s="93" t="str">
        <f>I84</f>
        <v>Excavation, Plinth Completed, RCC upto 10 Slab, Brickwork upto 6 Floor Completed</v>
      </c>
      <c r="D86" s="93"/>
      <c r="E86" s="93"/>
      <c r="F86" s="93"/>
      <c r="G86" s="93"/>
      <c r="H86" s="94"/>
      <c r="I86" s="62" t="str">
        <f>IF(I85&lt;&gt;""," Completed","")</f>
        <v xml:space="preserve"> Completed</v>
      </c>
      <c r="J86" s="63" t="str">
        <f>IF(J84&lt;&gt;"","Completed","")</f>
        <v>Completed</v>
      </c>
    </row>
    <row r="87" spans="1:10" ht="15.75" customHeight="1" x14ac:dyDescent="0.35">
      <c r="A87" s="95" t="s">
        <v>49</v>
      </c>
      <c r="B87" s="96"/>
      <c r="C87" s="55" t="s">
        <v>135</v>
      </c>
      <c r="D87" s="55" t="s">
        <v>81</v>
      </c>
      <c r="E87" s="96" t="s">
        <v>83</v>
      </c>
      <c r="F87" s="96"/>
      <c r="G87" s="96" t="s">
        <v>82</v>
      </c>
      <c r="H87" s="97"/>
      <c r="I87" s="64" t="s">
        <v>137</v>
      </c>
      <c r="J87" s="23">
        <f>H85*25%</f>
        <v>3.75</v>
      </c>
    </row>
    <row r="88" spans="1:10" x14ac:dyDescent="0.35">
      <c r="A88" s="95" t="s">
        <v>124</v>
      </c>
      <c r="B88" s="96"/>
      <c r="C88" s="55">
        <f>J89</f>
        <v>15</v>
      </c>
      <c r="D88" s="14">
        <f>((100/H85)*C88)/100</f>
        <v>1</v>
      </c>
      <c r="E88" s="99">
        <f>(((C89/H85*10)+(40/(D85+F85+H85)*C90)+(7.5/(H85)*C91)+(7.5/(H85)*C92)+(10/H85*C93)+(10/H85*C94)+(5/H85*C95)+(5/H85*C96)+(5/H85*C97))/100)</f>
        <v>0.38</v>
      </c>
      <c r="F88" s="100"/>
      <c r="G88" s="99">
        <f>((((C88/H85)*20)+((C89/H85)*25)+(30/(H85+F85+D85)*C90)+(5/H85*C91)+(5/H85*C92)+(5/H85*C93)+(5/H85*C94)+(0/H85*C95)+(0/H85*C96)+(5/H85*C97))/100)</f>
        <v>0.65749999999999997</v>
      </c>
      <c r="H88" s="103"/>
      <c r="I88" s="64" t="s">
        <v>98</v>
      </c>
      <c r="J88" s="65">
        <f>H85*50%</f>
        <v>7.5</v>
      </c>
    </row>
    <row r="89" spans="1:10" x14ac:dyDescent="0.35">
      <c r="A89" s="95" t="s">
        <v>50</v>
      </c>
      <c r="B89" s="96"/>
      <c r="C89" s="35">
        <f>J97</f>
        <v>15</v>
      </c>
      <c r="D89" s="14">
        <f>((100/H85)*C89)/100</f>
        <v>1</v>
      </c>
      <c r="E89" s="101"/>
      <c r="F89" s="102"/>
      <c r="G89" s="101"/>
      <c r="H89" s="104"/>
      <c r="I89" s="64" t="s">
        <v>99</v>
      </c>
      <c r="J89" s="65">
        <f>H85</f>
        <v>15</v>
      </c>
    </row>
    <row r="90" spans="1:10" ht="15.75" customHeight="1" x14ac:dyDescent="0.35">
      <c r="A90" s="95" t="s">
        <v>125</v>
      </c>
      <c r="B90" s="96"/>
      <c r="C90" s="55">
        <v>10</v>
      </c>
      <c r="D90" s="14">
        <f>((100/(D85+F85+H85))*C90)/100</f>
        <v>0.625</v>
      </c>
      <c r="E90" s="101"/>
      <c r="F90" s="102"/>
      <c r="G90" s="101"/>
      <c r="H90" s="104"/>
      <c r="I90" s="64" t="s">
        <v>100</v>
      </c>
      <c r="J90" s="66">
        <f>(IF(B85&gt;1,(H85/(B85+2)),H85/4))</f>
        <v>2.5</v>
      </c>
    </row>
    <row r="91" spans="1:10" ht="15.75" customHeight="1" x14ac:dyDescent="0.35">
      <c r="A91" s="95" t="s">
        <v>132</v>
      </c>
      <c r="B91" s="96" t="s">
        <v>126</v>
      </c>
      <c r="C91" s="55">
        <v>6</v>
      </c>
      <c r="D91" s="14">
        <f>((100/H85)*C91)/100</f>
        <v>0.4</v>
      </c>
      <c r="E91" s="101"/>
      <c r="F91" s="102"/>
      <c r="G91" s="101"/>
      <c r="H91" s="104"/>
      <c r="I91" s="64" t="s">
        <v>101</v>
      </c>
      <c r="J91" s="66">
        <f>(IF(B85&gt;1,(H85/(B85+2)+J90),H85/4+J90))</f>
        <v>5</v>
      </c>
    </row>
    <row r="92" spans="1:10" ht="15.75" customHeight="1" x14ac:dyDescent="0.35">
      <c r="A92" s="95" t="s">
        <v>133</v>
      </c>
      <c r="B92" s="96" t="s">
        <v>126</v>
      </c>
      <c r="C92" s="55">
        <v>0</v>
      </c>
      <c r="D92" s="14">
        <f>((100/H85)*C92)/100</f>
        <v>0</v>
      </c>
      <c r="E92" s="101"/>
      <c r="F92" s="102"/>
      <c r="G92" s="101"/>
      <c r="H92" s="104"/>
      <c r="I92" s="64" t="s">
        <v>142</v>
      </c>
      <c r="J92" s="66">
        <f>(IF(B85&gt;1,(H85/(B85+2)+J91),0))</f>
        <v>7.5</v>
      </c>
    </row>
    <row r="93" spans="1:10" ht="15" customHeight="1" x14ac:dyDescent="0.35">
      <c r="A93" s="95" t="s">
        <v>131</v>
      </c>
      <c r="B93" s="96" t="s">
        <v>128</v>
      </c>
      <c r="C93" s="55">
        <v>0</v>
      </c>
      <c r="D93" s="14">
        <f>((100/(H85))*C93)/100</f>
        <v>0</v>
      </c>
      <c r="E93" s="101"/>
      <c r="F93" s="102"/>
      <c r="G93" s="101"/>
      <c r="H93" s="104"/>
      <c r="I93" s="64" t="s">
        <v>139</v>
      </c>
      <c r="J93" s="66">
        <f>(IF(B85&gt;2,(H85/(B85+2)+J92),0))</f>
        <v>10</v>
      </c>
    </row>
    <row r="94" spans="1:10" ht="15.75" customHeight="1" x14ac:dyDescent="0.35">
      <c r="A94" s="95" t="s">
        <v>127</v>
      </c>
      <c r="B94" s="96" t="s">
        <v>127</v>
      </c>
      <c r="C94" s="55">
        <v>0</v>
      </c>
      <c r="D94" s="14">
        <f>((100/H85)*C94)/100</f>
        <v>0</v>
      </c>
      <c r="E94" s="101"/>
      <c r="F94" s="102"/>
      <c r="G94" s="101"/>
      <c r="H94" s="104"/>
      <c r="I94" s="64" t="s">
        <v>140</v>
      </c>
      <c r="J94" s="67">
        <f>(IF(B85&gt;3,(H85/(B85+2)+J93),0))</f>
        <v>12.5</v>
      </c>
    </row>
    <row r="95" spans="1:10" ht="15.75" customHeight="1" x14ac:dyDescent="0.35">
      <c r="A95" s="95" t="s">
        <v>134</v>
      </c>
      <c r="B95" s="96"/>
      <c r="C95" s="55">
        <v>0</v>
      </c>
      <c r="D95" s="14">
        <f>((100/H85)*C95)/100</f>
        <v>0</v>
      </c>
      <c r="E95" s="101"/>
      <c r="F95" s="102"/>
      <c r="G95" s="101"/>
      <c r="H95" s="104"/>
      <c r="I95" s="64" t="s">
        <v>141</v>
      </c>
      <c r="J95" s="66">
        <f>(IF(B85&gt;4,(H85/(B85+2)+J94),0))</f>
        <v>0</v>
      </c>
    </row>
    <row r="96" spans="1:10" ht="15.75" customHeight="1" x14ac:dyDescent="0.35">
      <c r="A96" s="95" t="s">
        <v>129</v>
      </c>
      <c r="B96" s="96" t="s">
        <v>129</v>
      </c>
      <c r="C96" s="55">
        <v>0</v>
      </c>
      <c r="D96" s="14">
        <f>((100/(H85))*C96)/100</f>
        <v>0</v>
      </c>
      <c r="E96" s="101"/>
      <c r="F96" s="102"/>
      <c r="G96" s="101"/>
      <c r="H96" s="104"/>
      <c r="I96" s="64" t="s">
        <v>143</v>
      </c>
      <c r="J96" s="66">
        <f>(IF(B85=1,(H85/(B85+3)+J91),IF(B85=0,(H85/4+J91),IF(B85&gt;1,0))))</f>
        <v>0</v>
      </c>
    </row>
    <row r="97" spans="1:10" ht="16" thickBot="1" x14ac:dyDescent="0.4">
      <c r="A97" s="110" t="s">
        <v>130</v>
      </c>
      <c r="B97" s="111"/>
      <c r="C97" s="56">
        <v>0</v>
      </c>
      <c r="D97" s="15">
        <f>((100/(H85))*C97)/100</f>
        <v>0</v>
      </c>
      <c r="E97" s="107"/>
      <c r="F97" s="108"/>
      <c r="G97" s="107"/>
      <c r="H97" s="109"/>
      <c r="I97" s="68" t="s">
        <v>102</v>
      </c>
      <c r="J97" s="69">
        <f>(IF(B85&gt;1.5,(H85/(B85+2)+J91+MAX(0,J92-J91)+MAX(0,J93-J92)+MAX(0,J94-J93)+MAX(0,J95-J94)+MAX(0,J96-J95)),IF(B85=1,(H85/(B85+3)+J96),IF(B85=0,H85/4+J96))))</f>
        <v>15</v>
      </c>
    </row>
    <row r="98" spans="1:10" ht="15.75" customHeight="1" x14ac:dyDescent="0.35">
      <c r="A98" s="112" t="s">
        <v>136</v>
      </c>
      <c r="B98" s="113"/>
      <c r="C98" s="114" t="s">
        <v>326</v>
      </c>
      <c r="D98" s="115"/>
      <c r="E98" s="115"/>
      <c r="F98" s="115"/>
      <c r="G98" s="115"/>
      <c r="H98" s="116"/>
      <c r="I98" s="60" t="str">
        <f>IF(D111=100%,"All work Completed. Possession granted to the Building.",IF(D110=100%,"All work Completed, Waiting for OC",I99&amp;""&amp;I100&amp;""&amp;J99&amp;""&amp;J98&amp;" "&amp;J100))</f>
        <v>Excavation, Plinth Completed, RCC upto 11 Slab, Brickwork upto 5 Floor Completed</v>
      </c>
      <c r="J98" s="61" t="str">
        <f>(IF(C104=(D99+F99+H99),"",IF(C104&gt;0,", RCC upto "&amp;C104&amp;" Slab","")))&amp;(IF(C105=H99,"",IF(C105&gt;0,", Brickwork upto "&amp;C105&amp;" Floor","")))&amp;(IF(C106=H99,"",IF(C106&gt;0,", Internal Plaster upto "&amp;C106&amp;" Floor","")))&amp;(IF(C107=H99,"",IF(C107&gt;0,", External Plaster upto "&amp;C107&amp;" Floor","")))&amp;(IF(C108=H99,"",IF(C108&gt;0,", Flooring upto "&amp;C108&amp;" Floor","")))&amp;(IF(C109=H99,"",IF(C109&gt;0,", Painting upto "&amp;C109&amp;" Floor","")))&amp;(IF(C110=H99,"",IF(C110&gt;0,", Finishing upto "&amp;C110&amp;" Floor","")))&amp;(IF(C111=H99,"",IF(C111&gt;0,", Possession upto "&amp;C111&amp;" Floor","")))</f>
        <v>, RCC upto 11 Slab, Brickwork upto 5 Floor</v>
      </c>
    </row>
    <row r="99" spans="1:10" x14ac:dyDescent="0.35">
      <c r="A99" s="57" t="s">
        <v>138</v>
      </c>
      <c r="B99" s="58">
        <v>4</v>
      </c>
      <c r="C99" s="58" t="s">
        <v>71</v>
      </c>
      <c r="D99" s="58">
        <v>1</v>
      </c>
      <c r="E99" s="58" t="s">
        <v>70</v>
      </c>
      <c r="F99" s="58">
        <v>0</v>
      </c>
      <c r="G99" s="58" t="s">
        <v>78</v>
      </c>
      <c r="H99" s="59">
        <v>15</v>
      </c>
      <c r="I99" s="62" t="str">
        <f>IF(D102=100%,"Excavation","")&amp;IF(D103=100%,", Plinth","")&amp;IF(D104=100%,", RCC Slab","")&amp;IF(D105=100%,", Brickwork","")&amp;IF(D106=100%,", Internal Plaster","")&amp;IF(D107=100%,", External Plaster","")&amp;IF(D108=100%,", Flooring","")&amp;IF(D109=100%,", Painting","")&amp;IF(D110=100%,", Building common Amenities","")</f>
        <v>Excavation, Plinth</v>
      </c>
      <c r="J99" s="63" t="str">
        <f>(IF(C102=0,"Work not yet Started.",IF(D102=25%,"Piling work in process",IF(D102=50%,"Excavation work in process",IF(D102=100%,"","0")))))&amp;(IF(C103=0%,"",IF(C103=J104,", Footing work is process",IF(C103=J105,", Footing work Completed",IF(C103=J106,", 1st Basement Completed",IF(C103=J107,", 1st &amp; 2nd Basement Completed",IF(C103=J108,", 1st to 3rd Basement Completed",IF(C103=J109,", 1st to 4th Basement Completed",IF(C103=J110,", Plinth work is process",IF(C103=J111,"","0"))))))))))</f>
        <v/>
      </c>
    </row>
    <row r="100" spans="1:10" ht="31" customHeight="1" x14ac:dyDescent="0.35">
      <c r="A100" s="91" t="s">
        <v>88</v>
      </c>
      <c r="B100" s="92"/>
      <c r="C100" s="93" t="str">
        <f>I98</f>
        <v>Excavation, Plinth Completed, RCC upto 11 Slab, Brickwork upto 5 Floor Completed</v>
      </c>
      <c r="D100" s="93"/>
      <c r="E100" s="93"/>
      <c r="F100" s="93"/>
      <c r="G100" s="93"/>
      <c r="H100" s="94"/>
      <c r="I100" s="62" t="str">
        <f>IF(I99&lt;&gt;""," Completed","")</f>
        <v xml:space="preserve"> Completed</v>
      </c>
      <c r="J100" s="63" t="str">
        <f>IF(J98&lt;&gt;"","Completed","")</f>
        <v>Completed</v>
      </c>
    </row>
    <row r="101" spans="1:10" ht="15.75" customHeight="1" x14ac:dyDescent="0.35">
      <c r="A101" s="95" t="s">
        <v>49</v>
      </c>
      <c r="B101" s="96"/>
      <c r="C101" s="55" t="s">
        <v>135</v>
      </c>
      <c r="D101" s="55" t="s">
        <v>81</v>
      </c>
      <c r="E101" s="96" t="s">
        <v>83</v>
      </c>
      <c r="F101" s="96"/>
      <c r="G101" s="96" t="s">
        <v>82</v>
      </c>
      <c r="H101" s="97"/>
      <c r="I101" s="64" t="s">
        <v>137</v>
      </c>
      <c r="J101" s="23">
        <f>H99*25%</f>
        <v>3.75</v>
      </c>
    </row>
    <row r="102" spans="1:10" x14ac:dyDescent="0.35">
      <c r="A102" s="95" t="s">
        <v>124</v>
      </c>
      <c r="B102" s="96"/>
      <c r="C102" s="55">
        <f>J103</f>
        <v>15</v>
      </c>
      <c r="D102" s="14">
        <f>((100/H99)*C102)/100</f>
        <v>1</v>
      </c>
      <c r="E102" s="99">
        <f>(((C103/H99*10)+(40/(D99+F99+H99)*C104)+(7.5/(H99)*C105)+(7.5/(H99)*C106)+(10/H99*C107)+(10/H99*C108)+(5/H99*C109)+(5/H99*C110)+(5/H99*C111))/100)</f>
        <v>0.4</v>
      </c>
      <c r="F102" s="100"/>
      <c r="G102" s="99">
        <f>((((C102/H99)*20)+((C103/H99)*25)+(30/(H99+F99+D99)*C104)+(5/H99*C105)+(5/H99*C106)+(5/H99*C107)+(5/H99*C108)+(0/H99*C109)+(0/H99*C110)+(5/H99*C111))/100)</f>
        <v>0.67291666666666672</v>
      </c>
      <c r="H102" s="103"/>
      <c r="I102" s="64" t="s">
        <v>98</v>
      </c>
      <c r="J102" s="65">
        <f>H99*50%</f>
        <v>7.5</v>
      </c>
    </row>
    <row r="103" spans="1:10" x14ac:dyDescent="0.35">
      <c r="A103" s="95" t="s">
        <v>50</v>
      </c>
      <c r="B103" s="96"/>
      <c r="C103" s="35">
        <f>J111</f>
        <v>15</v>
      </c>
      <c r="D103" s="14">
        <f>((100/H99)*C103)/100</f>
        <v>1</v>
      </c>
      <c r="E103" s="101"/>
      <c r="F103" s="102"/>
      <c r="G103" s="101"/>
      <c r="H103" s="104"/>
      <c r="I103" s="64" t="s">
        <v>99</v>
      </c>
      <c r="J103" s="65">
        <f>H99</f>
        <v>15</v>
      </c>
    </row>
    <row r="104" spans="1:10" ht="15.75" customHeight="1" x14ac:dyDescent="0.35">
      <c r="A104" s="95" t="s">
        <v>125</v>
      </c>
      <c r="B104" s="96"/>
      <c r="C104" s="55">
        <v>11</v>
      </c>
      <c r="D104" s="14">
        <f>((100/(D99+F99+H99))*C104)/100</f>
        <v>0.6875</v>
      </c>
      <c r="E104" s="101"/>
      <c r="F104" s="102"/>
      <c r="G104" s="101"/>
      <c r="H104" s="104"/>
      <c r="I104" s="64" t="s">
        <v>100</v>
      </c>
      <c r="J104" s="66">
        <f>(IF(B99&gt;1,(H99/(B99+2)),H99/4))</f>
        <v>2.5</v>
      </c>
    </row>
    <row r="105" spans="1:10" ht="15.75" customHeight="1" x14ac:dyDescent="0.35">
      <c r="A105" s="95" t="s">
        <v>132</v>
      </c>
      <c r="B105" s="96" t="s">
        <v>126</v>
      </c>
      <c r="C105" s="55">
        <v>5</v>
      </c>
      <c r="D105" s="14">
        <f>((100/H99)*C105)/100</f>
        <v>0.33333333333333337</v>
      </c>
      <c r="E105" s="101"/>
      <c r="F105" s="102"/>
      <c r="G105" s="101"/>
      <c r="H105" s="104"/>
      <c r="I105" s="64" t="s">
        <v>101</v>
      </c>
      <c r="J105" s="66">
        <f>(IF(B99&gt;1,(H99/(B99+2)+J104),H99/4+J104))</f>
        <v>5</v>
      </c>
    </row>
    <row r="106" spans="1:10" ht="15.75" customHeight="1" x14ac:dyDescent="0.35">
      <c r="A106" s="95" t="s">
        <v>133</v>
      </c>
      <c r="B106" s="96" t="s">
        <v>126</v>
      </c>
      <c r="C106" s="55">
        <v>0</v>
      </c>
      <c r="D106" s="14">
        <f>((100/H99)*C106)/100</f>
        <v>0</v>
      </c>
      <c r="E106" s="101"/>
      <c r="F106" s="102"/>
      <c r="G106" s="101"/>
      <c r="H106" s="104"/>
      <c r="I106" s="64" t="s">
        <v>142</v>
      </c>
      <c r="J106" s="66">
        <f>(IF(B99&gt;1,(H99/(B99+2)+J105),0))</f>
        <v>7.5</v>
      </c>
    </row>
    <row r="107" spans="1:10" ht="15" customHeight="1" x14ac:dyDescent="0.35">
      <c r="A107" s="95" t="s">
        <v>131</v>
      </c>
      <c r="B107" s="96" t="s">
        <v>128</v>
      </c>
      <c r="C107" s="55">
        <v>0</v>
      </c>
      <c r="D107" s="14">
        <f>((100/(H99))*C107)/100</f>
        <v>0</v>
      </c>
      <c r="E107" s="101"/>
      <c r="F107" s="102"/>
      <c r="G107" s="101"/>
      <c r="H107" s="104"/>
      <c r="I107" s="64" t="s">
        <v>139</v>
      </c>
      <c r="J107" s="66">
        <f>(IF(B99&gt;2,(H99/(B99+2)+J106),0))</f>
        <v>10</v>
      </c>
    </row>
    <row r="108" spans="1:10" ht="15.75" customHeight="1" x14ac:dyDescent="0.35">
      <c r="A108" s="95" t="s">
        <v>127</v>
      </c>
      <c r="B108" s="96" t="s">
        <v>127</v>
      </c>
      <c r="C108" s="55">
        <v>0</v>
      </c>
      <c r="D108" s="14">
        <f>((100/H99)*C108)/100</f>
        <v>0</v>
      </c>
      <c r="E108" s="101"/>
      <c r="F108" s="102"/>
      <c r="G108" s="101"/>
      <c r="H108" s="104"/>
      <c r="I108" s="64" t="s">
        <v>140</v>
      </c>
      <c r="J108" s="67">
        <f>(IF(B99&gt;3,(H99/(B99+2)+J107),0))</f>
        <v>12.5</v>
      </c>
    </row>
    <row r="109" spans="1:10" ht="15.75" customHeight="1" x14ac:dyDescent="0.35">
      <c r="A109" s="95" t="s">
        <v>134</v>
      </c>
      <c r="B109" s="96"/>
      <c r="C109" s="55">
        <v>0</v>
      </c>
      <c r="D109" s="14">
        <f>((100/H99)*C109)/100</f>
        <v>0</v>
      </c>
      <c r="E109" s="101"/>
      <c r="F109" s="102"/>
      <c r="G109" s="101"/>
      <c r="H109" s="104"/>
      <c r="I109" s="64" t="s">
        <v>141</v>
      </c>
      <c r="J109" s="66">
        <f>(IF(B99&gt;4,(H99/(B99+2)+J108),0))</f>
        <v>0</v>
      </c>
    </row>
    <row r="110" spans="1:10" ht="15.75" customHeight="1" x14ac:dyDescent="0.35">
      <c r="A110" s="95" t="s">
        <v>129</v>
      </c>
      <c r="B110" s="96" t="s">
        <v>129</v>
      </c>
      <c r="C110" s="55">
        <v>0</v>
      </c>
      <c r="D110" s="14">
        <f>((100/(H99))*C110)/100</f>
        <v>0</v>
      </c>
      <c r="E110" s="101"/>
      <c r="F110" s="102"/>
      <c r="G110" s="101"/>
      <c r="H110" s="104"/>
      <c r="I110" s="64" t="s">
        <v>143</v>
      </c>
      <c r="J110" s="66">
        <f>(IF(B99=1,(H99/(B99+3)+J105),IF(B99=0,(H99/4+J105),IF(B99&gt;1,0))))</f>
        <v>0</v>
      </c>
    </row>
    <row r="111" spans="1:10" ht="16" thickBot="1" x14ac:dyDescent="0.4">
      <c r="A111" s="110" t="s">
        <v>130</v>
      </c>
      <c r="B111" s="111"/>
      <c r="C111" s="56">
        <v>0</v>
      </c>
      <c r="D111" s="15">
        <f>((100/(H99))*C111)/100</f>
        <v>0</v>
      </c>
      <c r="E111" s="107"/>
      <c r="F111" s="108"/>
      <c r="G111" s="107"/>
      <c r="H111" s="109"/>
      <c r="I111" s="68" t="s">
        <v>102</v>
      </c>
      <c r="J111" s="69">
        <f>(IF(B99&gt;1.5,(H99/(B99+2)+J105+MAX(0,J106-J105)+MAX(0,J107-J106)+MAX(0,J108-J107)+MAX(0,J109-J108)+MAX(0,J110-J109)),IF(B99=1,(H99/(B99+3)+J110),IF(B99=0,H99/4+J110))))</f>
        <v>15</v>
      </c>
    </row>
    <row r="112" spans="1:10" ht="15.75" customHeight="1" x14ac:dyDescent="0.35">
      <c r="A112" s="112" t="s">
        <v>136</v>
      </c>
      <c r="B112" s="113"/>
      <c r="C112" s="114" t="s">
        <v>327</v>
      </c>
      <c r="D112" s="115"/>
      <c r="E112" s="115"/>
      <c r="F112" s="115"/>
      <c r="G112" s="115"/>
      <c r="H112" s="116"/>
      <c r="I112" s="60" t="str">
        <f>IF(D125=100%,"All work Completed. Possession granted to the Building.",IF(D124=100%,"All work Completed, Waiting for OC",I113&amp;""&amp;I114&amp;""&amp;J113&amp;""&amp;J112&amp;" "&amp;J114))</f>
        <v>Excavation, Plinth Completed, RCC upto 1 Slab Completed</v>
      </c>
      <c r="J112" s="61" t="str">
        <f>(IF(C118=(D113+F113+H113),"",IF(C118&gt;0,", RCC upto "&amp;C118&amp;" Slab","")))&amp;(IF(C119=H113,"",IF(C119&gt;0,", Brickwork upto "&amp;C119&amp;" Floor","")))&amp;(IF(C120=H113,"",IF(C120&gt;0,", Internal Plaster upto "&amp;C120&amp;" Floor","")))&amp;(IF(C121=H113,"",IF(C121&gt;0,", External Plaster upto "&amp;C121&amp;" Floor","")))&amp;(IF(C122=H113,"",IF(C122&gt;0,", Flooring upto "&amp;C122&amp;" Floor","")))&amp;(IF(C123=H113,"",IF(C123&gt;0,", Painting upto "&amp;C123&amp;" Floor","")))&amp;(IF(C124=H113,"",IF(C124&gt;0,", Finishing upto "&amp;C124&amp;" Floor","")))&amp;(IF(C125=H113,"",IF(C125&gt;0,", Possession upto "&amp;C125&amp;" Floor","")))</f>
        <v>, RCC upto 1 Slab</v>
      </c>
    </row>
    <row r="113" spans="1:10" x14ac:dyDescent="0.35">
      <c r="A113" s="57" t="s">
        <v>138</v>
      </c>
      <c r="B113" s="58">
        <v>4</v>
      </c>
      <c r="C113" s="58" t="s">
        <v>71</v>
      </c>
      <c r="D113" s="58">
        <v>1</v>
      </c>
      <c r="E113" s="58" t="s">
        <v>70</v>
      </c>
      <c r="F113" s="58">
        <v>0</v>
      </c>
      <c r="G113" s="58" t="s">
        <v>78</v>
      </c>
      <c r="H113" s="59">
        <v>15</v>
      </c>
      <c r="I113" s="62" t="str">
        <f>IF(D116=100%,"Excavation","")&amp;IF(D117=100%,", Plinth","")&amp;IF(D118=100%,", RCC Slab","")&amp;IF(D119=100%,", Brickwork","")&amp;IF(D120=100%,", Internal Plaster","")&amp;IF(D121=100%,", External Plaster","")&amp;IF(D122=100%,", Flooring","")&amp;IF(D123=100%,", Painting","")&amp;IF(D124=100%,", Building common Amenities","")</f>
        <v>Excavation, Plinth</v>
      </c>
      <c r="J113" s="63" t="str">
        <f>(IF(C116=0,"Work not yet Started.",IF(D116=25%,"Piling work in process",IF(D116=50%,"Excavation work in process",IF(D116=100%,"","0")))))&amp;(IF(C117=0%,"",IF(C117=J118,", Footing work is process",IF(C117=J119,", Footing work Completed",IF(C117=J120,", 1st Basement Completed",IF(C117=J121,", 1st &amp; 2nd Basement Completed",IF(C117=J122,", 1st to 3rd Basement Completed",IF(C117=J123,", 1st to 4th Basement Completed",IF(C117=J124,", Plinth work is process",IF(C117=J125,"","0"))))))))))</f>
        <v/>
      </c>
    </row>
    <row r="114" spans="1:10" x14ac:dyDescent="0.35">
      <c r="A114" s="91" t="s">
        <v>88</v>
      </c>
      <c r="B114" s="92"/>
      <c r="C114" s="93" t="str">
        <f>I112</f>
        <v>Excavation, Plinth Completed, RCC upto 1 Slab Completed</v>
      </c>
      <c r="D114" s="93"/>
      <c r="E114" s="93"/>
      <c r="F114" s="93"/>
      <c r="G114" s="93"/>
      <c r="H114" s="94"/>
      <c r="I114" s="62" t="str">
        <f>IF(I113&lt;&gt;""," Completed","")</f>
        <v xml:space="preserve"> Completed</v>
      </c>
      <c r="J114" s="63" t="str">
        <f>IF(J112&lt;&gt;"","Completed","")</f>
        <v>Completed</v>
      </c>
    </row>
    <row r="115" spans="1:10" ht="15.75" customHeight="1" x14ac:dyDescent="0.35">
      <c r="A115" s="95" t="s">
        <v>49</v>
      </c>
      <c r="B115" s="96"/>
      <c r="C115" s="55" t="s">
        <v>135</v>
      </c>
      <c r="D115" s="55" t="s">
        <v>81</v>
      </c>
      <c r="E115" s="96" t="s">
        <v>83</v>
      </c>
      <c r="F115" s="96"/>
      <c r="G115" s="96" t="s">
        <v>82</v>
      </c>
      <c r="H115" s="97"/>
      <c r="I115" s="64" t="s">
        <v>137</v>
      </c>
      <c r="J115" s="23">
        <f>H113*25%</f>
        <v>3.75</v>
      </c>
    </row>
    <row r="116" spans="1:10" x14ac:dyDescent="0.35">
      <c r="A116" s="95" t="s">
        <v>124</v>
      </c>
      <c r="B116" s="96"/>
      <c r="C116" s="55">
        <f>J117</f>
        <v>15</v>
      </c>
      <c r="D116" s="14">
        <f>((100/H113)*C116)/100</f>
        <v>1</v>
      </c>
      <c r="E116" s="99">
        <f>(((C117/H113*10)+(40/(D113+F113+H113)*C118)+(7.5/(H113)*C119)+(7.5/(H113)*C120)+(10/H113*C121)+(10/H113*C122)+(5/H113*C123)+(5/H113*C124)+(5/H113*C125))/100)</f>
        <v>0.125</v>
      </c>
      <c r="F116" s="100"/>
      <c r="G116" s="99">
        <f>((((C116/H113)*20)+((C117/H113)*25)+(30/(H113+F113+D113)*C118)+(5/H113*C119)+(5/H113*C120)+(5/H113*C121)+(5/H113*C122)+(0/H113*C123)+(0/H113*C124)+(5/H113*C125))/100)</f>
        <v>0.46875</v>
      </c>
      <c r="H116" s="103"/>
      <c r="I116" s="64" t="s">
        <v>98</v>
      </c>
      <c r="J116" s="65">
        <f>H113*50%</f>
        <v>7.5</v>
      </c>
    </row>
    <row r="117" spans="1:10" x14ac:dyDescent="0.35">
      <c r="A117" s="95" t="s">
        <v>50</v>
      </c>
      <c r="B117" s="96"/>
      <c r="C117" s="35">
        <f>J125</f>
        <v>15</v>
      </c>
      <c r="D117" s="14">
        <f>((100/H113)*C117)/100</f>
        <v>1</v>
      </c>
      <c r="E117" s="101"/>
      <c r="F117" s="102"/>
      <c r="G117" s="101"/>
      <c r="H117" s="104"/>
      <c r="I117" s="64" t="s">
        <v>99</v>
      </c>
      <c r="J117" s="65">
        <f>H113</f>
        <v>15</v>
      </c>
    </row>
    <row r="118" spans="1:10" ht="15.75" customHeight="1" x14ac:dyDescent="0.35">
      <c r="A118" s="95" t="s">
        <v>125</v>
      </c>
      <c r="B118" s="96"/>
      <c r="C118" s="55">
        <v>1</v>
      </c>
      <c r="D118" s="14">
        <f>((100/(D113+F113+H113))*C118)/100</f>
        <v>6.25E-2</v>
      </c>
      <c r="E118" s="101"/>
      <c r="F118" s="102"/>
      <c r="G118" s="101"/>
      <c r="H118" s="104"/>
      <c r="I118" s="64" t="s">
        <v>100</v>
      </c>
      <c r="J118" s="66">
        <f>(IF(B113&gt;1,(H113/(B113+2)),H113/4))</f>
        <v>2.5</v>
      </c>
    </row>
    <row r="119" spans="1:10" ht="15.75" customHeight="1" x14ac:dyDescent="0.35">
      <c r="A119" s="95" t="s">
        <v>132</v>
      </c>
      <c r="B119" s="96" t="s">
        <v>126</v>
      </c>
      <c r="C119" s="55">
        <v>0</v>
      </c>
      <c r="D119" s="14">
        <f>((100/H113)*C119)/100</f>
        <v>0</v>
      </c>
      <c r="E119" s="101"/>
      <c r="F119" s="102"/>
      <c r="G119" s="101"/>
      <c r="H119" s="104"/>
      <c r="I119" s="64" t="s">
        <v>101</v>
      </c>
      <c r="J119" s="66">
        <f>(IF(B113&gt;1,(H113/(B113+2)+J118),H113/4+J118))</f>
        <v>5</v>
      </c>
    </row>
    <row r="120" spans="1:10" ht="15.75" customHeight="1" x14ac:dyDescent="0.35">
      <c r="A120" s="95" t="s">
        <v>133</v>
      </c>
      <c r="B120" s="96" t="s">
        <v>126</v>
      </c>
      <c r="C120" s="55">
        <v>0</v>
      </c>
      <c r="D120" s="14">
        <f>((100/H113)*C120)/100</f>
        <v>0</v>
      </c>
      <c r="E120" s="101"/>
      <c r="F120" s="102"/>
      <c r="G120" s="101"/>
      <c r="H120" s="104"/>
      <c r="I120" s="64" t="s">
        <v>142</v>
      </c>
      <c r="J120" s="66">
        <f>(IF(B113&gt;1,(H113/(B113+2)+J119),0))</f>
        <v>7.5</v>
      </c>
    </row>
    <row r="121" spans="1:10" ht="15" customHeight="1" x14ac:dyDescent="0.35">
      <c r="A121" s="95" t="s">
        <v>131</v>
      </c>
      <c r="B121" s="96" t="s">
        <v>128</v>
      </c>
      <c r="C121" s="55">
        <v>0</v>
      </c>
      <c r="D121" s="14">
        <f>((100/(H113))*C121)/100</f>
        <v>0</v>
      </c>
      <c r="E121" s="101"/>
      <c r="F121" s="102"/>
      <c r="G121" s="101"/>
      <c r="H121" s="104"/>
      <c r="I121" s="64" t="s">
        <v>139</v>
      </c>
      <c r="J121" s="66">
        <f>(IF(B113&gt;2,(H113/(B113+2)+J120),0))</f>
        <v>10</v>
      </c>
    </row>
    <row r="122" spans="1:10" ht="15.75" customHeight="1" x14ac:dyDescent="0.35">
      <c r="A122" s="95" t="s">
        <v>127</v>
      </c>
      <c r="B122" s="96" t="s">
        <v>127</v>
      </c>
      <c r="C122" s="55">
        <v>0</v>
      </c>
      <c r="D122" s="14">
        <f>((100/H113)*C122)/100</f>
        <v>0</v>
      </c>
      <c r="E122" s="101"/>
      <c r="F122" s="102"/>
      <c r="G122" s="101"/>
      <c r="H122" s="104"/>
      <c r="I122" s="64" t="s">
        <v>140</v>
      </c>
      <c r="J122" s="67">
        <f>(IF(B113&gt;3,(H113/(B113+2)+J121),0))</f>
        <v>12.5</v>
      </c>
    </row>
    <row r="123" spans="1:10" ht="15.75" customHeight="1" x14ac:dyDescent="0.35">
      <c r="A123" s="95" t="s">
        <v>134</v>
      </c>
      <c r="B123" s="96"/>
      <c r="C123" s="55">
        <v>0</v>
      </c>
      <c r="D123" s="14">
        <f>((100/H113)*C123)/100</f>
        <v>0</v>
      </c>
      <c r="E123" s="101"/>
      <c r="F123" s="102"/>
      <c r="G123" s="101"/>
      <c r="H123" s="104"/>
      <c r="I123" s="64" t="s">
        <v>141</v>
      </c>
      <c r="J123" s="66">
        <f>(IF(B113&gt;4,(H113/(B113+2)+J122),0))</f>
        <v>0</v>
      </c>
    </row>
    <row r="124" spans="1:10" ht="15.75" customHeight="1" x14ac:dyDescent="0.35">
      <c r="A124" s="95" t="s">
        <v>129</v>
      </c>
      <c r="B124" s="96" t="s">
        <v>129</v>
      </c>
      <c r="C124" s="55">
        <v>0</v>
      </c>
      <c r="D124" s="14">
        <f>((100/(H113))*C124)/100</f>
        <v>0</v>
      </c>
      <c r="E124" s="101"/>
      <c r="F124" s="102"/>
      <c r="G124" s="101"/>
      <c r="H124" s="104"/>
      <c r="I124" s="64" t="s">
        <v>143</v>
      </c>
      <c r="J124" s="66">
        <f>(IF(B113=1,(H113/(B113+3)+J119),IF(B113=0,(H113/4+J119),IF(B113&gt;1,0))))</f>
        <v>0</v>
      </c>
    </row>
    <row r="125" spans="1:10" ht="16" thickBot="1" x14ac:dyDescent="0.4">
      <c r="A125" s="110" t="s">
        <v>130</v>
      </c>
      <c r="B125" s="111"/>
      <c r="C125" s="56">
        <v>0</v>
      </c>
      <c r="D125" s="15">
        <f>((100/(H113))*C125)/100</f>
        <v>0</v>
      </c>
      <c r="E125" s="107"/>
      <c r="F125" s="108"/>
      <c r="G125" s="107"/>
      <c r="H125" s="109"/>
      <c r="I125" s="68" t="s">
        <v>102</v>
      </c>
      <c r="J125" s="69">
        <f>(IF(B113&gt;1.5,(H113/(B113+2)+J119+MAX(0,J120-J119)+MAX(0,J121-J120)+MAX(0,J122-J121)+MAX(0,J123-J122)+MAX(0,J124-J123)),IF(B113=1,(H113/(B113+3)+J124),IF(B113=0,H113/4+J124))))</f>
        <v>15</v>
      </c>
    </row>
    <row r="126" spans="1:10" ht="15.75" customHeight="1" x14ac:dyDescent="0.35">
      <c r="A126" s="112" t="s">
        <v>136</v>
      </c>
      <c r="B126" s="113"/>
      <c r="C126" s="114" t="s">
        <v>348</v>
      </c>
      <c r="D126" s="115"/>
      <c r="E126" s="115"/>
      <c r="F126" s="115"/>
      <c r="G126" s="115"/>
      <c r="H126" s="116"/>
      <c r="I126" s="60" t="str">
        <f>IF(D139=100%,"All work Completed. Possession granted to the Building.",IF(D138=100%,"All work Completed, Waiting for OC",I127&amp;""&amp;I128&amp;""&amp;J127&amp;""&amp;J126&amp;" "&amp;J128))</f>
        <v>Excavation, Plinth Completed, RCC upto 5 Slab Completed</v>
      </c>
      <c r="J126" s="61" t="str">
        <f>(IF(C132=(D127+F127+H127),"",IF(C132&gt;0,", RCC upto "&amp;C132&amp;" Slab","")))&amp;(IF(C133=H127,"",IF(C133&gt;0,", Brickwork upto "&amp;C133&amp;" Floor","")))&amp;(IF(C134=H127,"",IF(C134&gt;0,", Internal Plaster upto "&amp;C134&amp;" Floor","")))&amp;(IF(C135=H127,"",IF(C135&gt;0,", External Plaster upto "&amp;C135&amp;" Floor","")))&amp;(IF(C136=H127,"",IF(C136&gt;0,", Flooring upto "&amp;C136&amp;" Floor","")))&amp;(IF(C137=H127,"",IF(C137&gt;0,", Painting upto "&amp;C137&amp;" Floor","")))&amp;(IF(C138=H127,"",IF(C138&gt;0,", Finishing upto "&amp;C138&amp;" Floor","")))&amp;(IF(C139=H127,"",IF(C139&gt;0,", Possession upto "&amp;C139&amp;" Floor","")))</f>
        <v>, RCC upto 5 Slab</v>
      </c>
    </row>
    <row r="127" spans="1:10" x14ac:dyDescent="0.35">
      <c r="A127" s="57" t="s">
        <v>138</v>
      </c>
      <c r="B127" s="58">
        <v>4</v>
      </c>
      <c r="C127" s="58" t="s">
        <v>71</v>
      </c>
      <c r="D127" s="58">
        <v>1</v>
      </c>
      <c r="E127" s="58" t="s">
        <v>70</v>
      </c>
      <c r="F127" s="58">
        <v>0</v>
      </c>
      <c r="G127" s="58" t="s">
        <v>78</v>
      </c>
      <c r="H127" s="59">
        <v>15</v>
      </c>
      <c r="I127" s="62" t="str">
        <f>IF(D130=100%,"Excavation","")&amp;IF(D131=100%,", Plinth","")&amp;IF(D132=100%,", RCC Slab","")&amp;IF(D133=100%,", Brickwork","")&amp;IF(D134=100%,", Internal Plaster","")&amp;IF(D135=100%,", External Plaster","")&amp;IF(D136=100%,", Flooring","")&amp;IF(D137=100%,", Painting","")&amp;IF(D138=100%,", Building common Amenities","")</f>
        <v>Excavation, Plinth</v>
      </c>
      <c r="J127" s="63" t="str">
        <f>(IF(C130=0,"Work not yet Started.",IF(D130=25%,"Piling work in process",IF(D130=50%,"Excavation work in process",IF(D130=100%,"","0")))))&amp;(IF(C131=0%,"",IF(C131=J132,", Footing work is process",IF(C131=J133,", Footing work Completed",IF(C131=J134,", 1st Basement Completed",IF(C131=J135,", 1st &amp; 2nd Basement Completed",IF(C131=J136,", 1st to 3rd Basement Completed",IF(C131=J137,", 1st to 4th Basement Completed",IF(C131=J138,", Plinth work is process",IF(C131=J139,"","0"))))))))))</f>
        <v/>
      </c>
    </row>
    <row r="128" spans="1:10" x14ac:dyDescent="0.35">
      <c r="A128" s="91" t="s">
        <v>88</v>
      </c>
      <c r="B128" s="92"/>
      <c r="C128" s="93" t="str">
        <f>I126</f>
        <v>Excavation, Plinth Completed, RCC upto 5 Slab Completed</v>
      </c>
      <c r="D128" s="93"/>
      <c r="E128" s="93"/>
      <c r="F128" s="93"/>
      <c r="G128" s="93"/>
      <c r="H128" s="94"/>
      <c r="I128" s="62" t="str">
        <f>IF(I127&lt;&gt;""," Completed","")</f>
        <v xml:space="preserve"> Completed</v>
      </c>
      <c r="J128" s="63" t="str">
        <f>IF(J126&lt;&gt;"","Completed","")</f>
        <v>Completed</v>
      </c>
    </row>
    <row r="129" spans="1:10" ht="15.75" customHeight="1" x14ac:dyDescent="0.35">
      <c r="A129" s="95" t="s">
        <v>49</v>
      </c>
      <c r="B129" s="96"/>
      <c r="C129" s="55" t="s">
        <v>135</v>
      </c>
      <c r="D129" s="55" t="s">
        <v>81</v>
      </c>
      <c r="E129" s="96" t="s">
        <v>83</v>
      </c>
      <c r="F129" s="96"/>
      <c r="G129" s="96" t="s">
        <v>82</v>
      </c>
      <c r="H129" s="97"/>
      <c r="I129" s="64" t="s">
        <v>137</v>
      </c>
      <c r="J129" s="23">
        <f>H127*25%</f>
        <v>3.75</v>
      </c>
    </row>
    <row r="130" spans="1:10" x14ac:dyDescent="0.35">
      <c r="A130" s="95" t="s">
        <v>124</v>
      </c>
      <c r="B130" s="96"/>
      <c r="C130" s="55">
        <f>J131</f>
        <v>15</v>
      </c>
      <c r="D130" s="14">
        <f>((100/H127)*C130)/100</f>
        <v>1</v>
      </c>
      <c r="E130" s="99">
        <f>(((C131/H127*10)+(40/(D127+F127+H127)*C132)+(7.5/(H127)*C133)+(7.5/(H127)*C134)+(10/H127*C135)+(10/H127*C136)+(5/H127*C137)+(5/H127*C138)+(5/H127*C139))/100)</f>
        <v>0.22500000000000001</v>
      </c>
      <c r="F130" s="100"/>
      <c r="G130" s="99">
        <f>((((C130/H127)*20)+((C131/H127)*25)+(30/(H127+F127+D127)*C132)+(5/H127*C133)+(5/H127*C134)+(5/H127*C135)+(5/H127*C136)+(0/H127*C137)+(0/H127*C138)+(5/H127*C139))/100)</f>
        <v>0.54374999999999996</v>
      </c>
      <c r="H130" s="103"/>
      <c r="I130" s="64" t="s">
        <v>98</v>
      </c>
      <c r="J130" s="65">
        <f>H127*50%</f>
        <v>7.5</v>
      </c>
    </row>
    <row r="131" spans="1:10" x14ac:dyDescent="0.35">
      <c r="A131" s="95" t="s">
        <v>50</v>
      </c>
      <c r="B131" s="96"/>
      <c r="C131" s="35">
        <f>J139</f>
        <v>15</v>
      </c>
      <c r="D131" s="14">
        <f>((100/H127)*C131)/100</f>
        <v>1</v>
      </c>
      <c r="E131" s="101"/>
      <c r="F131" s="102"/>
      <c r="G131" s="101"/>
      <c r="H131" s="104"/>
      <c r="I131" s="64" t="s">
        <v>99</v>
      </c>
      <c r="J131" s="65">
        <f>H127</f>
        <v>15</v>
      </c>
    </row>
    <row r="132" spans="1:10" ht="15.75" customHeight="1" x14ac:dyDescent="0.35">
      <c r="A132" s="95" t="s">
        <v>125</v>
      </c>
      <c r="B132" s="96"/>
      <c r="C132" s="55">
        <v>5</v>
      </c>
      <c r="D132" s="14">
        <f>((100/(D127+F127+H127))*C132)/100</f>
        <v>0.3125</v>
      </c>
      <c r="E132" s="101"/>
      <c r="F132" s="102"/>
      <c r="G132" s="101"/>
      <c r="H132" s="104"/>
      <c r="I132" s="64" t="s">
        <v>100</v>
      </c>
      <c r="J132" s="66">
        <f>(IF(B127&gt;1,(H127/(B127+2)),H127/4))</f>
        <v>2.5</v>
      </c>
    </row>
    <row r="133" spans="1:10" ht="15.75" customHeight="1" x14ac:dyDescent="0.35">
      <c r="A133" s="95" t="s">
        <v>132</v>
      </c>
      <c r="B133" s="96" t="s">
        <v>126</v>
      </c>
      <c r="C133" s="55">
        <v>0</v>
      </c>
      <c r="D133" s="14">
        <f>((100/H127)*C133)/100</f>
        <v>0</v>
      </c>
      <c r="E133" s="101"/>
      <c r="F133" s="102"/>
      <c r="G133" s="101"/>
      <c r="H133" s="104"/>
      <c r="I133" s="64" t="s">
        <v>101</v>
      </c>
      <c r="J133" s="66">
        <f>(IF(B127&gt;1,(H127/(B127+2)+J132),H127/4+J132))</f>
        <v>5</v>
      </c>
    </row>
    <row r="134" spans="1:10" ht="15.75" customHeight="1" x14ac:dyDescent="0.35">
      <c r="A134" s="95" t="s">
        <v>133</v>
      </c>
      <c r="B134" s="96" t="s">
        <v>126</v>
      </c>
      <c r="C134" s="55">
        <v>0</v>
      </c>
      <c r="D134" s="14">
        <f>((100/H127)*C134)/100</f>
        <v>0</v>
      </c>
      <c r="E134" s="101"/>
      <c r="F134" s="102"/>
      <c r="G134" s="101"/>
      <c r="H134" s="104"/>
      <c r="I134" s="64" t="s">
        <v>142</v>
      </c>
      <c r="J134" s="66">
        <f>(IF(B127&gt;1,(H127/(B127+2)+J133),0))</f>
        <v>7.5</v>
      </c>
    </row>
    <row r="135" spans="1:10" ht="15" customHeight="1" x14ac:dyDescent="0.35">
      <c r="A135" s="95" t="s">
        <v>131</v>
      </c>
      <c r="B135" s="96" t="s">
        <v>128</v>
      </c>
      <c r="C135" s="55">
        <v>0</v>
      </c>
      <c r="D135" s="14">
        <f>((100/(H127))*C135)/100</f>
        <v>0</v>
      </c>
      <c r="E135" s="101"/>
      <c r="F135" s="102"/>
      <c r="G135" s="101"/>
      <c r="H135" s="104"/>
      <c r="I135" s="64" t="s">
        <v>139</v>
      </c>
      <c r="J135" s="66">
        <f>(IF(B127&gt;2,(H127/(B127+2)+J134),0))</f>
        <v>10</v>
      </c>
    </row>
    <row r="136" spans="1:10" ht="15.75" customHeight="1" x14ac:dyDescent="0.35">
      <c r="A136" s="95" t="s">
        <v>127</v>
      </c>
      <c r="B136" s="96" t="s">
        <v>127</v>
      </c>
      <c r="C136" s="55">
        <v>0</v>
      </c>
      <c r="D136" s="14">
        <f>((100/H127)*C136)/100</f>
        <v>0</v>
      </c>
      <c r="E136" s="101"/>
      <c r="F136" s="102"/>
      <c r="G136" s="101"/>
      <c r="H136" s="104"/>
      <c r="I136" s="64" t="s">
        <v>140</v>
      </c>
      <c r="J136" s="67">
        <f>(IF(B127&gt;3,(H127/(B127+2)+J135),0))</f>
        <v>12.5</v>
      </c>
    </row>
    <row r="137" spans="1:10" ht="15.75" customHeight="1" x14ac:dyDescent="0.35">
      <c r="A137" s="95" t="s">
        <v>134</v>
      </c>
      <c r="B137" s="96"/>
      <c r="C137" s="55">
        <v>0</v>
      </c>
      <c r="D137" s="14">
        <f>((100/H127)*C137)/100</f>
        <v>0</v>
      </c>
      <c r="E137" s="101"/>
      <c r="F137" s="102"/>
      <c r="G137" s="101"/>
      <c r="H137" s="104"/>
      <c r="I137" s="64" t="s">
        <v>141</v>
      </c>
      <c r="J137" s="66">
        <f>(IF(B127&gt;4,(H127/(B127+2)+J136),0))</f>
        <v>0</v>
      </c>
    </row>
    <row r="138" spans="1:10" ht="15.75" customHeight="1" x14ac:dyDescent="0.35">
      <c r="A138" s="95" t="s">
        <v>129</v>
      </c>
      <c r="B138" s="96" t="s">
        <v>129</v>
      </c>
      <c r="C138" s="55">
        <v>0</v>
      </c>
      <c r="D138" s="14">
        <f>((100/(H127))*C138)/100</f>
        <v>0</v>
      </c>
      <c r="E138" s="101"/>
      <c r="F138" s="102"/>
      <c r="G138" s="101"/>
      <c r="H138" s="104"/>
      <c r="I138" s="64" t="s">
        <v>143</v>
      </c>
      <c r="J138" s="66">
        <f>(IF(B127=1,(H127/(B127+3)+J133),IF(B127=0,(H127/4+J133),IF(B127&gt;1,0))))</f>
        <v>0</v>
      </c>
    </row>
    <row r="139" spans="1:10" ht="16" thickBot="1" x14ac:dyDescent="0.4">
      <c r="A139" s="110" t="s">
        <v>130</v>
      </c>
      <c r="B139" s="111"/>
      <c r="C139" s="56">
        <v>0</v>
      </c>
      <c r="D139" s="15">
        <f>((100/(H127))*C139)/100</f>
        <v>0</v>
      </c>
      <c r="E139" s="107"/>
      <c r="F139" s="108"/>
      <c r="G139" s="107"/>
      <c r="H139" s="109"/>
      <c r="I139" s="68" t="s">
        <v>102</v>
      </c>
      <c r="J139" s="69">
        <f>(IF(B127&gt;1.5,(H127/(B127+2)+J133+MAX(0,J134-J133)+MAX(0,J135-J134)+MAX(0,J136-J135)+MAX(0,J137-J136)+MAX(0,J138-J137)),IF(B127=1,(H127/(B127+3)+J138),IF(B127=0,H127/4+J138))))</f>
        <v>15</v>
      </c>
    </row>
    <row r="140" spans="1:10" ht="15.75" customHeight="1" x14ac:dyDescent="0.35">
      <c r="A140" s="112" t="s">
        <v>136</v>
      </c>
      <c r="B140" s="113"/>
      <c r="C140" s="114" t="s">
        <v>328</v>
      </c>
      <c r="D140" s="115"/>
      <c r="E140" s="115"/>
      <c r="F140" s="115"/>
      <c r="G140" s="115"/>
      <c r="H140" s="116"/>
      <c r="I140" s="60" t="str">
        <f>IF(D153=100%,"All work Completed. Possession granted to the Building.",IF(D152=100%,"All work Completed, Waiting for OC",I141&amp;""&amp;I142&amp;""&amp;J141&amp;""&amp;J140&amp;" "&amp;J142))</f>
        <v>Excavation, Plinth Completed, RCC upto 5 Slab Completed</v>
      </c>
      <c r="J140" s="61" t="str">
        <f>(IF(C146=(D141+F141+H141),"",IF(C146&gt;0,", RCC upto "&amp;C146&amp;" Slab","")))&amp;(IF(C147=H141,"",IF(C147&gt;0,", Brickwork upto "&amp;C147&amp;" Floor","")))&amp;(IF(C148=H141,"",IF(C148&gt;0,", Internal Plaster upto "&amp;C148&amp;" Floor","")))&amp;(IF(C149=H141,"",IF(C149&gt;0,", External Plaster upto "&amp;C149&amp;" Floor","")))&amp;(IF(C150=H141,"",IF(C150&gt;0,", Flooring upto "&amp;C150&amp;" Floor","")))&amp;(IF(C151=H141,"",IF(C151&gt;0,", Painting upto "&amp;C151&amp;" Floor","")))&amp;(IF(C152=H141,"",IF(C152&gt;0,", Finishing upto "&amp;C152&amp;" Floor","")))&amp;(IF(C153=H141,"",IF(C153&gt;0,", Possession upto "&amp;C153&amp;" Floor","")))</f>
        <v>, RCC upto 5 Slab</v>
      </c>
    </row>
    <row r="141" spans="1:10" x14ac:dyDescent="0.35">
      <c r="A141" s="57" t="s">
        <v>138</v>
      </c>
      <c r="B141" s="58">
        <v>4</v>
      </c>
      <c r="C141" s="58" t="s">
        <v>71</v>
      </c>
      <c r="D141" s="58">
        <v>1</v>
      </c>
      <c r="E141" s="58" t="s">
        <v>70</v>
      </c>
      <c r="F141" s="58">
        <v>0</v>
      </c>
      <c r="G141" s="58" t="s">
        <v>78</v>
      </c>
      <c r="H141" s="59">
        <v>15</v>
      </c>
      <c r="I141" s="62" t="str">
        <f>IF(D144=100%,"Excavation","")&amp;IF(D145=100%,", Plinth","")&amp;IF(D146=100%,", RCC Slab","")&amp;IF(D147=100%,", Brickwork","")&amp;IF(D148=100%,", Internal Plaster","")&amp;IF(D149=100%,", External Plaster","")&amp;IF(D150=100%,", Flooring","")&amp;IF(D151=100%,", Painting","")&amp;IF(D152=100%,", Building common Amenities","")</f>
        <v>Excavation, Plinth</v>
      </c>
      <c r="J141" s="63" t="str">
        <f>(IF(C144=0,"Work not yet Started.",IF(D144=25%,"Piling work in process",IF(D144=50%,"Excavation work in process",IF(D144=100%,"","0")))))&amp;(IF(C145=0%,"",IF(C145=J146,", Footing work is process",IF(C145=J147,", Footing work Completed",IF(C145=J148,", 1st Basement Completed",IF(C145=J149,", 1st &amp; 2nd Basement Completed",IF(C145=J150,", 1st to 3rd Basement Completed",IF(C145=J151,", 1st to 4th Basement Completed",IF(C145=J152,", Plinth work is process",IF(C145=J153,"","0"))))))))))</f>
        <v/>
      </c>
    </row>
    <row r="142" spans="1:10" x14ac:dyDescent="0.35">
      <c r="A142" s="91" t="s">
        <v>88</v>
      </c>
      <c r="B142" s="92"/>
      <c r="C142" s="93" t="str">
        <f>I140</f>
        <v>Excavation, Plinth Completed, RCC upto 5 Slab Completed</v>
      </c>
      <c r="D142" s="93"/>
      <c r="E142" s="93"/>
      <c r="F142" s="93"/>
      <c r="G142" s="93"/>
      <c r="H142" s="94"/>
      <c r="I142" s="62" t="str">
        <f>IF(I141&lt;&gt;""," Completed","")</f>
        <v xml:space="preserve"> Completed</v>
      </c>
      <c r="J142" s="63" t="str">
        <f>IF(J140&lt;&gt;"","Completed","")</f>
        <v>Completed</v>
      </c>
    </row>
    <row r="143" spans="1:10" ht="15.75" customHeight="1" x14ac:dyDescent="0.35">
      <c r="A143" s="95" t="s">
        <v>49</v>
      </c>
      <c r="B143" s="96"/>
      <c r="C143" s="55" t="s">
        <v>135</v>
      </c>
      <c r="D143" s="55" t="s">
        <v>81</v>
      </c>
      <c r="E143" s="96" t="s">
        <v>83</v>
      </c>
      <c r="F143" s="96"/>
      <c r="G143" s="96" t="s">
        <v>82</v>
      </c>
      <c r="H143" s="97"/>
      <c r="I143" s="64" t="s">
        <v>137</v>
      </c>
      <c r="J143" s="23">
        <f>H141*25%</f>
        <v>3.75</v>
      </c>
    </row>
    <row r="144" spans="1:10" x14ac:dyDescent="0.35">
      <c r="A144" s="96" t="s">
        <v>124</v>
      </c>
      <c r="B144" s="96"/>
      <c r="C144" s="55">
        <f>J145</f>
        <v>15</v>
      </c>
      <c r="D144" s="14">
        <f>((100/H141)*C144)/100</f>
        <v>1</v>
      </c>
      <c r="E144" s="98">
        <f>(((C145/H141*10)+(40/(D141+F141+H141)*C146)+(7.5/(H141)*C147)+(7.5/(H141)*C148)+(10/H141*C149)+(10/H141*C150)+(5/H141*C151)+(5/H141*C152)+(5/H141*C153))/100)</f>
        <v>0.22500000000000001</v>
      </c>
      <c r="F144" s="98"/>
      <c r="G144" s="98">
        <f>((((C144/H141)*20)+((C145/H141)*25)+(30/(H141+F141+D141)*C146)+(5/H141*C147)+(5/H141*C148)+(5/H141*C149)+(5/H141*C150)+(0/H141*C151)+(0/H141*C152)+(5/H141*C153))/100)</f>
        <v>0.54374999999999996</v>
      </c>
      <c r="H144" s="98"/>
      <c r="I144" s="64" t="s">
        <v>98</v>
      </c>
      <c r="J144" s="65">
        <f>H141*50%</f>
        <v>7.5</v>
      </c>
    </row>
    <row r="145" spans="1:10" x14ac:dyDescent="0.35">
      <c r="A145" s="96" t="s">
        <v>50</v>
      </c>
      <c r="B145" s="96"/>
      <c r="C145" s="35">
        <f>J153</f>
        <v>15</v>
      </c>
      <c r="D145" s="14">
        <f>((100/H141)*C145)/100</f>
        <v>1</v>
      </c>
      <c r="E145" s="98"/>
      <c r="F145" s="98"/>
      <c r="G145" s="98"/>
      <c r="H145" s="98"/>
      <c r="I145" s="64" t="s">
        <v>99</v>
      </c>
      <c r="J145" s="65">
        <f>H141</f>
        <v>15</v>
      </c>
    </row>
    <row r="146" spans="1:10" ht="15.75" customHeight="1" x14ac:dyDescent="0.35">
      <c r="A146" s="96" t="s">
        <v>125</v>
      </c>
      <c r="B146" s="96"/>
      <c r="C146" s="55">
        <v>5</v>
      </c>
      <c r="D146" s="14">
        <f>((100/(D141+F141+H141))*C146)/100</f>
        <v>0.3125</v>
      </c>
      <c r="E146" s="98"/>
      <c r="F146" s="98"/>
      <c r="G146" s="98"/>
      <c r="H146" s="98"/>
      <c r="I146" s="64" t="s">
        <v>100</v>
      </c>
      <c r="J146" s="66">
        <f>(IF(B141&gt;1,(H141/(B141+2)),H141/4))</f>
        <v>2.5</v>
      </c>
    </row>
    <row r="147" spans="1:10" ht="15.75" customHeight="1" x14ac:dyDescent="0.35">
      <c r="A147" s="96" t="s">
        <v>132</v>
      </c>
      <c r="B147" s="96" t="s">
        <v>126</v>
      </c>
      <c r="C147" s="55">
        <v>0</v>
      </c>
      <c r="D147" s="14">
        <f>((100/H141)*C147)/100</f>
        <v>0</v>
      </c>
      <c r="E147" s="98"/>
      <c r="F147" s="98"/>
      <c r="G147" s="98"/>
      <c r="H147" s="98"/>
      <c r="I147" s="64" t="s">
        <v>101</v>
      </c>
      <c r="J147" s="66">
        <f>(IF(B141&gt;1,(H141/(B141+2)+J146),H141/4+J146))</f>
        <v>5</v>
      </c>
    </row>
    <row r="148" spans="1:10" ht="15.75" customHeight="1" x14ac:dyDescent="0.35">
      <c r="A148" s="96" t="s">
        <v>133</v>
      </c>
      <c r="B148" s="96" t="s">
        <v>126</v>
      </c>
      <c r="C148" s="55">
        <v>0</v>
      </c>
      <c r="D148" s="14">
        <f>((100/H141)*C148)/100</f>
        <v>0</v>
      </c>
      <c r="E148" s="98"/>
      <c r="F148" s="98"/>
      <c r="G148" s="98"/>
      <c r="H148" s="98"/>
      <c r="I148" s="64" t="s">
        <v>142</v>
      </c>
      <c r="J148" s="66">
        <f>(IF(B141&gt;1,(H141/(B141+2)+J147),0))</f>
        <v>7.5</v>
      </c>
    </row>
    <row r="149" spans="1:10" ht="15" customHeight="1" x14ac:dyDescent="0.35">
      <c r="A149" s="96" t="s">
        <v>131</v>
      </c>
      <c r="B149" s="96" t="s">
        <v>128</v>
      </c>
      <c r="C149" s="55">
        <v>0</v>
      </c>
      <c r="D149" s="14">
        <f>((100/(H141))*C149)/100</f>
        <v>0</v>
      </c>
      <c r="E149" s="98"/>
      <c r="F149" s="98"/>
      <c r="G149" s="98"/>
      <c r="H149" s="98"/>
      <c r="I149" s="64" t="s">
        <v>139</v>
      </c>
      <c r="J149" s="66">
        <f>(IF(B141&gt;2,(H141/(B141+2)+J148),0))</f>
        <v>10</v>
      </c>
    </row>
    <row r="150" spans="1:10" ht="15.75" customHeight="1" x14ac:dyDescent="0.35">
      <c r="A150" s="96" t="s">
        <v>127</v>
      </c>
      <c r="B150" s="96" t="s">
        <v>127</v>
      </c>
      <c r="C150" s="55">
        <v>0</v>
      </c>
      <c r="D150" s="14">
        <f>((100/H141)*C150)/100</f>
        <v>0</v>
      </c>
      <c r="E150" s="98"/>
      <c r="F150" s="98"/>
      <c r="G150" s="98"/>
      <c r="H150" s="98"/>
      <c r="I150" s="64" t="s">
        <v>140</v>
      </c>
      <c r="J150" s="67">
        <f>(IF(B141&gt;3,(H141/(B141+2)+J149),0))</f>
        <v>12.5</v>
      </c>
    </row>
    <row r="151" spans="1:10" ht="15.75" customHeight="1" x14ac:dyDescent="0.35">
      <c r="A151" s="96" t="s">
        <v>134</v>
      </c>
      <c r="B151" s="96"/>
      <c r="C151" s="55">
        <v>0</v>
      </c>
      <c r="D151" s="14">
        <f>((100/H141)*C151)/100</f>
        <v>0</v>
      </c>
      <c r="E151" s="98"/>
      <c r="F151" s="98"/>
      <c r="G151" s="98"/>
      <c r="H151" s="98"/>
      <c r="I151" s="64" t="s">
        <v>141</v>
      </c>
      <c r="J151" s="66">
        <f>(IF(B141&gt;4,(H141/(B141+2)+J150),0))</f>
        <v>0</v>
      </c>
    </row>
    <row r="152" spans="1:10" ht="15.75" customHeight="1" x14ac:dyDescent="0.35">
      <c r="A152" s="96" t="s">
        <v>129</v>
      </c>
      <c r="B152" s="96" t="s">
        <v>129</v>
      </c>
      <c r="C152" s="55">
        <v>0</v>
      </c>
      <c r="D152" s="14">
        <f>((100/(H141))*C152)/100</f>
        <v>0</v>
      </c>
      <c r="E152" s="98"/>
      <c r="F152" s="98"/>
      <c r="G152" s="98"/>
      <c r="H152" s="98"/>
      <c r="I152" s="64" t="s">
        <v>143</v>
      </c>
      <c r="J152" s="66">
        <f>(IF(B141=1,(H141/(B141+3)+J147),IF(B141=0,(H141/4+J147),IF(B141&gt;1,0))))</f>
        <v>0</v>
      </c>
    </row>
    <row r="153" spans="1:10" ht="16" thickBot="1" x14ac:dyDescent="0.4">
      <c r="A153" s="96" t="s">
        <v>130</v>
      </c>
      <c r="B153" s="96"/>
      <c r="C153" s="55">
        <v>0</v>
      </c>
      <c r="D153" s="14">
        <f>((100/(H141))*C153)/100</f>
        <v>0</v>
      </c>
      <c r="E153" s="98"/>
      <c r="F153" s="98"/>
      <c r="G153" s="98"/>
      <c r="H153" s="98"/>
      <c r="I153" s="68" t="s">
        <v>102</v>
      </c>
      <c r="J153" s="69">
        <f>(IF(B141&gt;1.5,(H141/(B141+2)+J147+MAX(0,J148-J147)+MAX(0,J149-J148)+MAX(0,J150-J149)+MAX(0,J151-J150)+MAX(0,J152-J151)),IF(B141=1,(H141/(B141+3)+J152),IF(B141=0,H141/4+J152))))</f>
        <v>15</v>
      </c>
    </row>
    <row r="154" spans="1:10" x14ac:dyDescent="0.35">
      <c r="A154" s="93" t="s">
        <v>136</v>
      </c>
      <c r="B154" s="93"/>
      <c r="C154" s="93" t="s">
        <v>329</v>
      </c>
      <c r="D154" s="93"/>
      <c r="E154" s="93"/>
      <c r="F154" s="93"/>
      <c r="G154" s="93"/>
      <c r="H154" s="93"/>
      <c r="I154" s="72" t="str">
        <f>IF(D167=100%,"All work Completed. Possession granted to the Building.",IF(D166=100%,"All work Completed, Waiting for OC",I155&amp;""&amp;I156&amp;""&amp;J155&amp;""&amp;J154&amp;" "&amp;J156))</f>
        <v xml:space="preserve">Excavation work in process </v>
      </c>
      <c r="J154" s="61" t="str">
        <f>(IF(C160=(D155+F155+H155),"",IF(C160&gt;0,", RCC upto "&amp;C160&amp;" Slab","")))&amp;(IF(C161=H155,"",IF(C161&gt;0,", Brickwork upto "&amp;C161&amp;" Floor","")))&amp;(IF(C162=H155,"",IF(C162&gt;0,", Internal Plaster upto "&amp;C162&amp;" Floor","")))&amp;(IF(C163=H155,"",IF(C163&gt;0,", External Plaster upto "&amp;C163&amp;" Floor","")))&amp;(IF(C164=H155,"",IF(C164&gt;0,", Flooring upto "&amp;C164&amp;" Floor","")))&amp;(IF(C165=H155,"",IF(C165&gt;0,", Painting upto "&amp;C165&amp;" Floor","")))&amp;(IF(C166=H155,"",IF(C166&gt;0,", Finishing upto "&amp;C166&amp;" Floor","")))&amp;(IF(C167=H155,"",IF(C167&gt;0,", Possession upto "&amp;C167&amp;" Floor","")))</f>
        <v/>
      </c>
    </row>
    <row r="155" spans="1:10" x14ac:dyDescent="0.35">
      <c r="A155" s="58" t="s">
        <v>138</v>
      </c>
      <c r="B155" s="58">
        <v>5</v>
      </c>
      <c r="C155" s="58" t="s">
        <v>71</v>
      </c>
      <c r="D155" s="58">
        <v>1</v>
      </c>
      <c r="E155" s="58" t="s">
        <v>70</v>
      </c>
      <c r="F155" s="58">
        <v>0</v>
      </c>
      <c r="G155" s="58" t="s">
        <v>78</v>
      </c>
      <c r="H155" s="58">
        <v>15</v>
      </c>
      <c r="I155" s="73" t="str">
        <f>IF(D158=100%,"Excavation","")&amp;IF(D159=100%,", Plinth","")&amp;IF(D160=100%,", RCC Slab","")&amp;IF(D161=100%,", Brickwork","")&amp;IF(D162=100%,", Internal Plaster","")&amp;IF(D163=100%,", External Plaster","")&amp;IF(D164=100%,", Flooring","")&amp;IF(D165=100%,", Painting","")&amp;IF(D166=100%,", Building common Amenities","")</f>
        <v/>
      </c>
      <c r="J155" s="63" t="str">
        <f>(IF(C158=0,"Work not yet Started.",IF(D158=25%,"Piling work in process",IF(D158=50%,"Excavation work in process",IF(D158=100%,"","0")))))&amp;(IF(C159=0%,"",IF(C159=J160,", Footing work is process",IF(C159=J161,", Footing work Completed",IF(C159=J162,", 1st Basement Completed",IF(C159=J163,", 1st &amp; 2nd Basement Completed",IF(C159=J164,", 1st to 3rd Basement Completed",IF(C159=J165,", 1st to 4th Basement Completed",IF(C159=J166,", Plinth work is process",IF(C159=J167,"","0"))))))))))</f>
        <v>Excavation work in process</v>
      </c>
    </row>
    <row r="156" spans="1:10" x14ac:dyDescent="0.35">
      <c r="A156" s="92" t="s">
        <v>88</v>
      </c>
      <c r="B156" s="92"/>
      <c r="C156" s="93" t="str">
        <f>(IF($G$55="NA",I154,"All work Completed. OC Received."))</f>
        <v xml:space="preserve">Excavation work in process </v>
      </c>
      <c r="D156" s="93"/>
      <c r="E156" s="93"/>
      <c r="F156" s="93"/>
      <c r="G156" s="93"/>
      <c r="H156" s="93"/>
      <c r="I156" s="73" t="str">
        <f>IF(I155&lt;&gt;""," Completed","")</f>
        <v/>
      </c>
      <c r="J156" s="63" t="str">
        <f>IF(J154&lt;&gt;"","Completed","")</f>
        <v/>
      </c>
    </row>
    <row r="157" spans="1:10" ht="15.75" customHeight="1" x14ac:dyDescent="0.35">
      <c r="A157" s="96" t="s">
        <v>49</v>
      </c>
      <c r="B157" s="96"/>
      <c r="C157" s="55" t="s">
        <v>135</v>
      </c>
      <c r="D157" s="55" t="s">
        <v>81</v>
      </c>
      <c r="E157" s="96" t="s">
        <v>83</v>
      </c>
      <c r="F157" s="96"/>
      <c r="G157" s="96" t="s">
        <v>82</v>
      </c>
      <c r="H157" s="96"/>
      <c r="I157" s="64" t="s">
        <v>137</v>
      </c>
      <c r="J157" s="23">
        <f>H155*25%</f>
        <v>3.75</v>
      </c>
    </row>
    <row r="158" spans="1:10" x14ac:dyDescent="0.35">
      <c r="A158" s="96" t="s">
        <v>124</v>
      </c>
      <c r="B158" s="96"/>
      <c r="C158" s="55">
        <f>J158</f>
        <v>7.5</v>
      </c>
      <c r="D158" s="14">
        <f>((100/H155)*C158)/100</f>
        <v>0.5</v>
      </c>
      <c r="E158" s="98">
        <f>(((C159/H155*10)+(40/(D155+F155+H155)*C160)+(7.5/(H155)*C161)+(7.5/(H155)*C162)+(10/H155*C163)+(10/H155*C164)+(5/H155*C165)+(5/H155*C166)+(5/H155*C167))/100)</f>
        <v>0</v>
      </c>
      <c r="F158" s="98"/>
      <c r="G158" s="98">
        <f>((((C158/H155)*20)+((C159/H155)*25)+(30/(H155+F155+D155)*C160)+(5/H155*C161)+(5/H155*C162)+(5/H155*C163)+(5/H155*C164)+(0/H155*C165)+(0/H155*C166)+(5/H155*C167))/100)</f>
        <v>0.1</v>
      </c>
      <c r="H158" s="98"/>
      <c r="I158" s="64" t="s">
        <v>98</v>
      </c>
      <c r="J158" s="65">
        <f>H155*50%</f>
        <v>7.5</v>
      </c>
    </row>
    <row r="159" spans="1:10" x14ac:dyDescent="0.35">
      <c r="A159" s="96" t="s">
        <v>50</v>
      </c>
      <c r="B159" s="96"/>
      <c r="C159" s="35">
        <v>0</v>
      </c>
      <c r="D159" s="14">
        <f>((100/H155)*C159)/100</f>
        <v>0</v>
      </c>
      <c r="E159" s="98"/>
      <c r="F159" s="98"/>
      <c r="G159" s="98"/>
      <c r="H159" s="98"/>
      <c r="I159" s="64" t="s">
        <v>99</v>
      </c>
      <c r="J159" s="65">
        <f>H155</f>
        <v>15</v>
      </c>
    </row>
    <row r="160" spans="1:10" ht="15.75" customHeight="1" x14ac:dyDescent="0.35">
      <c r="A160" s="96" t="s">
        <v>125</v>
      </c>
      <c r="B160" s="96"/>
      <c r="C160" s="55">
        <v>0</v>
      </c>
      <c r="D160" s="14">
        <f>((100/(D155+F155+H155))*C160)/100</f>
        <v>0</v>
      </c>
      <c r="E160" s="98"/>
      <c r="F160" s="98"/>
      <c r="G160" s="98"/>
      <c r="H160" s="98"/>
      <c r="I160" s="64" t="s">
        <v>100</v>
      </c>
      <c r="J160" s="66">
        <f>(IF(B155&gt;1,(H155/(B155+2)),H155/4))</f>
        <v>2.1428571428571428</v>
      </c>
    </row>
    <row r="161" spans="1:12" ht="15.75" customHeight="1" x14ac:dyDescent="0.35">
      <c r="A161" s="96" t="s">
        <v>132</v>
      </c>
      <c r="B161" s="96" t="s">
        <v>126</v>
      </c>
      <c r="C161" s="55">
        <v>0</v>
      </c>
      <c r="D161" s="14">
        <f>((100/H155)*C161)/100</f>
        <v>0</v>
      </c>
      <c r="E161" s="98"/>
      <c r="F161" s="98"/>
      <c r="G161" s="98"/>
      <c r="H161" s="98"/>
      <c r="I161" s="64" t="s">
        <v>101</v>
      </c>
      <c r="J161" s="66">
        <f>(IF(B155&gt;1,(H155/(B155+2)+J160),H155/4+J160))</f>
        <v>4.2857142857142856</v>
      </c>
    </row>
    <row r="162" spans="1:12" ht="15.75" customHeight="1" x14ac:dyDescent="0.35">
      <c r="A162" s="96" t="s">
        <v>133</v>
      </c>
      <c r="B162" s="96" t="s">
        <v>126</v>
      </c>
      <c r="C162" s="55">
        <v>0</v>
      </c>
      <c r="D162" s="14">
        <f>((100/H155)*C162)/100</f>
        <v>0</v>
      </c>
      <c r="E162" s="98"/>
      <c r="F162" s="98"/>
      <c r="G162" s="98"/>
      <c r="H162" s="98"/>
      <c r="I162" s="64" t="s">
        <v>142</v>
      </c>
      <c r="J162" s="66">
        <f>(IF(B155&gt;1,(H155/(B155+2)+J161),0))</f>
        <v>6.4285714285714288</v>
      </c>
    </row>
    <row r="163" spans="1:12" ht="15" customHeight="1" x14ac:dyDescent="0.35">
      <c r="A163" s="96" t="s">
        <v>131</v>
      </c>
      <c r="B163" s="96" t="s">
        <v>128</v>
      </c>
      <c r="C163" s="55">
        <v>0</v>
      </c>
      <c r="D163" s="14">
        <f>((100/(H155))*C163)/100</f>
        <v>0</v>
      </c>
      <c r="E163" s="98"/>
      <c r="F163" s="98"/>
      <c r="G163" s="98"/>
      <c r="H163" s="98"/>
      <c r="I163" s="64" t="s">
        <v>139</v>
      </c>
      <c r="J163" s="66">
        <f>(IF(B155&gt;2,(H155/(B155+2)+J162),0))</f>
        <v>8.5714285714285712</v>
      </c>
    </row>
    <row r="164" spans="1:12" ht="15.75" customHeight="1" x14ac:dyDescent="0.35">
      <c r="A164" s="96" t="s">
        <v>127</v>
      </c>
      <c r="B164" s="96" t="s">
        <v>127</v>
      </c>
      <c r="C164" s="55">
        <v>0</v>
      </c>
      <c r="D164" s="14">
        <f>((100/H155)*C164)/100</f>
        <v>0</v>
      </c>
      <c r="E164" s="98"/>
      <c r="F164" s="98"/>
      <c r="G164" s="98"/>
      <c r="H164" s="98"/>
      <c r="I164" s="64" t="s">
        <v>140</v>
      </c>
      <c r="J164" s="67">
        <f>(IF(B155&gt;3,(H155/(B155+2)+J163),0))</f>
        <v>10.714285714285714</v>
      </c>
    </row>
    <row r="165" spans="1:12" ht="15.75" customHeight="1" x14ac:dyDescent="0.35">
      <c r="A165" s="96" t="s">
        <v>134</v>
      </c>
      <c r="B165" s="96"/>
      <c r="C165" s="55">
        <v>0</v>
      </c>
      <c r="D165" s="14">
        <f>((100/H155)*C165)/100</f>
        <v>0</v>
      </c>
      <c r="E165" s="98"/>
      <c r="F165" s="98"/>
      <c r="G165" s="98"/>
      <c r="H165" s="98"/>
      <c r="I165" s="64" t="s">
        <v>141</v>
      </c>
      <c r="J165" s="66">
        <f>(IF(B155&gt;4,(H155/(B155+2)+J164),0))</f>
        <v>12.857142857142856</v>
      </c>
    </row>
    <row r="166" spans="1:12" ht="15.75" customHeight="1" x14ac:dyDescent="0.35">
      <c r="A166" s="96" t="s">
        <v>129</v>
      </c>
      <c r="B166" s="96" t="s">
        <v>129</v>
      </c>
      <c r="C166" s="55">
        <v>0</v>
      </c>
      <c r="D166" s="14">
        <f>((100/(H155))*C166)/100</f>
        <v>0</v>
      </c>
      <c r="E166" s="98"/>
      <c r="F166" s="98"/>
      <c r="G166" s="98"/>
      <c r="H166" s="98"/>
      <c r="I166" s="64" t="s">
        <v>143</v>
      </c>
      <c r="J166" s="66">
        <f>(IF(B155=1,(H155/(B155+3)+J161),IF(B155=0,(H155/4+J161),IF(B155&gt;1,0))))</f>
        <v>0</v>
      </c>
    </row>
    <row r="167" spans="1:12" ht="16" thickBot="1" x14ac:dyDescent="0.4">
      <c r="A167" s="96" t="s">
        <v>130</v>
      </c>
      <c r="B167" s="96"/>
      <c r="C167" s="55">
        <v>0</v>
      </c>
      <c r="D167" s="14">
        <f>((100/(H155))*C167)/100</f>
        <v>0</v>
      </c>
      <c r="E167" s="98"/>
      <c r="F167" s="98"/>
      <c r="G167" s="98"/>
      <c r="H167" s="98"/>
      <c r="I167" s="68" t="s">
        <v>102</v>
      </c>
      <c r="J167" s="69">
        <f>(IF(B155&gt;1.5,(H155/(B155+2)+J161+MAX(0,J162-J161)+MAX(0,J163-J162)+MAX(0,J164-J163)+MAX(0,J165-J164)+MAX(0,J166-J165)),IF(B155=1,(H155/(B155+3)+J166),IF(B155=0,H155/4+J166))))</f>
        <v>15</v>
      </c>
    </row>
    <row r="168" spans="1:12" x14ac:dyDescent="0.35">
      <c r="A168" s="86" t="s">
        <v>136</v>
      </c>
      <c r="B168" s="87"/>
      <c r="C168" s="88" t="s">
        <v>331</v>
      </c>
      <c r="D168" s="89"/>
      <c r="E168" s="89"/>
      <c r="F168" s="89"/>
      <c r="G168" s="89"/>
      <c r="H168" s="90"/>
      <c r="I168" s="60" t="str">
        <f>IF(D181=100%,"All work Completed. Possession granted to the Building.",IF(D180=100%,"All work Completed, Waiting for OC",I169&amp;""&amp;I170&amp;""&amp;J169&amp;""&amp;J168&amp;" "&amp;J170))</f>
        <v xml:space="preserve">Excavation work in process </v>
      </c>
      <c r="J168" s="61" t="str">
        <f>(IF(C174=(D169+F169+H169),"",IF(C174&gt;0,", RCC upto "&amp;C174&amp;" Slab","")))&amp;(IF(C175=H169,"",IF(C175&gt;0,", Brickwork upto "&amp;C175&amp;" Floor","")))&amp;(IF(C176=H169,"",IF(C176&gt;0,", Internal Plaster upto "&amp;C176&amp;" Floor","")))&amp;(IF(C177=H169,"",IF(C177&gt;0,", External Plaster upto "&amp;C177&amp;" Floor","")))&amp;(IF(C178=H169,"",IF(C178&gt;0,", Flooring upto "&amp;C178&amp;" Floor","")))&amp;(IF(C179=H169,"",IF(C179&gt;0,", Painting upto "&amp;C179&amp;" Floor","")))&amp;(IF(C180=H169,"",IF(C180&gt;0,", Finishing upto "&amp;C180&amp;" Floor","")))&amp;(IF(C181=H169,"",IF(C181&gt;0,", Possession upto "&amp;C181&amp;" Floor","")))</f>
        <v/>
      </c>
    </row>
    <row r="169" spans="1:12" x14ac:dyDescent="0.35">
      <c r="A169" s="57" t="s">
        <v>138</v>
      </c>
      <c r="B169" s="58">
        <v>5</v>
      </c>
      <c r="C169" s="58" t="s">
        <v>71</v>
      </c>
      <c r="D169" s="58">
        <v>1</v>
      </c>
      <c r="E169" s="58" t="s">
        <v>70</v>
      </c>
      <c r="F169" s="58">
        <v>0</v>
      </c>
      <c r="G169" s="58" t="s">
        <v>78</v>
      </c>
      <c r="H169" s="59">
        <v>15</v>
      </c>
      <c r="I169" s="62" t="str">
        <f>IF(D172=100%,"Excavation","")&amp;IF(D173=100%,", Plinth","")&amp;IF(D174=100%,", RCC Slab","")&amp;IF(D175=100%,", Brickwork","")&amp;IF(D176=100%,", Internal Plaster","")&amp;IF(D177=100%,", External Plaster","")&amp;IF(D178=100%,", Flooring","")&amp;IF(D179=100%,", Painting","")&amp;IF(D180=100%,", Building common Amenities","")</f>
        <v/>
      </c>
      <c r="J169" s="63" t="str">
        <f>(IF(C172=0,"Work not yet Started.",IF(D172=25%,"Piling work in process",IF(D172=50%,"Excavation work in process",IF(D172=100%,"","0")))))&amp;(IF(C173=0%,"",IF(C173=J174,", Footing work is process",IF(C173=J175,", Footing work Completed",IF(C173=J176,", 1st Basement Completed",IF(C173=J177,", 1st &amp; 2nd Basement Completed",IF(C173=J178,", 1st to 3rd Basement Completed",IF(C173=J179,", 1st to 4th Basement Completed",IF(C173=J180,", Plinth work is process",IF(C173=J181,"","0"))))))))))</f>
        <v>Excavation work in process</v>
      </c>
    </row>
    <row r="170" spans="1:12" x14ac:dyDescent="0.35">
      <c r="A170" s="91" t="s">
        <v>88</v>
      </c>
      <c r="B170" s="92"/>
      <c r="C170" s="93" t="str">
        <f>(IF($G$55="NA",I168,"All work Completed. OC Received."))</f>
        <v xml:space="preserve">Excavation work in process </v>
      </c>
      <c r="D170" s="93"/>
      <c r="E170" s="93"/>
      <c r="F170" s="93"/>
      <c r="G170" s="93"/>
      <c r="H170" s="94"/>
      <c r="I170" s="62" t="str">
        <f>IF(I169&lt;&gt;""," Completed","")</f>
        <v/>
      </c>
      <c r="J170" s="63" t="str">
        <f>IF(J168&lt;&gt;"","Completed","")</f>
        <v/>
      </c>
    </row>
    <row r="171" spans="1:12" ht="15.75" customHeight="1" x14ac:dyDescent="0.35">
      <c r="A171" s="95" t="s">
        <v>49</v>
      </c>
      <c r="B171" s="96"/>
      <c r="C171" s="55" t="s">
        <v>135</v>
      </c>
      <c r="D171" s="55" t="s">
        <v>81</v>
      </c>
      <c r="E171" s="96" t="s">
        <v>83</v>
      </c>
      <c r="F171" s="96"/>
      <c r="G171" s="96" t="s">
        <v>82</v>
      </c>
      <c r="H171" s="97"/>
      <c r="I171" s="64" t="s">
        <v>137</v>
      </c>
      <c r="J171" s="23">
        <f>H169*25%</f>
        <v>3.75</v>
      </c>
      <c r="L171" s="18" t="s">
        <v>349</v>
      </c>
    </row>
    <row r="172" spans="1:12" x14ac:dyDescent="0.35">
      <c r="A172" s="95" t="s">
        <v>124</v>
      </c>
      <c r="B172" s="96"/>
      <c r="C172" s="55">
        <f>J172</f>
        <v>7.5</v>
      </c>
      <c r="D172" s="14">
        <f>((100/H169)*C172)/100</f>
        <v>0.5</v>
      </c>
      <c r="E172" s="99">
        <f>(((C173/H169*10)+(40/(D169+F169+H169)*C174)+(7.5/(H169)*C175)+(7.5/(H169)*C176)+(10/H169*C177)+(10/H169*C178)+(5/H169*C179)+(5/H169*C180)+(5/H169*C181))/100)</f>
        <v>0</v>
      </c>
      <c r="F172" s="100"/>
      <c r="G172" s="99">
        <f>((((C172/H169)*20)+((C173/H169)*25)+(30/(H169+F169+D169)*C174)+(5/H169*C175)+(5/H169*C176)+(5/H169*C177)+(5/H169*C178)+(0/H169*C179)+(0/H169*C180)+(5/H169*C181))/100)</f>
        <v>0.1</v>
      </c>
      <c r="H172" s="103"/>
      <c r="I172" s="64" t="s">
        <v>98</v>
      </c>
      <c r="J172" s="65">
        <f>H169*50%</f>
        <v>7.5</v>
      </c>
      <c r="L172" s="18"/>
    </row>
    <row r="173" spans="1:12" x14ac:dyDescent="0.35">
      <c r="A173" s="95" t="s">
        <v>50</v>
      </c>
      <c r="B173" s="96"/>
      <c r="C173" s="35">
        <v>0</v>
      </c>
      <c r="D173" s="14">
        <f>((100/H169)*C173)/100</f>
        <v>0</v>
      </c>
      <c r="E173" s="101"/>
      <c r="F173" s="102"/>
      <c r="G173" s="101"/>
      <c r="H173" s="104"/>
      <c r="I173" s="64" t="s">
        <v>99</v>
      </c>
      <c r="J173" s="65">
        <f>H169</f>
        <v>15</v>
      </c>
    </row>
    <row r="174" spans="1:12" ht="15.75" customHeight="1" x14ac:dyDescent="0.35">
      <c r="A174" s="95" t="s">
        <v>125</v>
      </c>
      <c r="B174" s="96"/>
      <c r="C174" s="55">
        <v>0</v>
      </c>
      <c r="D174" s="14">
        <f>((100/(D169+F169+H169))*C174)/100</f>
        <v>0</v>
      </c>
      <c r="E174" s="101"/>
      <c r="F174" s="102"/>
      <c r="G174" s="101"/>
      <c r="H174" s="104"/>
      <c r="I174" s="64" t="s">
        <v>100</v>
      </c>
      <c r="J174" s="66">
        <f>(IF(B169&gt;1,(H169/(B169+2)),H169/4))</f>
        <v>2.1428571428571428</v>
      </c>
    </row>
    <row r="175" spans="1:12" ht="15.75" customHeight="1" x14ac:dyDescent="0.35">
      <c r="A175" s="95" t="s">
        <v>132</v>
      </c>
      <c r="B175" s="96" t="s">
        <v>126</v>
      </c>
      <c r="C175" s="55">
        <v>0</v>
      </c>
      <c r="D175" s="14">
        <f>((100/H169)*C175)/100</f>
        <v>0</v>
      </c>
      <c r="E175" s="101"/>
      <c r="F175" s="102"/>
      <c r="G175" s="101"/>
      <c r="H175" s="104"/>
      <c r="I175" s="64" t="s">
        <v>101</v>
      </c>
      <c r="J175" s="66">
        <f>(IF(B169&gt;1,(H169/(B169+2)+J174),H169/4+J174))</f>
        <v>4.2857142857142856</v>
      </c>
    </row>
    <row r="176" spans="1:12" ht="15.75" customHeight="1" x14ac:dyDescent="0.35">
      <c r="A176" s="95" t="s">
        <v>133</v>
      </c>
      <c r="B176" s="96" t="s">
        <v>126</v>
      </c>
      <c r="C176" s="55">
        <v>0</v>
      </c>
      <c r="D176" s="14">
        <f>((100/H169)*C176)/100</f>
        <v>0</v>
      </c>
      <c r="E176" s="101"/>
      <c r="F176" s="102"/>
      <c r="G176" s="101"/>
      <c r="H176" s="104"/>
      <c r="I176" s="64" t="s">
        <v>142</v>
      </c>
      <c r="J176" s="66">
        <f>(IF(B169&gt;1,(H169/(B169+2)+J175),0))</f>
        <v>6.4285714285714288</v>
      </c>
    </row>
    <row r="177" spans="1:10" ht="15" customHeight="1" x14ac:dyDescent="0.35">
      <c r="A177" s="95" t="s">
        <v>131</v>
      </c>
      <c r="B177" s="96" t="s">
        <v>128</v>
      </c>
      <c r="C177" s="55">
        <v>0</v>
      </c>
      <c r="D177" s="14">
        <f>((100/(H169))*C177)/100</f>
        <v>0</v>
      </c>
      <c r="E177" s="101"/>
      <c r="F177" s="102"/>
      <c r="G177" s="101"/>
      <c r="H177" s="104"/>
      <c r="I177" s="64" t="s">
        <v>139</v>
      </c>
      <c r="J177" s="66">
        <f>(IF(B169&gt;2,(H169/(B169+2)+J176),0))</f>
        <v>8.5714285714285712</v>
      </c>
    </row>
    <row r="178" spans="1:10" ht="15.75" customHeight="1" x14ac:dyDescent="0.35">
      <c r="A178" s="95" t="s">
        <v>127</v>
      </c>
      <c r="B178" s="96" t="s">
        <v>127</v>
      </c>
      <c r="C178" s="55">
        <v>0</v>
      </c>
      <c r="D178" s="14">
        <f>((100/H169)*C178)/100</f>
        <v>0</v>
      </c>
      <c r="E178" s="101"/>
      <c r="F178" s="102"/>
      <c r="G178" s="101"/>
      <c r="H178" s="104"/>
      <c r="I178" s="64" t="s">
        <v>140</v>
      </c>
      <c r="J178" s="67">
        <f>(IF(B169&gt;3,(H169/(B169+2)+J177),0))</f>
        <v>10.714285714285714</v>
      </c>
    </row>
    <row r="179" spans="1:10" ht="15.75" customHeight="1" x14ac:dyDescent="0.35">
      <c r="A179" s="95" t="s">
        <v>134</v>
      </c>
      <c r="B179" s="96"/>
      <c r="C179" s="55">
        <v>0</v>
      </c>
      <c r="D179" s="14">
        <f>((100/H169)*C179)/100</f>
        <v>0</v>
      </c>
      <c r="E179" s="101"/>
      <c r="F179" s="102"/>
      <c r="G179" s="101"/>
      <c r="H179" s="104"/>
      <c r="I179" s="64" t="s">
        <v>141</v>
      </c>
      <c r="J179" s="66">
        <f>(IF(B169&gt;4,(H169/(B169+2)+J178),0))</f>
        <v>12.857142857142856</v>
      </c>
    </row>
    <row r="180" spans="1:10" ht="15.75" customHeight="1" x14ac:dyDescent="0.35">
      <c r="A180" s="95" t="s">
        <v>129</v>
      </c>
      <c r="B180" s="96" t="s">
        <v>129</v>
      </c>
      <c r="C180" s="55">
        <v>0</v>
      </c>
      <c r="D180" s="14">
        <f>((100/(H169))*C180)/100</f>
        <v>0</v>
      </c>
      <c r="E180" s="101"/>
      <c r="F180" s="102"/>
      <c r="G180" s="101"/>
      <c r="H180" s="104"/>
      <c r="I180" s="64" t="s">
        <v>143</v>
      </c>
      <c r="J180" s="66">
        <f>(IF(B169=1,(H169/(B169+3)+J175),IF(B169=0,(H169/4+J175),IF(B169&gt;1,0))))</f>
        <v>0</v>
      </c>
    </row>
    <row r="181" spans="1:10" ht="16" thickBot="1" x14ac:dyDescent="0.4">
      <c r="A181" s="110" t="s">
        <v>130</v>
      </c>
      <c r="B181" s="111"/>
      <c r="C181" s="56">
        <v>0</v>
      </c>
      <c r="D181" s="15">
        <f>((100/(H169))*C181)/100</f>
        <v>0</v>
      </c>
      <c r="E181" s="107"/>
      <c r="F181" s="108"/>
      <c r="G181" s="107"/>
      <c r="H181" s="109"/>
      <c r="I181" s="68" t="s">
        <v>102</v>
      </c>
      <c r="J181" s="69">
        <f>(IF(B169&gt;1.5,(H169/(B169+2)+J175+MAX(0,J176-J175)+MAX(0,J177-J176)+MAX(0,J178-J177)+MAX(0,J179-J178)+MAX(0,J180-J179)),IF(B169=1,(H169/(B169+3)+J180),IF(B169=0,H169/4+J180))))</f>
        <v>15</v>
      </c>
    </row>
    <row r="182" spans="1:10" x14ac:dyDescent="0.35">
      <c r="A182" s="112" t="s">
        <v>136</v>
      </c>
      <c r="B182" s="113"/>
      <c r="C182" s="114" t="s">
        <v>332</v>
      </c>
      <c r="D182" s="115"/>
      <c r="E182" s="115"/>
      <c r="F182" s="115"/>
      <c r="G182" s="115"/>
      <c r="H182" s="116"/>
      <c r="I182" s="60" t="str">
        <f>IF(D195=100%,"All work Completed. Possession granted to the Building.",IF(D194=100%,"All work Completed, Waiting for OC",I183&amp;""&amp;I184&amp;""&amp;J183&amp;""&amp;J182&amp;" "&amp;J184))</f>
        <v xml:space="preserve">Excavation work in process </v>
      </c>
      <c r="J182" s="61" t="str">
        <f>(IF(C188=(D183+F183+H183),"",IF(C188&gt;0,", RCC upto "&amp;C188&amp;" Slab","")))&amp;(IF(C189=H183,"",IF(C189&gt;0,", Brickwork upto "&amp;C189&amp;" Floor","")))&amp;(IF(C190=H183,"",IF(C190&gt;0,", Internal Plaster upto "&amp;C190&amp;" Floor","")))&amp;(IF(C191=H183,"",IF(C191&gt;0,", External Plaster upto "&amp;C191&amp;" Floor","")))&amp;(IF(C192=H183,"",IF(C192&gt;0,", Flooring upto "&amp;C192&amp;" Floor","")))&amp;(IF(C193=H183,"",IF(C193&gt;0,", Painting upto "&amp;C193&amp;" Floor","")))&amp;(IF(C194=H183,"",IF(C194&gt;0,", Finishing upto "&amp;C194&amp;" Floor","")))&amp;(IF(C195=H183,"",IF(C195&gt;0,", Possession upto "&amp;C195&amp;" Floor","")))</f>
        <v/>
      </c>
    </row>
    <row r="183" spans="1:10" x14ac:dyDescent="0.35">
      <c r="A183" s="57" t="s">
        <v>138</v>
      </c>
      <c r="B183" s="58">
        <v>4</v>
      </c>
      <c r="C183" s="58" t="s">
        <v>71</v>
      </c>
      <c r="D183" s="58">
        <v>1</v>
      </c>
      <c r="E183" s="58" t="s">
        <v>70</v>
      </c>
      <c r="F183" s="58">
        <v>0</v>
      </c>
      <c r="G183" s="58" t="s">
        <v>78</v>
      </c>
      <c r="H183" s="59">
        <v>15</v>
      </c>
      <c r="I183" s="62" t="str">
        <f>IF(D186=100%,"Excavation","")&amp;IF(D187=100%,", Plinth","")&amp;IF(D188=100%,", RCC Slab","")&amp;IF(D189=100%,", Brickwork","")&amp;IF(D190=100%,", Internal Plaster","")&amp;IF(D191=100%,", External Plaster","")&amp;IF(D192=100%,", Flooring","")&amp;IF(D193=100%,", Painting","")&amp;IF(D194=100%,", Building common Amenities","")</f>
        <v/>
      </c>
      <c r="J183" s="63" t="str">
        <f>(IF(C186=0,"Work not yet Started.",IF(D186=25%,"Piling work in process",IF(D186=50%,"Excavation work in process",IF(D186=100%,"","0")))))&amp;(IF(C187=0%,"",IF(C187=J188,", Footing work is process",IF(C187=J189,", Footing work Completed",IF(C187=J190,", 1st Basement Completed",IF(C187=J191,", 1st &amp; 2nd Basement Completed",IF(C187=J192,", 1st to 3rd Basement Completed",IF(C187=J193,", 1st to 4th Basement Completed",IF(C187=J194,", Plinth work is process",IF(C187=J195,"","0"))))))))))</f>
        <v>Excavation work in process</v>
      </c>
    </row>
    <row r="184" spans="1:10" x14ac:dyDescent="0.35">
      <c r="A184" s="91" t="s">
        <v>88</v>
      </c>
      <c r="B184" s="92"/>
      <c r="C184" s="93" t="str">
        <f>(IF($G$55="NA",I182,"All work Completed. OC Received."))</f>
        <v xml:space="preserve">Excavation work in process </v>
      </c>
      <c r="D184" s="93"/>
      <c r="E184" s="93"/>
      <c r="F184" s="93"/>
      <c r="G184" s="93"/>
      <c r="H184" s="94"/>
      <c r="I184" s="62" t="str">
        <f>IF(I183&lt;&gt;""," Completed","")</f>
        <v/>
      </c>
      <c r="J184" s="63" t="str">
        <f>IF(J182&lt;&gt;"","Completed","")</f>
        <v/>
      </c>
    </row>
    <row r="185" spans="1:10" ht="15.75" customHeight="1" x14ac:dyDescent="0.35">
      <c r="A185" s="95" t="s">
        <v>49</v>
      </c>
      <c r="B185" s="96"/>
      <c r="C185" s="55" t="s">
        <v>135</v>
      </c>
      <c r="D185" s="55" t="s">
        <v>81</v>
      </c>
      <c r="E185" s="96" t="s">
        <v>83</v>
      </c>
      <c r="F185" s="96"/>
      <c r="G185" s="96" t="s">
        <v>82</v>
      </c>
      <c r="H185" s="97"/>
      <c r="I185" s="64" t="s">
        <v>137</v>
      </c>
      <c r="J185" s="23">
        <f>H183*25%</f>
        <v>3.75</v>
      </c>
    </row>
    <row r="186" spans="1:10" x14ac:dyDescent="0.35">
      <c r="A186" s="96" t="s">
        <v>124</v>
      </c>
      <c r="B186" s="96"/>
      <c r="C186" s="55">
        <f>J186</f>
        <v>7.5</v>
      </c>
      <c r="D186" s="14">
        <f>((100/H183)*C186)/100</f>
        <v>0.5</v>
      </c>
      <c r="E186" s="98">
        <f>(((C187/H183*10)+(40/(D183+F183+H183)*C188)+(7.5/(H183)*C189)+(7.5/(H183)*C190)+(10/H183*C191)+(10/H183*C192)+(5/H183*C193)+(5/H183*C194)+(5/H183*C195))/100)</f>
        <v>0</v>
      </c>
      <c r="F186" s="98"/>
      <c r="G186" s="98">
        <f>((((C186/H183)*20)+((C187/H183)*25)+(30/(H183+F183+D183)*C188)+(5/H183*C189)+(5/H183*C190)+(5/H183*C191)+(5/H183*C192)+(0/H183*C193)+(0/H183*C194)+(5/H183*C195))/100)</f>
        <v>0.1</v>
      </c>
      <c r="H186" s="98"/>
      <c r="I186" s="64" t="s">
        <v>98</v>
      </c>
      <c r="J186" s="65">
        <f>H183*50%</f>
        <v>7.5</v>
      </c>
    </row>
    <row r="187" spans="1:10" x14ac:dyDescent="0.35">
      <c r="A187" s="96" t="s">
        <v>50</v>
      </c>
      <c r="B187" s="96"/>
      <c r="C187" s="35">
        <v>0</v>
      </c>
      <c r="D187" s="14">
        <f>((100/H183)*C187)/100</f>
        <v>0</v>
      </c>
      <c r="E187" s="98"/>
      <c r="F187" s="98"/>
      <c r="G187" s="98"/>
      <c r="H187" s="98"/>
      <c r="I187" s="64" t="s">
        <v>99</v>
      </c>
      <c r="J187" s="65">
        <f>H183</f>
        <v>15</v>
      </c>
    </row>
    <row r="188" spans="1:10" ht="15.75" customHeight="1" x14ac:dyDescent="0.35">
      <c r="A188" s="96" t="s">
        <v>125</v>
      </c>
      <c r="B188" s="96"/>
      <c r="C188" s="55">
        <v>0</v>
      </c>
      <c r="D188" s="14">
        <f>((100/(D183+F183+H183))*C188)/100</f>
        <v>0</v>
      </c>
      <c r="E188" s="98"/>
      <c r="F188" s="98"/>
      <c r="G188" s="98"/>
      <c r="H188" s="98"/>
      <c r="I188" s="64" t="s">
        <v>100</v>
      </c>
      <c r="J188" s="66">
        <f>(IF(B183&gt;1,(H183/(B183+2)),H183/4))</f>
        <v>2.5</v>
      </c>
    </row>
    <row r="189" spans="1:10" ht="15.75" customHeight="1" x14ac:dyDescent="0.35">
      <c r="A189" s="96" t="s">
        <v>132</v>
      </c>
      <c r="B189" s="96" t="s">
        <v>126</v>
      </c>
      <c r="C189" s="55">
        <v>0</v>
      </c>
      <c r="D189" s="14">
        <f>((100/H183)*C189)/100</f>
        <v>0</v>
      </c>
      <c r="E189" s="98"/>
      <c r="F189" s="98"/>
      <c r="G189" s="98"/>
      <c r="H189" s="98"/>
      <c r="I189" s="64" t="s">
        <v>101</v>
      </c>
      <c r="J189" s="66">
        <f>(IF(B183&gt;1,(H183/(B183+2)+J188),H183/4+J188))</f>
        <v>5</v>
      </c>
    </row>
    <row r="190" spans="1:10" ht="15.75" customHeight="1" x14ac:dyDescent="0.35">
      <c r="A190" s="96" t="s">
        <v>133</v>
      </c>
      <c r="B190" s="96" t="s">
        <v>126</v>
      </c>
      <c r="C190" s="55">
        <v>0</v>
      </c>
      <c r="D190" s="14">
        <f>((100/H183)*C190)/100</f>
        <v>0</v>
      </c>
      <c r="E190" s="98"/>
      <c r="F190" s="98"/>
      <c r="G190" s="98"/>
      <c r="H190" s="98"/>
      <c r="I190" s="64" t="s">
        <v>142</v>
      </c>
      <c r="J190" s="66">
        <f>(IF(B183&gt;1,(H183/(B183+2)+J189),0))</f>
        <v>7.5</v>
      </c>
    </row>
    <row r="191" spans="1:10" ht="15" customHeight="1" x14ac:dyDescent="0.35">
      <c r="A191" s="96" t="s">
        <v>131</v>
      </c>
      <c r="B191" s="96" t="s">
        <v>128</v>
      </c>
      <c r="C191" s="55">
        <v>0</v>
      </c>
      <c r="D191" s="14">
        <f>((100/(H183))*C191)/100</f>
        <v>0</v>
      </c>
      <c r="E191" s="98"/>
      <c r="F191" s="98"/>
      <c r="G191" s="98"/>
      <c r="H191" s="98"/>
      <c r="I191" s="64" t="s">
        <v>139</v>
      </c>
      <c r="J191" s="66">
        <f>(IF(B183&gt;2,(H183/(B183+2)+J190),0))</f>
        <v>10</v>
      </c>
    </row>
    <row r="192" spans="1:10" ht="15.75" customHeight="1" x14ac:dyDescent="0.35">
      <c r="A192" s="96" t="s">
        <v>127</v>
      </c>
      <c r="B192" s="96" t="s">
        <v>127</v>
      </c>
      <c r="C192" s="55">
        <v>0</v>
      </c>
      <c r="D192" s="14">
        <f>((100/H183)*C192)/100</f>
        <v>0</v>
      </c>
      <c r="E192" s="98"/>
      <c r="F192" s="98"/>
      <c r="G192" s="98"/>
      <c r="H192" s="98"/>
      <c r="I192" s="64" t="s">
        <v>140</v>
      </c>
      <c r="J192" s="67">
        <f>(IF(B183&gt;3,(H183/(B183+2)+J191),0))</f>
        <v>12.5</v>
      </c>
    </row>
    <row r="193" spans="1:10" ht="15.75" customHeight="1" x14ac:dyDescent="0.35">
      <c r="A193" s="96" t="s">
        <v>134</v>
      </c>
      <c r="B193" s="96"/>
      <c r="C193" s="55">
        <v>0</v>
      </c>
      <c r="D193" s="14">
        <f>((100/H183)*C193)/100</f>
        <v>0</v>
      </c>
      <c r="E193" s="98"/>
      <c r="F193" s="98"/>
      <c r="G193" s="98"/>
      <c r="H193" s="98"/>
      <c r="I193" s="64" t="s">
        <v>141</v>
      </c>
      <c r="J193" s="66">
        <f>(IF(B183&gt;4,(H183/(B183+2)+J192),0))</f>
        <v>0</v>
      </c>
    </row>
    <row r="194" spans="1:10" ht="15.75" customHeight="1" x14ac:dyDescent="0.35">
      <c r="A194" s="96" t="s">
        <v>129</v>
      </c>
      <c r="B194" s="96" t="s">
        <v>129</v>
      </c>
      <c r="C194" s="55">
        <v>0</v>
      </c>
      <c r="D194" s="14">
        <f>((100/(H183))*C194)/100</f>
        <v>0</v>
      </c>
      <c r="E194" s="98"/>
      <c r="F194" s="98"/>
      <c r="G194" s="98"/>
      <c r="H194" s="98"/>
      <c r="I194" s="64" t="s">
        <v>143</v>
      </c>
      <c r="J194" s="66">
        <f>(IF(B183=1,(H183/(B183+3)+J189),IF(B183=0,(H183/4+J189),IF(B183&gt;1,0))))</f>
        <v>0</v>
      </c>
    </row>
    <row r="195" spans="1:10" ht="16" thickBot="1" x14ac:dyDescent="0.4">
      <c r="A195" s="96" t="s">
        <v>130</v>
      </c>
      <c r="B195" s="96"/>
      <c r="C195" s="55">
        <v>0</v>
      </c>
      <c r="D195" s="14">
        <f>((100/(H183))*C195)/100</f>
        <v>0</v>
      </c>
      <c r="E195" s="98"/>
      <c r="F195" s="98"/>
      <c r="G195" s="98"/>
      <c r="H195" s="98"/>
      <c r="I195" s="68" t="s">
        <v>102</v>
      </c>
      <c r="J195" s="69">
        <f>(IF(B183&gt;1.5,(H183/(B183+2)+J189+MAX(0,J190-J189)+MAX(0,J191-J190)+MAX(0,J192-J191)+MAX(0,J193-J192)+MAX(0,J194-J193)),IF(B183=1,(H183/(B183+3)+J194),IF(B183=0,H183/4+J194))))</f>
        <v>15</v>
      </c>
    </row>
    <row r="196" spans="1:10" ht="15.75" customHeight="1" x14ac:dyDescent="0.35">
      <c r="A196" s="93" t="s">
        <v>136</v>
      </c>
      <c r="B196" s="93"/>
      <c r="C196" s="93" t="s">
        <v>330</v>
      </c>
      <c r="D196" s="93"/>
      <c r="E196" s="93"/>
      <c r="F196" s="93"/>
      <c r="G196" s="93"/>
      <c r="H196" s="93"/>
      <c r="I196" s="72" t="str">
        <f>IF(D209=100%,"All work Completed. Possession granted to the Building.",IF(D208=100%,"All work Completed, Waiting for OC",I197&amp;""&amp;I198&amp;""&amp;J197&amp;""&amp;J196&amp;" "&amp;J198))</f>
        <v xml:space="preserve">Excavation Completed </v>
      </c>
      <c r="J196" s="61" t="str">
        <f>(IF(C202=(D197+F197+H197),"",IF(C202&gt;0,", RCC upto "&amp;C202&amp;" Slab","")))&amp;(IF(C203=H197,"",IF(C203&gt;0,", Brickwork upto "&amp;C203&amp;" Floor","")))&amp;(IF(C204=H197,"",IF(C204&gt;0,", Internal Plaster upto "&amp;C204&amp;" Floor","")))&amp;(IF(C205=H197,"",IF(C205&gt;0,", External Plaster upto "&amp;C205&amp;" Floor","")))&amp;(IF(C206=H197,"",IF(C206&gt;0,", Flooring upto "&amp;C206&amp;" Floor","")))&amp;(IF(C207=H197,"",IF(C207&gt;0,", Painting upto "&amp;C207&amp;" Floor","")))&amp;(IF(C208=H197,"",IF(C208&gt;0,", Finishing upto "&amp;C208&amp;" Floor","")))&amp;(IF(C209=H197,"",IF(C209&gt;0,", Possession upto "&amp;C209&amp;" Floor","")))</f>
        <v/>
      </c>
    </row>
    <row r="197" spans="1:10" x14ac:dyDescent="0.35">
      <c r="A197" s="58" t="s">
        <v>138</v>
      </c>
      <c r="B197" s="58">
        <v>5</v>
      </c>
      <c r="C197" s="58" t="s">
        <v>71</v>
      </c>
      <c r="D197" s="58">
        <v>1</v>
      </c>
      <c r="E197" s="58" t="s">
        <v>70</v>
      </c>
      <c r="F197" s="58">
        <v>0</v>
      </c>
      <c r="G197" s="58" t="s">
        <v>78</v>
      </c>
      <c r="H197" s="58">
        <v>15</v>
      </c>
      <c r="I197" s="73" t="str">
        <f>IF(D200=100%,"Excavation","")&amp;IF(D201=100%,", Plinth","")&amp;IF(D202=100%,", RCC Slab","")&amp;IF(D203=100%,", Brickwork","")&amp;IF(D204=100%,", Internal Plaster","")&amp;IF(D205=100%,", External Plaster","")&amp;IF(D206=100%,", Flooring","")&amp;IF(D207=100%,", Painting","")&amp;IF(D208=100%,", Building common Amenities","")</f>
        <v>Excavation</v>
      </c>
      <c r="J197" s="63" t="str">
        <f>(IF(C200=0,"Work not yet Started.",IF(D200=25%,"Piling work in process",IF(D200=50%,"Excavation work in process",IF(D200=100%,"","0")))))&amp;(IF(C201=0%,"",IF(C201=J202,", Footing work is process",IF(C201=J203,", Footing work Completed",IF(C201=J204,", 1st Basement Completed",IF(C201=J205,", 1st &amp; 2nd Basement Completed",IF(C201=J206,", 1st to 3rd Basement Completed",IF(C201=J207,", 1st to 4th Basement Completed",IF(C201=J208,", Plinth work is process",IF(C201=J209,"","0"))))))))))</f>
        <v/>
      </c>
    </row>
    <row r="198" spans="1:10" x14ac:dyDescent="0.35">
      <c r="A198" s="92" t="s">
        <v>88</v>
      </c>
      <c r="B198" s="92"/>
      <c r="C198" s="93" t="str">
        <f>(IF($G$55="NA",I196,"All work Completed. OC Received."))</f>
        <v xml:space="preserve">Excavation Completed </v>
      </c>
      <c r="D198" s="93"/>
      <c r="E198" s="93"/>
      <c r="F198" s="93"/>
      <c r="G198" s="93"/>
      <c r="H198" s="93"/>
      <c r="I198" s="73" t="str">
        <f>IF(I197&lt;&gt;""," Completed","")</f>
        <v xml:space="preserve"> Completed</v>
      </c>
      <c r="J198" s="63" t="str">
        <f>IF(J196&lt;&gt;"","Completed","")</f>
        <v/>
      </c>
    </row>
    <row r="199" spans="1:10" ht="15.75" customHeight="1" x14ac:dyDescent="0.35">
      <c r="A199" s="96" t="s">
        <v>49</v>
      </c>
      <c r="B199" s="96"/>
      <c r="C199" s="55" t="s">
        <v>135</v>
      </c>
      <c r="D199" s="55" t="s">
        <v>81</v>
      </c>
      <c r="E199" s="96" t="s">
        <v>83</v>
      </c>
      <c r="F199" s="96"/>
      <c r="G199" s="96" t="s">
        <v>82</v>
      </c>
      <c r="H199" s="96"/>
      <c r="I199" s="64" t="s">
        <v>137</v>
      </c>
      <c r="J199" s="23">
        <f>H197*25%</f>
        <v>3.75</v>
      </c>
    </row>
    <row r="200" spans="1:10" x14ac:dyDescent="0.35">
      <c r="A200" s="96" t="s">
        <v>124</v>
      </c>
      <c r="B200" s="96"/>
      <c r="C200" s="55">
        <f>J201</f>
        <v>15</v>
      </c>
      <c r="D200" s="14">
        <f>((100/H197)*C200)/100</f>
        <v>1</v>
      </c>
      <c r="E200" s="98">
        <f>(((C201/H197*10)+(40/(D197+F197+H197)*C202)+(7.5/(H197)*C203)+(7.5/(H197)*C204)+(10/H197*C205)+(10/H197*C206)+(5/H197*C207)+(5/H197*C208)+(5/H197*C209))/100)</f>
        <v>0</v>
      </c>
      <c r="F200" s="98"/>
      <c r="G200" s="98">
        <f>((((C200/H197)*20)+((C201/H197)*25)+(30/(H197+F197+D197)*C202)+(5/H197*C203)+(5/H197*C204)+(5/H197*C205)+(5/H197*C206)+(0/H197*C207)+(0/H197*C208)+(5/H197*C209))/100)</f>
        <v>0.2</v>
      </c>
      <c r="H200" s="98"/>
      <c r="I200" s="64" t="s">
        <v>98</v>
      </c>
      <c r="J200" s="65">
        <f>H197*50%</f>
        <v>7.5</v>
      </c>
    </row>
    <row r="201" spans="1:10" x14ac:dyDescent="0.35">
      <c r="A201" s="96" t="s">
        <v>50</v>
      </c>
      <c r="B201" s="96"/>
      <c r="C201" s="55">
        <v>0</v>
      </c>
      <c r="D201" s="14">
        <f>((100/H197)*C201)/100</f>
        <v>0</v>
      </c>
      <c r="E201" s="98"/>
      <c r="F201" s="98"/>
      <c r="G201" s="98"/>
      <c r="H201" s="98"/>
      <c r="I201" s="64" t="s">
        <v>99</v>
      </c>
      <c r="J201" s="65">
        <f>H197</f>
        <v>15</v>
      </c>
    </row>
    <row r="202" spans="1:10" ht="15.75" customHeight="1" x14ac:dyDescent="0.35">
      <c r="A202" s="96" t="s">
        <v>125</v>
      </c>
      <c r="B202" s="96"/>
      <c r="C202" s="55">
        <v>0</v>
      </c>
      <c r="D202" s="14">
        <f>((100/(D197+F197+H197))*C202)/100</f>
        <v>0</v>
      </c>
      <c r="E202" s="98"/>
      <c r="F202" s="98"/>
      <c r="G202" s="98"/>
      <c r="H202" s="98"/>
      <c r="I202" s="64" t="s">
        <v>100</v>
      </c>
      <c r="J202" s="66">
        <f>(IF(B197&gt;1,(H197/(B197+2)),H197/4))</f>
        <v>2.1428571428571428</v>
      </c>
    </row>
    <row r="203" spans="1:10" ht="15.75" customHeight="1" x14ac:dyDescent="0.35">
      <c r="A203" s="96" t="s">
        <v>132</v>
      </c>
      <c r="B203" s="96" t="s">
        <v>126</v>
      </c>
      <c r="C203" s="55">
        <v>0</v>
      </c>
      <c r="D203" s="14">
        <f>((100/H197)*C203)/100</f>
        <v>0</v>
      </c>
      <c r="E203" s="98"/>
      <c r="F203" s="98"/>
      <c r="G203" s="98"/>
      <c r="H203" s="98"/>
      <c r="I203" s="64" t="s">
        <v>101</v>
      </c>
      <c r="J203" s="66">
        <f>(IF(B197&gt;1,(H197/(B197+2)+J202),H197/4+J202))</f>
        <v>4.2857142857142856</v>
      </c>
    </row>
    <row r="204" spans="1:10" ht="15.75" customHeight="1" x14ac:dyDescent="0.35">
      <c r="A204" s="96" t="s">
        <v>133</v>
      </c>
      <c r="B204" s="96" t="s">
        <v>126</v>
      </c>
      <c r="C204" s="55">
        <v>0</v>
      </c>
      <c r="D204" s="14">
        <f>((100/H197)*C204)/100</f>
        <v>0</v>
      </c>
      <c r="E204" s="98"/>
      <c r="F204" s="98"/>
      <c r="G204" s="98"/>
      <c r="H204" s="98"/>
      <c r="I204" s="64" t="s">
        <v>142</v>
      </c>
      <c r="J204" s="66">
        <f>(IF(B197&gt;1,(H197/(B197+2)+J203),0))</f>
        <v>6.4285714285714288</v>
      </c>
    </row>
    <row r="205" spans="1:10" ht="15" customHeight="1" x14ac:dyDescent="0.35">
      <c r="A205" s="96" t="s">
        <v>131</v>
      </c>
      <c r="B205" s="96" t="s">
        <v>128</v>
      </c>
      <c r="C205" s="55">
        <v>0</v>
      </c>
      <c r="D205" s="14">
        <f>((100/(H197))*C205)/100</f>
        <v>0</v>
      </c>
      <c r="E205" s="98"/>
      <c r="F205" s="98"/>
      <c r="G205" s="98"/>
      <c r="H205" s="98"/>
      <c r="I205" s="64" t="s">
        <v>139</v>
      </c>
      <c r="J205" s="66">
        <f>(IF(B197&gt;2,(H197/(B197+2)+J204),0))</f>
        <v>8.5714285714285712</v>
      </c>
    </row>
    <row r="206" spans="1:10" ht="15.75" customHeight="1" x14ac:dyDescent="0.35">
      <c r="A206" s="96" t="s">
        <v>127</v>
      </c>
      <c r="B206" s="96" t="s">
        <v>127</v>
      </c>
      <c r="C206" s="55">
        <v>0</v>
      </c>
      <c r="D206" s="14">
        <f>((100/H197)*C206)/100</f>
        <v>0</v>
      </c>
      <c r="E206" s="98"/>
      <c r="F206" s="98"/>
      <c r="G206" s="98"/>
      <c r="H206" s="98"/>
      <c r="I206" s="64" t="s">
        <v>140</v>
      </c>
      <c r="J206" s="67">
        <f>(IF(B197&gt;3,(H197/(B197+2)+J205),0))</f>
        <v>10.714285714285714</v>
      </c>
    </row>
    <row r="207" spans="1:10" ht="15.75" customHeight="1" x14ac:dyDescent="0.35">
      <c r="A207" s="96" t="s">
        <v>134</v>
      </c>
      <c r="B207" s="96"/>
      <c r="C207" s="55">
        <v>0</v>
      </c>
      <c r="D207" s="14">
        <f>((100/H197)*C207)/100</f>
        <v>0</v>
      </c>
      <c r="E207" s="98"/>
      <c r="F207" s="98"/>
      <c r="G207" s="98"/>
      <c r="H207" s="98"/>
      <c r="I207" s="64" t="s">
        <v>141</v>
      </c>
      <c r="J207" s="66">
        <f>(IF(B197&gt;4,(H197/(B197+2)+J206),0))</f>
        <v>12.857142857142856</v>
      </c>
    </row>
    <row r="208" spans="1:10" ht="15.75" customHeight="1" x14ac:dyDescent="0.35">
      <c r="A208" s="96" t="s">
        <v>129</v>
      </c>
      <c r="B208" s="96" t="s">
        <v>129</v>
      </c>
      <c r="C208" s="55">
        <v>0</v>
      </c>
      <c r="D208" s="14">
        <f>((100/(H197))*C208)/100</f>
        <v>0</v>
      </c>
      <c r="E208" s="98"/>
      <c r="F208" s="98"/>
      <c r="G208" s="98"/>
      <c r="H208" s="98"/>
      <c r="I208" s="64" t="s">
        <v>143</v>
      </c>
      <c r="J208" s="66">
        <f>(IF(B197=1,(H197/(B197+3)+J203),IF(B197=0,(H197/4+J203),IF(B197&gt;1,0))))</f>
        <v>0</v>
      </c>
    </row>
    <row r="209" spans="1:10" ht="16" thickBot="1" x14ac:dyDescent="0.4">
      <c r="A209" s="96" t="s">
        <v>130</v>
      </c>
      <c r="B209" s="96"/>
      <c r="C209" s="55">
        <v>0</v>
      </c>
      <c r="D209" s="14">
        <f>((100/(H197))*C209)/100</f>
        <v>0</v>
      </c>
      <c r="E209" s="98"/>
      <c r="F209" s="98"/>
      <c r="G209" s="98"/>
      <c r="H209" s="98"/>
      <c r="I209" s="68" t="s">
        <v>102</v>
      </c>
      <c r="J209" s="69">
        <f>(IF(B197&gt;1.5,(H197/(B197+2)+J203+MAX(0,J204-J203)+MAX(0,J205-J204)+MAX(0,J206-J205)+MAX(0,J207-J206)+MAX(0,J208-J207)),IF(B197=1,(H197/(B197+3)+J208),IF(B197=0,H197/4+J208))))</f>
        <v>15</v>
      </c>
    </row>
    <row r="210" spans="1:10" ht="15.75" customHeight="1" x14ac:dyDescent="0.35">
      <c r="A210" s="93" t="s">
        <v>136</v>
      </c>
      <c r="B210" s="93"/>
      <c r="C210" s="93" t="s">
        <v>333</v>
      </c>
      <c r="D210" s="93"/>
      <c r="E210" s="93"/>
      <c r="F210" s="93"/>
      <c r="G210" s="93"/>
      <c r="H210" s="93"/>
      <c r="I210" s="72" t="str">
        <f>IF(D223=100%,"All work Completed. Possession granted to the Building.",IF(D222=100%,"All work Completed, Waiting for OC",I211&amp;""&amp;I212&amp;""&amp;J211&amp;""&amp;J210&amp;" "&amp;J212))</f>
        <v xml:space="preserve">Excavation Completed, Footing work Completed </v>
      </c>
      <c r="J210" s="61" t="str">
        <f>(IF(C216=(D211+F211+H211),"",IF(C216&gt;0,", RCC upto "&amp;C216&amp;" Slab","")))&amp;(IF(C217=H211,"",IF(C217&gt;0,", Brickwork upto "&amp;C217&amp;" Floor","")))&amp;(IF(C218=H211,"",IF(C218&gt;0,", Internal Plaster upto "&amp;C218&amp;" Floor","")))&amp;(IF(C219=H211,"",IF(C219&gt;0,", External Plaster upto "&amp;C219&amp;" Floor","")))&amp;(IF(C220=H211,"",IF(C220&gt;0,", Flooring upto "&amp;C220&amp;" Floor","")))&amp;(IF(C221=H211,"",IF(C221&gt;0,", Painting upto "&amp;C221&amp;" Floor","")))&amp;(IF(C222=H211,"",IF(C222&gt;0,", Finishing upto "&amp;C222&amp;" Floor","")))&amp;(IF(C223=H211,"",IF(C223&gt;0,", Possession upto "&amp;C223&amp;" Floor","")))</f>
        <v/>
      </c>
    </row>
    <row r="211" spans="1:10" x14ac:dyDescent="0.35">
      <c r="A211" s="58" t="s">
        <v>138</v>
      </c>
      <c r="B211" s="58">
        <v>5</v>
      </c>
      <c r="C211" s="58" t="s">
        <v>71</v>
      </c>
      <c r="D211" s="58">
        <v>1</v>
      </c>
      <c r="E211" s="58" t="s">
        <v>70</v>
      </c>
      <c r="F211" s="58">
        <v>0</v>
      </c>
      <c r="G211" s="58" t="s">
        <v>78</v>
      </c>
      <c r="H211" s="58">
        <v>15</v>
      </c>
      <c r="I211" s="73" t="str">
        <f>IF(D214=100%,"Excavation","")&amp;IF(D215=100%,", Plinth","")&amp;IF(D216=100%,", RCC Slab","")&amp;IF(D217=100%,", Brickwork","")&amp;IF(D218=100%,", Internal Plaster","")&amp;IF(D219=100%,", External Plaster","")&amp;IF(D220=100%,", Flooring","")&amp;IF(D221=100%,", Painting","")&amp;IF(D222=100%,", Building common Amenities","")</f>
        <v>Excavation</v>
      </c>
      <c r="J211" s="63" t="str">
        <f>(IF(C214=0,"Work not yet Started.",IF(D214=25%,"Piling work in process",IF(D214=50%,"Excavation work in process",IF(D214=100%,"","0")))))&amp;(IF(C215=0%,"",IF(C215=J216,", Footing work is process",IF(C215=J217,", Footing work Completed",IF(C215=J218,", 1st Basement Completed",IF(C215=J219,", 1st &amp; 2nd Basement Completed",IF(C215=J220,", 1st to 3rd Basement Completed",IF(C215=J221,", 1st to 4th Basement Completed",IF(C215=J222,", Plinth work is process",IF(C215=J223,"","0"))))))))))</f>
        <v>, Footing work Completed</v>
      </c>
    </row>
    <row r="212" spans="1:10" x14ac:dyDescent="0.35">
      <c r="A212" s="92" t="s">
        <v>88</v>
      </c>
      <c r="B212" s="92"/>
      <c r="C212" s="93" t="str">
        <f>(IF($G$55="NA",I210,"All work Completed. OC Received."))</f>
        <v xml:space="preserve">Excavation Completed, Footing work Completed </v>
      </c>
      <c r="D212" s="93"/>
      <c r="E212" s="93"/>
      <c r="F212" s="93"/>
      <c r="G212" s="93"/>
      <c r="H212" s="93"/>
      <c r="I212" s="73" t="str">
        <f>IF(I211&lt;&gt;""," Completed","")</f>
        <v xml:space="preserve"> Completed</v>
      </c>
      <c r="J212" s="63" t="str">
        <f>IF(J210&lt;&gt;"","Completed","")</f>
        <v/>
      </c>
    </row>
    <row r="213" spans="1:10" ht="15.75" customHeight="1" x14ac:dyDescent="0.35">
      <c r="A213" s="96" t="s">
        <v>49</v>
      </c>
      <c r="B213" s="96"/>
      <c r="C213" s="55" t="s">
        <v>135</v>
      </c>
      <c r="D213" s="55" t="s">
        <v>81</v>
      </c>
      <c r="E213" s="96" t="s">
        <v>83</v>
      </c>
      <c r="F213" s="96"/>
      <c r="G213" s="96" t="s">
        <v>82</v>
      </c>
      <c r="H213" s="96"/>
      <c r="I213" s="64" t="s">
        <v>137</v>
      </c>
      <c r="J213" s="23">
        <f>H211*25%</f>
        <v>3.75</v>
      </c>
    </row>
    <row r="214" spans="1:10" x14ac:dyDescent="0.35">
      <c r="A214" s="96" t="s">
        <v>124</v>
      </c>
      <c r="B214" s="96"/>
      <c r="C214" s="55">
        <f>J215</f>
        <v>15</v>
      </c>
      <c r="D214" s="14">
        <f>((100/H211)*C214)/100</f>
        <v>1</v>
      </c>
      <c r="E214" s="98">
        <f>(((C215/H211*10)+(40/(D211+F211+H211)*C216)+(7.5/(H211)*C217)+(7.5/(H211)*C218)+(10/H211*C219)+(10/H211*C220)+(5/H211*C221)+(5/H211*C222)+(5/H211*C223))/100)</f>
        <v>2.8571428571428567E-2</v>
      </c>
      <c r="F214" s="98"/>
      <c r="G214" s="98">
        <f>((((C214/H211)*20)+((C215/H211)*25)+(30/(H211+F211+D211)*C216)+(5/H211*C217)+(5/H211*C218)+(5/H211*C219)+(5/H211*C220)+(0/H211*C221)+(0/H211*C222)+(5/H211*C223))/100)</f>
        <v>0.27142857142857141</v>
      </c>
      <c r="H214" s="98"/>
      <c r="I214" s="64" t="s">
        <v>98</v>
      </c>
      <c r="J214" s="65">
        <f>H211*50%</f>
        <v>7.5</v>
      </c>
    </row>
    <row r="215" spans="1:10" x14ac:dyDescent="0.35">
      <c r="A215" s="96" t="s">
        <v>50</v>
      </c>
      <c r="B215" s="96"/>
      <c r="C215" s="35">
        <f>J217</f>
        <v>4.2857142857142856</v>
      </c>
      <c r="D215" s="14">
        <f>((100/H211)*C215)/100</f>
        <v>0.28571428571428575</v>
      </c>
      <c r="E215" s="98"/>
      <c r="F215" s="98"/>
      <c r="G215" s="98"/>
      <c r="H215" s="98"/>
      <c r="I215" s="64" t="s">
        <v>99</v>
      </c>
      <c r="J215" s="65">
        <f>H211</f>
        <v>15</v>
      </c>
    </row>
    <row r="216" spans="1:10" ht="15.75" customHeight="1" x14ac:dyDescent="0.35">
      <c r="A216" s="96" t="s">
        <v>125</v>
      </c>
      <c r="B216" s="96"/>
      <c r="C216" s="55">
        <v>0</v>
      </c>
      <c r="D216" s="14">
        <f>((100/(D211+F211+H211))*C216)/100</f>
        <v>0</v>
      </c>
      <c r="E216" s="98"/>
      <c r="F216" s="98"/>
      <c r="G216" s="98"/>
      <c r="H216" s="98"/>
      <c r="I216" s="64" t="s">
        <v>100</v>
      </c>
      <c r="J216" s="66">
        <f>(IF(B211&gt;1,(H211/(B211+2)),H211/4))</f>
        <v>2.1428571428571428</v>
      </c>
    </row>
    <row r="217" spans="1:10" ht="15.75" customHeight="1" x14ac:dyDescent="0.35">
      <c r="A217" s="96" t="s">
        <v>132</v>
      </c>
      <c r="B217" s="96" t="s">
        <v>126</v>
      </c>
      <c r="C217" s="55">
        <v>0</v>
      </c>
      <c r="D217" s="14">
        <f>((100/H211)*C217)/100</f>
        <v>0</v>
      </c>
      <c r="E217" s="98"/>
      <c r="F217" s="98"/>
      <c r="G217" s="98"/>
      <c r="H217" s="98"/>
      <c r="I217" s="64" t="s">
        <v>101</v>
      </c>
      <c r="J217" s="66">
        <f>(IF(B211&gt;1,(H211/(B211+2)+J216),H211/4+J216))</f>
        <v>4.2857142857142856</v>
      </c>
    </row>
    <row r="218" spans="1:10" ht="15.75" customHeight="1" x14ac:dyDescent="0.35">
      <c r="A218" s="96" t="s">
        <v>133</v>
      </c>
      <c r="B218" s="96" t="s">
        <v>126</v>
      </c>
      <c r="C218" s="55">
        <v>0</v>
      </c>
      <c r="D218" s="14">
        <f>((100/H211)*C218)/100</f>
        <v>0</v>
      </c>
      <c r="E218" s="98"/>
      <c r="F218" s="98"/>
      <c r="G218" s="98"/>
      <c r="H218" s="98"/>
      <c r="I218" s="64" t="s">
        <v>142</v>
      </c>
      <c r="J218" s="66">
        <f>(IF(B211&gt;1,(H211/(B211+2)+J217),0))</f>
        <v>6.4285714285714288</v>
      </c>
    </row>
    <row r="219" spans="1:10" ht="15" customHeight="1" x14ac:dyDescent="0.35">
      <c r="A219" s="96" t="s">
        <v>131</v>
      </c>
      <c r="B219" s="96" t="s">
        <v>128</v>
      </c>
      <c r="C219" s="55">
        <v>0</v>
      </c>
      <c r="D219" s="14">
        <f>((100/(H211))*C219)/100</f>
        <v>0</v>
      </c>
      <c r="E219" s="98"/>
      <c r="F219" s="98"/>
      <c r="G219" s="98"/>
      <c r="H219" s="98"/>
      <c r="I219" s="64" t="s">
        <v>139</v>
      </c>
      <c r="J219" s="66">
        <f>(IF(B211&gt;2,(H211/(B211+2)+J218),0))</f>
        <v>8.5714285714285712</v>
      </c>
    </row>
    <row r="220" spans="1:10" ht="15.75" customHeight="1" x14ac:dyDescent="0.35">
      <c r="A220" s="96" t="s">
        <v>127</v>
      </c>
      <c r="B220" s="96" t="s">
        <v>127</v>
      </c>
      <c r="C220" s="55">
        <v>0</v>
      </c>
      <c r="D220" s="14">
        <f>((100/H211)*C220)/100</f>
        <v>0</v>
      </c>
      <c r="E220" s="98"/>
      <c r="F220" s="98"/>
      <c r="G220" s="98"/>
      <c r="H220" s="98"/>
      <c r="I220" s="64" t="s">
        <v>140</v>
      </c>
      <c r="J220" s="67">
        <f>(IF(B211&gt;3,(H211/(B211+2)+J219),0))</f>
        <v>10.714285714285714</v>
      </c>
    </row>
    <row r="221" spans="1:10" ht="15.75" customHeight="1" x14ac:dyDescent="0.35">
      <c r="A221" s="96" t="s">
        <v>134</v>
      </c>
      <c r="B221" s="96"/>
      <c r="C221" s="55">
        <v>0</v>
      </c>
      <c r="D221" s="14">
        <f>((100/H211)*C221)/100</f>
        <v>0</v>
      </c>
      <c r="E221" s="98"/>
      <c r="F221" s="98"/>
      <c r="G221" s="98"/>
      <c r="H221" s="98"/>
      <c r="I221" s="64" t="s">
        <v>141</v>
      </c>
      <c r="J221" s="66">
        <f>(IF(B211&gt;4,(H211/(B211+2)+J220),0))</f>
        <v>12.857142857142856</v>
      </c>
    </row>
    <row r="222" spans="1:10" ht="15.75" customHeight="1" x14ac:dyDescent="0.35">
      <c r="A222" s="96" t="s">
        <v>129</v>
      </c>
      <c r="B222" s="96" t="s">
        <v>129</v>
      </c>
      <c r="C222" s="55">
        <v>0</v>
      </c>
      <c r="D222" s="14">
        <f>((100/(H211))*C222)/100</f>
        <v>0</v>
      </c>
      <c r="E222" s="98"/>
      <c r="F222" s="98"/>
      <c r="G222" s="98"/>
      <c r="H222" s="98"/>
      <c r="I222" s="64" t="s">
        <v>143</v>
      </c>
      <c r="J222" s="66">
        <f>(IF(B211=1,(H211/(B211+3)+J217),IF(B211=0,(H211/4+J217),IF(B211&gt;1,0))))</f>
        <v>0</v>
      </c>
    </row>
    <row r="223" spans="1:10" ht="16" thickBot="1" x14ac:dyDescent="0.4">
      <c r="A223" s="96" t="s">
        <v>130</v>
      </c>
      <c r="B223" s="96"/>
      <c r="C223" s="55">
        <v>0</v>
      </c>
      <c r="D223" s="14">
        <f>((100/(H211))*C223)/100</f>
        <v>0</v>
      </c>
      <c r="E223" s="98"/>
      <c r="F223" s="98"/>
      <c r="G223" s="98"/>
      <c r="H223" s="98"/>
      <c r="I223" s="68" t="s">
        <v>102</v>
      </c>
      <c r="J223" s="69">
        <f>(IF(B211&gt;1.5,(H211/(B211+2)+J217+MAX(0,J218-J217)+MAX(0,J219-J218)+MAX(0,J220-J219)+MAX(0,J221-J220)+MAX(0,J222-J221)),IF(B211=1,(H211/(B211+3)+J222),IF(B211=0,H211/4+J222))))</f>
        <v>15</v>
      </c>
    </row>
    <row r="224" spans="1:10" ht="15.75" customHeight="1" x14ac:dyDescent="0.35">
      <c r="A224" s="86" t="s">
        <v>136</v>
      </c>
      <c r="B224" s="87"/>
      <c r="C224" s="88" t="s">
        <v>334</v>
      </c>
      <c r="D224" s="89"/>
      <c r="E224" s="89"/>
      <c r="F224" s="89"/>
      <c r="G224" s="89"/>
      <c r="H224" s="90"/>
      <c r="I224" s="60" t="str">
        <f>IF(D237=100%,"All work Completed. Possession granted to the Building.",IF(D236=100%,"All work Completed, Waiting for OC",I225&amp;""&amp;I226&amp;""&amp;J225&amp;""&amp;J224&amp;" "&amp;J226))</f>
        <v xml:space="preserve">Excavation, Plinth Completed </v>
      </c>
      <c r="J224" s="61" t="str">
        <f>(IF(C230=(D225+F225+H225),"",IF(C230&gt;0,", RCC upto "&amp;C230&amp;" Slab","")))&amp;(IF(C231=H225,"",IF(C231&gt;0,", Brickwork upto "&amp;C231&amp;" Floor","")))&amp;(IF(C232=H225,"",IF(C232&gt;0,", Internal Plaster upto "&amp;C232&amp;" Floor","")))&amp;(IF(C233=H225,"",IF(C233&gt;0,", External Plaster upto "&amp;C233&amp;" Floor","")))&amp;(IF(C234=H225,"",IF(C234&gt;0,", Flooring upto "&amp;C234&amp;" Floor","")))&amp;(IF(C235=H225,"",IF(C235&gt;0,", Painting upto "&amp;C235&amp;" Floor","")))&amp;(IF(C236=H225,"",IF(C236&gt;0,", Finishing upto "&amp;C236&amp;" Floor","")))&amp;(IF(C237=H225,"",IF(C237&gt;0,", Possession upto "&amp;C237&amp;" Floor","")))</f>
        <v/>
      </c>
    </row>
    <row r="225" spans="1:10" x14ac:dyDescent="0.35">
      <c r="A225" s="57" t="s">
        <v>138</v>
      </c>
      <c r="B225" s="58">
        <v>5</v>
      </c>
      <c r="C225" s="58" t="s">
        <v>71</v>
      </c>
      <c r="D225" s="58">
        <v>1</v>
      </c>
      <c r="E225" s="58" t="s">
        <v>70</v>
      </c>
      <c r="F225" s="58">
        <v>0</v>
      </c>
      <c r="G225" s="58" t="s">
        <v>78</v>
      </c>
      <c r="H225" s="59">
        <v>15</v>
      </c>
      <c r="I225" s="62" t="str">
        <f>IF(D228=100%,"Excavation","")&amp;IF(D229=100%,", Plinth","")&amp;IF(D230=100%,", RCC Slab","")&amp;IF(D231=100%,", Brickwork","")&amp;IF(D232=100%,", Internal Plaster","")&amp;IF(D233=100%,", External Plaster","")&amp;IF(D234=100%,", Flooring","")&amp;IF(D235=100%,", Painting","")&amp;IF(D236=100%,", Building common Amenities","")</f>
        <v>Excavation, Plinth</v>
      </c>
      <c r="J225" s="63" t="str">
        <f>(IF(C228=0,"Work not yet Started.",IF(D228=25%,"Piling work in process",IF(D228=50%,"Excavation work in process",IF(D228=100%,"","0")))))&amp;(IF(C229=0%,"",IF(C229=J230,", Footing work is process",IF(C229=J231,", Footing work Completed",IF(C229=J232,", 1st Basement Completed",IF(C229=J233,", 1st &amp; 2nd Basement Completed",IF(C229=J234,", 1st to 3rd Basement Completed",IF(C229=J235,", 1st to 4th Basement Completed",IF(C229=J236,", Plinth work is process",IF(C229=J237,"","0"))))))))))</f>
        <v/>
      </c>
    </row>
    <row r="226" spans="1:10" x14ac:dyDescent="0.35">
      <c r="A226" s="91" t="s">
        <v>88</v>
      </c>
      <c r="B226" s="92"/>
      <c r="C226" s="93" t="str">
        <f>(IF($G$55="NA",I224,"All work Completed. OC Received."))</f>
        <v xml:space="preserve">Excavation, Plinth Completed </v>
      </c>
      <c r="D226" s="93"/>
      <c r="E226" s="93"/>
      <c r="F226" s="93"/>
      <c r="G226" s="93"/>
      <c r="H226" s="94"/>
      <c r="I226" s="62" t="str">
        <f>IF(I225&lt;&gt;""," Completed","")</f>
        <v xml:space="preserve"> Completed</v>
      </c>
      <c r="J226" s="63" t="str">
        <f>IF(J224&lt;&gt;"","Completed","")</f>
        <v/>
      </c>
    </row>
    <row r="227" spans="1:10" ht="15.75" customHeight="1" x14ac:dyDescent="0.35">
      <c r="A227" s="95" t="s">
        <v>49</v>
      </c>
      <c r="B227" s="96"/>
      <c r="C227" s="55" t="s">
        <v>135</v>
      </c>
      <c r="D227" s="55" t="s">
        <v>81</v>
      </c>
      <c r="E227" s="96" t="s">
        <v>83</v>
      </c>
      <c r="F227" s="96"/>
      <c r="G227" s="96" t="s">
        <v>82</v>
      </c>
      <c r="H227" s="97"/>
      <c r="I227" s="64" t="s">
        <v>137</v>
      </c>
      <c r="J227" s="23">
        <f>H225*25%</f>
        <v>3.75</v>
      </c>
    </row>
    <row r="228" spans="1:10" x14ac:dyDescent="0.35">
      <c r="A228" s="95" t="s">
        <v>124</v>
      </c>
      <c r="B228" s="96"/>
      <c r="C228" s="55">
        <f>J229</f>
        <v>15</v>
      </c>
      <c r="D228" s="14">
        <f>((100/H225)*C228)/100</f>
        <v>1</v>
      </c>
      <c r="E228" s="99">
        <f>(((C229/H225*10)+(40/(D225+F225+H225)*C230)+(7.5/(H225)*C231)+(7.5/(H225)*C232)+(10/H225*C233)+(10/H225*C234)+(5/H225*C235)+(5/H225*C236)+(5/H225*C237))/100)</f>
        <v>0.1</v>
      </c>
      <c r="F228" s="100"/>
      <c r="G228" s="99">
        <f>((((C228/H225)*20)+((C229/H225)*25)+(30/(H225+F225+D225)*C230)+(5/H225*C231)+(5/H225*C232)+(5/H225*C233)+(5/H225*C234)+(0/H225*C235)+(0/H225*C236)+(5/H225*C237))/100)</f>
        <v>0.45</v>
      </c>
      <c r="H228" s="103"/>
      <c r="I228" s="64" t="s">
        <v>98</v>
      </c>
      <c r="J228" s="65">
        <f>H225*50%</f>
        <v>7.5</v>
      </c>
    </row>
    <row r="229" spans="1:10" x14ac:dyDescent="0.35">
      <c r="A229" s="95" t="s">
        <v>50</v>
      </c>
      <c r="B229" s="96"/>
      <c r="C229" s="35">
        <f>J237</f>
        <v>15</v>
      </c>
      <c r="D229" s="14">
        <f>((100/H225)*C229)/100</f>
        <v>1</v>
      </c>
      <c r="E229" s="101"/>
      <c r="F229" s="102"/>
      <c r="G229" s="101"/>
      <c r="H229" s="104"/>
      <c r="I229" s="64" t="s">
        <v>99</v>
      </c>
      <c r="J229" s="65">
        <f>H225</f>
        <v>15</v>
      </c>
    </row>
    <row r="230" spans="1:10" ht="15.75" customHeight="1" x14ac:dyDescent="0.35">
      <c r="A230" s="95" t="s">
        <v>125</v>
      </c>
      <c r="B230" s="96"/>
      <c r="C230" s="55">
        <v>0</v>
      </c>
      <c r="D230" s="14">
        <f>((100/(D225+F225+H225))*C230)/100</f>
        <v>0</v>
      </c>
      <c r="E230" s="101"/>
      <c r="F230" s="102"/>
      <c r="G230" s="101"/>
      <c r="H230" s="104"/>
      <c r="I230" s="64" t="s">
        <v>100</v>
      </c>
      <c r="J230" s="66">
        <f>(IF(B225&gt;1,(H225/(B225+2)),H225/4))</f>
        <v>2.1428571428571428</v>
      </c>
    </row>
    <row r="231" spans="1:10" ht="15.75" customHeight="1" x14ac:dyDescent="0.35">
      <c r="A231" s="95" t="s">
        <v>132</v>
      </c>
      <c r="B231" s="96" t="s">
        <v>126</v>
      </c>
      <c r="C231" s="55">
        <v>0</v>
      </c>
      <c r="D231" s="14">
        <f>((100/H225)*C231)/100</f>
        <v>0</v>
      </c>
      <c r="E231" s="101"/>
      <c r="F231" s="102"/>
      <c r="G231" s="101"/>
      <c r="H231" s="104"/>
      <c r="I231" s="64" t="s">
        <v>101</v>
      </c>
      <c r="J231" s="66">
        <f>(IF(B225&gt;1,(H225/(B225+2)+J230),H225/4+J230))</f>
        <v>4.2857142857142856</v>
      </c>
    </row>
    <row r="232" spans="1:10" ht="15.75" customHeight="1" x14ac:dyDescent="0.35">
      <c r="A232" s="95" t="s">
        <v>133</v>
      </c>
      <c r="B232" s="96" t="s">
        <v>126</v>
      </c>
      <c r="C232" s="55">
        <v>0</v>
      </c>
      <c r="D232" s="14">
        <f>((100/H225)*C232)/100</f>
        <v>0</v>
      </c>
      <c r="E232" s="101"/>
      <c r="F232" s="102"/>
      <c r="G232" s="101"/>
      <c r="H232" s="104"/>
      <c r="I232" s="64" t="s">
        <v>142</v>
      </c>
      <c r="J232" s="66">
        <f>(IF(B225&gt;1,(H225/(B225+2)+J231),0))</f>
        <v>6.4285714285714288</v>
      </c>
    </row>
    <row r="233" spans="1:10" ht="15" customHeight="1" x14ac:dyDescent="0.35">
      <c r="A233" s="95" t="s">
        <v>131</v>
      </c>
      <c r="B233" s="96" t="s">
        <v>128</v>
      </c>
      <c r="C233" s="55">
        <v>0</v>
      </c>
      <c r="D233" s="14">
        <f>((100/(H225))*C233)/100</f>
        <v>0</v>
      </c>
      <c r="E233" s="101"/>
      <c r="F233" s="102"/>
      <c r="G233" s="101"/>
      <c r="H233" s="104"/>
      <c r="I233" s="64" t="s">
        <v>139</v>
      </c>
      <c r="J233" s="66">
        <f>(IF(B225&gt;2,(H225/(B225+2)+J232),0))</f>
        <v>8.5714285714285712</v>
      </c>
    </row>
    <row r="234" spans="1:10" ht="15.75" customHeight="1" x14ac:dyDescent="0.35">
      <c r="A234" s="95" t="s">
        <v>127</v>
      </c>
      <c r="B234" s="96" t="s">
        <v>127</v>
      </c>
      <c r="C234" s="55">
        <v>0</v>
      </c>
      <c r="D234" s="14">
        <f>((100/H225)*C234)/100</f>
        <v>0</v>
      </c>
      <c r="E234" s="101"/>
      <c r="F234" s="102"/>
      <c r="G234" s="101"/>
      <c r="H234" s="104"/>
      <c r="I234" s="64" t="s">
        <v>140</v>
      </c>
      <c r="J234" s="67">
        <f>(IF(B225&gt;3,(H225/(B225+2)+J233),0))</f>
        <v>10.714285714285714</v>
      </c>
    </row>
    <row r="235" spans="1:10" ht="15.75" customHeight="1" x14ac:dyDescent="0.35">
      <c r="A235" s="95" t="s">
        <v>134</v>
      </c>
      <c r="B235" s="96"/>
      <c r="C235" s="55">
        <v>0</v>
      </c>
      <c r="D235" s="14">
        <f>((100/H225)*C235)/100</f>
        <v>0</v>
      </c>
      <c r="E235" s="101"/>
      <c r="F235" s="102"/>
      <c r="G235" s="101"/>
      <c r="H235" s="104"/>
      <c r="I235" s="64" t="s">
        <v>141</v>
      </c>
      <c r="J235" s="66">
        <f>(IF(B225&gt;4,(H225/(B225+2)+J234),0))</f>
        <v>12.857142857142856</v>
      </c>
    </row>
    <row r="236" spans="1:10" ht="15.75" customHeight="1" x14ac:dyDescent="0.35">
      <c r="A236" s="95" t="s">
        <v>129</v>
      </c>
      <c r="B236" s="96" t="s">
        <v>129</v>
      </c>
      <c r="C236" s="55">
        <v>0</v>
      </c>
      <c r="D236" s="14">
        <f>((100/(H225))*C236)/100</f>
        <v>0</v>
      </c>
      <c r="E236" s="101"/>
      <c r="F236" s="102"/>
      <c r="G236" s="101"/>
      <c r="H236" s="104"/>
      <c r="I236" s="64" t="s">
        <v>143</v>
      </c>
      <c r="J236" s="66">
        <f>(IF(B225=1,(H225/(B225+3)+J231),IF(B225=0,(H225/4+J231),IF(B225&gt;1,0))))</f>
        <v>0</v>
      </c>
    </row>
    <row r="237" spans="1:10" ht="16" thickBot="1" x14ac:dyDescent="0.4">
      <c r="A237" s="105" t="s">
        <v>130</v>
      </c>
      <c r="B237" s="106"/>
      <c r="C237" s="74">
        <v>0</v>
      </c>
      <c r="D237" s="75">
        <f>((100/(H225))*C237)/100</f>
        <v>0</v>
      </c>
      <c r="E237" s="101"/>
      <c r="F237" s="102"/>
      <c r="G237" s="101"/>
      <c r="H237" s="104"/>
      <c r="I237" s="68" t="s">
        <v>102</v>
      </c>
      <c r="J237" s="69">
        <f>(IF(B225&gt;1.5,(H225/(B225+2)+J231+MAX(0,J232-J231)+MAX(0,J233-J232)+MAX(0,J234-J233)+MAX(0,J235-J234)+MAX(0,J236-J235)),IF(B225=1,(H225/(B225+3)+J236),IF(B225=0,H225/4+J236))))</f>
        <v>15</v>
      </c>
    </row>
    <row r="238" spans="1:10" x14ac:dyDescent="0.35">
      <c r="A238" s="92" t="s">
        <v>153</v>
      </c>
      <c r="B238" s="92"/>
      <c r="C238" s="92"/>
      <c r="D238" s="92"/>
      <c r="E238" s="92"/>
      <c r="F238" s="170" t="s">
        <v>157</v>
      </c>
      <c r="G238" s="170"/>
      <c r="H238" s="170"/>
    </row>
    <row r="239" spans="1:10" x14ac:dyDescent="0.35">
      <c r="A239" s="148" t="s">
        <v>155</v>
      </c>
      <c r="B239" s="148"/>
      <c r="C239" s="148"/>
      <c r="D239" s="148"/>
      <c r="E239" s="148"/>
      <c r="F239" s="160">
        <v>16000</v>
      </c>
      <c r="G239" s="160"/>
      <c r="H239" s="160"/>
      <c r="I239" s="16" t="s">
        <v>335</v>
      </c>
    </row>
    <row r="240" spans="1:10" x14ac:dyDescent="0.35">
      <c r="A240" s="148" t="s">
        <v>154</v>
      </c>
      <c r="B240" s="148"/>
      <c r="C240" s="148"/>
      <c r="D240" s="148"/>
      <c r="E240" s="148"/>
      <c r="F240" s="160">
        <v>25000</v>
      </c>
      <c r="G240" s="160"/>
      <c r="H240" s="160"/>
    </row>
    <row r="241" spans="1:14" hidden="1" x14ac:dyDescent="0.35">
      <c r="A241" s="148" t="s">
        <v>156</v>
      </c>
      <c r="B241" s="148"/>
      <c r="C241" s="148"/>
      <c r="D241" s="148"/>
      <c r="E241" s="148"/>
      <c r="F241" s="160"/>
      <c r="G241" s="160"/>
      <c r="H241" s="160"/>
    </row>
    <row r="242" spans="1:14" s="24" customFormat="1" hidden="1" x14ac:dyDescent="0.3">
      <c r="A242" s="148" t="s">
        <v>172</v>
      </c>
      <c r="B242" s="148"/>
      <c r="C242" s="148"/>
      <c r="D242" s="148"/>
      <c r="E242" s="148"/>
      <c r="F242" s="160"/>
      <c r="G242" s="160"/>
      <c r="H242" s="160"/>
    </row>
    <row r="243" spans="1:14" s="24" customFormat="1" x14ac:dyDescent="0.3">
      <c r="A243" s="148" t="s">
        <v>93</v>
      </c>
      <c r="B243" s="148"/>
      <c r="C243" s="148"/>
      <c r="D243" s="148"/>
      <c r="E243" s="148"/>
      <c r="F243" s="160">
        <v>500000</v>
      </c>
      <c r="G243" s="160"/>
      <c r="H243" s="160"/>
      <c r="I243" s="70" t="s">
        <v>343</v>
      </c>
      <c r="J243" s="70" t="s">
        <v>344</v>
      </c>
      <c r="K243" s="70"/>
      <c r="L243" s="70" t="s">
        <v>345</v>
      </c>
      <c r="M243" s="70" t="s">
        <v>342</v>
      </c>
      <c r="N243" s="71">
        <v>45904</v>
      </c>
    </row>
    <row r="244" spans="1:14" s="24" customFormat="1" x14ac:dyDescent="0.3">
      <c r="A244" s="148" t="s">
        <v>336</v>
      </c>
      <c r="B244" s="148"/>
      <c r="C244" s="148"/>
      <c r="D244" s="148"/>
      <c r="E244" s="148"/>
      <c r="F244" s="160">
        <v>500000</v>
      </c>
      <c r="G244" s="160"/>
      <c r="H244" s="160"/>
      <c r="I244" s="70"/>
      <c r="J244" s="70"/>
      <c r="K244" s="70"/>
      <c r="L244" s="70" t="s">
        <v>346</v>
      </c>
      <c r="M244" s="70"/>
      <c r="N244" s="70"/>
    </row>
    <row r="245" spans="1:14" s="24" customFormat="1" hidden="1" x14ac:dyDescent="0.3">
      <c r="A245" s="148" t="s">
        <v>94</v>
      </c>
      <c r="B245" s="148"/>
      <c r="C245" s="148"/>
      <c r="D245" s="148"/>
      <c r="E245" s="148"/>
      <c r="F245" s="160"/>
      <c r="G245" s="160"/>
      <c r="H245" s="160"/>
    </row>
    <row r="246" spans="1:14" s="24" customFormat="1" hidden="1" x14ac:dyDescent="0.3">
      <c r="A246" s="148" t="s">
        <v>95</v>
      </c>
      <c r="B246" s="148"/>
      <c r="C246" s="148"/>
      <c r="D246" s="148"/>
      <c r="E246" s="148"/>
      <c r="F246" s="160"/>
      <c r="G246" s="160"/>
      <c r="H246" s="160"/>
    </row>
    <row r="247" spans="1:14" s="24" customFormat="1" hidden="1" x14ac:dyDescent="0.3">
      <c r="A247" s="148" t="s">
        <v>96</v>
      </c>
      <c r="B247" s="148"/>
      <c r="C247" s="148"/>
      <c r="D247" s="148"/>
      <c r="E247" s="148"/>
      <c r="F247" s="160"/>
      <c r="G247" s="160"/>
      <c r="H247" s="160"/>
    </row>
    <row r="248" spans="1:14" s="24" customFormat="1" hidden="1" x14ac:dyDescent="0.3">
      <c r="A248" s="148" t="s">
        <v>97</v>
      </c>
      <c r="B248" s="148"/>
      <c r="C248" s="148"/>
      <c r="D248" s="148"/>
      <c r="E248" s="148"/>
      <c r="F248" s="160"/>
      <c r="G248" s="160"/>
      <c r="H248" s="160"/>
    </row>
    <row r="249" spans="1:14" x14ac:dyDescent="0.35">
      <c r="A249" s="148" t="s">
        <v>51</v>
      </c>
      <c r="B249" s="148"/>
      <c r="C249" s="148"/>
      <c r="D249" s="148"/>
      <c r="E249" s="148"/>
      <c r="F249" s="160">
        <v>1000000</v>
      </c>
      <c r="G249" s="160"/>
      <c r="H249" s="160"/>
    </row>
    <row r="250" spans="1:14" s="25" customFormat="1" x14ac:dyDescent="0.35">
      <c r="A250" s="171" t="s">
        <v>52</v>
      </c>
      <c r="B250" s="171"/>
      <c r="C250" s="171"/>
      <c r="D250" s="171"/>
      <c r="E250" s="171"/>
      <c r="F250" s="160">
        <f>F239*0.8</f>
        <v>12800</v>
      </c>
      <c r="G250" s="160"/>
      <c r="H250" s="160"/>
    </row>
    <row r="251" spans="1:14" s="26" customFormat="1" ht="15.75" customHeight="1" x14ac:dyDescent="0.35">
      <c r="A251" s="152" t="s">
        <v>313</v>
      </c>
      <c r="B251" s="152"/>
      <c r="C251" s="152"/>
      <c r="D251" s="152"/>
      <c r="E251" s="152"/>
      <c r="F251" s="152"/>
      <c r="G251" s="152"/>
      <c r="H251" s="152"/>
    </row>
    <row r="252" spans="1:14" s="26" customFormat="1" ht="15.75" customHeight="1" x14ac:dyDescent="0.35">
      <c r="A252" s="157" t="s">
        <v>53</v>
      </c>
      <c r="B252" s="157"/>
      <c r="C252" s="154" t="s">
        <v>76</v>
      </c>
      <c r="D252" s="154"/>
      <c r="E252" s="156" t="s">
        <v>54</v>
      </c>
      <c r="F252" s="156"/>
      <c r="G252" s="157" t="s">
        <v>55</v>
      </c>
      <c r="H252" s="157"/>
    </row>
    <row r="253" spans="1:14" s="26" customFormat="1" ht="15.75" customHeight="1" x14ac:dyDescent="0.35">
      <c r="A253" s="136" t="s">
        <v>265</v>
      </c>
      <c r="B253" s="77" t="s">
        <v>266</v>
      </c>
      <c r="C253" s="121">
        <f>COUNT(F291:F299)</f>
        <v>9</v>
      </c>
      <c r="D253" s="132"/>
      <c r="E253" s="122">
        <f>SUM(F291:F299)</f>
        <v>5573.1148199999998</v>
      </c>
      <c r="F253" s="133"/>
      <c r="G253" s="122">
        <f>SUM(H291:H299)</f>
        <v>8638.3279709999988</v>
      </c>
      <c r="H253" s="133"/>
    </row>
    <row r="254" spans="1:14" s="26" customFormat="1" ht="15.75" customHeight="1" x14ac:dyDescent="0.35">
      <c r="A254" s="136"/>
      <c r="B254" s="77" t="s">
        <v>268</v>
      </c>
      <c r="C254" s="121">
        <f>COUNT(F305:F314)</f>
        <v>10</v>
      </c>
      <c r="D254" s="132"/>
      <c r="E254" s="122">
        <f>SUM(F305:F314)</f>
        <v>5384.1420359999984</v>
      </c>
      <c r="F254" s="133"/>
      <c r="G254" s="122">
        <f>SUM(H305:H314)</f>
        <v>8345.4201558000004</v>
      </c>
      <c r="H254" s="133"/>
    </row>
    <row r="255" spans="1:14" s="26" customFormat="1" ht="15.75" customHeight="1" x14ac:dyDescent="0.35">
      <c r="A255" s="136"/>
      <c r="B255" s="77" t="s">
        <v>282</v>
      </c>
      <c r="C255" s="121">
        <f>COUNT(F320:F329)</f>
        <v>10</v>
      </c>
      <c r="D255" s="132"/>
      <c r="E255" s="122">
        <f>SUM(F320:F329)</f>
        <v>5506.5717719999993</v>
      </c>
      <c r="F255" s="133"/>
      <c r="G255" s="122">
        <f>SUM(H320:H329)</f>
        <v>8535.1862465999984</v>
      </c>
      <c r="H255" s="133"/>
    </row>
    <row r="256" spans="1:14" s="26" customFormat="1" ht="15.75" customHeight="1" x14ac:dyDescent="0.35">
      <c r="A256" s="136"/>
      <c r="B256" s="77" t="s">
        <v>283</v>
      </c>
      <c r="C256" s="121">
        <f>COUNT(F335:F344)</f>
        <v>10</v>
      </c>
      <c r="D256" s="132"/>
      <c r="E256" s="122">
        <f>SUM(F335:F344)</f>
        <v>5384.5941240000011</v>
      </c>
      <c r="F256" s="133"/>
      <c r="G256" s="122">
        <f>SUM(H335:H344)</f>
        <v>8346.1208921999987</v>
      </c>
      <c r="H256" s="133"/>
    </row>
    <row r="257" spans="1:8" s="26" customFormat="1" ht="15.75" customHeight="1" x14ac:dyDescent="0.35">
      <c r="A257" s="136"/>
      <c r="B257" s="77" t="s">
        <v>288</v>
      </c>
      <c r="C257" s="121">
        <f>COUNT(F350:F357)</f>
        <v>8</v>
      </c>
      <c r="D257" s="132"/>
      <c r="E257" s="122">
        <f>SUM(F350:F357)</f>
        <v>4962.537683999999</v>
      </c>
      <c r="F257" s="133"/>
      <c r="G257" s="122">
        <f>SUM(H350:H357)</f>
        <v>7691.9334102000003</v>
      </c>
      <c r="H257" s="133"/>
    </row>
    <row r="258" spans="1:8" s="26" customFormat="1" ht="15.75" customHeight="1" x14ac:dyDescent="0.35">
      <c r="A258" s="136"/>
      <c r="B258" s="77" t="s">
        <v>295</v>
      </c>
      <c r="C258" s="121">
        <f>COUNT(F363:F378)</f>
        <v>16</v>
      </c>
      <c r="D258" s="132"/>
      <c r="E258" s="122">
        <f>SUM(F363:F378)</f>
        <v>10605.44628</v>
      </c>
      <c r="F258" s="133"/>
      <c r="G258" s="122">
        <f>SUM(H363:H378)</f>
        <v>16438.441734000004</v>
      </c>
      <c r="H258" s="133"/>
    </row>
    <row r="259" spans="1:8" s="26" customFormat="1" ht="15.75" customHeight="1" x14ac:dyDescent="0.35">
      <c r="A259" s="123" t="s">
        <v>296</v>
      </c>
      <c r="B259" s="39" t="s">
        <v>305</v>
      </c>
      <c r="C259" s="121">
        <f>COUNT(F386:F393)</f>
        <v>8</v>
      </c>
      <c r="D259" s="132"/>
      <c r="E259" s="122">
        <f>SUM(F386:F393)</f>
        <v>3368.7014399999994</v>
      </c>
      <c r="F259" s="133"/>
      <c r="G259" s="122">
        <f>SUM(H386:H393)</f>
        <v>5221.4872319999995</v>
      </c>
      <c r="H259" s="133"/>
    </row>
    <row r="260" spans="1:8" s="26" customFormat="1" x14ac:dyDescent="0.35">
      <c r="A260" s="124"/>
      <c r="B260" s="39" t="s">
        <v>304</v>
      </c>
      <c r="C260" s="121">
        <f>COUNT(F399:F406)</f>
        <v>8</v>
      </c>
      <c r="D260" s="132"/>
      <c r="E260" s="122">
        <f>SUM(F399:F406)</f>
        <v>3368.7014399999994</v>
      </c>
      <c r="F260" s="133"/>
      <c r="G260" s="122">
        <f>SUM(H399:H406)</f>
        <v>5221.4872319999995</v>
      </c>
      <c r="H260" s="133"/>
    </row>
    <row r="261" spans="1:8" s="26" customFormat="1" x14ac:dyDescent="0.35">
      <c r="A261" s="125"/>
      <c r="B261" s="39" t="s">
        <v>308</v>
      </c>
      <c r="C261" s="121">
        <f>COUNT(F412:F419)</f>
        <v>8</v>
      </c>
      <c r="D261" s="132"/>
      <c r="E261" s="122">
        <f>SUM(F412:F419)</f>
        <v>3368.7014399999994</v>
      </c>
      <c r="F261" s="133"/>
      <c r="G261" s="122">
        <f>SUM(H412:H419)</f>
        <v>5221.4872319999995</v>
      </c>
      <c r="H261" s="133"/>
    </row>
    <row r="262" spans="1:8" s="26" customFormat="1" x14ac:dyDescent="0.35">
      <c r="A262" s="152" t="s">
        <v>146</v>
      </c>
      <c r="B262" s="152"/>
      <c r="C262" s="153">
        <f t="shared" ref="C262:G262" si="0">SUM(C253:D261)</f>
        <v>87</v>
      </c>
      <c r="D262" s="154"/>
      <c r="E262" s="155">
        <f t="shared" si="0"/>
        <v>47522.511035999989</v>
      </c>
      <c r="F262" s="156"/>
      <c r="G262" s="157">
        <f t="shared" si="0"/>
        <v>73659.892105799998</v>
      </c>
      <c r="H262" s="157"/>
    </row>
    <row r="263" spans="1:8" s="26" customFormat="1" x14ac:dyDescent="0.35">
      <c r="A263" s="152" t="s">
        <v>69</v>
      </c>
      <c r="B263" s="152"/>
      <c r="C263" s="152"/>
      <c r="D263" s="152"/>
      <c r="E263" s="152"/>
      <c r="F263" s="152"/>
      <c r="G263" s="152"/>
      <c r="H263" s="152"/>
    </row>
    <row r="264" spans="1:8" s="26" customFormat="1" ht="15.75" customHeight="1" x14ac:dyDescent="0.35">
      <c r="A264" s="157" t="s">
        <v>53</v>
      </c>
      <c r="B264" s="157"/>
      <c r="C264" s="154" t="s">
        <v>76</v>
      </c>
      <c r="D264" s="154"/>
      <c r="E264" s="156" t="s">
        <v>54</v>
      </c>
      <c r="F264" s="156"/>
      <c r="G264" s="157" t="s">
        <v>55</v>
      </c>
      <c r="H264" s="157"/>
    </row>
    <row r="265" spans="1:8" s="26" customFormat="1" ht="15.75" customHeight="1" x14ac:dyDescent="0.35">
      <c r="A265" s="136" t="s">
        <v>265</v>
      </c>
      <c r="B265" s="39" t="s">
        <v>266</v>
      </c>
      <c r="C265" s="117">
        <f>COUNT(F426:F429)+COUNT(F431:F434)*12+COUNT(F436:F437,F439:F440)*2</f>
        <v>60</v>
      </c>
      <c r="D265" s="118"/>
      <c r="E265" s="119">
        <f>SUM(F426:F429)+SUM(F431:F434)*12+SUM(F436:F437,F439:F440)*2</f>
        <v>103618.042164</v>
      </c>
      <c r="F265" s="120"/>
      <c r="G265" s="119">
        <f>SUM(H426:H429)+SUM(H431:H434)*12+SUM(H436:H437,H439:H440)*2</f>
        <v>155923.01992799999</v>
      </c>
      <c r="H265" s="120"/>
    </row>
    <row r="266" spans="1:8" s="26" customFormat="1" ht="15.75" customHeight="1" x14ac:dyDescent="0.35">
      <c r="A266" s="136"/>
      <c r="B266" s="39" t="s">
        <v>268</v>
      </c>
      <c r="C266" s="117">
        <f>COUNT(F443:F446)+COUNT(F448:F451)*12+COUNT(F453:F454,F456:F457)*2</f>
        <v>60</v>
      </c>
      <c r="D266" s="118"/>
      <c r="E266" s="119">
        <f>SUM(F443:F446)+SUM(F448:F451)*12+SUM(F453:F454,F456:F457)*2</f>
        <v>100109.35490400001</v>
      </c>
      <c r="F266" s="120"/>
      <c r="G266" s="119">
        <f>SUM(H443:H446)+SUM(H448:H451)*12+SUM(H453:H454,H456:H457)*2</f>
        <v>150510.845745</v>
      </c>
      <c r="H266" s="120"/>
    </row>
    <row r="267" spans="1:8" s="26" customFormat="1" ht="15.75" customHeight="1" x14ac:dyDescent="0.35">
      <c r="A267" s="136"/>
      <c r="B267" s="39" t="s">
        <v>282</v>
      </c>
      <c r="C267" s="117">
        <f>COUNT(F460:F463)+COUNT(F465:F468)*12+COUNT(F470:F471,F473:F474)*2</f>
        <v>60</v>
      </c>
      <c r="D267" s="118"/>
      <c r="E267" s="119">
        <f>SUM(F460:F463)+SUM(F465:F468)*12+SUM(F470:F471,F473:F474)*2</f>
        <v>100109.35490400001</v>
      </c>
      <c r="F267" s="120"/>
      <c r="G267" s="119">
        <f>SUM(H460:H463)+SUM(H465:H468)*12+SUM(H470:H471,H473:H474)*2</f>
        <v>150510.845745</v>
      </c>
      <c r="H267" s="120"/>
    </row>
    <row r="268" spans="1:8" s="26" customFormat="1" ht="15.75" customHeight="1" x14ac:dyDescent="0.35">
      <c r="A268" s="136"/>
      <c r="B268" s="39" t="s">
        <v>283</v>
      </c>
      <c r="C268" s="117">
        <f>COUNT(F477:F480)+COUNT(F482:F485)*12+COUNT(F487:F488,F490:F491)*2</f>
        <v>60</v>
      </c>
      <c r="D268" s="118"/>
      <c r="E268" s="119">
        <f>SUM(F477:F480)+SUM(F482:F485)*12+SUM(F487:F488,F490:F491)*2</f>
        <v>100109.35490400001</v>
      </c>
      <c r="F268" s="120"/>
      <c r="G268" s="119">
        <f>SUM(H477:H480)+SUM(H482:H485)*12+SUM(H487:H488,H490:H491)*2</f>
        <v>150510.845745</v>
      </c>
      <c r="H268" s="120"/>
    </row>
    <row r="269" spans="1:8" s="26" customFormat="1" ht="15.75" customHeight="1" x14ac:dyDescent="0.35">
      <c r="A269" s="136"/>
      <c r="B269" s="39" t="s">
        <v>288</v>
      </c>
      <c r="C269" s="117">
        <f>COUNT(F494:F495)+COUNT(F497:F498)*12+COUNT(F500,F502)*2</f>
        <v>30</v>
      </c>
      <c r="D269" s="118"/>
      <c r="E269" s="119">
        <f>SUM(F494:F495)+SUM(F497:F498)*12+SUM(F500,F502)*2</f>
        <v>89446.579559999984</v>
      </c>
      <c r="F269" s="120"/>
      <c r="G269" s="119">
        <f>SUM(H494:H495)+SUM(H497:H498)*12+SUM(H500,H502)*2</f>
        <v>134309.82824999999</v>
      </c>
      <c r="H269" s="120"/>
    </row>
    <row r="270" spans="1:8" s="26" customFormat="1" ht="15.75" customHeight="1" x14ac:dyDescent="0.35">
      <c r="A270" s="136"/>
      <c r="B270" s="39" t="s">
        <v>295</v>
      </c>
      <c r="C270" s="117">
        <f>COUNT(F505:F508)+COUNT(F510:F513)*12+COUNT(F515:F516,F518:F519)*2</f>
        <v>60</v>
      </c>
      <c r="D270" s="118"/>
      <c r="E270" s="119">
        <f>SUM(F505:F508)+SUM(F510:F513)*12+SUM(F515:F516,F518:F519)*2</f>
        <v>126279.32990399998</v>
      </c>
      <c r="F270" s="120"/>
      <c r="G270" s="119">
        <f>SUM(H505:H508)+SUM(H510:H513)*12+SUM(H515:H516,H518:H519)*2</f>
        <v>190474.70913900001</v>
      </c>
      <c r="H270" s="120"/>
    </row>
    <row r="271" spans="1:8" s="26" customFormat="1" ht="15.75" customHeight="1" x14ac:dyDescent="0.35">
      <c r="A271" s="123" t="s">
        <v>296</v>
      </c>
      <c r="B271" s="39" t="s">
        <v>302</v>
      </c>
      <c r="C271" s="117">
        <f>COUNT(F529:F532)*13+COUNT(F534:F537)*2</f>
        <v>60</v>
      </c>
      <c r="D271" s="118"/>
      <c r="E271" s="119">
        <f>SUM(F529:F532)*13+SUM(F534:F537)*2</f>
        <v>74365.440552</v>
      </c>
      <c r="F271" s="120"/>
      <c r="G271" s="119">
        <f>SUM(H529:H532)*13+SUM(H534:H537)*2</f>
        <v>111548.16082799999</v>
      </c>
      <c r="H271" s="120"/>
    </row>
    <row r="272" spans="1:8" s="26" customFormat="1" ht="15.75" customHeight="1" x14ac:dyDescent="0.35">
      <c r="A272" s="124"/>
      <c r="B272" s="39" t="s">
        <v>303</v>
      </c>
      <c r="C272" s="117">
        <f>COUNT(F547:F550)*13+COUNT(F552:F555)*2</f>
        <v>60</v>
      </c>
      <c r="D272" s="118"/>
      <c r="E272" s="119">
        <f>SUM(F547:F550)*13+SUM(F552:F555)*2</f>
        <v>74365.440552</v>
      </c>
      <c r="F272" s="120"/>
      <c r="G272" s="119">
        <f>SUM(H547:H550)*13+SUM(H552:H555)*2</f>
        <v>111548.16082799999</v>
      </c>
      <c r="H272" s="120"/>
    </row>
    <row r="273" spans="1:9" s="26" customFormat="1" ht="15.75" customHeight="1" x14ac:dyDescent="0.35">
      <c r="A273" s="124"/>
      <c r="B273" s="39" t="s">
        <v>305</v>
      </c>
      <c r="C273" s="117">
        <f>COUNT(F559:F561)+COUNT(F563:F565)*12+COUNT(F567:F569)*2</f>
        <v>45</v>
      </c>
      <c r="D273" s="118"/>
      <c r="E273" s="119">
        <f>SUM(F559:F561)+SUM(F563:F565)*12+SUM(F567:F569)*2</f>
        <v>57012.064200000001</v>
      </c>
      <c r="F273" s="120"/>
      <c r="G273" s="119">
        <f>SUM(H559:H561)+SUM(H563:H565)*12+SUM(H567:H569)*2</f>
        <v>86085.333535499987</v>
      </c>
      <c r="H273" s="120"/>
    </row>
    <row r="274" spans="1:9" s="26" customFormat="1" ht="15.75" customHeight="1" x14ac:dyDescent="0.35">
      <c r="A274" s="124"/>
      <c r="B274" s="39" t="s">
        <v>304</v>
      </c>
      <c r="C274" s="117">
        <f>COUNT(F573:F576)+COUNT(F578:F581)*12+COUNT(F583:F586)*2</f>
        <v>60</v>
      </c>
      <c r="D274" s="118"/>
      <c r="E274" s="119">
        <f>SUM(F573:F576)+SUM(F578:F581)*12+SUM(F583:F586)*2</f>
        <v>74691.934199999989</v>
      </c>
      <c r="F274" s="120"/>
      <c r="G274" s="119">
        <f>SUM(H573:H576)+SUM(H578:H581)*12+SUM(H583:H586)*2</f>
        <v>112228.02045</v>
      </c>
      <c r="H274" s="120"/>
    </row>
    <row r="275" spans="1:9" s="26" customFormat="1" x14ac:dyDescent="0.35">
      <c r="A275" s="124"/>
      <c r="B275" s="39" t="s">
        <v>308</v>
      </c>
      <c r="C275" s="121">
        <f>COUNT(F590:F592)+COUNT(F594:F596)*12+COUNT(F598,F600:F601)*2</f>
        <v>45</v>
      </c>
      <c r="D275" s="121"/>
      <c r="E275" s="122">
        <f>SUM(F590:F592)+SUM(F594:F596)*12+SUM(F598,F600:F601)*2</f>
        <v>52350.821639999995</v>
      </c>
      <c r="F275" s="122"/>
      <c r="G275" s="122">
        <f>SUM(H590:H592)+SUM(H594:H596)*12+SUM(H598,H600:H601)*2</f>
        <v>78716.351610000012</v>
      </c>
      <c r="H275" s="122"/>
    </row>
    <row r="276" spans="1:9" s="26" customFormat="1" x14ac:dyDescent="0.35">
      <c r="A276" s="124"/>
      <c r="B276" s="39" t="s">
        <v>309</v>
      </c>
      <c r="C276" s="121">
        <f>COUNT(F609:F612)*13+COUNT(F614,F616:F617)*2</f>
        <v>58</v>
      </c>
      <c r="D276" s="121"/>
      <c r="E276" s="122">
        <f>SUM(F609:F612)*13+SUM(F614,F616:F617)*2</f>
        <v>51068.678543999995</v>
      </c>
      <c r="F276" s="122"/>
      <c r="G276" s="122">
        <f>SUM(H609:H612)*13+SUM(H614,H616:H617)*2</f>
        <v>76603.017815999992</v>
      </c>
      <c r="H276" s="122"/>
    </row>
    <row r="277" spans="1:9" s="26" customFormat="1" x14ac:dyDescent="0.35">
      <c r="A277" s="124"/>
      <c r="B277" s="39" t="s">
        <v>314</v>
      </c>
      <c r="C277" s="121">
        <f>COUNT(F625:F628)*13+COUNT(F630,F632:F633)*2</f>
        <v>58</v>
      </c>
      <c r="D277" s="121"/>
      <c r="E277" s="122">
        <f>SUM(F625:F628)*13+SUM(F630,F632:F633)*2</f>
        <v>51068.678543999995</v>
      </c>
      <c r="F277" s="122"/>
      <c r="G277" s="122">
        <f>SUM(H625:H628)*13+SUM(H630,H632:H633)*2</f>
        <v>76603.017815999992</v>
      </c>
      <c r="H277" s="122"/>
    </row>
    <row r="278" spans="1:9" s="26" customFormat="1" x14ac:dyDescent="0.35">
      <c r="A278" s="125"/>
      <c r="B278" s="39" t="s">
        <v>315</v>
      </c>
      <c r="C278" s="121">
        <f>COUNT(F641:F644)*13+COUNT(F646,F648:F649)*2</f>
        <v>58</v>
      </c>
      <c r="D278" s="121"/>
      <c r="E278" s="122">
        <f>SUM(F641:F644)*13+SUM(F646,F648:F649)*2</f>
        <v>51068.678543999995</v>
      </c>
      <c r="F278" s="122"/>
      <c r="G278" s="122">
        <f>SUM(H641:H644)*13+SUM(H646,H648:H649)*2</f>
        <v>76603.017815999992</v>
      </c>
      <c r="H278" s="122"/>
    </row>
    <row r="279" spans="1:9" s="26" customFormat="1" ht="16" thickBot="1" x14ac:dyDescent="0.4">
      <c r="A279" s="211" t="s">
        <v>146</v>
      </c>
      <c r="B279" s="211"/>
      <c r="C279" s="222">
        <f t="shared" ref="C279:G279" si="1">SUM(C265:D278)</f>
        <v>774</v>
      </c>
      <c r="D279" s="222"/>
      <c r="E279" s="212">
        <f t="shared" si="1"/>
        <v>1105663.753116</v>
      </c>
      <c r="F279" s="212"/>
      <c r="G279" s="213">
        <f t="shared" si="1"/>
        <v>1662175.1752514995</v>
      </c>
      <c r="H279" s="213"/>
    </row>
    <row r="280" spans="1:9" s="26" customFormat="1" ht="16" thickBot="1" x14ac:dyDescent="0.4">
      <c r="A280" s="225" t="s">
        <v>164</v>
      </c>
      <c r="B280" s="226"/>
      <c r="C280" s="227">
        <f>C262+C279</f>
        <v>861</v>
      </c>
      <c r="D280" s="227"/>
      <c r="E280" s="228">
        <f>E262+E279</f>
        <v>1153186.264152</v>
      </c>
      <c r="F280" s="228"/>
      <c r="G280" s="168">
        <f>G262+G279</f>
        <v>1735835.0673572996</v>
      </c>
      <c r="H280" s="169"/>
    </row>
    <row r="281" spans="1:9" s="25" customFormat="1" x14ac:dyDescent="0.35">
      <c r="A281" s="223" t="s">
        <v>56</v>
      </c>
      <c r="B281" s="223"/>
      <c r="C281" s="223"/>
      <c r="D281" s="223"/>
      <c r="E281" s="223"/>
      <c r="F281" s="223"/>
      <c r="G281" s="223"/>
      <c r="H281" s="223"/>
    </row>
    <row r="282" spans="1:9" x14ac:dyDescent="0.35">
      <c r="A282" s="170" t="s">
        <v>171</v>
      </c>
      <c r="B282" s="170"/>
      <c r="C282" s="170"/>
      <c r="D282" s="170"/>
      <c r="E282" s="170"/>
      <c r="F282" s="170"/>
      <c r="G282" s="170"/>
      <c r="H282" s="170"/>
    </row>
    <row r="283" spans="1:9" ht="47.25" customHeight="1" x14ac:dyDescent="0.35">
      <c r="A283" s="158" t="s">
        <v>117</v>
      </c>
      <c r="B283" s="158" t="s">
        <v>173</v>
      </c>
      <c r="C283" s="158" t="s">
        <v>57</v>
      </c>
      <c r="D283" s="158" t="s">
        <v>229</v>
      </c>
      <c r="E283" s="172" t="s">
        <v>152</v>
      </c>
      <c r="F283" s="158" t="s">
        <v>58</v>
      </c>
      <c r="G283" s="172" t="s">
        <v>59</v>
      </c>
      <c r="H283" s="38" t="s">
        <v>145</v>
      </c>
    </row>
    <row r="284" spans="1:9" s="28" customFormat="1" x14ac:dyDescent="0.35">
      <c r="A284" s="159"/>
      <c r="B284" s="159"/>
      <c r="C284" s="159"/>
      <c r="D284" s="159"/>
      <c r="E284" s="173"/>
      <c r="F284" s="159"/>
      <c r="G284" s="173"/>
      <c r="H284" s="54">
        <v>0.55000000000000004</v>
      </c>
    </row>
    <row r="285" spans="1:9" s="28" customFormat="1" x14ac:dyDescent="0.35">
      <c r="A285" s="215" t="s">
        <v>265</v>
      </c>
      <c r="B285" s="216"/>
      <c r="C285" s="216"/>
      <c r="D285" s="216"/>
      <c r="E285" s="216"/>
      <c r="F285" s="216"/>
      <c r="G285" s="216"/>
      <c r="H285" s="217"/>
      <c r="I285" s="48">
        <v>10.763999999999999</v>
      </c>
    </row>
    <row r="286" spans="1:9" s="28" customFormat="1" x14ac:dyDescent="0.35">
      <c r="A286" s="128" t="s">
        <v>266</v>
      </c>
      <c r="B286" s="129"/>
      <c r="C286" s="129"/>
      <c r="D286" s="129"/>
      <c r="E286" s="129"/>
      <c r="F286" s="129"/>
      <c r="G286" s="129"/>
      <c r="H286" s="130"/>
    </row>
    <row r="287" spans="1:9" s="28" customFormat="1" ht="15.75" customHeight="1" x14ac:dyDescent="0.35">
      <c r="A287" s="128" t="s">
        <v>269</v>
      </c>
      <c r="B287" s="129"/>
      <c r="C287" s="129"/>
      <c r="D287" s="129"/>
      <c r="E287" s="129"/>
      <c r="F287" s="129"/>
      <c r="G287" s="129"/>
      <c r="H287" s="130"/>
    </row>
    <row r="288" spans="1:9" s="28" customFormat="1" ht="15.75" customHeight="1" x14ac:dyDescent="0.35">
      <c r="A288" s="128" t="s">
        <v>278</v>
      </c>
      <c r="B288" s="129"/>
      <c r="C288" s="129"/>
      <c r="D288" s="129"/>
      <c r="E288" s="129"/>
      <c r="F288" s="129"/>
      <c r="G288" s="129"/>
      <c r="H288" s="130"/>
    </row>
    <row r="289" spans="1:9" s="28" customFormat="1" x14ac:dyDescent="0.35">
      <c r="A289" s="128" t="s">
        <v>270</v>
      </c>
      <c r="B289" s="129"/>
      <c r="C289" s="129"/>
      <c r="D289" s="129"/>
      <c r="E289" s="129"/>
      <c r="F289" s="129"/>
      <c r="G289" s="129"/>
      <c r="H289" s="130"/>
    </row>
    <row r="290" spans="1:9" s="28" customFormat="1" x14ac:dyDescent="0.35">
      <c r="A290" s="128" t="s">
        <v>284</v>
      </c>
      <c r="B290" s="129"/>
      <c r="C290" s="129"/>
      <c r="D290" s="129"/>
      <c r="E290" s="129"/>
      <c r="F290" s="129"/>
      <c r="G290" s="129"/>
      <c r="H290" s="130"/>
    </row>
    <row r="291" spans="1:9" s="28" customFormat="1" ht="15.75" customHeight="1" x14ac:dyDescent="0.35">
      <c r="A291" s="126">
        <v>1</v>
      </c>
      <c r="B291" s="127"/>
      <c r="C291" s="33" t="s">
        <v>271</v>
      </c>
      <c r="D291" s="48">
        <f>(50.722)*10.764</f>
        <v>545.97160799999995</v>
      </c>
      <c r="E291" s="33">
        <v>0</v>
      </c>
      <c r="F291" s="33">
        <f t="shared" ref="F291" si="2">D291+E291</f>
        <v>545.97160799999995</v>
      </c>
      <c r="G291" s="33">
        <v>0</v>
      </c>
      <c r="H291" s="33">
        <f t="shared" ref="H291" si="3">(D291+E291)*(($H$284)+1)</f>
        <v>846.25599239999997</v>
      </c>
      <c r="I291" s="27">
        <f>4.766*11.058+1.186*1.348+2.125*1.25</f>
        <v>56.957405999999999</v>
      </c>
    </row>
    <row r="292" spans="1:9" s="28" customFormat="1" x14ac:dyDescent="0.35">
      <c r="A292" s="126">
        <v>2</v>
      </c>
      <c r="B292" s="127"/>
      <c r="C292" s="33" t="s">
        <v>271</v>
      </c>
      <c r="D292" s="48">
        <f>(45.31)*10.764</f>
        <v>487.71683999999999</v>
      </c>
      <c r="E292" s="33">
        <v>0</v>
      </c>
      <c r="F292" s="33">
        <f>D292+E292</f>
        <v>487.71683999999999</v>
      </c>
      <c r="G292" s="33">
        <v>0</v>
      </c>
      <c r="H292" s="33">
        <f>(D292+E292)*(($H$284)+1)</f>
        <v>755.96110199999998</v>
      </c>
      <c r="I292" s="27">
        <f>3.65*11.057+1.425*1.353+2.125*1.25</f>
        <v>44.942324999999997</v>
      </c>
    </row>
    <row r="293" spans="1:9" s="28" customFormat="1" x14ac:dyDescent="0.35">
      <c r="A293" s="126">
        <f t="shared" ref="A293:A299" si="4">A292+1</f>
        <v>3</v>
      </c>
      <c r="B293" s="127"/>
      <c r="C293" s="33" t="s">
        <v>271</v>
      </c>
      <c r="D293" s="48">
        <f>(84.284)*10.764</f>
        <v>907.23297600000001</v>
      </c>
      <c r="E293" s="33">
        <v>0</v>
      </c>
      <c r="F293" s="33">
        <f t="shared" ref="F293:F295" si="5">D293+E293</f>
        <v>907.23297600000001</v>
      </c>
      <c r="G293" s="33">
        <v>0</v>
      </c>
      <c r="H293" s="33">
        <f t="shared" ref="H293:H295" si="6">(D293+E293)*(($H$284)+1)</f>
        <v>1406.2111128000001</v>
      </c>
      <c r="I293" s="27"/>
    </row>
    <row r="294" spans="1:9" s="28" customFormat="1" x14ac:dyDescent="0.35">
      <c r="A294" s="126">
        <f t="shared" si="4"/>
        <v>4</v>
      </c>
      <c r="B294" s="127"/>
      <c r="C294" s="33" t="s">
        <v>271</v>
      </c>
      <c r="D294" s="48">
        <f>(70.783)*10.764</f>
        <v>761.90821199999993</v>
      </c>
      <c r="E294" s="33">
        <v>0</v>
      </c>
      <c r="F294" s="33">
        <f t="shared" si="5"/>
        <v>761.90821199999993</v>
      </c>
      <c r="G294" s="33">
        <v>0</v>
      </c>
      <c r="H294" s="33">
        <f t="shared" si="6"/>
        <v>1180.9577285999999</v>
      </c>
      <c r="I294" s="27"/>
    </row>
    <row r="295" spans="1:9" s="28" customFormat="1" x14ac:dyDescent="0.35">
      <c r="A295" s="126">
        <f t="shared" si="4"/>
        <v>5</v>
      </c>
      <c r="B295" s="127"/>
      <c r="C295" s="33" t="s">
        <v>271</v>
      </c>
      <c r="D295" s="48">
        <f>(55.858)*10.764</f>
        <v>601.25551199999995</v>
      </c>
      <c r="E295" s="33">
        <v>0</v>
      </c>
      <c r="F295" s="33">
        <f t="shared" si="5"/>
        <v>601.25551199999995</v>
      </c>
      <c r="G295" s="33">
        <v>0</v>
      </c>
      <c r="H295" s="33">
        <f t="shared" si="6"/>
        <v>931.94604359999994</v>
      </c>
      <c r="I295" s="27">
        <f>4.505*11.054+2.28*1.345+2.125*1.25</f>
        <v>55.521120000000003</v>
      </c>
    </row>
    <row r="296" spans="1:9" s="28" customFormat="1" x14ac:dyDescent="0.35">
      <c r="A296" s="126">
        <f t="shared" si="4"/>
        <v>6</v>
      </c>
      <c r="B296" s="127"/>
      <c r="C296" s="33" t="s">
        <v>271</v>
      </c>
      <c r="D296" s="48">
        <f>(55.608)*10.764</f>
        <v>598.56451199999992</v>
      </c>
      <c r="E296" s="33">
        <v>0</v>
      </c>
      <c r="F296" s="33">
        <f t="shared" ref="F296" si="7">D296+E296</f>
        <v>598.56451199999992</v>
      </c>
      <c r="G296" s="33">
        <v>0</v>
      </c>
      <c r="H296" s="33">
        <f t="shared" ref="H296" si="8">(D296+E296)*(($H$284)+1)</f>
        <v>927.7749935999999</v>
      </c>
      <c r="I296" s="27"/>
    </row>
    <row r="297" spans="1:9" s="28" customFormat="1" x14ac:dyDescent="0.35">
      <c r="A297" s="126">
        <f t="shared" si="4"/>
        <v>7</v>
      </c>
      <c r="B297" s="127"/>
      <c r="C297" s="33" t="s">
        <v>271</v>
      </c>
      <c r="D297" s="48">
        <f>(38.916)*10.764</f>
        <v>418.89182399999993</v>
      </c>
      <c r="E297" s="33">
        <v>0</v>
      </c>
      <c r="F297" s="33">
        <f t="shared" ref="F297" si="9">D297+E297</f>
        <v>418.89182399999993</v>
      </c>
      <c r="G297" s="33">
        <v>0</v>
      </c>
      <c r="H297" s="33">
        <f t="shared" ref="H297" si="10">(D297+E297)*(($H$284)+1)</f>
        <v>649.28232719999994</v>
      </c>
    </row>
    <row r="298" spans="1:9" s="28" customFormat="1" x14ac:dyDescent="0.35">
      <c r="A298" s="126">
        <f t="shared" si="4"/>
        <v>8</v>
      </c>
      <c r="B298" s="127"/>
      <c r="C298" s="33" t="s">
        <v>271</v>
      </c>
      <c r="D298" s="48">
        <f>(44.686)*10.764</f>
        <v>481.00010399999996</v>
      </c>
      <c r="E298" s="33">
        <v>0</v>
      </c>
      <c r="F298" s="33">
        <f t="shared" ref="F298" si="11">D298+E298</f>
        <v>481.00010399999996</v>
      </c>
      <c r="G298" s="33">
        <v>0</v>
      </c>
      <c r="H298" s="33">
        <f t="shared" ref="H298" si="12">(D298+E298)*(($H$284)+1)</f>
        <v>745.55016119999993</v>
      </c>
    </row>
    <row r="299" spans="1:9" s="28" customFormat="1" x14ac:dyDescent="0.35">
      <c r="A299" s="126">
        <f t="shared" si="4"/>
        <v>9</v>
      </c>
      <c r="B299" s="127"/>
      <c r="C299" s="33" t="s">
        <v>271</v>
      </c>
      <c r="D299" s="48">
        <f>(71.588)*10.764</f>
        <v>770.57323199999985</v>
      </c>
      <c r="E299" s="33">
        <v>0</v>
      </c>
      <c r="F299" s="33">
        <f t="shared" ref="F299" si="13">D299+E299</f>
        <v>770.57323199999985</v>
      </c>
      <c r="G299" s="33">
        <v>0</v>
      </c>
      <c r="H299" s="33">
        <f t="shared" ref="H299" si="14">(D299+E299)*(($H$284)+1)</f>
        <v>1194.3885095999999</v>
      </c>
    </row>
    <row r="300" spans="1:9" s="28" customFormat="1" ht="15.75" customHeight="1" x14ac:dyDescent="0.35">
      <c r="A300" s="128" t="s">
        <v>268</v>
      </c>
      <c r="B300" s="129"/>
      <c r="C300" s="129"/>
      <c r="D300" s="129"/>
      <c r="E300" s="129"/>
      <c r="F300" s="129"/>
      <c r="G300" s="129"/>
      <c r="H300" s="130"/>
    </row>
    <row r="301" spans="1:9" s="28" customFormat="1" x14ac:dyDescent="0.35">
      <c r="A301" s="128" t="s">
        <v>269</v>
      </c>
      <c r="B301" s="129"/>
      <c r="C301" s="129"/>
      <c r="D301" s="129"/>
      <c r="E301" s="129"/>
      <c r="F301" s="129"/>
      <c r="G301" s="129"/>
      <c r="H301" s="130"/>
    </row>
    <row r="302" spans="1:9" s="28" customFormat="1" x14ac:dyDescent="0.35">
      <c r="A302" s="128" t="s">
        <v>278</v>
      </c>
      <c r="B302" s="129"/>
      <c r="C302" s="129"/>
      <c r="D302" s="129"/>
      <c r="E302" s="129"/>
      <c r="F302" s="129"/>
      <c r="G302" s="129"/>
      <c r="H302" s="130"/>
    </row>
    <row r="303" spans="1:9" s="28" customFormat="1" ht="15.75" customHeight="1" x14ac:dyDescent="0.35">
      <c r="A303" s="128" t="s">
        <v>270</v>
      </c>
      <c r="B303" s="129"/>
      <c r="C303" s="129"/>
      <c r="D303" s="129"/>
      <c r="E303" s="129"/>
      <c r="F303" s="129"/>
      <c r="G303" s="129"/>
      <c r="H303" s="130"/>
    </row>
    <row r="304" spans="1:9" s="28" customFormat="1" ht="15.75" customHeight="1" x14ac:dyDescent="0.35">
      <c r="A304" s="128" t="s">
        <v>285</v>
      </c>
      <c r="B304" s="129"/>
      <c r="C304" s="129"/>
      <c r="D304" s="129"/>
      <c r="E304" s="129"/>
      <c r="F304" s="129"/>
      <c r="G304" s="129"/>
      <c r="H304" s="130"/>
    </row>
    <row r="305" spans="1:9" s="28" customFormat="1" x14ac:dyDescent="0.35">
      <c r="A305" s="126">
        <v>10</v>
      </c>
      <c r="B305" s="127"/>
      <c r="C305" s="33" t="s">
        <v>271</v>
      </c>
      <c r="D305" s="48">
        <f>(46.89)*10.764</f>
        <v>504.72395999999998</v>
      </c>
      <c r="E305" s="33">
        <v>0</v>
      </c>
      <c r="F305" s="33">
        <f t="shared" ref="F305:F307" si="15">D305+E305</f>
        <v>504.72395999999998</v>
      </c>
      <c r="G305" s="33">
        <v>0</v>
      </c>
      <c r="H305" s="33">
        <f t="shared" ref="H305:H307" si="16">(D305+E305)*(($H$284)+1)</f>
        <v>782.322138</v>
      </c>
      <c r="I305" s="28">
        <f>3.546*11.884+1.321*1.35+2.125*1.25</f>
        <v>46.580264</v>
      </c>
    </row>
    <row r="306" spans="1:9" s="28" customFormat="1" x14ac:dyDescent="0.35">
      <c r="A306" s="126">
        <f t="shared" ref="A306:A308" si="17">A305+1</f>
        <v>11</v>
      </c>
      <c r="B306" s="127"/>
      <c r="C306" s="33" t="s">
        <v>271</v>
      </c>
      <c r="D306" s="48">
        <f>(65.779)*10.764</f>
        <v>708.04515599999991</v>
      </c>
      <c r="E306" s="33">
        <v>0</v>
      </c>
      <c r="F306" s="33">
        <f t="shared" si="15"/>
        <v>708.04515599999991</v>
      </c>
      <c r="G306" s="33">
        <v>0</v>
      </c>
      <c r="H306" s="33">
        <f t="shared" si="16"/>
        <v>1097.4699917999999</v>
      </c>
    </row>
    <row r="307" spans="1:9" s="28" customFormat="1" x14ac:dyDescent="0.35">
      <c r="A307" s="126">
        <f t="shared" si="17"/>
        <v>12</v>
      </c>
      <c r="B307" s="127"/>
      <c r="C307" s="33" t="s">
        <v>271</v>
      </c>
      <c r="D307" s="48">
        <f>(40.48)*10.764</f>
        <v>435.72671999999994</v>
      </c>
      <c r="E307" s="33">
        <v>0</v>
      </c>
      <c r="F307" s="33">
        <f t="shared" si="15"/>
        <v>435.72671999999994</v>
      </c>
      <c r="G307" s="33">
        <v>0</v>
      </c>
      <c r="H307" s="33">
        <f t="shared" si="16"/>
        <v>675.37641599999995</v>
      </c>
    </row>
    <row r="308" spans="1:9" s="28" customFormat="1" ht="15.75" customHeight="1" x14ac:dyDescent="0.35">
      <c r="A308" s="126">
        <f t="shared" si="17"/>
        <v>13</v>
      </c>
      <c r="B308" s="127"/>
      <c r="C308" s="33" t="s">
        <v>271</v>
      </c>
      <c r="D308" s="48">
        <f>(52.042)*10.764</f>
        <v>560.18008799999996</v>
      </c>
      <c r="E308" s="33">
        <v>0</v>
      </c>
      <c r="F308" s="33">
        <f t="shared" ref="F308" si="18">D308+E308</f>
        <v>560.18008799999996</v>
      </c>
      <c r="G308" s="33">
        <v>0</v>
      </c>
      <c r="H308" s="33">
        <f t="shared" ref="H308" si="19">(D308+E308)*(($H$284)+1)</f>
        <v>868.27913639999997</v>
      </c>
    </row>
    <row r="309" spans="1:9" s="28" customFormat="1" x14ac:dyDescent="0.35">
      <c r="A309" s="126">
        <v>14</v>
      </c>
      <c r="B309" s="127"/>
      <c r="C309" s="33" t="s">
        <v>271</v>
      </c>
      <c r="D309" s="48">
        <f>(44.137)*10.764</f>
        <v>475.09066799999999</v>
      </c>
      <c r="E309" s="33">
        <v>0</v>
      </c>
      <c r="F309" s="33">
        <f>D309+E309</f>
        <v>475.09066799999999</v>
      </c>
      <c r="G309" s="33">
        <v>0</v>
      </c>
      <c r="H309" s="33">
        <f>(D309+E309)*(($H$284)+1)</f>
        <v>736.39053539999998</v>
      </c>
    </row>
    <row r="310" spans="1:9" s="28" customFormat="1" x14ac:dyDescent="0.35">
      <c r="A310" s="126">
        <f t="shared" ref="A310:A313" si="20">A309+1</f>
        <v>15</v>
      </c>
      <c r="B310" s="127"/>
      <c r="C310" s="33" t="s">
        <v>271</v>
      </c>
      <c r="D310" s="48">
        <f>(44.669)*10.764</f>
        <v>480.81711599999994</v>
      </c>
      <c r="E310" s="33">
        <v>0</v>
      </c>
      <c r="F310" s="33">
        <f t="shared" ref="F310:F312" si="21">D310+E310</f>
        <v>480.81711599999994</v>
      </c>
      <c r="G310" s="33">
        <v>0</v>
      </c>
      <c r="H310" s="33">
        <f t="shared" ref="H310:H312" si="22">(D310+E310)*(($H$284)+1)</f>
        <v>745.26652979999994</v>
      </c>
    </row>
    <row r="311" spans="1:9" s="28" customFormat="1" x14ac:dyDescent="0.35">
      <c r="A311" s="126">
        <f t="shared" si="20"/>
        <v>16</v>
      </c>
      <c r="B311" s="127"/>
      <c r="C311" s="33" t="s">
        <v>271</v>
      </c>
      <c r="D311" s="48">
        <f>(51.768)*10.764</f>
        <v>557.23075199999994</v>
      </c>
      <c r="E311" s="33">
        <v>0</v>
      </c>
      <c r="F311" s="33">
        <f t="shared" si="21"/>
        <v>557.23075199999994</v>
      </c>
      <c r="G311" s="33">
        <v>0</v>
      </c>
      <c r="H311" s="33">
        <f t="shared" si="22"/>
        <v>863.70766559999993</v>
      </c>
    </row>
    <row r="312" spans="1:9" s="28" customFormat="1" x14ac:dyDescent="0.35">
      <c r="A312" s="126">
        <f t="shared" si="20"/>
        <v>17</v>
      </c>
      <c r="B312" s="127"/>
      <c r="C312" s="33" t="s">
        <v>271</v>
      </c>
      <c r="D312" s="48">
        <f>(39.872)*10.764</f>
        <v>429.18220799999995</v>
      </c>
      <c r="E312" s="33">
        <v>0</v>
      </c>
      <c r="F312" s="33">
        <f t="shared" si="21"/>
        <v>429.18220799999995</v>
      </c>
      <c r="G312" s="33">
        <v>0</v>
      </c>
      <c r="H312" s="33">
        <f t="shared" si="22"/>
        <v>665.2324223999999</v>
      </c>
    </row>
    <row r="313" spans="1:9" s="28" customFormat="1" ht="15.75" customHeight="1" x14ac:dyDescent="0.35">
      <c r="A313" s="126">
        <f t="shared" si="20"/>
        <v>18</v>
      </c>
      <c r="B313" s="127"/>
      <c r="C313" s="33" t="s">
        <v>271</v>
      </c>
      <c r="D313" s="48">
        <f>(65.234)*10.764</f>
        <v>702.17877599999986</v>
      </c>
      <c r="E313" s="33">
        <v>0</v>
      </c>
      <c r="F313" s="33">
        <f t="shared" ref="F313" si="23">D313+E313</f>
        <v>702.17877599999986</v>
      </c>
      <c r="G313" s="33">
        <v>0</v>
      </c>
      <c r="H313" s="33">
        <f t="shared" ref="H313" si="24">(D313+E313)*(($H$284)+1)</f>
        <v>1088.3771027999999</v>
      </c>
    </row>
    <row r="314" spans="1:9" s="28" customFormat="1" x14ac:dyDescent="0.35">
      <c r="A314" s="126">
        <v>19</v>
      </c>
      <c r="B314" s="127"/>
      <c r="C314" s="33" t="s">
        <v>271</v>
      </c>
      <c r="D314" s="48">
        <f>(49.328)*10.764</f>
        <v>530.96659199999999</v>
      </c>
      <c r="E314" s="33">
        <v>0</v>
      </c>
      <c r="F314" s="33">
        <f>D314+E314</f>
        <v>530.96659199999999</v>
      </c>
      <c r="G314" s="33">
        <v>0</v>
      </c>
      <c r="H314" s="33">
        <f>(D314+E314)*(($H$284)+1)</f>
        <v>822.99821759999998</v>
      </c>
    </row>
    <row r="315" spans="1:9" s="28" customFormat="1" x14ac:dyDescent="0.35">
      <c r="A315" s="128" t="s">
        <v>282</v>
      </c>
      <c r="B315" s="129"/>
      <c r="C315" s="129"/>
      <c r="D315" s="129"/>
      <c r="E315" s="129"/>
      <c r="F315" s="129"/>
      <c r="G315" s="129"/>
      <c r="H315" s="130"/>
    </row>
    <row r="316" spans="1:9" s="28" customFormat="1" x14ac:dyDescent="0.35">
      <c r="A316" s="128" t="s">
        <v>269</v>
      </c>
      <c r="B316" s="129"/>
      <c r="C316" s="129"/>
      <c r="D316" s="129"/>
      <c r="E316" s="129"/>
      <c r="F316" s="129"/>
      <c r="G316" s="129"/>
      <c r="H316" s="130"/>
    </row>
    <row r="317" spans="1:9" s="28" customFormat="1" x14ac:dyDescent="0.35">
      <c r="A317" s="128" t="s">
        <v>278</v>
      </c>
      <c r="B317" s="129"/>
      <c r="C317" s="129"/>
      <c r="D317" s="129"/>
      <c r="E317" s="129"/>
      <c r="F317" s="129"/>
      <c r="G317" s="129"/>
      <c r="H317" s="130"/>
    </row>
    <row r="318" spans="1:9" s="28" customFormat="1" ht="15.75" customHeight="1" x14ac:dyDescent="0.35">
      <c r="A318" s="128" t="s">
        <v>270</v>
      </c>
      <c r="B318" s="129"/>
      <c r="C318" s="129"/>
      <c r="D318" s="129"/>
      <c r="E318" s="129"/>
      <c r="F318" s="129"/>
      <c r="G318" s="129"/>
      <c r="H318" s="130"/>
    </row>
    <row r="319" spans="1:9" s="28" customFormat="1" x14ac:dyDescent="0.35">
      <c r="A319" s="128" t="s">
        <v>286</v>
      </c>
      <c r="B319" s="129"/>
      <c r="C319" s="129"/>
      <c r="D319" s="129"/>
      <c r="E319" s="129"/>
      <c r="F319" s="129"/>
      <c r="G319" s="129"/>
      <c r="H319" s="130"/>
    </row>
    <row r="320" spans="1:9" s="28" customFormat="1" x14ac:dyDescent="0.35">
      <c r="A320" s="126">
        <v>20</v>
      </c>
      <c r="B320" s="127"/>
      <c r="C320" s="33" t="s">
        <v>271</v>
      </c>
      <c r="D320" s="48">
        <f>(44.589)*10.764</f>
        <v>479.95599599999997</v>
      </c>
      <c r="E320" s="33">
        <v>0</v>
      </c>
      <c r="F320" s="33">
        <f t="shared" ref="F320:F323" si="25">D320+E320</f>
        <v>479.95599599999997</v>
      </c>
      <c r="G320" s="33">
        <v>0</v>
      </c>
      <c r="H320" s="33">
        <f t="shared" ref="H320:H323" si="26">(D320+E320)*(($H$284)+1)</f>
        <v>743.93179379999992</v>
      </c>
    </row>
    <row r="321" spans="1:14" s="28" customFormat="1" x14ac:dyDescent="0.35">
      <c r="A321" s="126">
        <f t="shared" ref="A321:A323" si="27">A320+1</f>
        <v>21</v>
      </c>
      <c r="B321" s="127"/>
      <c r="C321" s="33" t="s">
        <v>271</v>
      </c>
      <c r="D321" s="48">
        <f>(66.203)*10.764</f>
        <v>712.60909200000003</v>
      </c>
      <c r="E321" s="33">
        <v>0</v>
      </c>
      <c r="F321" s="33">
        <f t="shared" si="25"/>
        <v>712.60909200000003</v>
      </c>
      <c r="G321" s="33">
        <v>0</v>
      </c>
      <c r="H321" s="33">
        <f t="shared" si="26"/>
        <v>1104.5440926000001</v>
      </c>
    </row>
    <row r="322" spans="1:14" s="28" customFormat="1" x14ac:dyDescent="0.35">
      <c r="A322" s="126">
        <f t="shared" si="27"/>
        <v>22</v>
      </c>
      <c r="B322" s="127"/>
      <c r="C322" s="33" t="s">
        <v>271</v>
      </c>
      <c r="D322" s="48">
        <f>(40.84)*10.764</f>
        <v>439.60176000000001</v>
      </c>
      <c r="E322" s="33">
        <v>0</v>
      </c>
      <c r="F322" s="33">
        <f t="shared" si="25"/>
        <v>439.60176000000001</v>
      </c>
      <c r="G322" s="33">
        <v>0</v>
      </c>
      <c r="H322" s="33">
        <f t="shared" si="26"/>
        <v>681.38272800000004</v>
      </c>
    </row>
    <row r="323" spans="1:14" s="28" customFormat="1" x14ac:dyDescent="0.35">
      <c r="A323" s="126">
        <f t="shared" si="27"/>
        <v>23</v>
      </c>
      <c r="B323" s="127"/>
      <c r="C323" s="33" t="s">
        <v>271</v>
      </c>
      <c r="D323" s="48">
        <f>(53.58)*10.764</f>
        <v>576.73511999999994</v>
      </c>
      <c r="E323" s="33">
        <v>0</v>
      </c>
      <c r="F323" s="33">
        <f t="shared" si="25"/>
        <v>576.73511999999994</v>
      </c>
      <c r="G323" s="33">
        <v>0</v>
      </c>
      <c r="H323" s="33">
        <f t="shared" si="26"/>
        <v>893.93943599999989</v>
      </c>
    </row>
    <row r="324" spans="1:14" s="28" customFormat="1" ht="15.75" customHeight="1" x14ac:dyDescent="0.35">
      <c r="A324" s="126">
        <v>24</v>
      </c>
      <c r="B324" s="127"/>
      <c r="C324" s="33" t="s">
        <v>271</v>
      </c>
      <c r="D324" s="48">
        <f>(47.068)*10.764</f>
        <v>506.63995199999994</v>
      </c>
      <c r="E324" s="33">
        <v>0</v>
      </c>
      <c r="F324" s="33">
        <f>D324+E324</f>
        <v>506.63995199999994</v>
      </c>
      <c r="G324" s="33">
        <v>0</v>
      </c>
      <c r="H324" s="33">
        <f>(D324+E324)*(($H$284)+1)</f>
        <v>785.2919255999999</v>
      </c>
      <c r="J324" s="27"/>
    </row>
    <row r="325" spans="1:14" s="28" customFormat="1" ht="15.75" customHeight="1" x14ac:dyDescent="0.35">
      <c r="A325" s="126">
        <f t="shared" ref="A325:A328" si="28">A324+1</f>
        <v>25</v>
      </c>
      <c r="B325" s="127"/>
      <c r="C325" s="33" t="s">
        <v>271</v>
      </c>
      <c r="D325" s="48">
        <f>(46.732)*10.764</f>
        <v>503.02324799999997</v>
      </c>
      <c r="E325" s="33">
        <v>0</v>
      </c>
      <c r="F325" s="33">
        <f t="shared" ref="F325:F328" si="29">D325+E325</f>
        <v>503.02324799999997</v>
      </c>
      <c r="G325" s="33">
        <v>0</v>
      </c>
      <c r="H325" s="33">
        <f t="shared" ref="H325:H328" si="30">(D325+E325)*(($H$284)+1)</f>
        <v>779.68603439999993</v>
      </c>
      <c r="I325" s="27"/>
      <c r="L325" s="161"/>
      <c r="M325" s="161"/>
      <c r="N325" s="27"/>
    </row>
    <row r="326" spans="1:14" s="28" customFormat="1" ht="15.75" customHeight="1" x14ac:dyDescent="0.35">
      <c r="A326" s="126">
        <f t="shared" si="28"/>
        <v>26</v>
      </c>
      <c r="B326" s="127"/>
      <c r="C326" s="33" t="s">
        <v>271</v>
      </c>
      <c r="D326" s="48">
        <f>(53.417)*10.764</f>
        <v>574.98058800000001</v>
      </c>
      <c r="E326" s="33">
        <v>0</v>
      </c>
      <c r="F326" s="33">
        <f t="shared" si="29"/>
        <v>574.98058800000001</v>
      </c>
      <c r="G326" s="33">
        <v>0</v>
      </c>
      <c r="H326" s="33">
        <f t="shared" si="30"/>
        <v>891.2199114</v>
      </c>
      <c r="I326" s="27"/>
      <c r="L326" s="161"/>
      <c r="M326" s="161"/>
      <c r="N326" s="27"/>
    </row>
    <row r="327" spans="1:14" s="28" customFormat="1" ht="15.75" customHeight="1" x14ac:dyDescent="0.35">
      <c r="A327" s="126">
        <f t="shared" si="28"/>
        <v>27</v>
      </c>
      <c r="B327" s="127"/>
      <c r="C327" s="33" t="s">
        <v>271</v>
      </c>
      <c r="D327" s="48">
        <f>(40.981)*10.764</f>
        <v>441.119484</v>
      </c>
      <c r="E327" s="33">
        <v>0</v>
      </c>
      <c r="F327" s="33">
        <f t="shared" si="29"/>
        <v>441.119484</v>
      </c>
      <c r="G327" s="33">
        <v>0</v>
      </c>
      <c r="H327" s="33">
        <f t="shared" si="30"/>
        <v>683.73520020000001</v>
      </c>
      <c r="I327" s="27"/>
      <c r="L327" s="161"/>
      <c r="M327" s="161"/>
      <c r="N327" s="27"/>
    </row>
    <row r="328" spans="1:14" s="28" customFormat="1" ht="15.75" customHeight="1" x14ac:dyDescent="0.35">
      <c r="A328" s="126">
        <f t="shared" si="28"/>
        <v>28</v>
      </c>
      <c r="B328" s="127"/>
      <c r="C328" s="33" t="s">
        <v>271</v>
      </c>
      <c r="D328" s="48">
        <f>(66.96)*10.764</f>
        <v>720.75743999999986</v>
      </c>
      <c r="E328" s="33">
        <v>0</v>
      </c>
      <c r="F328" s="33">
        <f t="shared" si="29"/>
        <v>720.75743999999986</v>
      </c>
      <c r="G328" s="33">
        <v>0</v>
      </c>
      <c r="H328" s="33">
        <f t="shared" si="30"/>
        <v>1117.1740319999999</v>
      </c>
      <c r="I328" s="27"/>
      <c r="L328" s="161"/>
      <c r="M328" s="161"/>
      <c r="N328" s="27"/>
    </row>
    <row r="329" spans="1:14" s="28" customFormat="1" ht="15.75" customHeight="1" x14ac:dyDescent="0.35">
      <c r="A329" s="126">
        <v>29</v>
      </c>
      <c r="B329" s="127"/>
      <c r="C329" s="33" t="s">
        <v>271</v>
      </c>
      <c r="D329" s="48">
        <f>(51.203)*10.764</f>
        <v>551.149092</v>
      </c>
      <c r="E329" s="33">
        <v>0</v>
      </c>
      <c r="F329" s="33">
        <f>D329+E329</f>
        <v>551.149092</v>
      </c>
      <c r="G329" s="33">
        <v>0</v>
      </c>
      <c r="H329" s="33">
        <f>(D329+E329)*(($H$284)+1)</f>
        <v>854.28109259999997</v>
      </c>
      <c r="I329" s="27"/>
      <c r="N329" s="27"/>
    </row>
    <row r="330" spans="1:14" s="28" customFormat="1" ht="15.75" customHeight="1" x14ac:dyDescent="0.35">
      <c r="A330" s="128" t="s">
        <v>283</v>
      </c>
      <c r="B330" s="129"/>
      <c r="C330" s="129"/>
      <c r="D330" s="129"/>
      <c r="E330" s="129"/>
      <c r="F330" s="129"/>
      <c r="G330" s="129"/>
      <c r="H330" s="130"/>
      <c r="I330" s="27"/>
      <c r="N330" s="27"/>
    </row>
    <row r="331" spans="1:14" s="28" customFormat="1" ht="15.75" customHeight="1" x14ac:dyDescent="0.35">
      <c r="A331" s="128" t="s">
        <v>269</v>
      </c>
      <c r="B331" s="129"/>
      <c r="C331" s="129"/>
      <c r="D331" s="129"/>
      <c r="E331" s="129"/>
      <c r="F331" s="129"/>
      <c r="G331" s="129"/>
      <c r="H331" s="130"/>
      <c r="I331" s="27"/>
      <c r="N331" s="27"/>
    </row>
    <row r="332" spans="1:14" s="28" customFormat="1" ht="15.75" customHeight="1" x14ac:dyDescent="0.35">
      <c r="A332" s="128" t="s">
        <v>278</v>
      </c>
      <c r="B332" s="129"/>
      <c r="C332" s="129"/>
      <c r="D332" s="129"/>
      <c r="E332" s="129"/>
      <c r="F332" s="129"/>
      <c r="G332" s="129"/>
      <c r="H332" s="130"/>
      <c r="I332" s="27"/>
      <c r="N332" s="27"/>
    </row>
    <row r="333" spans="1:14" s="28" customFormat="1" ht="15.75" customHeight="1" x14ac:dyDescent="0.35">
      <c r="A333" s="128" t="s">
        <v>270</v>
      </c>
      <c r="B333" s="129"/>
      <c r="C333" s="129"/>
      <c r="D333" s="129"/>
      <c r="E333" s="129"/>
      <c r="F333" s="129"/>
      <c r="G333" s="129"/>
      <c r="H333" s="130"/>
      <c r="I333" s="27"/>
      <c r="N333" s="27"/>
    </row>
    <row r="334" spans="1:14" s="28" customFormat="1" ht="15.75" customHeight="1" x14ac:dyDescent="0.35">
      <c r="A334" s="128" t="s">
        <v>287</v>
      </c>
      <c r="B334" s="129"/>
      <c r="C334" s="129"/>
      <c r="D334" s="129"/>
      <c r="E334" s="129"/>
      <c r="F334" s="129"/>
      <c r="G334" s="129"/>
      <c r="H334" s="130"/>
      <c r="I334" s="27"/>
      <c r="N334" s="27"/>
    </row>
    <row r="335" spans="1:14" s="28" customFormat="1" ht="15.75" customHeight="1" x14ac:dyDescent="0.35">
      <c r="A335" s="126">
        <v>30</v>
      </c>
      <c r="B335" s="127"/>
      <c r="C335" s="33" t="s">
        <v>271</v>
      </c>
      <c r="D335" s="48">
        <f>(45.583)*10.764</f>
        <v>490.65541199999996</v>
      </c>
      <c r="E335" s="33">
        <v>0</v>
      </c>
      <c r="F335" s="33">
        <f t="shared" ref="F335:F338" si="31">D335+E335</f>
        <v>490.65541199999996</v>
      </c>
      <c r="G335" s="33">
        <v>0</v>
      </c>
      <c r="H335" s="33">
        <f t="shared" ref="H335:H338" si="32">(D335+E335)*(($H$284)+1)</f>
        <v>760.51588859999993</v>
      </c>
      <c r="I335" s="27">
        <f>3.458*11.5+1.232*1.35+2.125*1.25</f>
        <v>44.086450000000006</v>
      </c>
      <c r="N335" s="27"/>
    </row>
    <row r="336" spans="1:14" s="28" customFormat="1" ht="15.75" customHeight="1" x14ac:dyDescent="0.35">
      <c r="A336" s="126">
        <f t="shared" ref="A336:A338" si="33">A335+1</f>
        <v>31</v>
      </c>
      <c r="B336" s="127"/>
      <c r="C336" s="33" t="s">
        <v>271</v>
      </c>
      <c r="D336" s="48">
        <f>(67.393)*10.764</f>
        <v>725.41825199999994</v>
      </c>
      <c r="E336" s="33">
        <v>0</v>
      </c>
      <c r="F336" s="33">
        <f t="shared" si="31"/>
        <v>725.41825199999994</v>
      </c>
      <c r="G336" s="33">
        <v>0</v>
      </c>
      <c r="H336" s="33">
        <f t="shared" si="32"/>
        <v>1124.3982905999999</v>
      </c>
      <c r="I336" s="27"/>
      <c r="N336" s="27"/>
    </row>
    <row r="337" spans="1:14" s="28" customFormat="1" ht="15.75" customHeight="1" x14ac:dyDescent="0.35">
      <c r="A337" s="126">
        <f t="shared" si="33"/>
        <v>32</v>
      </c>
      <c r="B337" s="127"/>
      <c r="C337" s="33" t="s">
        <v>271</v>
      </c>
      <c r="D337" s="48">
        <f>(41.31)*10.764</f>
        <v>444.66084000000001</v>
      </c>
      <c r="E337" s="33">
        <v>0</v>
      </c>
      <c r="F337" s="33">
        <f t="shared" si="31"/>
        <v>444.66084000000001</v>
      </c>
      <c r="G337" s="33">
        <v>0</v>
      </c>
      <c r="H337" s="33">
        <f t="shared" si="32"/>
        <v>689.22430200000008</v>
      </c>
      <c r="I337" s="27"/>
      <c r="N337" s="27"/>
    </row>
    <row r="338" spans="1:14" s="28" customFormat="1" ht="15.75" customHeight="1" x14ac:dyDescent="0.35">
      <c r="A338" s="126">
        <f t="shared" si="33"/>
        <v>33</v>
      </c>
      <c r="B338" s="127"/>
      <c r="C338" s="33" t="s">
        <v>271</v>
      </c>
      <c r="D338" s="48">
        <v>573.88265999999999</v>
      </c>
      <c r="E338" s="33">
        <v>0</v>
      </c>
      <c r="F338" s="33">
        <f t="shared" si="31"/>
        <v>573.88265999999999</v>
      </c>
      <c r="G338" s="33">
        <v>0</v>
      </c>
      <c r="H338" s="33">
        <f t="shared" si="32"/>
        <v>889.51812300000006</v>
      </c>
      <c r="I338" s="27"/>
      <c r="N338" s="27"/>
    </row>
    <row r="339" spans="1:14" s="28" customFormat="1" ht="15.75" customHeight="1" x14ac:dyDescent="0.35">
      <c r="A339" s="126">
        <v>34</v>
      </c>
      <c r="B339" s="127"/>
      <c r="C339" s="33" t="s">
        <v>271</v>
      </c>
      <c r="D339" s="48">
        <f>(44.794)*10.764</f>
        <v>482.16261599999996</v>
      </c>
      <c r="E339" s="33">
        <v>0</v>
      </c>
      <c r="F339" s="33">
        <f>D339+E339</f>
        <v>482.16261599999996</v>
      </c>
      <c r="G339" s="33">
        <v>0</v>
      </c>
      <c r="H339" s="33">
        <f>(D339+E339)*(($H$284)+1)</f>
        <v>747.35205479999991</v>
      </c>
      <c r="I339" s="27"/>
      <c r="N339" s="27"/>
    </row>
    <row r="340" spans="1:14" s="28" customFormat="1" ht="15.75" customHeight="1" x14ac:dyDescent="0.35">
      <c r="A340" s="126">
        <f t="shared" ref="A340:A343" si="34">A339+1</f>
        <v>35</v>
      </c>
      <c r="B340" s="127"/>
      <c r="C340" s="33" t="s">
        <v>271</v>
      </c>
      <c r="D340" s="48">
        <f>(44.942)*10.764</f>
        <v>483.75568799999996</v>
      </c>
      <c r="E340" s="33">
        <v>0</v>
      </c>
      <c r="F340" s="33">
        <f t="shared" ref="F340:F343" si="35">D340+E340</f>
        <v>483.75568799999996</v>
      </c>
      <c r="G340" s="33">
        <v>0</v>
      </c>
      <c r="H340" s="33">
        <f t="shared" ref="H340:H343" si="36">(D340+E340)*(($H$284)+1)</f>
        <v>749.8213164</v>
      </c>
      <c r="I340" s="27"/>
      <c r="N340" s="27"/>
    </row>
    <row r="341" spans="1:14" s="28" customFormat="1" ht="15.75" customHeight="1" x14ac:dyDescent="0.35">
      <c r="A341" s="126">
        <f t="shared" si="34"/>
        <v>36</v>
      </c>
      <c r="B341" s="127"/>
      <c r="C341" s="33" t="s">
        <v>271</v>
      </c>
      <c r="D341" s="48">
        <f>(51.645)*10.764</f>
        <v>555.90678000000003</v>
      </c>
      <c r="E341" s="33">
        <v>0</v>
      </c>
      <c r="F341" s="33">
        <f t="shared" si="35"/>
        <v>555.90678000000003</v>
      </c>
      <c r="G341" s="33">
        <v>0</v>
      </c>
      <c r="H341" s="33">
        <f t="shared" si="36"/>
        <v>861.65550900000005</v>
      </c>
      <c r="I341" s="27"/>
      <c r="N341" s="27"/>
    </row>
    <row r="342" spans="1:14" s="28" customFormat="1" ht="15.75" customHeight="1" x14ac:dyDescent="0.35">
      <c r="A342" s="126">
        <f t="shared" si="34"/>
        <v>37</v>
      </c>
      <c r="B342" s="127"/>
      <c r="C342" s="33" t="s">
        <v>271</v>
      </c>
      <c r="D342" s="48">
        <f>(39.83)*10.764</f>
        <v>428.73011999999994</v>
      </c>
      <c r="E342" s="33">
        <v>0</v>
      </c>
      <c r="F342" s="33">
        <f t="shared" si="35"/>
        <v>428.73011999999994</v>
      </c>
      <c r="G342" s="33">
        <v>0</v>
      </c>
      <c r="H342" s="33">
        <f t="shared" si="36"/>
        <v>664.53168599999992</v>
      </c>
      <c r="I342" s="27"/>
      <c r="N342" s="27"/>
    </row>
    <row r="343" spans="1:14" s="28" customFormat="1" ht="15.75" customHeight="1" x14ac:dyDescent="0.35">
      <c r="A343" s="126">
        <f t="shared" si="34"/>
        <v>38</v>
      </c>
      <c r="B343" s="127"/>
      <c r="C343" s="33" t="s">
        <v>271</v>
      </c>
      <c r="D343" s="48">
        <f>(65.471)*10.764</f>
        <v>704.72984399999996</v>
      </c>
      <c r="E343" s="33">
        <v>0</v>
      </c>
      <c r="F343" s="33">
        <f t="shared" si="35"/>
        <v>704.72984399999996</v>
      </c>
      <c r="G343" s="33">
        <v>0</v>
      </c>
      <c r="H343" s="33">
        <f t="shared" si="36"/>
        <v>1092.3312581999999</v>
      </c>
      <c r="I343" s="27"/>
      <c r="N343" s="27"/>
    </row>
    <row r="344" spans="1:14" s="28" customFormat="1" ht="15.75" customHeight="1" x14ac:dyDescent="0.35">
      <c r="A344" s="126">
        <v>39</v>
      </c>
      <c r="B344" s="127"/>
      <c r="C344" s="33" t="s">
        <v>271</v>
      </c>
      <c r="D344" s="48">
        <f>(45.958)*10.764</f>
        <v>494.69191199999995</v>
      </c>
      <c r="E344" s="33">
        <v>0</v>
      </c>
      <c r="F344" s="33">
        <f>D344+E344</f>
        <v>494.69191199999995</v>
      </c>
      <c r="G344" s="33">
        <v>0</v>
      </c>
      <c r="H344" s="33">
        <f>(D344+E344)*(($H$284)+1)</f>
        <v>766.77246359999992</v>
      </c>
      <c r="I344" s="27"/>
      <c r="N344" s="27"/>
    </row>
    <row r="345" spans="1:14" s="28" customFormat="1" ht="15.75" customHeight="1" x14ac:dyDescent="0.35">
      <c r="A345" s="128" t="s">
        <v>288</v>
      </c>
      <c r="B345" s="129"/>
      <c r="C345" s="129"/>
      <c r="D345" s="129"/>
      <c r="E345" s="129"/>
      <c r="F345" s="129"/>
      <c r="G345" s="129"/>
      <c r="H345" s="130"/>
      <c r="I345" s="27"/>
      <c r="N345" s="27"/>
    </row>
    <row r="346" spans="1:14" s="28" customFormat="1" ht="15.75" customHeight="1" x14ac:dyDescent="0.35">
      <c r="A346" s="128" t="s">
        <v>269</v>
      </c>
      <c r="B346" s="129"/>
      <c r="C346" s="129"/>
      <c r="D346" s="129"/>
      <c r="E346" s="129"/>
      <c r="F346" s="129"/>
      <c r="G346" s="129"/>
      <c r="H346" s="130"/>
      <c r="I346" s="27"/>
      <c r="N346" s="27"/>
    </row>
    <row r="347" spans="1:14" s="28" customFormat="1" ht="15.75" customHeight="1" x14ac:dyDescent="0.35">
      <c r="A347" s="128" t="s">
        <v>289</v>
      </c>
      <c r="B347" s="129"/>
      <c r="C347" s="129"/>
      <c r="D347" s="129"/>
      <c r="E347" s="129"/>
      <c r="F347" s="129"/>
      <c r="G347" s="129"/>
      <c r="H347" s="130"/>
      <c r="I347" s="27"/>
      <c r="N347" s="27"/>
    </row>
    <row r="348" spans="1:14" s="28" customFormat="1" ht="15.75" customHeight="1" x14ac:dyDescent="0.35">
      <c r="A348" s="128" t="s">
        <v>270</v>
      </c>
      <c r="B348" s="129"/>
      <c r="C348" s="129"/>
      <c r="D348" s="129"/>
      <c r="E348" s="129"/>
      <c r="F348" s="129"/>
      <c r="G348" s="129"/>
      <c r="H348" s="130"/>
      <c r="I348" s="27"/>
      <c r="N348" s="27"/>
    </row>
    <row r="349" spans="1:14" s="28" customFormat="1" ht="15.75" customHeight="1" x14ac:dyDescent="0.35">
      <c r="A349" s="128" t="s">
        <v>290</v>
      </c>
      <c r="B349" s="129"/>
      <c r="C349" s="129"/>
      <c r="D349" s="129"/>
      <c r="E349" s="129"/>
      <c r="F349" s="129"/>
      <c r="G349" s="129"/>
      <c r="H349" s="130"/>
      <c r="I349" s="27"/>
      <c r="N349" s="27"/>
    </row>
    <row r="350" spans="1:14" s="28" customFormat="1" ht="15.75" customHeight="1" x14ac:dyDescent="0.35">
      <c r="A350" s="126">
        <v>40</v>
      </c>
      <c r="B350" s="127"/>
      <c r="C350" s="33" t="s">
        <v>271</v>
      </c>
      <c r="D350" s="48">
        <f>(46.415)*10.764</f>
        <v>499.61105999999995</v>
      </c>
      <c r="E350" s="33">
        <v>0</v>
      </c>
      <c r="F350" s="33">
        <f t="shared" ref="F350:F353" si="37">D350+E350</f>
        <v>499.61105999999995</v>
      </c>
      <c r="G350" s="33">
        <v>0</v>
      </c>
      <c r="H350" s="33">
        <f t="shared" ref="H350:H353" si="38">(D350+E350)*(($H$284)+1)</f>
        <v>774.39714299999991</v>
      </c>
      <c r="I350" s="27"/>
      <c r="N350" s="27"/>
    </row>
    <row r="351" spans="1:14" s="28" customFormat="1" ht="15.75" customHeight="1" x14ac:dyDescent="0.35">
      <c r="A351" s="126">
        <v>41</v>
      </c>
      <c r="B351" s="127"/>
      <c r="C351" s="33" t="s">
        <v>271</v>
      </c>
      <c r="D351" s="48">
        <f>(59.044)*10.764</f>
        <v>635.5496159999999</v>
      </c>
      <c r="E351" s="33">
        <v>0</v>
      </c>
      <c r="F351" s="33">
        <f t="shared" si="37"/>
        <v>635.5496159999999</v>
      </c>
      <c r="G351" s="33">
        <v>0</v>
      </c>
      <c r="H351" s="33">
        <f t="shared" si="38"/>
        <v>985.10190479999983</v>
      </c>
      <c r="I351" s="27"/>
      <c r="N351" s="27"/>
    </row>
    <row r="352" spans="1:14" s="28" customFormat="1" ht="15.75" customHeight="1" x14ac:dyDescent="0.35">
      <c r="A352" s="126">
        <v>42</v>
      </c>
      <c r="B352" s="127"/>
      <c r="C352" s="33" t="s">
        <v>271</v>
      </c>
      <c r="D352" s="48">
        <f>(78.265)*10.764</f>
        <v>842.44445999999994</v>
      </c>
      <c r="E352" s="33">
        <v>0</v>
      </c>
      <c r="F352" s="33">
        <f t="shared" si="37"/>
        <v>842.44445999999994</v>
      </c>
      <c r="G352" s="33">
        <v>0</v>
      </c>
      <c r="H352" s="33">
        <f t="shared" si="38"/>
        <v>1305.7889129999999</v>
      </c>
      <c r="I352" s="27"/>
      <c r="N352" s="27"/>
    </row>
    <row r="353" spans="1:14" s="28" customFormat="1" ht="15.75" customHeight="1" x14ac:dyDescent="0.35">
      <c r="A353" s="126">
        <v>43</v>
      </c>
      <c r="B353" s="127"/>
      <c r="C353" s="33" t="s">
        <v>271</v>
      </c>
      <c r="D353" s="48">
        <f>(48.253)*10.764</f>
        <v>519.39529199999993</v>
      </c>
      <c r="E353" s="33">
        <v>0</v>
      </c>
      <c r="F353" s="33">
        <f t="shared" si="37"/>
        <v>519.39529199999993</v>
      </c>
      <c r="G353" s="33">
        <v>0</v>
      </c>
      <c r="H353" s="33">
        <f t="shared" si="38"/>
        <v>805.06270259999997</v>
      </c>
      <c r="I353" s="27"/>
      <c r="N353" s="27"/>
    </row>
    <row r="354" spans="1:14" s="28" customFormat="1" ht="15.75" customHeight="1" x14ac:dyDescent="0.35">
      <c r="A354" s="126">
        <v>44</v>
      </c>
      <c r="B354" s="127"/>
      <c r="C354" s="33" t="s">
        <v>271</v>
      </c>
      <c r="D354" s="48">
        <f>(48.418)*10.764</f>
        <v>521.17135199999996</v>
      </c>
      <c r="E354" s="33">
        <v>0</v>
      </c>
      <c r="F354" s="33">
        <f>D354+E354</f>
        <v>521.17135199999996</v>
      </c>
      <c r="G354" s="33">
        <v>0</v>
      </c>
      <c r="H354" s="33">
        <f>(D354+E354)*(($H$284)+1)</f>
        <v>807.81559559999994</v>
      </c>
      <c r="I354" s="27"/>
      <c r="N354" s="27"/>
    </row>
    <row r="355" spans="1:14" s="28" customFormat="1" ht="15.75" customHeight="1" x14ac:dyDescent="0.35">
      <c r="A355" s="126">
        <v>45</v>
      </c>
      <c r="B355" s="127"/>
      <c r="C355" s="33" t="s">
        <v>271</v>
      </c>
      <c r="D355" s="48">
        <f>(77.081)*10.764</f>
        <v>829.699884</v>
      </c>
      <c r="E355" s="33">
        <v>0</v>
      </c>
      <c r="F355" s="33">
        <f t="shared" ref="F355:F357" si="39">D355+E355</f>
        <v>829.699884</v>
      </c>
      <c r="G355" s="33">
        <v>0</v>
      </c>
      <c r="H355" s="33">
        <f t="shared" ref="H355:H357" si="40">(D355+E355)*(($H$284)+1)</f>
        <v>1286.0348202</v>
      </c>
      <c r="I355" s="27"/>
      <c r="N355" s="27"/>
    </row>
    <row r="356" spans="1:14" s="28" customFormat="1" ht="15.75" customHeight="1" x14ac:dyDescent="0.35">
      <c r="A356" s="126">
        <v>46</v>
      </c>
      <c r="B356" s="127"/>
      <c r="C356" s="33" t="s">
        <v>271</v>
      </c>
      <c r="D356" s="48">
        <f>(58.787)*10.764</f>
        <v>632.78326799999991</v>
      </c>
      <c r="E356" s="33">
        <v>0</v>
      </c>
      <c r="F356" s="33">
        <f t="shared" si="39"/>
        <v>632.78326799999991</v>
      </c>
      <c r="G356" s="33">
        <v>0</v>
      </c>
      <c r="H356" s="33">
        <f t="shared" si="40"/>
        <v>980.81406539999989</v>
      </c>
      <c r="I356" s="27"/>
      <c r="N356" s="27"/>
    </row>
    <row r="357" spans="1:14" s="28" customFormat="1" ht="15.75" customHeight="1" x14ac:dyDescent="0.35">
      <c r="A357" s="126">
        <v>47</v>
      </c>
      <c r="B357" s="127"/>
      <c r="C357" s="33" t="s">
        <v>271</v>
      </c>
      <c r="D357" s="48">
        <f>(44.768)*10.764</f>
        <v>481.88275199999998</v>
      </c>
      <c r="E357" s="33">
        <v>0</v>
      </c>
      <c r="F357" s="33">
        <f t="shared" si="39"/>
        <v>481.88275199999998</v>
      </c>
      <c r="G357" s="33">
        <v>0</v>
      </c>
      <c r="H357" s="33">
        <f t="shared" si="40"/>
        <v>746.91826560000004</v>
      </c>
      <c r="I357" s="27"/>
      <c r="N357" s="27"/>
    </row>
    <row r="358" spans="1:14" s="28" customFormat="1" ht="15.75" customHeight="1" x14ac:dyDescent="0.35">
      <c r="A358" s="128" t="s">
        <v>295</v>
      </c>
      <c r="B358" s="129"/>
      <c r="C358" s="129"/>
      <c r="D358" s="129"/>
      <c r="E358" s="129"/>
      <c r="F358" s="129"/>
      <c r="G358" s="129"/>
      <c r="H358" s="130"/>
      <c r="I358" s="27"/>
      <c r="N358" s="27"/>
    </row>
    <row r="359" spans="1:14" s="28" customFormat="1" ht="15.75" customHeight="1" x14ac:dyDescent="0.35">
      <c r="A359" s="128" t="s">
        <v>269</v>
      </c>
      <c r="B359" s="129"/>
      <c r="C359" s="129"/>
      <c r="D359" s="129"/>
      <c r="E359" s="129"/>
      <c r="F359" s="129"/>
      <c r="G359" s="129"/>
      <c r="H359" s="130"/>
      <c r="I359" s="27"/>
      <c r="N359" s="27"/>
    </row>
    <row r="360" spans="1:14" s="28" customFormat="1" ht="15.75" customHeight="1" x14ac:dyDescent="0.35">
      <c r="A360" s="128" t="s">
        <v>289</v>
      </c>
      <c r="B360" s="129"/>
      <c r="C360" s="129"/>
      <c r="D360" s="129"/>
      <c r="E360" s="129"/>
      <c r="F360" s="129"/>
      <c r="G360" s="129"/>
      <c r="H360" s="130"/>
      <c r="I360" s="27"/>
      <c r="N360" s="27"/>
    </row>
    <row r="361" spans="1:14" s="28" customFormat="1" ht="15.75" customHeight="1" x14ac:dyDescent="0.35">
      <c r="A361" s="128" t="s">
        <v>270</v>
      </c>
      <c r="B361" s="129"/>
      <c r="C361" s="129"/>
      <c r="D361" s="129"/>
      <c r="E361" s="129"/>
      <c r="F361" s="129"/>
      <c r="G361" s="129"/>
      <c r="H361" s="130"/>
      <c r="I361" s="27"/>
      <c r="N361" s="27"/>
    </row>
    <row r="362" spans="1:14" s="28" customFormat="1" ht="15.75" customHeight="1" x14ac:dyDescent="0.35">
      <c r="A362" s="128" t="s">
        <v>293</v>
      </c>
      <c r="B362" s="129"/>
      <c r="C362" s="129"/>
      <c r="D362" s="129"/>
      <c r="E362" s="129"/>
      <c r="F362" s="129"/>
      <c r="G362" s="129"/>
      <c r="H362" s="130"/>
      <c r="I362" s="27"/>
      <c r="N362" s="27"/>
    </row>
    <row r="363" spans="1:14" s="28" customFormat="1" ht="15.75" customHeight="1" x14ac:dyDescent="0.35">
      <c r="A363" s="126">
        <v>48</v>
      </c>
      <c r="B363" s="127"/>
      <c r="C363" s="33" t="s">
        <v>271</v>
      </c>
      <c r="D363" s="48">
        <f>(55.991)*10.764</f>
        <v>602.68712399999993</v>
      </c>
      <c r="E363" s="33">
        <v>0</v>
      </c>
      <c r="F363" s="33">
        <f t="shared" ref="F363:F366" si="41">D363+E363</f>
        <v>602.68712399999993</v>
      </c>
      <c r="G363" s="33">
        <v>0</v>
      </c>
      <c r="H363" s="33">
        <f t="shared" ref="H363:H366" si="42">(D363+E363)*(($H$284)+1)</f>
        <v>934.1650421999999</v>
      </c>
      <c r="I363" s="27"/>
      <c r="N363" s="27"/>
    </row>
    <row r="364" spans="1:14" s="28" customFormat="1" ht="15.75" customHeight="1" x14ac:dyDescent="0.35">
      <c r="A364" s="126">
        <v>49</v>
      </c>
      <c r="B364" s="127"/>
      <c r="C364" s="33" t="s">
        <v>271</v>
      </c>
      <c r="D364" s="48">
        <f>(60.95)*10.764</f>
        <v>656.06579999999997</v>
      </c>
      <c r="E364" s="33">
        <v>0</v>
      </c>
      <c r="F364" s="33">
        <f t="shared" si="41"/>
        <v>656.06579999999997</v>
      </c>
      <c r="G364" s="33">
        <v>0</v>
      </c>
      <c r="H364" s="33">
        <f t="shared" si="42"/>
        <v>1016.90199</v>
      </c>
      <c r="I364" s="27"/>
      <c r="N364" s="27"/>
    </row>
    <row r="365" spans="1:14" s="28" customFormat="1" ht="15.75" customHeight="1" x14ac:dyDescent="0.35">
      <c r="A365" s="126">
        <v>50</v>
      </c>
      <c r="B365" s="127"/>
      <c r="C365" s="33" t="s">
        <v>271</v>
      </c>
      <c r="D365" s="48">
        <f>(44.189)*10.764</f>
        <v>475.65039599999994</v>
      </c>
      <c r="E365" s="33">
        <v>0</v>
      </c>
      <c r="F365" s="33">
        <f t="shared" si="41"/>
        <v>475.65039599999994</v>
      </c>
      <c r="G365" s="33">
        <v>0</v>
      </c>
      <c r="H365" s="33">
        <f t="shared" si="42"/>
        <v>737.25811379999993</v>
      </c>
      <c r="I365" s="27"/>
      <c r="N365" s="27"/>
    </row>
    <row r="366" spans="1:14" s="28" customFormat="1" ht="15.75" customHeight="1" x14ac:dyDescent="0.35">
      <c r="A366" s="126">
        <v>51</v>
      </c>
      <c r="B366" s="127"/>
      <c r="C366" s="33" t="s">
        <v>271</v>
      </c>
      <c r="D366" s="48">
        <f>(39.366)*10.764</f>
        <v>423.73562399999997</v>
      </c>
      <c r="E366" s="33">
        <v>0</v>
      </c>
      <c r="F366" s="33">
        <f t="shared" si="41"/>
        <v>423.73562399999997</v>
      </c>
      <c r="G366" s="33">
        <v>0</v>
      </c>
      <c r="H366" s="33">
        <f t="shared" si="42"/>
        <v>656.79021720000003</v>
      </c>
      <c r="I366" s="27"/>
      <c r="N366" s="27"/>
    </row>
    <row r="367" spans="1:14" s="28" customFormat="1" ht="15.75" customHeight="1" x14ac:dyDescent="0.35">
      <c r="A367" s="126">
        <v>52</v>
      </c>
      <c r="B367" s="127"/>
      <c r="C367" s="33" t="s">
        <v>271</v>
      </c>
      <c r="D367" s="48">
        <f>(61.792)*10.764</f>
        <v>665.12908800000002</v>
      </c>
      <c r="E367" s="33">
        <v>0</v>
      </c>
      <c r="F367" s="33">
        <f>D367+E367</f>
        <v>665.12908800000002</v>
      </c>
      <c r="G367" s="33">
        <v>0</v>
      </c>
      <c r="H367" s="33">
        <f>(D367+E367)*(($H$284)+1)</f>
        <v>1030.9500864000001</v>
      </c>
      <c r="I367" s="27"/>
      <c r="N367" s="27"/>
    </row>
    <row r="368" spans="1:14" s="28" customFormat="1" ht="15.75" customHeight="1" x14ac:dyDescent="0.35">
      <c r="A368" s="126">
        <v>53</v>
      </c>
      <c r="B368" s="127"/>
      <c r="C368" s="33" t="s">
        <v>271</v>
      </c>
      <c r="D368" s="48">
        <f>(65.49)*10.764</f>
        <v>704.93435999999986</v>
      </c>
      <c r="E368" s="33">
        <v>0</v>
      </c>
      <c r="F368" s="33">
        <f t="shared" ref="F368:F373" si="43">D368+E368</f>
        <v>704.93435999999986</v>
      </c>
      <c r="G368" s="33">
        <v>0</v>
      </c>
      <c r="H368" s="33">
        <f t="shared" ref="H368:H373" si="44">(D368+E368)*(($H$284)+1)</f>
        <v>1092.6482579999997</v>
      </c>
      <c r="I368" s="27"/>
      <c r="N368" s="27"/>
    </row>
    <row r="369" spans="1:14" s="28" customFormat="1" ht="15.75" customHeight="1" x14ac:dyDescent="0.35">
      <c r="A369" s="126">
        <v>54</v>
      </c>
      <c r="B369" s="127"/>
      <c r="C369" s="33" t="s">
        <v>271</v>
      </c>
      <c r="D369" s="48">
        <f>(91.11)*10.764</f>
        <v>980.70803999999998</v>
      </c>
      <c r="E369" s="33">
        <v>0</v>
      </c>
      <c r="F369" s="33">
        <f t="shared" si="43"/>
        <v>980.70803999999998</v>
      </c>
      <c r="G369" s="33">
        <v>0</v>
      </c>
      <c r="H369" s="33">
        <f t="shared" si="44"/>
        <v>1520.097462</v>
      </c>
      <c r="I369" s="27"/>
      <c r="N369" s="27"/>
    </row>
    <row r="370" spans="1:14" s="28" customFormat="1" ht="15.75" customHeight="1" x14ac:dyDescent="0.35">
      <c r="A370" s="126">
        <v>55</v>
      </c>
      <c r="B370" s="127"/>
      <c r="C370" s="33" t="s">
        <v>271</v>
      </c>
      <c r="D370" s="48">
        <f>(115.811)*10.764</f>
        <v>1246.589604</v>
      </c>
      <c r="E370" s="33">
        <v>0</v>
      </c>
      <c r="F370" s="33">
        <f t="shared" si="43"/>
        <v>1246.589604</v>
      </c>
      <c r="G370" s="33">
        <v>0</v>
      </c>
      <c r="H370" s="33">
        <f t="shared" si="44"/>
        <v>1932.2138862000002</v>
      </c>
      <c r="I370" s="27"/>
      <c r="N370" s="27"/>
    </row>
    <row r="371" spans="1:14" s="28" customFormat="1" ht="15.75" customHeight="1" x14ac:dyDescent="0.35">
      <c r="A371" s="126">
        <v>56</v>
      </c>
      <c r="B371" s="127"/>
      <c r="C371" s="33" t="s">
        <v>271</v>
      </c>
      <c r="D371" s="48">
        <f>(63.729)*10.764</f>
        <v>685.97895599999993</v>
      </c>
      <c r="E371" s="33">
        <v>0</v>
      </c>
      <c r="F371" s="33">
        <f t="shared" si="43"/>
        <v>685.97895599999993</v>
      </c>
      <c r="G371" s="33">
        <v>0</v>
      </c>
      <c r="H371" s="33">
        <f t="shared" si="44"/>
        <v>1063.2673817999998</v>
      </c>
      <c r="I371" s="27"/>
      <c r="N371" s="27"/>
    </row>
    <row r="372" spans="1:14" s="28" customFormat="1" ht="15.75" customHeight="1" x14ac:dyDescent="0.35">
      <c r="A372" s="126">
        <v>57</v>
      </c>
      <c r="B372" s="127"/>
      <c r="C372" s="33" t="s">
        <v>271</v>
      </c>
      <c r="D372" s="48">
        <f>(47.265)*10.764</f>
        <v>508.76045999999997</v>
      </c>
      <c r="E372" s="33">
        <v>0</v>
      </c>
      <c r="F372" s="33">
        <f t="shared" si="43"/>
        <v>508.76045999999997</v>
      </c>
      <c r="G372" s="33">
        <v>0</v>
      </c>
      <c r="H372" s="33">
        <f t="shared" si="44"/>
        <v>788.57871299999999</v>
      </c>
      <c r="I372" s="27"/>
      <c r="N372" s="27"/>
    </row>
    <row r="373" spans="1:14" s="28" customFormat="1" ht="15.75" customHeight="1" x14ac:dyDescent="0.35">
      <c r="A373" s="126">
        <v>58</v>
      </c>
      <c r="B373" s="127"/>
      <c r="C373" s="33" t="s">
        <v>271</v>
      </c>
      <c r="D373" s="48">
        <f>(49.001)*10.764</f>
        <v>527.44676399999992</v>
      </c>
      <c r="E373" s="33">
        <v>0</v>
      </c>
      <c r="F373" s="33">
        <f t="shared" si="43"/>
        <v>527.44676399999992</v>
      </c>
      <c r="G373" s="33">
        <v>0</v>
      </c>
      <c r="H373" s="33">
        <f t="shared" si="44"/>
        <v>817.54248419999988</v>
      </c>
      <c r="I373" s="27"/>
      <c r="N373" s="27"/>
    </row>
    <row r="374" spans="1:14" s="28" customFormat="1" ht="15.75" customHeight="1" x14ac:dyDescent="0.35">
      <c r="A374" s="126">
        <v>59</v>
      </c>
      <c r="B374" s="127"/>
      <c r="C374" s="33" t="s">
        <v>271</v>
      </c>
      <c r="D374" s="48">
        <f>(47.793)*10.764</f>
        <v>514.44385199999999</v>
      </c>
      <c r="E374" s="33">
        <v>0</v>
      </c>
      <c r="F374" s="33">
        <f>D374+E374</f>
        <v>514.44385199999999</v>
      </c>
      <c r="G374" s="33">
        <v>0</v>
      </c>
      <c r="H374" s="33">
        <f>(D374+E374)*(($H$284)+1)</f>
        <v>797.38797060000002</v>
      </c>
      <c r="I374" s="27"/>
      <c r="N374" s="27"/>
    </row>
    <row r="375" spans="1:14" s="28" customFormat="1" ht="15.75" customHeight="1" x14ac:dyDescent="0.35">
      <c r="A375" s="126">
        <v>60</v>
      </c>
      <c r="B375" s="127"/>
      <c r="C375" s="33" t="s">
        <v>271</v>
      </c>
      <c r="D375" s="48">
        <f>(50.6)*10.764</f>
        <v>544.65840000000003</v>
      </c>
      <c r="E375" s="33">
        <v>0</v>
      </c>
      <c r="F375" s="33">
        <f t="shared" ref="F375:F377" si="45">D375+E375</f>
        <v>544.65840000000003</v>
      </c>
      <c r="G375" s="33">
        <v>0</v>
      </c>
      <c r="H375" s="33">
        <f t="shared" ref="H375:H377" si="46">(D375+E375)*(($H$284)+1)</f>
        <v>844.22052000000008</v>
      </c>
      <c r="I375" s="27"/>
      <c r="N375" s="27"/>
    </row>
    <row r="376" spans="1:14" s="28" customFormat="1" ht="15.75" customHeight="1" x14ac:dyDescent="0.35">
      <c r="A376" s="126">
        <v>61</v>
      </c>
      <c r="B376" s="127"/>
      <c r="C376" s="33" t="s">
        <v>271</v>
      </c>
      <c r="D376" s="48">
        <f>(80.508)*10.764</f>
        <v>866.58811199999991</v>
      </c>
      <c r="E376" s="33">
        <v>0</v>
      </c>
      <c r="F376" s="33">
        <f t="shared" si="45"/>
        <v>866.58811199999991</v>
      </c>
      <c r="G376" s="33">
        <v>0</v>
      </c>
      <c r="H376" s="33">
        <f t="shared" si="46"/>
        <v>1343.2115735999998</v>
      </c>
      <c r="I376" s="27"/>
      <c r="N376" s="27"/>
    </row>
    <row r="377" spans="1:14" s="28" customFormat="1" ht="15.75" customHeight="1" x14ac:dyDescent="0.35">
      <c r="A377" s="126">
        <v>62</v>
      </c>
      <c r="B377" s="127"/>
      <c r="C377" s="33" t="s">
        <v>271</v>
      </c>
      <c r="D377" s="48">
        <f>(62.449)*10.764</f>
        <v>672.20103599999993</v>
      </c>
      <c r="E377" s="33">
        <v>0</v>
      </c>
      <c r="F377" s="33">
        <f t="shared" si="45"/>
        <v>672.20103599999993</v>
      </c>
      <c r="G377" s="33">
        <v>0</v>
      </c>
      <c r="H377" s="33">
        <f t="shared" si="46"/>
        <v>1041.9116058</v>
      </c>
      <c r="I377" s="27"/>
      <c r="N377" s="27"/>
    </row>
    <row r="378" spans="1:14" s="28" customFormat="1" ht="15.75" customHeight="1" x14ac:dyDescent="0.35">
      <c r="A378" s="126">
        <v>63</v>
      </c>
      <c r="B378" s="127"/>
      <c r="C378" s="33" t="s">
        <v>271</v>
      </c>
      <c r="D378" s="48">
        <f>(49.226)*10.764</f>
        <v>529.86866399999997</v>
      </c>
      <c r="E378" s="33">
        <v>0</v>
      </c>
      <c r="F378" s="33">
        <f t="shared" ref="F378" si="47">D378+E378</f>
        <v>529.86866399999997</v>
      </c>
      <c r="G378" s="33">
        <v>0</v>
      </c>
      <c r="H378" s="33">
        <f t="shared" ref="H378" si="48">(D378+E378)*(($H$284)+1)</f>
        <v>821.29642919999992</v>
      </c>
      <c r="I378" s="27"/>
      <c r="N378" s="27"/>
    </row>
    <row r="379" spans="1:14" s="28" customFormat="1" ht="15.75" customHeight="1" x14ac:dyDescent="0.35">
      <c r="A379" s="128" t="s">
        <v>296</v>
      </c>
      <c r="B379" s="129"/>
      <c r="C379" s="129"/>
      <c r="D379" s="129"/>
      <c r="E379" s="129"/>
      <c r="F379" s="129"/>
      <c r="G379" s="129"/>
      <c r="H379" s="130"/>
      <c r="I379" s="27"/>
      <c r="N379" s="27"/>
    </row>
    <row r="380" spans="1:14" s="28" customFormat="1" ht="15.75" customHeight="1" x14ac:dyDescent="0.35">
      <c r="A380" s="128" t="s">
        <v>305</v>
      </c>
      <c r="B380" s="129"/>
      <c r="C380" s="129"/>
      <c r="D380" s="129"/>
      <c r="E380" s="129"/>
      <c r="F380" s="129"/>
      <c r="G380" s="129"/>
      <c r="H380" s="130"/>
      <c r="I380" s="27"/>
      <c r="N380" s="27"/>
    </row>
    <row r="381" spans="1:14" s="28" customFormat="1" ht="15.75" customHeight="1" x14ac:dyDescent="0.35">
      <c r="A381" s="128" t="s">
        <v>297</v>
      </c>
      <c r="B381" s="129"/>
      <c r="C381" s="129"/>
      <c r="D381" s="129"/>
      <c r="E381" s="129"/>
      <c r="F381" s="129"/>
      <c r="G381" s="129"/>
      <c r="H381" s="130"/>
      <c r="I381" s="27"/>
      <c r="N381" s="27"/>
    </row>
    <row r="382" spans="1:14" s="28" customFormat="1" ht="15.75" customHeight="1" x14ac:dyDescent="0.35">
      <c r="A382" s="128" t="s">
        <v>269</v>
      </c>
      <c r="B382" s="129"/>
      <c r="C382" s="129"/>
      <c r="D382" s="129"/>
      <c r="E382" s="129"/>
      <c r="F382" s="129"/>
      <c r="G382" s="129"/>
      <c r="H382" s="130"/>
      <c r="I382" s="27"/>
      <c r="N382" s="27"/>
    </row>
    <row r="383" spans="1:14" s="28" customFormat="1" ht="15.75" customHeight="1" x14ac:dyDescent="0.35">
      <c r="A383" s="128" t="s">
        <v>298</v>
      </c>
      <c r="B383" s="129"/>
      <c r="C383" s="129"/>
      <c r="D383" s="129"/>
      <c r="E383" s="129"/>
      <c r="F383" s="129"/>
      <c r="G383" s="129"/>
      <c r="H383" s="130"/>
      <c r="I383" s="27"/>
      <c r="N383" s="27"/>
    </row>
    <row r="384" spans="1:14" s="28" customFormat="1" ht="15.75" customHeight="1" x14ac:dyDescent="0.35">
      <c r="A384" s="128" t="s">
        <v>270</v>
      </c>
      <c r="B384" s="129"/>
      <c r="C384" s="129"/>
      <c r="D384" s="129"/>
      <c r="E384" s="129"/>
      <c r="F384" s="129"/>
      <c r="G384" s="129"/>
      <c r="H384" s="130"/>
      <c r="I384" s="27"/>
      <c r="N384" s="27"/>
    </row>
    <row r="385" spans="1:14" s="28" customFormat="1" ht="15.75" customHeight="1" x14ac:dyDescent="0.35">
      <c r="A385" s="128" t="s">
        <v>306</v>
      </c>
      <c r="B385" s="129"/>
      <c r="C385" s="129"/>
      <c r="D385" s="129"/>
      <c r="E385" s="129"/>
      <c r="F385" s="129"/>
      <c r="G385" s="129"/>
      <c r="H385" s="130"/>
      <c r="I385" s="27"/>
      <c r="N385" s="27"/>
    </row>
    <row r="386" spans="1:14" s="28" customFormat="1" x14ac:dyDescent="0.35">
      <c r="A386" s="126">
        <v>64</v>
      </c>
      <c r="B386" s="127"/>
      <c r="C386" s="33" t="s">
        <v>271</v>
      </c>
      <c r="D386" s="48">
        <f>(46.961)*10.764</f>
        <v>505.48820399999994</v>
      </c>
      <c r="E386" s="33">
        <v>0</v>
      </c>
      <c r="F386" s="33">
        <f t="shared" ref="F386:F389" si="49">D386+E386</f>
        <v>505.48820399999994</v>
      </c>
      <c r="G386" s="33">
        <v>0</v>
      </c>
      <c r="H386" s="33">
        <f t="shared" ref="H386:H389" si="50">(D386+E386)*(($H$284)+1)</f>
        <v>783.50671619999991</v>
      </c>
      <c r="I386" s="27">
        <f>4.08*10.146+1.84*1.365+2.123*1.25</f>
        <v>46.561030000000009</v>
      </c>
      <c r="N386" s="27"/>
    </row>
    <row r="387" spans="1:14" s="28" customFormat="1" x14ac:dyDescent="0.35">
      <c r="A387" s="126">
        <v>65</v>
      </c>
      <c r="B387" s="127"/>
      <c r="C387" s="33" t="s">
        <v>271</v>
      </c>
      <c r="D387" s="48">
        <f>(34.703)*10.764</f>
        <v>373.543092</v>
      </c>
      <c r="E387" s="33">
        <v>0</v>
      </c>
      <c r="F387" s="33">
        <f t="shared" si="49"/>
        <v>373.543092</v>
      </c>
      <c r="G387" s="33">
        <v>0</v>
      </c>
      <c r="H387" s="33">
        <f t="shared" si="50"/>
        <v>578.99179260000005</v>
      </c>
      <c r="I387" s="27"/>
      <c r="N387" s="27"/>
    </row>
    <row r="388" spans="1:14" s="28" customFormat="1" x14ac:dyDescent="0.35">
      <c r="A388" s="126">
        <v>66</v>
      </c>
      <c r="B388" s="127"/>
      <c r="C388" s="33" t="s">
        <v>271</v>
      </c>
      <c r="D388" s="48">
        <f>(42.011)*10.764</f>
        <v>452.20640400000002</v>
      </c>
      <c r="E388" s="33">
        <v>0</v>
      </c>
      <c r="F388" s="33">
        <f t="shared" si="49"/>
        <v>452.20640400000002</v>
      </c>
      <c r="G388" s="33">
        <v>0</v>
      </c>
      <c r="H388" s="33">
        <f t="shared" si="50"/>
        <v>700.91992620000008</v>
      </c>
      <c r="I388" s="27"/>
      <c r="N388" s="27"/>
    </row>
    <row r="389" spans="1:14" s="28" customFormat="1" x14ac:dyDescent="0.35">
      <c r="A389" s="126">
        <v>67</v>
      </c>
      <c r="B389" s="127"/>
      <c r="C389" s="33" t="s">
        <v>271</v>
      </c>
      <c r="D389" s="48">
        <f>(32.805)*10.764</f>
        <v>353.11301999999995</v>
      </c>
      <c r="E389" s="33">
        <v>0</v>
      </c>
      <c r="F389" s="33">
        <f t="shared" si="49"/>
        <v>353.11301999999995</v>
      </c>
      <c r="G389" s="33">
        <v>0</v>
      </c>
      <c r="H389" s="33">
        <f t="shared" si="50"/>
        <v>547.32518099999993</v>
      </c>
      <c r="I389" s="27"/>
      <c r="N389" s="27"/>
    </row>
    <row r="390" spans="1:14" s="28" customFormat="1" x14ac:dyDescent="0.35">
      <c r="A390" s="126">
        <v>68</v>
      </c>
      <c r="B390" s="127"/>
      <c r="C390" s="33" t="s">
        <v>271</v>
      </c>
      <c r="D390" s="48">
        <f>(32.805)*10.764</f>
        <v>353.11301999999995</v>
      </c>
      <c r="E390" s="33">
        <v>0</v>
      </c>
      <c r="F390" s="33">
        <f>D390+E390</f>
        <v>353.11301999999995</v>
      </c>
      <c r="G390" s="33">
        <v>0</v>
      </c>
      <c r="H390" s="33">
        <f>(D390+E390)*(($H$284)+1)</f>
        <v>547.32518099999993</v>
      </c>
      <c r="I390" s="27"/>
      <c r="N390" s="27"/>
    </row>
    <row r="391" spans="1:14" s="28" customFormat="1" x14ac:dyDescent="0.35">
      <c r="A391" s="126">
        <v>69</v>
      </c>
      <c r="B391" s="127"/>
      <c r="C391" s="33" t="s">
        <v>271</v>
      </c>
      <c r="D391" s="48">
        <f>(42.011)*10.764</f>
        <v>452.20640400000002</v>
      </c>
      <c r="E391" s="33">
        <v>0</v>
      </c>
      <c r="F391" s="33">
        <f t="shared" ref="F391:F393" si="51">D391+E391</f>
        <v>452.20640400000002</v>
      </c>
      <c r="G391" s="33">
        <v>0</v>
      </c>
      <c r="H391" s="33">
        <f t="shared" ref="H391:H393" si="52">(D391+E391)*(($H$284)+1)</f>
        <v>700.91992620000008</v>
      </c>
      <c r="I391" s="27"/>
      <c r="N391" s="27"/>
    </row>
    <row r="392" spans="1:14" s="28" customFormat="1" x14ac:dyDescent="0.35">
      <c r="A392" s="126">
        <v>70</v>
      </c>
      <c r="B392" s="127"/>
      <c r="C392" s="33" t="s">
        <v>271</v>
      </c>
      <c r="D392" s="48">
        <f>(34.703)*10.764</f>
        <v>373.543092</v>
      </c>
      <c r="E392" s="33">
        <v>0</v>
      </c>
      <c r="F392" s="33">
        <f t="shared" si="51"/>
        <v>373.543092</v>
      </c>
      <c r="G392" s="33">
        <v>0</v>
      </c>
      <c r="H392" s="33">
        <f t="shared" si="52"/>
        <v>578.99179260000005</v>
      </c>
      <c r="I392" s="27"/>
      <c r="N392" s="27"/>
    </row>
    <row r="393" spans="1:14" s="28" customFormat="1" x14ac:dyDescent="0.35">
      <c r="A393" s="126">
        <v>71</v>
      </c>
      <c r="B393" s="127"/>
      <c r="C393" s="33" t="s">
        <v>271</v>
      </c>
      <c r="D393" s="48">
        <f>(46.961)*10.764</f>
        <v>505.48820399999994</v>
      </c>
      <c r="E393" s="33">
        <v>0</v>
      </c>
      <c r="F393" s="33">
        <f t="shared" si="51"/>
        <v>505.48820399999994</v>
      </c>
      <c r="G393" s="33">
        <v>0</v>
      </c>
      <c r="H393" s="33">
        <f t="shared" si="52"/>
        <v>783.50671619999991</v>
      </c>
      <c r="I393" s="27"/>
      <c r="N393" s="27"/>
    </row>
    <row r="394" spans="1:14" s="28" customFormat="1" x14ac:dyDescent="0.35">
      <c r="A394" s="128" t="s">
        <v>304</v>
      </c>
      <c r="B394" s="129"/>
      <c r="C394" s="129"/>
      <c r="D394" s="129"/>
      <c r="E394" s="129"/>
      <c r="F394" s="129"/>
      <c r="G394" s="129"/>
      <c r="H394" s="130"/>
      <c r="I394" s="27"/>
      <c r="N394" s="27"/>
    </row>
    <row r="395" spans="1:14" s="28" customFormat="1" x14ac:dyDescent="0.35">
      <c r="A395" s="128" t="s">
        <v>269</v>
      </c>
      <c r="B395" s="129"/>
      <c r="C395" s="129"/>
      <c r="D395" s="129"/>
      <c r="E395" s="129"/>
      <c r="F395" s="129"/>
      <c r="G395" s="129"/>
      <c r="H395" s="130"/>
      <c r="I395" s="27"/>
      <c r="N395" s="27"/>
    </row>
    <row r="396" spans="1:14" s="28" customFormat="1" x14ac:dyDescent="0.35">
      <c r="A396" s="128" t="s">
        <v>298</v>
      </c>
      <c r="B396" s="129"/>
      <c r="C396" s="129"/>
      <c r="D396" s="129"/>
      <c r="E396" s="129"/>
      <c r="F396" s="129"/>
      <c r="G396" s="129"/>
      <c r="H396" s="130"/>
      <c r="I396" s="27"/>
      <c r="N396" s="27"/>
    </row>
    <row r="397" spans="1:14" s="28" customFormat="1" x14ac:dyDescent="0.35">
      <c r="A397" s="128" t="s">
        <v>270</v>
      </c>
      <c r="B397" s="129"/>
      <c r="C397" s="129"/>
      <c r="D397" s="129"/>
      <c r="E397" s="129"/>
      <c r="F397" s="129"/>
      <c r="G397" s="129"/>
      <c r="H397" s="130"/>
      <c r="I397" s="27"/>
      <c r="N397" s="27"/>
    </row>
    <row r="398" spans="1:14" s="28" customFormat="1" x14ac:dyDescent="0.35">
      <c r="A398" s="128" t="s">
        <v>307</v>
      </c>
      <c r="B398" s="129"/>
      <c r="C398" s="129"/>
      <c r="D398" s="129"/>
      <c r="E398" s="129"/>
      <c r="F398" s="129"/>
      <c r="G398" s="129"/>
      <c r="H398" s="130"/>
      <c r="I398" s="27"/>
      <c r="N398" s="27"/>
    </row>
    <row r="399" spans="1:14" s="28" customFormat="1" x14ac:dyDescent="0.35">
      <c r="A399" s="126">
        <v>72</v>
      </c>
      <c r="B399" s="127"/>
      <c r="C399" s="33" t="s">
        <v>271</v>
      </c>
      <c r="D399" s="48">
        <f>(46.961)*10.764</f>
        <v>505.48820399999994</v>
      </c>
      <c r="E399" s="33">
        <v>0</v>
      </c>
      <c r="F399" s="33">
        <f t="shared" ref="F399:F402" si="53">D399+E399</f>
        <v>505.48820399999994</v>
      </c>
      <c r="G399" s="33">
        <v>0</v>
      </c>
      <c r="H399" s="33">
        <f t="shared" ref="H399:H402" si="54">(D399+E399)*(($H$284)+1)</f>
        <v>783.50671619999991</v>
      </c>
      <c r="I399" s="27">
        <f>4.08*10.145+1.84*1.365+2.12*1.25</f>
        <v>46.553199999999997</v>
      </c>
      <c r="N399" s="27"/>
    </row>
    <row r="400" spans="1:14" s="28" customFormat="1" x14ac:dyDescent="0.35">
      <c r="A400" s="126">
        <v>73</v>
      </c>
      <c r="B400" s="127"/>
      <c r="C400" s="33" t="s">
        <v>271</v>
      </c>
      <c r="D400" s="48">
        <f>(34.703)*10.764</f>
        <v>373.543092</v>
      </c>
      <c r="E400" s="33">
        <v>0</v>
      </c>
      <c r="F400" s="33">
        <f t="shared" si="53"/>
        <v>373.543092</v>
      </c>
      <c r="G400" s="33">
        <v>0</v>
      </c>
      <c r="H400" s="33">
        <f t="shared" si="54"/>
        <v>578.99179260000005</v>
      </c>
      <c r="I400" s="27"/>
      <c r="N400" s="27"/>
    </row>
    <row r="401" spans="1:14" s="28" customFormat="1" x14ac:dyDescent="0.35">
      <c r="A401" s="126">
        <v>74</v>
      </c>
      <c r="B401" s="127"/>
      <c r="C401" s="33" t="s">
        <v>271</v>
      </c>
      <c r="D401" s="48">
        <f>(42.011)*10.764</f>
        <v>452.20640400000002</v>
      </c>
      <c r="E401" s="33">
        <v>0</v>
      </c>
      <c r="F401" s="33">
        <f t="shared" si="53"/>
        <v>452.20640400000002</v>
      </c>
      <c r="G401" s="33">
        <v>0</v>
      </c>
      <c r="H401" s="33">
        <f t="shared" si="54"/>
        <v>700.91992620000008</v>
      </c>
      <c r="I401" s="27"/>
      <c r="N401" s="27"/>
    </row>
    <row r="402" spans="1:14" s="28" customFormat="1" x14ac:dyDescent="0.35">
      <c r="A402" s="126">
        <v>75</v>
      </c>
      <c r="B402" s="127"/>
      <c r="C402" s="33" t="s">
        <v>271</v>
      </c>
      <c r="D402" s="48">
        <f>(32.805)*10.764</f>
        <v>353.11301999999995</v>
      </c>
      <c r="E402" s="33">
        <v>0</v>
      </c>
      <c r="F402" s="33">
        <f t="shared" si="53"/>
        <v>353.11301999999995</v>
      </c>
      <c r="G402" s="33">
        <v>0</v>
      </c>
      <c r="H402" s="33">
        <f t="shared" si="54"/>
        <v>547.32518099999993</v>
      </c>
      <c r="I402" s="27"/>
      <c r="N402" s="27"/>
    </row>
    <row r="403" spans="1:14" s="28" customFormat="1" x14ac:dyDescent="0.35">
      <c r="A403" s="126">
        <v>76</v>
      </c>
      <c r="B403" s="127"/>
      <c r="C403" s="33" t="s">
        <v>271</v>
      </c>
      <c r="D403" s="48">
        <f>(32.805)*10.764</f>
        <v>353.11301999999995</v>
      </c>
      <c r="E403" s="33">
        <v>0</v>
      </c>
      <c r="F403" s="33">
        <f>D403+E403</f>
        <v>353.11301999999995</v>
      </c>
      <c r="G403" s="33">
        <v>0</v>
      </c>
      <c r="H403" s="33">
        <f>(D403+E403)*(($H$284)+1)</f>
        <v>547.32518099999993</v>
      </c>
      <c r="I403" s="27"/>
      <c r="N403" s="27"/>
    </row>
    <row r="404" spans="1:14" s="28" customFormat="1" x14ac:dyDescent="0.35">
      <c r="A404" s="126">
        <v>77</v>
      </c>
      <c r="B404" s="127"/>
      <c r="C404" s="33" t="s">
        <v>271</v>
      </c>
      <c r="D404" s="48">
        <f>(42.011)*10.764</f>
        <v>452.20640400000002</v>
      </c>
      <c r="E404" s="33">
        <v>0</v>
      </c>
      <c r="F404" s="33">
        <f t="shared" ref="F404:F406" si="55">D404+E404</f>
        <v>452.20640400000002</v>
      </c>
      <c r="G404" s="33">
        <v>0</v>
      </c>
      <c r="H404" s="33">
        <f t="shared" ref="H404:H406" si="56">(D404+E404)*(($H$284)+1)</f>
        <v>700.91992620000008</v>
      </c>
      <c r="I404" s="27"/>
      <c r="N404" s="27"/>
    </row>
    <row r="405" spans="1:14" s="28" customFormat="1" x14ac:dyDescent="0.35">
      <c r="A405" s="126">
        <v>78</v>
      </c>
      <c r="B405" s="127"/>
      <c r="C405" s="33" t="s">
        <v>271</v>
      </c>
      <c r="D405" s="48">
        <f>(34.703)*10.764</f>
        <v>373.543092</v>
      </c>
      <c r="E405" s="33">
        <v>0</v>
      </c>
      <c r="F405" s="33">
        <f t="shared" si="55"/>
        <v>373.543092</v>
      </c>
      <c r="G405" s="33">
        <v>0</v>
      </c>
      <c r="H405" s="33">
        <f t="shared" si="56"/>
        <v>578.99179260000005</v>
      </c>
      <c r="I405" s="27"/>
      <c r="N405" s="27"/>
    </row>
    <row r="406" spans="1:14" s="28" customFormat="1" x14ac:dyDescent="0.35">
      <c r="A406" s="126">
        <v>79</v>
      </c>
      <c r="B406" s="127"/>
      <c r="C406" s="33" t="s">
        <v>271</v>
      </c>
      <c r="D406" s="48">
        <f>(46.961)*10.764</f>
        <v>505.48820399999994</v>
      </c>
      <c r="E406" s="33">
        <v>0</v>
      </c>
      <c r="F406" s="33">
        <f t="shared" si="55"/>
        <v>505.48820399999994</v>
      </c>
      <c r="G406" s="33">
        <v>0</v>
      </c>
      <c r="H406" s="33">
        <f t="shared" si="56"/>
        <v>783.50671619999991</v>
      </c>
      <c r="I406" s="27"/>
      <c r="N406" s="27"/>
    </row>
    <row r="407" spans="1:14" s="28" customFormat="1" x14ac:dyDescent="0.35">
      <c r="A407" s="128" t="s">
        <v>308</v>
      </c>
      <c r="B407" s="129"/>
      <c r="C407" s="129"/>
      <c r="D407" s="129"/>
      <c r="E407" s="129"/>
      <c r="F407" s="129"/>
      <c r="G407" s="129"/>
      <c r="H407" s="130"/>
      <c r="I407" s="27"/>
      <c r="N407" s="27"/>
    </row>
    <row r="408" spans="1:14" s="28" customFormat="1" ht="15.75" customHeight="1" x14ac:dyDescent="0.35">
      <c r="A408" s="128" t="s">
        <v>269</v>
      </c>
      <c r="B408" s="129"/>
      <c r="C408" s="129"/>
      <c r="D408" s="129"/>
      <c r="E408" s="129"/>
      <c r="F408" s="129"/>
      <c r="G408" s="129"/>
      <c r="H408" s="130"/>
      <c r="I408" s="27"/>
      <c r="N408" s="27"/>
    </row>
    <row r="409" spans="1:14" s="28" customFormat="1" ht="15.75" customHeight="1" x14ac:dyDescent="0.35">
      <c r="A409" s="128" t="s">
        <v>298</v>
      </c>
      <c r="B409" s="129"/>
      <c r="C409" s="129"/>
      <c r="D409" s="129"/>
      <c r="E409" s="129"/>
      <c r="F409" s="129"/>
      <c r="G409" s="129"/>
      <c r="H409" s="130"/>
      <c r="I409" s="27"/>
      <c r="N409" s="27"/>
    </row>
    <row r="410" spans="1:14" s="28" customFormat="1" ht="15.75" customHeight="1" x14ac:dyDescent="0.35">
      <c r="A410" s="128" t="s">
        <v>270</v>
      </c>
      <c r="B410" s="129"/>
      <c r="C410" s="129"/>
      <c r="D410" s="129"/>
      <c r="E410" s="129"/>
      <c r="F410" s="129"/>
      <c r="G410" s="129"/>
      <c r="H410" s="130"/>
      <c r="I410" s="27"/>
      <c r="N410" s="27"/>
    </row>
    <row r="411" spans="1:14" s="28" customFormat="1" ht="15.75" customHeight="1" x14ac:dyDescent="0.35">
      <c r="A411" s="128" t="s">
        <v>306</v>
      </c>
      <c r="B411" s="129"/>
      <c r="C411" s="129"/>
      <c r="D411" s="129"/>
      <c r="E411" s="129"/>
      <c r="F411" s="129"/>
      <c r="G411" s="129"/>
      <c r="H411" s="130"/>
      <c r="I411" s="27"/>
      <c r="N411" s="27"/>
    </row>
    <row r="412" spans="1:14" s="28" customFormat="1" ht="15.75" customHeight="1" x14ac:dyDescent="0.35">
      <c r="A412" s="126">
        <v>80</v>
      </c>
      <c r="B412" s="127"/>
      <c r="C412" s="33" t="s">
        <v>271</v>
      </c>
      <c r="D412" s="48">
        <f>(46.961)*10.764</f>
        <v>505.48820399999994</v>
      </c>
      <c r="E412" s="33">
        <v>0</v>
      </c>
      <c r="F412" s="33">
        <f t="shared" ref="F412:F415" si="57">D412+E412</f>
        <v>505.48820399999994</v>
      </c>
      <c r="G412" s="33">
        <v>0</v>
      </c>
      <c r="H412" s="33">
        <f t="shared" ref="H412:H415" si="58">(D412+E412)*(($H$284)+1)</f>
        <v>783.50671619999991</v>
      </c>
      <c r="I412" s="27"/>
      <c r="N412" s="27"/>
    </row>
    <row r="413" spans="1:14" s="28" customFormat="1" ht="15.75" customHeight="1" x14ac:dyDescent="0.35">
      <c r="A413" s="126">
        <v>81</v>
      </c>
      <c r="B413" s="127"/>
      <c r="C413" s="33" t="s">
        <v>271</v>
      </c>
      <c r="D413" s="48">
        <f>(34.703)*10.764</f>
        <v>373.543092</v>
      </c>
      <c r="E413" s="33">
        <v>0</v>
      </c>
      <c r="F413" s="33">
        <f t="shared" si="57"/>
        <v>373.543092</v>
      </c>
      <c r="G413" s="33">
        <v>0</v>
      </c>
      <c r="H413" s="33">
        <f t="shared" si="58"/>
        <v>578.99179260000005</v>
      </c>
      <c r="I413" s="27"/>
      <c r="N413" s="27"/>
    </row>
    <row r="414" spans="1:14" s="28" customFormat="1" ht="15.75" customHeight="1" x14ac:dyDescent="0.35">
      <c r="A414" s="126">
        <v>82</v>
      </c>
      <c r="B414" s="127"/>
      <c r="C414" s="33" t="s">
        <v>271</v>
      </c>
      <c r="D414" s="48">
        <f>(42.011)*10.764</f>
        <v>452.20640400000002</v>
      </c>
      <c r="E414" s="33">
        <v>0</v>
      </c>
      <c r="F414" s="33">
        <f t="shared" si="57"/>
        <v>452.20640400000002</v>
      </c>
      <c r="G414" s="33">
        <v>0</v>
      </c>
      <c r="H414" s="33">
        <f t="shared" si="58"/>
        <v>700.91992620000008</v>
      </c>
      <c r="I414" s="27"/>
      <c r="N414" s="27"/>
    </row>
    <row r="415" spans="1:14" s="28" customFormat="1" ht="15.75" customHeight="1" x14ac:dyDescent="0.35">
      <c r="A415" s="126">
        <v>83</v>
      </c>
      <c r="B415" s="127"/>
      <c r="C415" s="33" t="s">
        <v>271</v>
      </c>
      <c r="D415" s="48">
        <f>(32.805)*10.764</f>
        <v>353.11301999999995</v>
      </c>
      <c r="E415" s="33">
        <v>0</v>
      </c>
      <c r="F415" s="33">
        <f t="shared" si="57"/>
        <v>353.11301999999995</v>
      </c>
      <c r="G415" s="33">
        <v>0</v>
      </c>
      <c r="H415" s="33">
        <f t="shared" si="58"/>
        <v>547.32518099999993</v>
      </c>
      <c r="I415" s="27"/>
      <c r="N415" s="27"/>
    </row>
    <row r="416" spans="1:14" s="28" customFormat="1" ht="15.75" customHeight="1" x14ac:dyDescent="0.35">
      <c r="A416" s="126">
        <v>84</v>
      </c>
      <c r="B416" s="127"/>
      <c r="C416" s="33" t="s">
        <v>271</v>
      </c>
      <c r="D416" s="48">
        <f>(32.805)*10.764</f>
        <v>353.11301999999995</v>
      </c>
      <c r="E416" s="33">
        <v>0</v>
      </c>
      <c r="F416" s="33">
        <f>D416+E416</f>
        <v>353.11301999999995</v>
      </c>
      <c r="G416" s="33">
        <v>0</v>
      </c>
      <c r="H416" s="33">
        <f>(D416+E416)*(($H$284)+1)</f>
        <v>547.32518099999993</v>
      </c>
      <c r="I416" s="27"/>
      <c r="N416" s="27"/>
    </row>
    <row r="417" spans="1:14" s="28" customFormat="1" ht="15.75" customHeight="1" x14ac:dyDescent="0.35">
      <c r="A417" s="126">
        <v>85</v>
      </c>
      <c r="B417" s="127"/>
      <c r="C417" s="33" t="s">
        <v>271</v>
      </c>
      <c r="D417" s="48">
        <f>(42.011)*10.764</f>
        <v>452.20640400000002</v>
      </c>
      <c r="E417" s="33">
        <v>0</v>
      </c>
      <c r="F417" s="33">
        <f t="shared" ref="F417:F419" si="59">D417+E417</f>
        <v>452.20640400000002</v>
      </c>
      <c r="G417" s="33">
        <v>0</v>
      </c>
      <c r="H417" s="33">
        <f t="shared" ref="H417:H419" si="60">(D417+E417)*(($H$284)+1)</f>
        <v>700.91992620000008</v>
      </c>
      <c r="I417" s="27"/>
      <c r="N417" s="27"/>
    </row>
    <row r="418" spans="1:14" s="28" customFormat="1" ht="15.75" customHeight="1" x14ac:dyDescent="0.35">
      <c r="A418" s="126">
        <v>86</v>
      </c>
      <c r="B418" s="127"/>
      <c r="C418" s="33" t="s">
        <v>271</v>
      </c>
      <c r="D418" s="48">
        <f>(34.703)*10.764</f>
        <v>373.543092</v>
      </c>
      <c r="E418" s="33">
        <v>0</v>
      </c>
      <c r="F418" s="33">
        <f t="shared" si="59"/>
        <v>373.543092</v>
      </c>
      <c r="G418" s="33">
        <v>0</v>
      </c>
      <c r="H418" s="33">
        <f t="shared" si="60"/>
        <v>578.99179260000005</v>
      </c>
      <c r="I418" s="27"/>
      <c r="N418" s="27"/>
    </row>
    <row r="419" spans="1:14" s="28" customFormat="1" ht="15.75" customHeight="1" x14ac:dyDescent="0.35">
      <c r="A419" s="126">
        <v>87</v>
      </c>
      <c r="B419" s="127"/>
      <c r="C419" s="33" t="s">
        <v>271</v>
      </c>
      <c r="D419" s="48">
        <f>(46.961)*10.764</f>
        <v>505.48820399999994</v>
      </c>
      <c r="E419" s="33">
        <v>0</v>
      </c>
      <c r="F419" s="33">
        <f t="shared" si="59"/>
        <v>505.48820399999994</v>
      </c>
      <c r="G419" s="33">
        <v>0</v>
      </c>
      <c r="H419" s="33">
        <f t="shared" si="60"/>
        <v>783.50671619999991</v>
      </c>
      <c r="I419" s="27"/>
      <c r="N419" s="27"/>
    </row>
    <row r="420" spans="1:14" s="28" customFormat="1" x14ac:dyDescent="0.35">
      <c r="A420" s="126"/>
      <c r="B420" s="131"/>
      <c r="C420" s="131"/>
      <c r="D420" s="131"/>
      <c r="E420" s="131"/>
      <c r="F420" s="131"/>
      <c r="G420" s="131"/>
      <c r="H420" s="127"/>
      <c r="I420" s="27"/>
      <c r="N420" s="27"/>
    </row>
    <row r="421" spans="1:14" ht="47.25" customHeight="1" x14ac:dyDescent="0.35">
      <c r="A421" s="164" t="s">
        <v>312</v>
      </c>
      <c r="B421" s="164" t="s">
        <v>174</v>
      </c>
      <c r="C421" s="164" t="s">
        <v>57</v>
      </c>
      <c r="D421" s="164" t="s">
        <v>229</v>
      </c>
      <c r="E421" s="164" t="s">
        <v>274</v>
      </c>
      <c r="F421" s="164" t="s">
        <v>58</v>
      </c>
      <c r="G421" s="166" t="s">
        <v>59</v>
      </c>
      <c r="H421" s="51" t="s">
        <v>145</v>
      </c>
      <c r="I421" s="27"/>
    </row>
    <row r="422" spans="1:14" s="28" customFormat="1" x14ac:dyDescent="0.35">
      <c r="A422" s="165"/>
      <c r="B422" s="165"/>
      <c r="C422" s="165"/>
      <c r="D422" s="165"/>
      <c r="E422" s="165"/>
      <c r="F422" s="165"/>
      <c r="G422" s="167"/>
      <c r="H422" s="52">
        <v>0.5</v>
      </c>
      <c r="I422" s="27"/>
    </row>
    <row r="423" spans="1:14" s="28" customFormat="1" ht="15.75" customHeight="1" x14ac:dyDescent="0.35">
      <c r="A423" s="137" t="s">
        <v>265</v>
      </c>
      <c r="B423" s="138"/>
      <c r="C423" s="138"/>
      <c r="D423" s="138"/>
      <c r="E423" s="138"/>
      <c r="F423" s="138"/>
      <c r="G423" s="138"/>
      <c r="H423" s="139"/>
      <c r="I423" s="27"/>
    </row>
    <row r="424" spans="1:14" s="28" customFormat="1" x14ac:dyDescent="0.35">
      <c r="A424" s="128" t="s">
        <v>266</v>
      </c>
      <c r="B424" s="129"/>
      <c r="C424" s="129"/>
      <c r="D424" s="129"/>
      <c r="E424" s="129"/>
      <c r="F424" s="129"/>
      <c r="G424" s="129"/>
      <c r="H424" s="130"/>
      <c r="J424" s="27"/>
    </row>
    <row r="425" spans="1:14" s="28" customFormat="1" ht="15.75" customHeight="1" x14ac:dyDescent="0.35">
      <c r="A425" s="137" t="s">
        <v>279</v>
      </c>
      <c r="B425" s="138"/>
      <c r="C425" s="138"/>
      <c r="D425" s="138"/>
      <c r="E425" s="138"/>
      <c r="F425" s="138"/>
      <c r="G425" s="138"/>
      <c r="H425" s="139"/>
      <c r="I425" s="27"/>
      <c r="L425" s="161"/>
      <c r="M425" s="161"/>
      <c r="N425" s="27"/>
    </row>
    <row r="426" spans="1:14" s="28" customFormat="1" ht="15.75" customHeight="1" x14ac:dyDescent="0.35">
      <c r="A426" s="134">
        <v>1</v>
      </c>
      <c r="B426" s="135"/>
      <c r="C426" s="44" t="s">
        <v>272</v>
      </c>
      <c r="D426" s="48">
        <f>(119.882)*10.764</f>
        <v>1290.409848</v>
      </c>
      <c r="E426" s="48">
        <f>(9.691)*10.764</f>
        <v>104.313924</v>
      </c>
      <c r="F426" s="44">
        <f t="shared" ref="F426:F428" si="61">D426+E426</f>
        <v>1394.7237720000001</v>
      </c>
      <c r="G426" s="48">
        <v>0</v>
      </c>
      <c r="H426" s="44">
        <f t="shared" ref="H426:H428" si="62">F426*(($H$422)+1)+(IF(G426&lt;101,G426,IF(G426&lt;201,G426/2,IF(G426&lt;=301,G426/3,G426/4))))</f>
        <v>2092.085658</v>
      </c>
      <c r="I426" s="27">
        <f>3.95*7.035+3.125*3.57+1.6*1.5+1.765*3.205+3.91*3.09+3.35*4.1+3.01*4.1+4.56*3.57+2.2*1.1+1.535*2.45+1.835*2.365+1.44*2.1</f>
        <v>114.98295</v>
      </c>
      <c r="J426" s="28">
        <f>3.055*1.25+3.915*1.5</f>
        <v>9.6912500000000001</v>
      </c>
      <c r="L426" s="161"/>
      <c r="M426" s="161"/>
      <c r="N426" s="27"/>
    </row>
    <row r="427" spans="1:14" s="28" customFormat="1" ht="15.75" customHeight="1" x14ac:dyDescent="0.35">
      <c r="A427" s="134">
        <f t="shared" ref="A427:A434" si="63">A426+1</f>
        <v>2</v>
      </c>
      <c r="B427" s="135"/>
      <c r="C427" s="44" t="s">
        <v>272</v>
      </c>
      <c r="D427" s="48">
        <f>(119.882)*10.764</f>
        <v>1290.409848</v>
      </c>
      <c r="E427" s="48">
        <f>(9.691)*10.764</f>
        <v>104.313924</v>
      </c>
      <c r="F427" s="44">
        <f t="shared" si="61"/>
        <v>1394.7237720000001</v>
      </c>
      <c r="G427" s="48">
        <v>0</v>
      </c>
      <c r="H427" s="44">
        <f t="shared" si="62"/>
        <v>2092.085658</v>
      </c>
      <c r="I427" s="27"/>
      <c r="L427" s="161"/>
      <c r="M427" s="161"/>
      <c r="N427" s="27"/>
    </row>
    <row r="428" spans="1:14" s="28" customFormat="1" ht="15.75" customHeight="1" x14ac:dyDescent="0.35">
      <c r="A428" s="134">
        <f t="shared" si="63"/>
        <v>3</v>
      </c>
      <c r="B428" s="135"/>
      <c r="C428" s="44" t="s">
        <v>272</v>
      </c>
      <c r="D428" s="48">
        <f>(138.13)*10.764</f>
        <v>1486.8313199999998</v>
      </c>
      <c r="E428" s="48">
        <f>(16.76)*10.764</f>
        <v>180.40464</v>
      </c>
      <c r="F428" s="44">
        <f t="shared" si="61"/>
        <v>1667.2359599999997</v>
      </c>
      <c r="G428" s="48">
        <f>(4.475*3.8+3.4*0.8+3.6*0.7+4*0.3+9.7*1+3.4*2+4.2*1.4+1.7*1.6+2.6*2+2*0.6)*10.764</f>
        <v>591.42797999999993</v>
      </c>
      <c r="H428" s="44">
        <f t="shared" si="62"/>
        <v>2648.7109349999996</v>
      </c>
      <c r="I428" s="27">
        <f>7.615*4.95+1.2*1.7+3.785*3.61+3.01*4.485+3.55*4.485+4.755*3.61+2.875*1.685+1.515*2.56+2.055*2.115+2.875*1.825+1.515*2.4+2*1.4+(1.66*2.625+1.8*1.25)</f>
        <v>131.34472499999998</v>
      </c>
      <c r="J428" s="27">
        <f>4.475*1.42+3.665*1.25+2.44*2.215</f>
        <v>16.340349999999997</v>
      </c>
      <c r="L428" s="161"/>
      <c r="M428" s="161"/>
      <c r="N428" s="27"/>
    </row>
    <row r="429" spans="1:14" s="28" customFormat="1" x14ac:dyDescent="0.35">
      <c r="A429" s="134">
        <f t="shared" si="63"/>
        <v>4</v>
      </c>
      <c r="B429" s="135"/>
      <c r="C429" s="44" t="s">
        <v>273</v>
      </c>
      <c r="D429" s="48">
        <f>(207.371)*10.764</f>
        <v>2232.1414439999999</v>
      </c>
      <c r="E429" s="48">
        <f>(22.402)*10.764</f>
        <v>241.13512800000001</v>
      </c>
      <c r="F429" s="44">
        <f t="shared" ref="F429:F433" si="64">D429+E429</f>
        <v>2473.2765719999998</v>
      </c>
      <c r="G429" s="48">
        <f>((50.722+3.9*12.3+2*4.6)+4.545*4+3.65*0.9)*10.764</f>
        <v>1392.3987479999998</v>
      </c>
      <c r="H429" s="44">
        <f t="shared" ref="H429:H433" si="65">F429*(($H$422)+1)+(IF(G429&lt;101,G429,IF(G429&lt;201,G429/2,IF(G429&lt;=301,G429/3,G429/4))))</f>
        <v>4058.0145449999995</v>
      </c>
      <c r="I429" s="41">
        <f>9.075*6.6+1.45*0.6+2.6*2+4.875*3.005+4.19*3.35+2.1*1+6.215*3.62+1.23*1.89+4.86*4.47+1.835*1.965+3.65*4.47+1.91*1.67+1.76*2.33+2.345*1.88+1.835*2.37+1.91*2.7+1.24*1.5+(3.06*1.4+1.815*2.75+1.76*1.2)</f>
        <v>197.67164999999997</v>
      </c>
      <c r="J429" s="28">
        <f>3.94*1.45+4.545*1.42+6.87*1.5</f>
        <v>22.471899999999998</v>
      </c>
      <c r="L429" s="161"/>
      <c r="M429" s="161"/>
    </row>
    <row r="430" spans="1:14" s="28" customFormat="1" x14ac:dyDescent="0.35">
      <c r="A430" s="128" t="s">
        <v>280</v>
      </c>
      <c r="B430" s="129"/>
      <c r="C430" s="129"/>
      <c r="D430" s="129"/>
      <c r="E430" s="129"/>
      <c r="F430" s="129"/>
      <c r="G430" s="129"/>
      <c r="H430" s="130"/>
      <c r="I430" s="27"/>
    </row>
    <row r="431" spans="1:14" s="28" customFormat="1" x14ac:dyDescent="0.35">
      <c r="A431" s="126">
        <v>1</v>
      </c>
      <c r="B431" s="127"/>
      <c r="C431" s="33" t="s">
        <v>272</v>
      </c>
      <c r="D431" s="48">
        <f>(119.882)*10.764</f>
        <v>1290.409848</v>
      </c>
      <c r="E431" s="48">
        <f>(9.691)*10.764</f>
        <v>104.313924</v>
      </c>
      <c r="F431" s="33">
        <f t="shared" si="64"/>
        <v>1394.7237720000001</v>
      </c>
      <c r="G431" s="33">
        <v>0</v>
      </c>
      <c r="H431" s="33">
        <f t="shared" si="65"/>
        <v>2092.085658</v>
      </c>
      <c r="I431" s="53">
        <f>4/115</f>
        <v>3.4782608695652174E-2</v>
      </c>
      <c r="J431" s="28">
        <f>9/198</f>
        <v>4.5454545454545456E-2</v>
      </c>
      <c r="N431" s="27"/>
    </row>
    <row r="432" spans="1:14" s="28" customFormat="1" x14ac:dyDescent="0.35">
      <c r="A432" s="126">
        <f t="shared" si="63"/>
        <v>2</v>
      </c>
      <c r="B432" s="127"/>
      <c r="C432" s="33" t="s">
        <v>272</v>
      </c>
      <c r="D432" s="48">
        <f>(119.882)*10.764</f>
        <v>1290.409848</v>
      </c>
      <c r="E432" s="48">
        <f>(9.691)*10.764</f>
        <v>104.313924</v>
      </c>
      <c r="F432" s="33">
        <f t="shared" si="64"/>
        <v>1394.7237720000001</v>
      </c>
      <c r="G432" s="33">
        <v>0</v>
      </c>
      <c r="H432" s="33">
        <f t="shared" si="65"/>
        <v>2092.085658</v>
      </c>
      <c r="I432" s="27"/>
      <c r="N432" s="27"/>
    </row>
    <row r="433" spans="1:14" s="28" customFormat="1" x14ac:dyDescent="0.35">
      <c r="A433" s="126">
        <f t="shared" si="63"/>
        <v>3</v>
      </c>
      <c r="B433" s="127"/>
      <c r="C433" s="33" t="s">
        <v>272</v>
      </c>
      <c r="D433" s="48">
        <f>(138.13)*10.764</f>
        <v>1486.8313199999998</v>
      </c>
      <c r="E433" s="48">
        <f>(16.76)*10.764</f>
        <v>180.40464</v>
      </c>
      <c r="F433" s="33">
        <f t="shared" si="64"/>
        <v>1667.2359599999997</v>
      </c>
      <c r="G433" s="33">
        <v>0</v>
      </c>
      <c r="H433" s="33">
        <f t="shared" si="65"/>
        <v>2500.8539399999995</v>
      </c>
      <c r="I433" s="27"/>
      <c r="N433" s="27"/>
    </row>
    <row r="434" spans="1:14" s="28" customFormat="1" x14ac:dyDescent="0.35">
      <c r="A434" s="126">
        <f t="shared" si="63"/>
        <v>4</v>
      </c>
      <c r="B434" s="127"/>
      <c r="C434" s="33" t="s">
        <v>273</v>
      </c>
      <c r="D434" s="48">
        <f>(207.371)*10.764</f>
        <v>2232.1414439999999</v>
      </c>
      <c r="E434" s="48">
        <f>(22.402)*10.764</f>
        <v>241.13512800000001</v>
      </c>
      <c r="F434" s="33">
        <f t="shared" ref="F434" si="66">D434+E434</f>
        <v>2473.2765719999998</v>
      </c>
      <c r="G434" s="33">
        <v>0</v>
      </c>
      <c r="H434" s="33">
        <f t="shared" ref="H434" si="67">F434*(($H$422)+1)+(IF(G434&lt;101,G434,IF(G434&lt;201,G434/2,IF(G434&lt;=301,G434/3,G434/4))))</f>
        <v>3709.9148579999996</v>
      </c>
      <c r="I434" s="27"/>
      <c r="N434" s="27"/>
    </row>
    <row r="435" spans="1:14" s="28" customFormat="1" x14ac:dyDescent="0.35">
      <c r="A435" s="128" t="s">
        <v>275</v>
      </c>
      <c r="B435" s="129"/>
      <c r="C435" s="129"/>
      <c r="D435" s="129"/>
      <c r="E435" s="129"/>
      <c r="F435" s="129"/>
      <c r="G435" s="129"/>
      <c r="H435" s="130"/>
      <c r="I435" s="27"/>
      <c r="N435" s="27"/>
    </row>
    <row r="436" spans="1:14" s="28" customFormat="1" x14ac:dyDescent="0.35">
      <c r="A436" s="126">
        <v>1</v>
      </c>
      <c r="B436" s="127"/>
      <c r="C436" s="33" t="s">
        <v>272</v>
      </c>
      <c r="D436" s="48">
        <f>(119.882)*10.764</f>
        <v>1290.409848</v>
      </c>
      <c r="E436" s="48">
        <f>(9.691)*10.764</f>
        <v>104.313924</v>
      </c>
      <c r="F436" s="33">
        <f t="shared" ref="F436:F439" si="68">D436+E436</f>
        <v>1394.7237720000001</v>
      </c>
      <c r="G436" s="33">
        <v>0</v>
      </c>
      <c r="H436" s="33">
        <f t="shared" ref="H436:H439" si="69">F436*(($H$422)+1)+(IF(G436&lt;101,G436,IF(G436&lt;201,G436/2,IF(G436&lt;=301,G436/3,G436/4))))</f>
        <v>2092.085658</v>
      </c>
      <c r="I436" s="27"/>
      <c r="N436" s="27"/>
    </row>
    <row r="437" spans="1:14" s="28" customFormat="1" ht="15.75" customHeight="1" x14ac:dyDescent="0.35">
      <c r="A437" s="126">
        <f t="shared" ref="A437:A440" si="70">A436+1</f>
        <v>2</v>
      </c>
      <c r="B437" s="127"/>
      <c r="C437" s="33" t="s">
        <v>272</v>
      </c>
      <c r="D437" s="48">
        <f>(119.882)*10.764</f>
        <v>1290.409848</v>
      </c>
      <c r="E437" s="48">
        <f>(9.691)*10.764</f>
        <v>104.313924</v>
      </c>
      <c r="F437" s="33">
        <f t="shared" si="68"/>
        <v>1394.7237720000001</v>
      </c>
      <c r="G437" s="33">
        <v>0</v>
      </c>
      <c r="H437" s="33">
        <f t="shared" si="69"/>
        <v>2092.085658</v>
      </c>
      <c r="I437" s="27"/>
    </row>
    <row r="438" spans="1:14" s="28" customFormat="1" ht="15.75" customHeight="1" x14ac:dyDescent="0.35">
      <c r="A438" s="126" t="s">
        <v>276</v>
      </c>
      <c r="B438" s="127"/>
      <c r="C438" s="126" t="s">
        <v>277</v>
      </c>
      <c r="D438" s="131"/>
      <c r="E438" s="131"/>
      <c r="F438" s="131"/>
      <c r="G438" s="131"/>
      <c r="H438" s="127"/>
      <c r="I438" s="27"/>
    </row>
    <row r="439" spans="1:14" s="28" customFormat="1" ht="15.75" customHeight="1" x14ac:dyDescent="0.35">
      <c r="A439" s="126">
        <f>A437+1</f>
        <v>3</v>
      </c>
      <c r="B439" s="127"/>
      <c r="C439" s="33" t="s">
        <v>272</v>
      </c>
      <c r="D439" s="48">
        <f>(138.13)*10.764</f>
        <v>1486.8313199999998</v>
      </c>
      <c r="E439" s="48">
        <f>(16.76)*10.764</f>
        <v>180.40464</v>
      </c>
      <c r="F439" s="33">
        <f t="shared" si="68"/>
        <v>1667.2359599999997</v>
      </c>
      <c r="G439" s="33">
        <v>0</v>
      </c>
      <c r="H439" s="33">
        <f t="shared" si="69"/>
        <v>2500.8539399999995</v>
      </c>
      <c r="I439" s="27">
        <f>7.615*4.95+1.2*1.7+3.785*3.61+3.01*4.485+3.55*4.485+4.755*3.61+2.875*1.685+1.515*2.56+2.055*2.115+2.875*1.825+1.515*2.4+2*1.4+(1.66*2.625+1.8*1.25)</f>
        <v>131.34472499999998</v>
      </c>
    </row>
    <row r="440" spans="1:14" s="28" customFormat="1" ht="15.75" customHeight="1" x14ac:dyDescent="0.35">
      <c r="A440" s="126">
        <f t="shared" si="70"/>
        <v>4</v>
      </c>
      <c r="B440" s="127"/>
      <c r="C440" s="33" t="s">
        <v>273</v>
      </c>
      <c r="D440" s="48">
        <f>(194.227)*10.764</f>
        <v>2090.6594279999999</v>
      </c>
      <c r="E440" s="48">
        <f>(20.154)*10.764</f>
        <v>216.93765599999998</v>
      </c>
      <c r="F440" s="33">
        <f>D440+E440</f>
        <v>2307.597084</v>
      </c>
      <c r="G440" s="33">
        <v>0</v>
      </c>
      <c r="H440" s="33">
        <f>F440*(($H$422)+1)+(IF(G440&lt;101,G440,IF(G440&lt;201,G440/2,IF(G440&lt;=301,G440/3,G440/4))))</f>
        <v>3461.395626</v>
      </c>
      <c r="I440" s="27"/>
    </row>
    <row r="441" spans="1:14" s="28" customFormat="1" ht="15.75" customHeight="1" x14ac:dyDescent="0.35">
      <c r="A441" s="128" t="s">
        <v>268</v>
      </c>
      <c r="B441" s="129"/>
      <c r="C441" s="129"/>
      <c r="D441" s="129"/>
      <c r="E441" s="129"/>
      <c r="F441" s="129"/>
      <c r="G441" s="129"/>
      <c r="H441" s="130"/>
      <c r="I441" s="27"/>
    </row>
    <row r="442" spans="1:14" s="28" customFormat="1" ht="15.75" customHeight="1" x14ac:dyDescent="0.35">
      <c r="A442" s="128" t="s">
        <v>279</v>
      </c>
      <c r="B442" s="129"/>
      <c r="C442" s="129"/>
      <c r="D442" s="129"/>
      <c r="E442" s="129"/>
      <c r="F442" s="129"/>
      <c r="G442" s="129"/>
      <c r="H442" s="130"/>
      <c r="I442" s="27"/>
    </row>
    <row r="443" spans="1:14" s="28" customFormat="1" x14ac:dyDescent="0.35">
      <c r="A443" s="126">
        <v>1</v>
      </c>
      <c r="B443" s="127"/>
      <c r="C443" s="33" t="s">
        <v>273</v>
      </c>
      <c r="D443" s="48">
        <f>(166.011)*10.764</f>
        <v>1786.9424039999999</v>
      </c>
      <c r="E443" s="48">
        <f>(16.732)*10.764</f>
        <v>180.10324799999998</v>
      </c>
      <c r="F443" s="33">
        <f t="shared" ref="F443:F445" si="71">D443+E443</f>
        <v>1967.0456519999998</v>
      </c>
      <c r="G443" s="48">
        <f>(5.3*3.2+3.5*2.2+0.2*3.9+3.7*5.7+1.9*1.1+6.5*1.8+7.5*0.4)*10.764</f>
        <v>681.57648000000006</v>
      </c>
      <c r="H443" s="33">
        <f t="shared" ref="H443:H445" si="72">F443*(($H$422)+1)+(IF(G443&lt;101,G443,IF(G443&lt;201,G443/2,IF(G443&lt;=301,G443/3,G443/4))))</f>
        <v>3120.9625979999996</v>
      </c>
      <c r="I443" s="27">
        <f>3.95*7.815+3.125*3.57+1.67*3.205+3.96*3.09+3.01*4.13+3.35*4.13+1.535*1.73+4.9*3.57+2.2*1.1+3.35*5+0.9*1.6+1.4*2.1+1.535*2.3+1.835*2.395+2.335*1.535+1.6*1.4+(1.67*1.68+3.01*2.45+1.1*1.3+2.1*1.22)</f>
        <v>157.50125000000003</v>
      </c>
      <c r="J443" s="28">
        <f>4.215+1.295+7.38*1.5</f>
        <v>16.579999999999998</v>
      </c>
    </row>
    <row r="444" spans="1:14" s="28" customFormat="1" ht="15.75" customHeight="1" x14ac:dyDescent="0.35">
      <c r="A444" s="126">
        <f t="shared" ref="A444:A446" si="73">A443+1</f>
        <v>2</v>
      </c>
      <c r="B444" s="127"/>
      <c r="C444" s="33" t="s">
        <v>272</v>
      </c>
      <c r="D444" s="48">
        <f>(117.899)*10.764</f>
        <v>1269.064836</v>
      </c>
      <c r="E444" s="48">
        <f>(10.343)*10.764</f>
        <v>111.33205199999999</v>
      </c>
      <c r="F444" s="33">
        <f t="shared" si="71"/>
        <v>1380.396888</v>
      </c>
      <c r="G444" s="48">
        <v>0</v>
      </c>
      <c r="H444" s="33">
        <f t="shared" si="72"/>
        <v>2070.5953319999999</v>
      </c>
      <c r="I444" s="27"/>
    </row>
    <row r="445" spans="1:14" s="28" customFormat="1" ht="15.75" customHeight="1" x14ac:dyDescent="0.35">
      <c r="A445" s="126">
        <f t="shared" si="73"/>
        <v>3</v>
      </c>
      <c r="B445" s="127"/>
      <c r="C445" s="33" t="s">
        <v>272</v>
      </c>
      <c r="D445" s="48">
        <f>(117.899)*10.764</f>
        <v>1269.064836</v>
      </c>
      <c r="E445" s="48">
        <f>(10.343)*10.764</f>
        <v>111.33205199999999</v>
      </c>
      <c r="F445" s="33">
        <f t="shared" si="71"/>
        <v>1380.396888</v>
      </c>
      <c r="G445" s="48">
        <v>0</v>
      </c>
      <c r="H445" s="33">
        <f t="shared" si="72"/>
        <v>2070.5953319999999</v>
      </c>
      <c r="I445" s="27">
        <f>3.65*7.295+3.17*3.35+1.67*1.8+3.05*3.95+3.31*3.95+4.285*3.35+2.1*1.1+3.35*3.995+0.9*1.6+1.535*2.45+1.81*2.135+1.354*2.1+2.28*1.46+1.6*1.6</f>
        <v>113.21955</v>
      </c>
      <c r="J445" s="28">
        <f>8.835+1.5</f>
        <v>10.335000000000001</v>
      </c>
    </row>
    <row r="446" spans="1:14" s="28" customFormat="1" ht="15.75" customHeight="1" x14ac:dyDescent="0.35">
      <c r="A446" s="126">
        <f t="shared" si="73"/>
        <v>4</v>
      </c>
      <c r="B446" s="127"/>
      <c r="C446" s="33" t="s">
        <v>273</v>
      </c>
      <c r="D446" s="48">
        <f>(166.011)*10.764</f>
        <v>1786.9424039999999</v>
      </c>
      <c r="E446" s="48">
        <f>(16.732)*10.764</f>
        <v>180.10324799999998</v>
      </c>
      <c r="F446" s="33">
        <f>D446+E446</f>
        <v>1967.0456519999998</v>
      </c>
      <c r="G446" s="48">
        <f>(7.5*0.4+3.01*1.9+3.6*1.5+1.8*0.8+4.4*5.7+4*0.5+5*3+3.6*2.2)*10.764</f>
        <v>705.67707599999994</v>
      </c>
      <c r="H446" s="33">
        <f>F446*(($H$422)+1)+(IF(G446&lt;101,G446,IF(G446&lt;201,G446/2,IF(G446&lt;=301,G446/3,G446/4))))</f>
        <v>3126.9877469999997</v>
      </c>
      <c r="I446" s="41">
        <f>3.95*7.815+3.125*3.57+1.67*3.205+3.96*3.09+3.01*4.13+3.35*4.13+1.535*1.73+4.9*3.57+2.2*1.1+3.35*5+0.9*1.7+1.4*2.1+1.535*2.3+1.835*2.395+2.335*1.535+1.6*1.4+(1.67*1.68+3.01*2.45+1.1*1.3+2.1*1.22)</f>
        <v>157.59125000000003</v>
      </c>
    </row>
    <row r="447" spans="1:14" s="28" customFormat="1" ht="15.75" customHeight="1" x14ac:dyDescent="0.35">
      <c r="A447" s="128" t="s">
        <v>281</v>
      </c>
      <c r="B447" s="129"/>
      <c r="C447" s="129"/>
      <c r="D447" s="129"/>
      <c r="E447" s="129"/>
      <c r="F447" s="129"/>
      <c r="G447" s="129"/>
      <c r="H447" s="130"/>
      <c r="I447" s="27"/>
    </row>
    <row r="448" spans="1:14" s="28" customFormat="1" ht="15.75" customHeight="1" x14ac:dyDescent="0.35">
      <c r="A448" s="126">
        <v>1</v>
      </c>
      <c r="B448" s="127"/>
      <c r="C448" s="33" t="s">
        <v>273</v>
      </c>
      <c r="D448" s="48">
        <f>(166.011)*10.764</f>
        <v>1786.9424039999999</v>
      </c>
      <c r="E448" s="48">
        <f>(16.732)*10.764</f>
        <v>180.10324799999998</v>
      </c>
      <c r="F448" s="33">
        <f t="shared" ref="F448:F450" si="74">D448+E448</f>
        <v>1967.0456519999998</v>
      </c>
      <c r="G448" s="33">
        <v>0</v>
      </c>
      <c r="H448" s="33">
        <f>F448*(($H$422)+1)+(IF(G448&lt;101,G448,IF(G448&lt;201,G448/2,IF(G448&lt;=301,G448/3,G448/4))))</f>
        <v>2950.5684779999997</v>
      </c>
      <c r="I448" s="27"/>
    </row>
    <row r="449" spans="1:15" s="28" customFormat="1" ht="15.75" customHeight="1" x14ac:dyDescent="0.35">
      <c r="A449" s="126">
        <f t="shared" ref="A449:A451" si="75">A448+1</f>
        <v>2</v>
      </c>
      <c r="B449" s="127"/>
      <c r="C449" s="33" t="s">
        <v>272</v>
      </c>
      <c r="D449" s="48">
        <f>(117.899)*10.764</f>
        <v>1269.064836</v>
      </c>
      <c r="E449" s="48">
        <f>(10.343)*10.764</f>
        <v>111.33205199999999</v>
      </c>
      <c r="F449" s="33">
        <f t="shared" si="74"/>
        <v>1380.396888</v>
      </c>
      <c r="G449" s="33">
        <v>0</v>
      </c>
      <c r="H449" s="33">
        <f t="shared" ref="H449:H451" si="76">F449*(($H$422)+1)+(IF(G449&lt;101,G449,IF(G449&lt;201,G449/2,IF(G449&lt;=301,G449/3,G449/4))))</f>
        <v>2070.5953319999999</v>
      </c>
      <c r="I449" s="27"/>
    </row>
    <row r="450" spans="1:15" s="28" customFormat="1" ht="15.75" customHeight="1" x14ac:dyDescent="0.35">
      <c r="A450" s="126">
        <f t="shared" si="75"/>
        <v>3</v>
      </c>
      <c r="B450" s="127"/>
      <c r="C450" s="33" t="s">
        <v>272</v>
      </c>
      <c r="D450" s="48">
        <f>(117.899)*10.764</f>
        <v>1269.064836</v>
      </c>
      <c r="E450" s="48">
        <f>(10.343)*10.764</f>
        <v>111.33205199999999</v>
      </c>
      <c r="F450" s="33">
        <f t="shared" si="74"/>
        <v>1380.396888</v>
      </c>
      <c r="G450" s="33">
        <v>0</v>
      </c>
      <c r="H450" s="33">
        <f t="shared" si="76"/>
        <v>2070.5953319999999</v>
      </c>
      <c r="I450" s="27"/>
    </row>
    <row r="451" spans="1:15" s="28" customFormat="1" ht="15.75" customHeight="1" x14ac:dyDescent="0.35">
      <c r="A451" s="126">
        <f t="shared" si="75"/>
        <v>4</v>
      </c>
      <c r="B451" s="127"/>
      <c r="C451" s="33" t="s">
        <v>273</v>
      </c>
      <c r="D451" s="48">
        <f>(166.011)*10.764</f>
        <v>1786.9424039999999</v>
      </c>
      <c r="E451" s="48">
        <f>(16.732)*10.764</f>
        <v>180.10324799999998</v>
      </c>
      <c r="F451" s="33">
        <f>D451+E451</f>
        <v>1967.0456519999998</v>
      </c>
      <c r="G451" s="33">
        <v>0</v>
      </c>
      <c r="H451" s="33">
        <f t="shared" si="76"/>
        <v>2950.5684779999997</v>
      </c>
      <c r="I451" s="27"/>
    </row>
    <row r="452" spans="1:15" s="28" customFormat="1" ht="15.75" customHeight="1" x14ac:dyDescent="0.35">
      <c r="A452" s="128" t="s">
        <v>275</v>
      </c>
      <c r="B452" s="129"/>
      <c r="C452" s="129"/>
      <c r="D452" s="129"/>
      <c r="E452" s="129"/>
      <c r="F452" s="129"/>
      <c r="G452" s="129"/>
      <c r="H452" s="130"/>
      <c r="I452" s="27"/>
    </row>
    <row r="453" spans="1:15" s="28" customFormat="1" ht="15.75" customHeight="1" x14ac:dyDescent="0.35">
      <c r="A453" s="126">
        <v>1</v>
      </c>
      <c r="B453" s="127"/>
      <c r="C453" s="33" t="s">
        <v>273</v>
      </c>
      <c r="D453" s="48">
        <f>(166.011)*10.764</f>
        <v>1786.9424039999999</v>
      </c>
      <c r="E453" s="48">
        <f>(16.732)*10.764</f>
        <v>180.10324799999998</v>
      </c>
      <c r="F453" s="33">
        <f t="shared" ref="F453:F456" si="77">D453+E453</f>
        <v>1967.0456519999998</v>
      </c>
      <c r="G453" s="33">
        <v>0</v>
      </c>
      <c r="H453" s="33">
        <f>F453*(($H$422)+1)+(IF(G453&lt;101,G453,IF(G453&lt;201,G453/2,IF(G453&lt;=301,G453/3,G453/4))))</f>
        <v>2950.5684779999997</v>
      </c>
      <c r="I453" s="27">
        <f>42.926+13.232+14.238+13.383+2.882+3.95+3.761+3.42</f>
        <v>97.792000000000002</v>
      </c>
    </row>
    <row r="454" spans="1:15" s="28" customFormat="1" ht="15.75" customHeight="1" x14ac:dyDescent="0.35">
      <c r="A454" s="126">
        <f t="shared" ref="A454:A457" si="78">A453+1</f>
        <v>2</v>
      </c>
      <c r="B454" s="127"/>
      <c r="C454" s="33" t="s">
        <v>272</v>
      </c>
      <c r="D454" s="48">
        <f>(117.899)*10.764</f>
        <v>1269.064836</v>
      </c>
      <c r="E454" s="48">
        <f>(10.343)*10.764</f>
        <v>111.33205199999999</v>
      </c>
      <c r="F454" s="33">
        <f t="shared" si="77"/>
        <v>1380.396888</v>
      </c>
      <c r="G454" s="33">
        <v>0</v>
      </c>
      <c r="H454" s="33">
        <f t="shared" ref="H454:H457" si="79">F454*(($H$422)+1)+(IF(G454&lt;101,G454,IF(G454&lt;201,G454/2,IF(G454&lt;=301,G454/3,G454/4))))</f>
        <v>2070.5953319999999</v>
      </c>
      <c r="I454" s="27"/>
    </row>
    <row r="455" spans="1:15" s="28" customFormat="1" ht="15.75" customHeight="1" x14ac:dyDescent="0.35">
      <c r="A455" s="126" t="s">
        <v>276</v>
      </c>
      <c r="B455" s="127"/>
      <c r="C455" s="128" t="s">
        <v>277</v>
      </c>
      <c r="D455" s="129"/>
      <c r="E455" s="129"/>
      <c r="F455" s="129"/>
      <c r="G455" s="129"/>
      <c r="H455" s="130"/>
      <c r="I455" s="27"/>
    </row>
    <row r="456" spans="1:15" s="26" customFormat="1" ht="15.75" customHeight="1" x14ac:dyDescent="0.35">
      <c r="A456" s="126">
        <f>A454+1</f>
        <v>3</v>
      </c>
      <c r="B456" s="127"/>
      <c r="C456" s="33" t="s">
        <v>272</v>
      </c>
      <c r="D456" s="48">
        <f>(103.317)*10.764</f>
        <v>1112.1041879999998</v>
      </c>
      <c r="E456" s="48">
        <f>(10.343)*10.764</f>
        <v>111.33205199999999</v>
      </c>
      <c r="F456" s="33">
        <f t="shared" si="77"/>
        <v>1223.4362399999998</v>
      </c>
      <c r="G456" s="33">
        <v>0</v>
      </c>
      <c r="H456" s="33">
        <f t="shared" si="79"/>
        <v>1835.1543599999995</v>
      </c>
      <c r="I456" s="27">
        <f>3.65*7.295+1.67*1.8+3.05*3.95+3.31*3.95+4.285*3.35+2.1*1.1+3.05*3.625+1.535*2.45+1.81*2.135+1.354*2.1+1.345*1.6+3.4*1.2</f>
        <v>99.17625000000001</v>
      </c>
      <c r="J456" s="26">
        <f>6.8559*1.5</f>
        <v>10.283850000000001</v>
      </c>
    </row>
    <row r="457" spans="1:15" s="26" customFormat="1" ht="18.75" customHeight="1" x14ac:dyDescent="0.35">
      <c r="A457" s="126">
        <f t="shared" si="78"/>
        <v>4</v>
      </c>
      <c r="B457" s="127"/>
      <c r="C457" s="33" t="s">
        <v>273</v>
      </c>
      <c r="D457" s="48">
        <f>(166.011)*10.764</f>
        <v>1786.9424039999999</v>
      </c>
      <c r="E457" s="48">
        <f>(16.732)*10.764</f>
        <v>180.10324799999998</v>
      </c>
      <c r="F457" s="33">
        <f>D457+E457</f>
        <v>1967.0456519999998</v>
      </c>
      <c r="G457" s="33">
        <v>0</v>
      </c>
      <c r="H457" s="40">
        <f t="shared" si="79"/>
        <v>2950.5684779999997</v>
      </c>
      <c r="I457" s="27"/>
      <c r="J457" s="43"/>
      <c r="K457" s="43"/>
      <c r="L457" s="43"/>
      <c r="M457" s="43"/>
      <c r="N457" s="43"/>
      <c r="O457" s="43"/>
    </row>
    <row r="458" spans="1:15" s="26" customFormat="1" x14ac:dyDescent="0.35">
      <c r="A458" s="128" t="s">
        <v>282</v>
      </c>
      <c r="B458" s="129"/>
      <c r="C458" s="129"/>
      <c r="D458" s="129"/>
      <c r="E458" s="129"/>
      <c r="F458" s="129"/>
      <c r="G458" s="129"/>
      <c r="H458" s="130"/>
      <c r="I458" s="27"/>
    </row>
    <row r="459" spans="1:15" s="26" customFormat="1" ht="15.75" customHeight="1" x14ac:dyDescent="0.35">
      <c r="A459" s="128" t="s">
        <v>279</v>
      </c>
      <c r="B459" s="129"/>
      <c r="C459" s="129"/>
      <c r="D459" s="129"/>
      <c r="E459" s="129"/>
      <c r="F459" s="129"/>
      <c r="G459" s="129"/>
      <c r="H459" s="130"/>
      <c r="I459" s="27"/>
    </row>
    <row r="460" spans="1:15" s="26" customFormat="1" x14ac:dyDescent="0.35">
      <c r="A460" s="126">
        <v>1</v>
      </c>
      <c r="B460" s="127"/>
      <c r="C460" s="33" t="s">
        <v>273</v>
      </c>
      <c r="D460" s="48">
        <f>(166.011)*10.764</f>
        <v>1786.9424039999999</v>
      </c>
      <c r="E460" s="48">
        <f>(16.732)*10.764</f>
        <v>180.10324799999998</v>
      </c>
      <c r="F460" s="33">
        <f t="shared" ref="F460:F462" si="80">D460+E460</f>
        <v>1967.0456519999998</v>
      </c>
      <c r="G460" s="48">
        <f>(5.3*3.2+3.5*2.2+0.2*3.9+3.7*5.7+1.9*1.1+6.5*1.8+7.5*0.4)*10.764</f>
        <v>681.57648000000006</v>
      </c>
      <c r="H460" s="33">
        <f t="shared" ref="H460:H462" si="81">F460*(($H$422)+1)+(IF(G460&lt;101,G460,IF(G460&lt;201,G460/2,IF(G460&lt;=301,G460/3,G460/4))))</f>
        <v>3120.9625979999996</v>
      </c>
      <c r="I460" s="27"/>
    </row>
    <row r="461" spans="1:15" s="26" customFormat="1" x14ac:dyDescent="0.35">
      <c r="A461" s="126">
        <f t="shared" ref="A461:A463" si="82">A460+1</f>
        <v>2</v>
      </c>
      <c r="B461" s="127"/>
      <c r="C461" s="33" t="s">
        <v>272</v>
      </c>
      <c r="D461" s="48">
        <f>(117.899)*10.764</f>
        <v>1269.064836</v>
      </c>
      <c r="E461" s="48">
        <f>(10.343)*10.764</f>
        <v>111.33205199999999</v>
      </c>
      <c r="F461" s="33">
        <f t="shared" si="80"/>
        <v>1380.396888</v>
      </c>
      <c r="G461" s="48">
        <v>0</v>
      </c>
      <c r="H461" s="33">
        <f t="shared" si="81"/>
        <v>2070.5953319999999</v>
      </c>
      <c r="I461" s="27"/>
    </row>
    <row r="462" spans="1:15" s="26" customFormat="1" x14ac:dyDescent="0.35">
      <c r="A462" s="126">
        <f t="shared" si="82"/>
        <v>3</v>
      </c>
      <c r="B462" s="127"/>
      <c r="C462" s="33" t="s">
        <v>272</v>
      </c>
      <c r="D462" s="48">
        <f>(117.899)*10.764</f>
        <v>1269.064836</v>
      </c>
      <c r="E462" s="48">
        <f>(10.343)*10.764</f>
        <v>111.33205199999999</v>
      </c>
      <c r="F462" s="33">
        <f t="shared" si="80"/>
        <v>1380.396888</v>
      </c>
      <c r="G462" s="48">
        <v>0</v>
      </c>
      <c r="H462" s="33">
        <f t="shared" si="81"/>
        <v>2070.5953319999999</v>
      </c>
      <c r="I462" s="27"/>
    </row>
    <row r="463" spans="1:15" s="26" customFormat="1" x14ac:dyDescent="0.35">
      <c r="A463" s="126">
        <f t="shared" si="82"/>
        <v>4</v>
      </c>
      <c r="B463" s="127"/>
      <c r="C463" s="33" t="s">
        <v>273</v>
      </c>
      <c r="D463" s="48">
        <f>(166.011)*10.764</f>
        <v>1786.9424039999999</v>
      </c>
      <c r="E463" s="48">
        <f>(16.732)*10.764</f>
        <v>180.10324799999998</v>
      </c>
      <c r="F463" s="33">
        <f>D463+E463</f>
        <v>1967.0456519999998</v>
      </c>
      <c r="G463" s="48">
        <f>(7.5*0.4+3.01*1.9+3.6*1.5+1.8*0.8+4.4*5.7+4*0.5+5*3+3.6*2.2)*10.764</f>
        <v>705.67707599999994</v>
      </c>
      <c r="H463" s="33">
        <f>F463*(($H$422)+1)+(IF(G463&lt;101,G463,IF(G463&lt;201,G463/2,IF(G463&lt;=301,G463/3,G463/4))))</f>
        <v>3126.9877469999997</v>
      </c>
      <c r="I463" s="27"/>
    </row>
    <row r="464" spans="1:15" s="26" customFormat="1" ht="15.75" customHeight="1" x14ac:dyDescent="0.35">
      <c r="A464" s="128" t="s">
        <v>281</v>
      </c>
      <c r="B464" s="129"/>
      <c r="C464" s="129"/>
      <c r="D464" s="129"/>
      <c r="E464" s="129"/>
      <c r="F464" s="129"/>
      <c r="G464" s="129"/>
      <c r="H464" s="130"/>
      <c r="I464" s="27"/>
    </row>
    <row r="465" spans="1:9" s="26" customFormat="1" x14ac:dyDescent="0.35">
      <c r="A465" s="126">
        <v>1</v>
      </c>
      <c r="B465" s="127"/>
      <c r="C465" s="33" t="s">
        <v>273</v>
      </c>
      <c r="D465" s="48">
        <f>(166.011)*10.764</f>
        <v>1786.9424039999999</v>
      </c>
      <c r="E465" s="48">
        <f>(16.732)*10.764</f>
        <v>180.10324799999998</v>
      </c>
      <c r="F465" s="33">
        <f t="shared" ref="F465:F467" si="83">D465+E465</f>
        <v>1967.0456519999998</v>
      </c>
      <c r="G465" s="33">
        <v>0</v>
      </c>
      <c r="H465" s="33">
        <f>F465*(($H$422)+1)+(IF(G465&lt;101,G465,IF(G465&lt;201,G465/2,IF(G465&lt;=301,G465/3,G465/4))))</f>
        <v>2950.5684779999997</v>
      </c>
      <c r="I465" s="27"/>
    </row>
    <row r="466" spans="1:9" s="26" customFormat="1" x14ac:dyDescent="0.35">
      <c r="A466" s="126">
        <f t="shared" ref="A466:A468" si="84">A465+1</f>
        <v>2</v>
      </c>
      <c r="B466" s="127"/>
      <c r="C466" s="33" t="s">
        <v>272</v>
      </c>
      <c r="D466" s="48">
        <f>(117.899)*10.764</f>
        <v>1269.064836</v>
      </c>
      <c r="E466" s="48">
        <f>(10.343)*10.764</f>
        <v>111.33205199999999</v>
      </c>
      <c r="F466" s="33">
        <f t="shared" si="83"/>
        <v>1380.396888</v>
      </c>
      <c r="G466" s="33">
        <v>0</v>
      </c>
      <c r="H466" s="33">
        <f t="shared" ref="H466:H468" si="85">F466*(($H$422)+1)+(IF(G466&lt;101,G466,IF(G466&lt;201,G466/2,IF(G466&lt;=301,G466/3,G466/4))))</f>
        <v>2070.5953319999999</v>
      </c>
      <c r="I466" s="27"/>
    </row>
    <row r="467" spans="1:9" s="26" customFormat="1" x14ac:dyDescent="0.35">
      <c r="A467" s="126">
        <f t="shared" si="84"/>
        <v>3</v>
      </c>
      <c r="B467" s="127"/>
      <c r="C467" s="33" t="s">
        <v>272</v>
      </c>
      <c r="D467" s="48">
        <f>(117.899)*10.764</f>
        <v>1269.064836</v>
      </c>
      <c r="E467" s="48">
        <f>(10.343)*10.764</f>
        <v>111.33205199999999</v>
      </c>
      <c r="F467" s="33">
        <f t="shared" si="83"/>
        <v>1380.396888</v>
      </c>
      <c r="G467" s="33">
        <v>0</v>
      </c>
      <c r="H467" s="33">
        <f t="shared" si="85"/>
        <v>2070.5953319999999</v>
      </c>
      <c r="I467" s="27"/>
    </row>
    <row r="468" spans="1:9" s="26" customFormat="1" x14ac:dyDescent="0.35">
      <c r="A468" s="126">
        <f t="shared" si="84"/>
        <v>4</v>
      </c>
      <c r="B468" s="127"/>
      <c r="C468" s="33" t="s">
        <v>273</v>
      </c>
      <c r="D468" s="48">
        <f>(166.011)*10.764</f>
        <v>1786.9424039999999</v>
      </c>
      <c r="E468" s="48">
        <f>(16.732)*10.764</f>
        <v>180.10324799999998</v>
      </c>
      <c r="F468" s="33">
        <f>D468+E468</f>
        <v>1967.0456519999998</v>
      </c>
      <c r="G468" s="33">
        <v>0</v>
      </c>
      <c r="H468" s="33">
        <f t="shared" si="85"/>
        <v>2950.5684779999997</v>
      </c>
      <c r="I468" s="27"/>
    </row>
    <row r="469" spans="1:9" s="26" customFormat="1" ht="15.75" customHeight="1" x14ac:dyDescent="0.35">
      <c r="A469" s="128" t="s">
        <v>275</v>
      </c>
      <c r="B469" s="129"/>
      <c r="C469" s="129"/>
      <c r="D469" s="129"/>
      <c r="E469" s="129"/>
      <c r="F469" s="129"/>
      <c r="G469" s="129"/>
      <c r="H469" s="130"/>
      <c r="I469" s="27"/>
    </row>
    <row r="470" spans="1:9" s="26" customFormat="1" x14ac:dyDescent="0.35">
      <c r="A470" s="126">
        <v>1</v>
      </c>
      <c r="B470" s="127"/>
      <c r="C470" s="33" t="s">
        <v>273</v>
      </c>
      <c r="D470" s="48">
        <f>(166.011)*10.764</f>
        <v>1786.9424039999999</v>
      </c>
      <c r="E470" s="48">
        <f>(16.732)*10.764</f>
        <v>180.10324799999998</v>
      </c>
      <c r="F470" s="33">
        <f t="shared" ref="F470:F471" si="86">D470+E470</f>
        <v>1967.0456519999998</v>
      </c>
      <c r="G470" s="33">
        <v>0</v>
      </c>
      <c r="H470" s="33">
        <f>F470*(($H$422)+1)+(IF(G470&lt;101,G470,IF(G470&lt;201,G470/2,IF(G470&lt;=301,G470/3,G470/4))))</f>
        <v>2950.5684779999997</v>
      </c>
      <c r="I470" s="27"/>
    </row>
    <row r="471" spans="1:9" s="26" customFormat="1" x14ac:dyDescent="0.35">
      <c r="A471" s="126">
        <f t="shared" ref="A471:A474" si="87">A470+1</f>
        <v>2</v>
      </c>
      <c r="B471" s="127"/>
      <c r="C471" s="33" t="s">
        <v>272</v>
      </c>
      <c r="D471" s="48">
        <f>(117.899)*10.764</f>
        <v>1269.064836</v>
      </c>
      <c r="E471" s="48">
        <f>(10.343)*10.764</f>
        <v>111.33205199999999</v>
      </c>
      <c r="F471" s="33">
        <f t="shared" si="86"/>
        <v>1380.396888</v>
      </c>
      <c r="G471" s="33">
        <v>0</v>
      </c>
      <c r="H471" s="33">
        <f t="shared" ref="H471" si="88">F471*(($H$422)+1)+(IF(G471&lt;101,G471,IF(G471&lt;201,G471/2,IF(G471&lt;=301,G471/3,G471/4))))</f>
        <v>2070.5953319999999</v>
      </c>
      <c r="I471" s="27"/>
    </row>
    <row r="472" spans="1:9" s="26" customFormat="1" ht="15.75" customHeight="1" x14ac:dyDescent="0.35">
      <c r="A472" s="126" t="s">
        <v>276</v>
      </c>
      <c r="B472" s="127"/>
      <c r="C472" s="128" t="s">
        <v>277</v>
      </c>
      <c r="D472" s="129"/>
      <c r="E472" s="129"/>
      <c r="F472" s="129"/>
      <c r="G472" s="129"/>
      <c r="H472" s="130"/>
      <c r="I472" s="27"/>
    </row>
    <row r="473" spans="1:9" s="26" customFormat="1" x14ac:dyDescent="0.35">
      <c r="A473" s="126">
        <f>A471+1</f>
        <v>3</v>
      </c>
      <c r="B473" s="127"/>
      <c r="C473" s="33" t="s">
        <v>272</v>
      </c>
      <c r="D473" s="48">
        <f>(103.317)*10.764</f>
        <v>1112.1041879999998</v>
      </c>
      <c r="E473" s="48">
        <f>(10.343)*10.764</f>
        <v>111.33205199999999</v>
      </c>
      <c r="F473" s="33">
        <f t="shared" ref="F473" si="89">D473+E473</f>
        <v>1223.4362399999998</v>
      </c>
      <c r="G473" s="33">
        <v>0</v>
      </c>
      <c r="H473" s="33">
        <f t="shared" ref="H473:H474" si="90">F473*(($H$422)+1)+(IF(G473&lt;101,G473,IF(G473&lt;201,G473/2,IF(G473&lt;=301,G473/3,G473/4))))</f>
        <v>1835.1543599999995</v>
      </c>
      <c r="I473" s="27"/>
    </row>
    <row r="474" spans="1:9" s="26" customFormat="1" x14ac:dyDescent="0.35">
      <c r="A474" s="126">
        <f t="shared" si="87"/>
        <v>4</v>
      </c>
      <c r="B474" s="127"/>
      <c r="C474" s="33" t="s">
        <v>273</v>
      </c>
      <c r="D474" s="48">
        <f>(166.011)*10.764</f>
        <v>1786.9424039999999</v>
      </c>
      <c r="E474" s="48">
        <f>(16.732)*10.764</f>
        <v>180.10324799999998</v>
      </c>
      <c r="F474" s="33">
        <f>D474+E474</f>
        <v>1967.0456519999998</v>
      </c>
      <c r="G474" s="33">
        <v>0</v>
      </c>
      <c r="H474" s="40">
        <f t="shared" si="90"/>
        <v>2950.5684779999997</v>
      </c>
      <c r="I474" s="27"/>
    </row>
    <row r="475" spans="1:9" s="26" customFormat="1" x14ac:dyDescent="0.35">
      <c r="A475" s="128" t="s">
        <v>283</v>
      </c>
      <c r="B475" s="129"/>
      <c r="C475" s="129"/>
      <c r="D475" s="129"/>
      <c r="E475" s="129"/>
      <c r="F475" s="129"/>
      <c r="G475" s="129"/>
      <c r="H475" s="130"/>
      <c r="I475" s="27"/>
    </row>
    <row r="476" spans="1:9" s="26" customFormat="1" ht="15.75" customHeight="1" x14ac:dyDescent="0.35">
      <c r="A476" s="128" t="s">
        <v>279</v>
      </c>
      <c r="B476" s="129"/>
      <c r="C476" s="129"/>
      <c r="D476" s="129"/>
      <c r="E476" s="129"/>
      <c r="F476" s="129"/>
      <c r="G476" s="129"/>
      <c r="H476" s="130"/>
      <c r="I476" s="27"/>
    </row>
    <row r="477" spans="1:9" s="26" customFormat="1" x14ac:dyDescent="0.35">
      <c r="A477" s="126">
        <v>1</v>
      </c>
      <c r="B477" s="127"/>
      <c r="C477" s="33" t="s">
        <v>273</v>
      </c>
      <c r="D477" s="48">
        <f>(166.011)*10.764</f>
        <v>1786.9424039999999</v>
      </c>
      <c r="E477" s="48">
        <f>(16.732)*10.764</f>
        <v>180.10324799999998</v>
      </c>
      <c r="F477" s="33">
        <f t="shared" ref="F477:F479" si="91">D477+E477</f>
        <v>1967.0456519999998</v>
      </c>
      <c r="G477" s="48">
        <f>(5.3*3.2+3.5*2.2+0.2*3.9+3.7*5.7+1.9*1.1+6.5*1.8+7.5*0.4)*10.764</f>
        <v>681.57648000000006</v>
      </c>
      <c r="H477" s="33">
        <f t="shared" ref="H477:H479" si="92">F477*(($H$422)+1)+(IF(G477&lt;101,G477,IF(G477&lt;201,G477/2,IF(G477&lt;=301,G477/3,G477/4))))</f>
        <v>3120.9625979999996</v>
      </c>
      <c r="I477" s="27"/>
    </row>
    <row r="478" spans="1:9" s="26" customFormat="1" x14ac:dyDescent="0.35">
      <c r="A478" s="126">
        <f t="shared" ref="A478:A480" si="93">A477+1</f>
        <v>2</v>
      </c>
      <c r="B478" s="127"/>
      <c r="C478" s="33" t="s">
        <v>272</v>
      </c>
      <c r="D478" s="48">
        <f>(117.899)*10.764</f>
        <v>1269.064836</v>
      </c>
      <c r="E478" s="48">
        <f>(10.343)*10.764</f>
        <v>111.33205199999999</v>
      </c>
      <c r="F478" s="33">
        <f t="shared" si="91"/>
        <v>1380.396888</v>
      </c>
      <c r="G478" s="48">
        <v>0</v>
      </c>
      <c r="H478" s="33">
        <f t="shared" si="92"/>
        <v>2070.5953319999999</v>
      </c>
      <c r="I478" s="27"/>
    </row>
    <row r="479" spans="1:9" s="26" customFormat="1" x14ac:dyDescent="0.35">
      <c r="A479" s="126">
        <f t="shared" si="93"/>
        <v>3</v>
      </c>
      <c r="B479" s="127"/>
      <c r="C479" s="33" t="s">
        <v>272</v>
      </c>
      <c r="D479" s="48">
        <f>(117.899)*10.764</f>
        <v>1269.064836</v>
      </c>
      <c r="E479" s="48">
        <f>(10.343)*10.764</f>
        <v>111.33205199999999</v>
      </c>
      <c r="F479" s="33">
        <f t="shared" si="91"/>
        <v>1380.396888</v>
      </c>
      <c r="G479" s="48">
        <v>0</v>
      </c>
      <c r="H479" s="33">
        <f t="shared" si="92"/>
        <v>2070.5953319999999</v>
      </c>
      <c r="I479" s="27"/>
    </row>
    <row r="480" spans="1:9" s="26" customFormat="1" x14ac:dyDescent="0.35">
      <c r="A480" s="126">
        <f t="shared" si="93"/>
        <v>4</v>
      </c>
      <c r="B480" s="127"/>
      <c r="C480" s="33" t="s">
        <v>273</v>
      </c>
      <c r="D480" s="48">
        <f>(166.011)*10.764</f>
        <v>1786.9424039999999</v>
      </c>
      <c r="E480" s="48">
        <f>(16.732)*10.764</f>
        <v>180.10324799999998</v>
      </c>
      <c r="F480" s="33">
        <f>D480+E480</f>
        <v>1967.0456519999998</v>
      </c>
      <c r="G480" s="48">
        <f>(7.5*0.4+3.01*1.9+3.6*1.5+1.8*0.8+4.4*5.7+4*0.5+5*3+3.6*2.2)*10.764</f>
        <v>705.67707599999994</v>
      </c>
      <c r="H480" s="33">
        <f>F480*(($H$422)+1)+(IF(G480&lt;101,G480,IF(G480&lt;201,G480/2,IF(G480&lt;=301,G480/3,G480/4))))</f>
        <v>3126.9877469999997</v>
      </c>
      <c r="I480" s="27"/>
    </row>
    <row r="481" spans="1:11" s="26" customFormat="1" ht="15.75" customHeight="1" x14ac:dyDescent="0.35">
      <c r="A481" s="128" t="s">
        <v>281</v>
      </c>
      <c r="B481" s="129"/>
      <c r="C481" s="129"/>
      <c r="D481" s="129"/>
      <c r="E481" s="129"/>
      <c r="F481" s="129"/>
      <c r="G481" s="129"/>
      <c r="H481" s="130"/>
      <c r="I481" s="27"/>
    </row>
    <row r="482" spans="1:11" s="26" customFormat="1" x14ac:dyDescent="0.35">
      <c r="A482" s="126">
        <v>1</v>
      </c>
      <c r="B482" s="127"/>
      <c r="C482" s="33" t="s">
        <v>273</v>
      </c>
      <c r="D482" s="48">
        <f>(166.011)*10.764</f>
        <v>1786.9424039999999</v>
      </c>
      <c r="E482" s="48">
        <f>(16.732)*10.764</f>
        <v>180.10324799999998</v>
      </c>
      <c r="F482" s="33">
        <f t="shared" ref="F482:F484" si="94">D482+E482</f>
        <v>1967.0456519999998</v>
      </c>
      <c r="G482" s="33">
        <v>0</v>
      </c>
      <c r="H482" s="33">
        <f>F482*(($H$422)+1)+(IF(G482&lt;101,G482,IF(G482&lt;201,G482/2,IF(G482&lt;=301,G482/3,G482/4))))</f>
        <v>2950.5684779999997</v>
      </c>
      <c r="I482" s="27"/>
    </row>
    <row r="483" spans="1:11" s="26" customFormat="1" x14ac:dyDescent="0.35">
      <c r="A483" s="126">
        <f t="shared" ref="A483:A485" si="95">A482+1</f>
        <v>2</v>
      </c>
      <c r="B483" s="127"/>
      <c r="C483" s="33" t="s">
        <v>272</v>
      </c>
      <c r="D483" s="48">
        <f>(117.899)*10.764</f>
        <v>1269.064836</v>
      </c>
      <c r="E483" s="48">
        <f>(10.343)*10.764</f>
        <v>111.33205199999999</v>
      </c>
      <c r="F483" s="33">
        <f t="shared" si="94"/>
        <v>1380.396888</v>
      </c>
      <c r="G483" s="33">
        <v>0</v>
      </c>
      <c r="H483" s="33">
        <f t="shared" ref="H483:H485" si="96">F483*(($H$422)+1)+(IF(G483&lt;101,G483,IF(G483&lt;201,G483/2,IF(G483&lt;=301,G483/3,G483/4))))</f>
        <v>2070.5953319999999</v>
      </c>
      <c r="I483" s="27"/>
    </row>
    <row r="484" spans="1:11" s="26" customFormat="1" x14ac:dyDescent="0.35">
      <c r="A484" s="126">
        <f t="shared" si="95"/>
        <v>3</v>
      </c>
      <c r="B484" s="127"/>
      <c r="C484" s="33" t="s">
        <v>272</v>
      </c>
      <c r="D484" s="48">
        <f>(117.899)*10.764</f>
        <v>1269.064836</v>
      </c>
      <c r="E484" s="48">
        <f>(10.343)*10.764</f>
        <v>111.33205199999999</v>
      </c>
      <c r="F484" s="33">
        <f t="shared" si="94"/>
        <v>1380.396888</v>
      </c>
      <c r="G484" s="33">
        <v>0</v>
      </c>
      <c r="H484" s="33">
        <f t="shared" si="96"/>
        <v>2070.5953319999999</v>
      </c>
      <c r="I484" s="27"/>
    </row>
    <row r="485" spans="1:11" s="26" customFormat="1" x14ac:dyDescent="0.35">
      <c r="A485" s="126">
        <f t="shared" si="95"/>
        <v>4</v>
      </c>
      <c r="B485" s="127"/>
      <c r="C485" s="33" t="s">
        <v>273</v>
      </c>
      <c r="D485" s="48">
        <f>(166.011)*10.764</f>
        <v>1786.9424039999999</v>
      </c>
      <c r="E485" s="48">
        <f>(16.732)*10.764</f>
        <v>180.10324799999998</v>
      </c>
      <c r="F485" s="33">
        <f>D485+E485</f>
        <v>1967.0456519999998</v>
      </c>
      <c r="G485" s="33">
        <v>0</v>
      </c>
      <c r="H485" s="33">
        <f t="shared" si="96"/>
        <v>2950.5684779999997</v>
      </c>
      <c r="I485" s="27"/>
    </row>
    <row r="486" spans="1:11" s="26" customFormat="1" ht="15.75" customHeight="1" x14ac:dyDescent="0.35">
      <c r="A486" s="128" t="s">
        <v>275</v>
      </c>
      <c r="B486" s="129"/>
      <c r="C486" s="129"/>
      <c r="D486" s="129"/>
      <c r="E486" s="129"/>
      <c r="F486" s="129"/>
      <c r="G486" s="129"/>
      <c r="H486" s="130"/>
      <c r="I486" s="27"/>
    </row>
    <row r="487" spans="1:11" s="26" customFormat="1" x14ac:dyDescent="0.35">
      <c r="A487" s="126">
        <v>1</v>
      </c>
      <c r="B487" s="127"/>
      <c r="C487" s="33" t="s">
        <v>273</v>
      </c>
      <c r="D487" s="48">
        <f>(166.011)*10.764</f>
        <v>1786.9424039999999</v>
      </c>
      <c r="E487" s="48">
        <f>(16.732)*10.764</f>
        <v>180.10324799999998</v>
      </c>
      <c r="F487" s="33">
        <f t="shared" ref="F487:F488" si="97">D487+E487</f>
        <v>1967.0456519999998</v>
      </c>
      <c r="G487" s="33">
        <v>0</v>
      </c>
      <c r="H487" s="33">
        <f>F487*(($H$422)+1)+(IF(G487&lt;101,G487,IF(G487&lt;201,G487/2,IF(G487&lt;=301,G487/3,G487/4))))</f>
        <v>2950.5684779999997</v>
      </c>
      <c r="I487" s="27"/>
    </row>
    <row r="488" spans="1:11" s="26" customFormat="1" x14ac:dyDescent="0.35">
      <c r="A488" s="126">
        <f t="shared" ref="A488:A491" si="98">A487+1</f>
        <v>2</v>
      </c>
      <c r="B488" s="127"/>
      <c r="C488" s="33" t="s">
        <v>272</v>
      </c>
      <c r="D488" s="48">
        <f>(117.899)*10.764</f>
        <v>1269.064836</v>
      </c>
      <c r="E488" s="48">
        <f>(10.343)*10.764</f>
        <v>111.33205199999999</v>
      </c>
      <c r="F488" s="33">
        <f t="shared" si="97"/>
        <v>1380.396888</v>
      </c>
      <c r="G488" s="33">
        <v>0</v>
      </c>
      <c r="H488" s="33">
        <f t="shared" ref="H488" si="99">F488*(($H$422)+1)+(IF(G488&lt;101,G488,IF(G488&lt;201,G488/2,IF(G488&lt;=301,G488/3,G488/4))))</f>
        <v>2070.5953319999999</v>
      </c>
      <c r="I488" s="27"/>
    </row>
    <row r="489" spans="1:11" s="26" customFormat="1" ht="15.75" customHeight="1" x14ac:dyDescent="0.35">
      <c r="A489" s="126" t="s">
        <v>276</v>
      </c>
      <c r="B489" s="127"/>
      <c r="C489" s="128" t="s">
        <v>277</v>
      </c>
      <c r="D489" s="129"/>
      <c r="E489" s="129"/>
      <c r="F489" s="129"/>
      <c r="G489" s="129"/>
      <c r="H489" s="130"/>
      <c r="I489" s="27"/>
    </row>
    <row r="490" spans="1:11" s="26" customFormat="1" x14ac:dyDescent="0.35">
      <c r="A490" s="126">
        <f>A488+1</f>
        <v>3</v>
      </c>
      <c r="B490" s="127"/>
      <c r="C490" s="33" t="s">
        <v>272</v>
      </c>
      <c r="D490" s="48">
        <f>(103.317)*10.764</f>
        <v>1112.1041879999998</v>
      </c>
      <c r="E490" s="48">
        <f>(10.343)*10.764</f>
        <v>111.33205199999999</v>
      </c>
      <c r="F490" s="33">
        <f t="shared" ref="F490" si="100">D490+E490</f>
        <v>1223.4362399999998</v>
      </c>
      <c r="G490" s="33">
        <v>0</v>
      </c>
      <c r="H490" s="33">
        <f t="shared" ref="H490:H491" si="101">F490*(($H$422)+1)+(IF(G490&lt;101,G490,IF(G490&lt;201,G490/2,IF(G490&lt;=301,G490/3,G490/4))))</f>
        <v>1835.1543599999995</v>
      </c>
      <c r="I490" s="27"/>
    </row>
    <row r="491" spans="1:11" s="26" customFormat="1" x14ac:dyDescent="0.35">
      <c r="A491" s="126">
        <f t="shared" si="98"/>
        <v>4</v>
      </c>
      <c r="B491" s="127"/>
      <c r="C491" s="33" t="s">
        <v>273</v>
      </c>
      <c r="D491" s="48">
        <f>(166.011)*10.764</f>
        <v>1786.9424039999999</v>
      </c>
      <c r="E491" s="48">
        <f>(16.732)*10.764</f>
        <v>180.10324799999998</v>
      </c>
      <c r="F491" s="33">
        <f>D491+E491</f>
        <v>1967.0456519999998</v>
      </c>
      <c r="G491" s="33">
        <v>0</v>
      </c>
      <c r="H491" s="40">
        <f t="shared" si="101"/>
        <v>2950.5684779999997</v>
      </c>
      <c r="I491" s="27"/>
    </row>
    <row r="492" spans="1:11" s="26" customFormat="1" x14ac:dyDescent="0.35">
      <c r="A492" s="128" t="s">
        <v>288</v>
      </c>
      <c r="B492" s="129"/>
      <c r="C492" s="129"/>
      <c r="D492" s="129"/>
      <c r="E492" s="129"/>
      <c r="F492" s="129"/>
      <c r="G492" s="129"/>
      <c r="H492" s="130"/>
      <c r="I492" s="27"/>
    </row>
    <row r="493" spans="1:11" s="26" customFormat="1" x14ac:dyDescent="0.35">
      <c r="A493" s="128" t="s">
        <v>279</v>
      </c>
      <c r="B493" s="129"/>
      <c r="C493" s="129"/>
      <c r="D493" s="129"/>
      <c r="E493" s="129"/>
      <c r="F493" s="129"/>
      <c r="G493" s="129"/>
      <c r="H493" s="130"/>
      <c r="I493" s="27"/>
    </row>
    <row r="494" spans="1:11" s="26" customFormat="1" x14ac:dyDescent="0.35">
      <c r="A494" s="126">
        <v>1</v>
      </c>
      <c r="B494" s="127"/>
      <c r="C494" s="33" t="s">
        <v>322</v>
      </c>
      <c r="D494" s="48">
        <f>(233.772)*10.764</f>
        <v>2516.3218079999997</v>
      </c>
      <c r="E494" s="48">
        <f>(43.221)*10.764</f>
        <v>465.23084399999993</v>
      </c>
      <c r="F494" s="33">
        <f t="shared" ref="F494" si="102">D494+E494</f>
        <v>2981.5526519999994</v>
      </c>
      <c r="G494" s="48">
        <f>(18.575*0.4)*10.764</f>
        <v>79.976519999999994</v>
      </c>
      <c r="H494" s="33">
        <f t="shared" ref="H494:H495" si="103">F494*(($H$422)+1)+(IF(G494&lt;101,G494,IF(G494&lt;201,G494/2,IF(G494&lt;=301,G494/3,G494/4))))</f>
        <v>4552.3054979999997</v>
      </c>
      <c r="I494" s="27">
        <f>6.135*8.125+3.7*3.625+3*2.15+1.841*2.61+3.05*4.345+3.05*4.345+4.415*4.345+1.45*1.71+3.61*6.16+1.3*1.7+2.125*1.85+3.05*4.385+3.78*5.825+1.43*2.15+1.25*2.16+1.5*2.435+2.45*1.85+1.5*2.41+1.5*1.825+2.235*2.15+(3.09*1.985+1.25+2.12)</f>
        <v>221.07405999999997</v>
      </c>
      <c r="J494" s="45">
        <f>18.575*1.85+7.54*1.29</f>
        <v>44.090350000000001</v>
      </c>
      <c r="K494" s="46">
        <v>43.220999999999997</v>
      </c>
    </row>
    <row r="495" spans="1:11" s="26" customFormat="1" x14ac:dyDescent="0.35">
      <c r="A495" s="126">
        <f t="shared" ref="A495" si="104">A494+1</f>
        <v>2</v>
      </c>
      <c r="B495" s="127"/>
      <c r="C495" s="33" t="s">
        <v>322</v>
      </c>
      <c r="D495" s="48">
        <f>(233.772)*10.764</f>
        <v>2516.3218079999997</v>
      </c>
      <c r="E495" s="48">
        <f>(43.221)*10.764</f>
        <v>465.23084399999993</v>
      </c>
      <c r="F495" s="33">
        <f>D495+E495</f>
        <v>2981.5526519999994</v>
      </c>
      <c r="G495" s="48">
        <f>(18.575*0.3)*10.764</f>
        <v>59.982389999999995</v>
      </c>
      <c r="H495" s="33">
        <f t="shared" si="103"/>
        <v>4532.3113679999997</v>
      </c>
      <c r="I495" s="27"/>
    </row>
    <row r="496" spans="1:11" s="26" customFormat="1" x14ac:dyDescent="0.35">
      <c r="A496" s="128" t="s">
        <v>281</v>
      </c>
      <c r="B496" s="129"/>
      <c r="C496" s="129"/>
      <c r="D496" s="129"/>
      <c r="E496" s="129"/>
      <c r="F496" s="129"/>
      <c r="G496" s="129"/>
      <c r="H496" s="130"/>
      <c r="I496" s="27"/>
    </row>
    <row r="497" spans="1:14" s="26" customFormat="1" ht="15.75" customHeight="1" x14ac:dyDescent="0.35">
      <c r="A497" s="126">
        <v>1</v>
      </c>
      <c r="B497" s="127"/>
      <c r="C497" s="33" t="s">
        <v>322</v>
      </c>
      <c r="D497" s="48">
        <f>(233.772)*10.764</f>
        <v>2516.3218079999997</v>
      </c>
      <c r="E497" s="48">
        <f>(43.221)*10.764</f>
        <v>465.23084399999993</v>
      </c>
      <c r="F497" s="33">
        <f t="shared" ref="F497" si="105">D497+E497</f>
        <v>2981.5526519999994</v>
      </c>
      <c r="G497" s="33">
        <v>0</v>
      </c>
      <c r="H497" s="33">
        <f t="shared" ref="H497:H498" si="106">F497*(($H$422)+1)+(IF(G497&lt;101,G497,IF(G497&lt;201,G497/2,IF(G497&lt;=301,G497/3,G497/4))))</f>
        <v>4472.3289779999996</v>
      </c>
      <c r="I497" s="27"/>
    </row>
    <row r="498" spans="1:14" s="26" customFormat="1" x14ac:dyDescent="0.35">
      <c r="A498" s="126">
        <f t="shared" ref="A498" si="107">A497+1</f>
        <v>2</v>
      </c>
      <c r="B498" s="127"/>
      <c r="C498" s="33" t="s">
        <v>322</v>
      </c>
      <c r="D498" s="48">
        <f>(233.772)*10.764</f>
        <v>2516.3218079999997</v>
      </c>
      <c r="E498" s="48">
        <f>(43.221)*10.764</f>
        <v>465.23084399999993</v>
      </c>
      <c r="F498" s="33">
        <f>D498+E498</f>
        <v>2981.5526519999994</v>
      </c>
      <c r="G498" s="33">
        <v>0</v>
      </c>
      <c r="H498" s="33">
        <f t="shared" si="106"/>
        <v>4472.3289779999996</v>
      </c>
      <c r="I498" s="27"/>
    </row>
    <row r="499" spans="1:14" s="26" customFormat="1" ht="15.75" customHeight="1" x14ac:dyDescent="0.35">
      <c r="A499" s="128" t="s">
        <v>291</v>
      </c>
      <c r="B499" s="129"/>
      <c r="C499" s="129"/>
      <c r="D499" s="129"/>
      <c r="E499" s="129"/>
      <c r="F499" s="129"/>
      <c r="G499" s="129"/>
      <c r="H499" s="130"/>
      <c r="I499" s="27"/>
    </row>
    <row r="500" spans="1:14" s="26" customFormat="1" x14ac:dyDescent="0.35">
      <c r="A500" s="126">
        <v>1</v>
      </c>
      <c r="B500" s="127"/>
      <c r="C500" s="33" t="s">
        <v>322</v>
      </c>
      <c r="D500" s="48">
        <f>(233.772)*10.764</f>
        <v>2516.3218079999997</v>
      </c>
      <c r="E500" s="48">
        <f>(43.221)*10.764</f>
        <v>465.23084399999993</v>
      </c>
      <c r="F500" s="33">
        <f t="shared" ref="F500" si="108">D500+E500</f>
        <v>2981.5526519999994</v>
      </c>
      <c r="G500" s="33">
        <v>0</v>
      </c>
      <c r="H500" s="33">
        <f t="shared" ref="H500:H502" si="109">F500*(($H$422)+1)+(IF(G500&lt;101,G500,IF(G500&lt;201,G500/2,IF(G500&lt;=301,G500/3,G500/4))))</f>
        <v>4472.3289779999996</v>
      </c>
      <c r="I500" s="27"/>
    </row>
    <row r="501" spans="1:14" s="26" customFormat="1" x14ac:dyDescent="0.35">
      <c r="A501" s="126" t="s">
        <v>276</v>
      </c>
      <c r="B501" s="127"/>
      <c r="C501" s="126" t="s">
        <v>292</v>
      </c>
      <c r="D501" s="131"/>
      <c r="E501" s="131"/>
      <c r="F501" s="131"/>
      <c r="G501" s="131"/>
      <c r="H501" s="127"/>
      <c r="I501" s="27"/>
    </row>
    <row r="502" spans="1:14" s="26" customFormat="1" x14ac:dyDescent="0.35">
      <c r="A502" s="126">
        <f t="shared" ref="A502" si="110">A500+1</f>
        <v>2</v>
      </c>
      <c r="B502" s="127"/>
      <c r="C502" s="33" t="s">
        <v>322</v>
      </c>
      <c r="D502" s="48">
        <f>(233.772)*10.764</f>
        <v>2516.3218079999997</v>
      </c>
      <c r="E502" s="48">
        <f>(43.221)*10.764</f>
        <v>465.23084399999993</v>
      </c>
      <c r="F502" s="33">
        <f>D502+E502</f>
        <v>2981.5526519999994</v>
      </c>
      <c r="G502" s="33">
        <v>0</v>
      </c>
      <c r="H502" s="33">
        <f t="shared" si="109"/>
        <v>4472.3289779999996</v>
      </c>
      <c r="I502" s="27"/>
    </row>
    <row r="503" spans="1:14" s="26" customFormat="1" x14ac:dyDescent="0.35">
      <c r="A503" s="128" t="s">
        <v>295</v>
      </c>
      <c r="B503" s="129"/>
      <c r="C503" s="129"/>
      <c r="D503" s="129"/>
      <c r="E503" s="129"/>
      <c r="F503" s="129"/>
      <c r="G503" s="129"/>
      <c r="H503" s="130"/>
      <c r="I503" s="27"/>
    </row>
    <row r="504" spans="1:14" s="26" customFormat="1" x14ac:dyDescent="0.35">
      <c r="A504" s="128" t="s">
        <v>279</v>
      </c>
      <c r="B504" s="129"/>
      <c r="C504" s="129"/>
      <c r="D504" s="129"/>
      <c r="E504" s="129"/>
      <c r="F504" s="129"/>
      <c r="G504" s="129"/>
      <c r="H504" s="130"/>
      <c r="I504" s="27"/>
    </row>
    <row r="505" spans="1:14" s="26" customFormat="1" x14ac:dyDescent="0.35">
      <c r="A505" s="126">
        <v>1</v>
      </c>
      <c r="B505" s="127"/>
      <c r="C505" s="33" t="s">
        <v>273</v>
      </c>
      <c r="D505" s="48">
        <f>(201.242)*10.764</f>
        <v>2166.1688879999997</v>
      </c>
      <c r="E505" s="48">
        <f>(33.739)*10.764</f>
        <v>363.16659599999997</v>
      </c>
      <c r="F505" s="33">
        <f t="shared" ref="F505:F507" si="111">D505+E505</f>
        <v>2529.3354839999997</v>
      </c>
      <c r="G505" s="48">
        <f>(4.4*6.5+1.95*3.1+3.65*4.3+7.04*4+5.5*4.6+4.5*6.5+3.5*7+3.2*3+8.4*3.2+0.9*4)*10.764</f>
        <v>2127.2893199999999</v>
      </c>
      <c r="H505" s="33">
        <f>F505*(($H$422)+1)+(IF(G505&lt;101,G505,IF(G505&lt;201,G505/2,IF(G505&lt;=301,G505/3,G505/4))))</f>
        <v>4325.8255559999998</v>
      </c>
      <c r="I505" s="27">
        <f>9.075*6.57+1.4*0.6+4.875*3.005+4.135*3.3+2.2*0.9+6.1*3.61+1.25*1.84+4.9*4.535+1.825*1.9+3.65*4.535+1.95*1.7+1.2*1.5+1.8*2.28+2.28*1.8+1.8*2.45+1.95*2.856+(1.815*2.4+1.8*1.2)</f>
        <v>187.11857500000002</v>
      </c>
      <c r="J505" s="47">
        <f>4.526*1.5+7.04*1.5+6.7*1.5+(1.5*3.5+0.6*2.5)</f>
        <v>34.149000000000001</v>
      </c>
      <c r="N505" s="49" t="s">
        <v>294</v>
      </c>
    </row>
    <row r="506" spans="1:14" s="26" customFormat="1" x14ac:dyDescent="0.35">
      <c r="A506" s="126">
        <f t="shared" ref="A506:A508" si="112">A505+1</f>
        <v>2</v>
      </c>
      <c r="B506" s="127"/>
      <c r="C506" s="33" t="s">
        <v>273</v>
      </c>
      <c r="D506" s="48">
        <f>(141.853)*10.764</f>
        <v>1526.905692</v>
      </c>
      <c r="E506" s="48">
        <f>(15.192)*10.764</f>
        <v>163.52668799999998</v>
      </c>
      <c r="F506" s="33">
        <f t="shared" si="111"/>
        <v>1690.43238</v>
      </c>
      <c r="G506" s="48">
        <f>(55.991+3.7*2.5+3.65*2.4+1.38*0.9+(3.5*0.8+3.2*1.5+4.42*5.5))*10.764</f>
        <v>1153.394892</v>
      </c>
      <c r="H506" s="33">
        <f t="shared" ref="H506:H508" si="113">F506*(($H$422)+1)+(IF(G506&lt;101,G506,IF(G506&lt;201,G506/2,IF(G506&lt;=301,G506/3,G506/4))))</f>
        <v>2823.9972929999999</v>
      </c>
      <c r="I506" s="27">
        <f>7.615*4.9+1.3*1.7+3.95*2.7+3.05*4.555+3.35*4.55+4.795*3.65+1.53*1.45*2+3.65*3.6+2.065*2.1+1.53*2.05*2+1.38*2.5+2.5*1+1.38*2.3</f>
        <v>134.136</v>
      </c>
      <c r="J506" s="46">
        <f>4.42*1.5+1.256*2.7+2.44*2.2</f>
        <v>15.389200000000001</v>
      </c>
    </row>
    <row r="507" spans="1:14" s="26" customFormat="1" x14ac:dyDescent="0.35">
      <c r="A507" s="126">
        <f t="shared" si="112"/>
        <v>3</v>
      </c>
      <c r="B507" s="127"/>
      <c r="C507" s="33" t="s">
        <v>273</v>
      </c>
      <c r="D507" s="48">
        <f>(141.853)*10.764</f>
        <v>1526.905692</v>
      </c>
      <c r="E507" s="48">
        <f>(15.192)*10.764</f>
        <v>163.52668799999998</v>
      </c>
      <c r="F507" s="33">
        <f t="shared" si="111"/>
        <v>1690.43238</v>
      </c>
      <c r="G507" s="48">
        <v>0</v>
      </c>
      <c r="H507" s="33">
        <f t="shared" si="113"/>
        <v>2535.6485699999998</v>
      </c>
      <c r="I507" s="27"/>
    </row>
    <row r="508" spans="1:14" s="26" customFormat="1" x14ac:dyDescent="0.35">
      <c r="A508" s="126">
        <f t="shared" si="112"/>
        <v>4</v>
      </c>
      <c r="B508" s="127"/>
      <c r="C508" s="33" t="s">
        <v>273</v>
      </c>
      <c r="D508" s="48">
        <f>(201.242)*10.764</f>
        <v>2166.1688879999997</v>
      </c>
      <c r="E508" s="48">
        <f>(33.739)*10.764</f>
        <v>363.16659599999997</v>
      </c>
      <c r="F508" s="33">
        <f>D508+E508</f>
        <v>2529.3354839999997</v>
      </c>
      <c r="G508" s="48">
        <f>(8.4*3.2+0.9*4+2.5*3.2+7.04*2.5+1.4*2+0.9*4.6+(12.9*1.9))*10.764</f>
        <v>942.17291999999998</v>
      </c>
      <c r="H508" s="33">
        <f t="shared" si="113"/>
        <v>4029.546456</v>
      </c>
      <c r="I508" s="27"/>
    </row>
    <row r="509" spans="1:14" s="26" customFormat="1" x14ac:dyDescent="0.35">
      <c r="A509" s="128" t="s">
        <v>281</v>
      </c>
      <c r="B509" s="129"/>
      <c r="C509" s="129"/>
      <c r="D509" s="129"/>
      <c r="E509" s="129"/>
      <c r="F509" s="129"/>
      <c r="G509" s="129"/>
      <c r="H509" s="130"/>
      <c r="I509" s="27"/>
    </row>
    <row r="510" spans="1:14" s="26" customFormat="1" x14ac:dyDescent="0.35">
      <c r="A510" s="126">
        <v>1</v>
      </c>
      <c r="B510" s="127"/>
      <c r="C510" s="33" t="s">
        <v>273</v>
      </c>
      <c r="D510" s="48">
        <f>(201.242)*10.764</f>
        <v>2166.1688879999997</v>
      </c>
      <c r="E510" s="48">
        <f>(33.739)*10.764</f>
        <v>363.16659599999997</v>
      </c>
      <c r="F510" s="33">
        <f t="shared" ref="F510:F512" si="114">D510+E510</f>
        <v>2529.3354839999997</v>
      </c>
      <c r="G510" s="33">
        <v>0</v>
      </c>
      <c r="H510" s="33">
        <f>F510*(($H$422)+1)+(IF(G510&lt;101,G510,IF(G510&lt;201,G510/2,IF(G510&lt;=301,G510/3,G510/4))))</f>
        <v>3794.0032259999998</v>
      </c>
      <c r="I510" s="27"/>
    </row>
    <row r="511" spans="1:14" s="26" customFormat="1" x14ac:dyDescent="0.35">
      <c r="A511" s="126">
        <f t="shared" ref="A511:A513" si="115">A510+1</f>
        <v>2</v>
      </c>
      <c r="B511" s="127"/>
      <c r="C511" s="33" t="s">
        <v>273</v>
      </c>
      <c r="D511" s="48">
        <f>(141.853)*10.764</f>
        <v>1526.905692</v>
      </c>
      <c r="E511" s="48">
        <f>(15.192)*10.764</f>
        <v>163.52668799999998</v>
      </c>
      <c r="F511" s="33">
        <f t="shared" si="114"/>
        <v>1690.43238</v>
      </c>
      <c r="G511" s="33">
        <v>0</v>
      </c>
      <c r="H511" s="33">
        <f t="shared" ref="H511:H513" si="116">F511*(($H$422)+1)+(IF(G511&lt;101,G511,IF(G511&lt;201,G511/2,IF(G511&lt;=301,G511/3,G511/4))))</f>
        <v>2535.6485699999998</v>
      </c>
      <c r="I511" s="27"/>
    </row>
    <row r="512" spans="1:14" s="26" customFormat="1" x14ac:dyDescent="0.35">
      <c r="A512" s="126">
        <f t="shared" si="115"/>
        <v>3</v>
      </c>
      <c r="B512" s="127"/>
      <c r="C512" s="33" t="s">
        <v>273</v>
      </c>
      <c r="D512" s="48">
        <f>(141.853)*10.764</f>
        <v>1526.905692</v>
      </c>
      <c r="E512" s="48">
        <f>(15.192)*10.764</f>
        <v>163.52668799999998</v>
      </c>
      <c r="F512" s="33">
        <f t="shared" si="114"/>
        <v>1690.43238</v>
      </c>
      <c r="G512" s="33">
        <v>0</v>
      </c>
      <c r="H512" s="33">
        <f t="shared" si="116"/>
        <v>2535.6485699999998</v>
      </c>
      <c r="I512" s="27"/>
    </row>
    <row r="513" spans="1:10" s="26" customFormat="1" x14ac:dyDescent="0.35">
      <c r="A513" s="126">
        <f t="shared" si="115"/>
        <v>4</v>
      </c>
      <c r="B513" s="127"/>
      <c r="C513" s="33" t="s">
        <v>273</v>
      </c>
      <c r="D513" s="48">
        <f>(201.242)*10.764</f>
        <v>2166.1688879999997</v>
      </c>
      <c r="E513" s="48">
        <f>(33.739)*10.764</f>
        <v>363.16659599999997</v>
      </c>
      <c r="F513" s="33">
        <f>D513+E513</f>
        <v>2529.3354839999997</v>
      </c>
      <c r="G513" s="33">
        <v>0</v>
      </c>
      <c r="H513" s="33">
        <f t="shared" si="116"/>
        <v>3794.0032259999998</v>
      </c>
      <c r="I513" s="27"/>
    </row>
    <row r="514" spans="1:10" s="26" customFormat="1" x14ac:dyDescent="0.35">
      <c r="A514" s="128" t="s">
        <v>291</v>
      </c>
      <c r="B514" s="129"/>
      <c r="C514" s="129"/>
      <c r="D514" s="129"/>
      <c r="E514" s="129"/>
      <c r="F514" s="129"/>
      <c r="G514" s="129"/>
      <c r="H514" s="130"/>
      <c r="I514" s="27"/>
    </row>
    <row r="515" spans="1:10" s="26" customFormat="1" x14ac:dyDescent="0.35">
      <c r="A515" s="126">
        <v>1</v>
      </c>
      <c r="B515" s="127"/>
      <c r="C515" s="33" t="s">
        <v>273</v>
      </c>
      <c r="D515" s="48">
        <f>(201.242)*10.764</f>
        <v>2166.1688879999997</v>
      </c>
      <c r="E515" s="48">
        <f>(33.739)*10.764</f>
        <v>363.16659599999997</v>
      </c>
      <c r="F515" s="33">
        <f t="shared" ref="F515:F518" si="117">D515+E515</f>
        <v>2529.3354839999997</v>
      </c>
      <c r="G515" s="33">
        <v>0</v>
      </c>
      <c r="H515" s="33">
        <f>F515*(($H$422)+1)+(IF(G515&lt;101,G515,IF(G515&lt;201,G515/2,IF(G515&lt;=301,G515/3,G515/4))))</f>
        <v>3794.0032259999998</v>
      </c>
      <c r="I515" s="27"/>
      <c r="J515" s="26">
        <f>4.42*1.5+2.7*1.2+2.44*2.2</f>
        <v>15.238000000000001</v>
      </c>
    </row>
    <row r="516" spans="1:10" s="26" customFormat="1" x14ac:dyDescent="0.35">
      <c r="A516" s="126">
        <f t="shared" ref="A516:A519" si="118">A515+1</f>
        <v>2</v>
      </c>
      <c r="B516" s="127"/>
      <c r="C516" s="33" t="s">
        <v>273</v>
      </c>
      <c r="D516" s="48">
        <f>(141.853)*10.764</f>
        <v>1526.905692</v>
      </c>
      <c r="E516" s="48">
        <f>(15.192)*10.764</f>
        <v>163.52668799999998</v>
      </c>
      <c r="F516" s="33">
        <f t="shared" si="117"/>
        <v>1690.43238</v>
      </c>
      <c r="G516" s="33">
        <v>0</v>
      </c>
      <c r="H516" s="33">
        <f t="shared" ref="H516:H519" si="119">F516*(($H$422)+1)+(IF(G516&lt;101,G516,IF(G516&lt;201,G516/2,IF(G516&lt;=301,G516/3,G516/4))))</f>
        <v>2535.6485699999998</v>
      </c>
      <c r="I516" s="27"/>
    </row>
    <row r="517" spans="1:10" s="26" customFormat="1" x14ac:dyDescent="0.35">
      <c r="A517" s="126" t="s">
        <v>276</v>
      </c>
      <c r="B517" s="127"/>
      <c r="C517" s="126" t="s">
        <v>292</v>
      </c>
      <c r="D517" s="131"/>
      <c r="E517" s="131"/>
      <c r="F517" s="131"/>
      <c r="G517" s="131"/>
      <c r="H517" s="127"/>
      <c r="I517" s="27"/>
    </row>
    <row r="518" spans="1:10" s="26" customFormat="1" x14ac:dyDescent="0.35">
      <c r="A518" s="126">
        <f>A516+1</f>
        <v>3</v>
      </c>
      <c r="B518" s="127"/>
      <c r="C518" s="33" t="s">
        <v>272</v>
      </c>
      <c r="D518" s="48">
        <f>(130.475)*10.764</f>
        <v>1404.4328999999998</v>
      </c>
      <c r="E518" s="48">
        <f>(11.998)*10.764</f>
        <v>129.14647199999999</v>
      </c>
      <c r="F518" s="33">
        <f t="shared" si="117"/>
        <v>1533.5793719999997</v>
      </c>
      <c r="G518" s="33">
        <v>0</v>
      </c>
      <c r="H518" s="33">
        <f t="shared" si="119"/>
        <v>2300.3690579999993</v>
      </c>
      <c r="I518" s="27">
        <f>7.615*4.9+1.3*1.7+3.05*4.555+3.35*4.55+4.795*3.65+1.53*1.45*2+3.65*3.6+2.065*2.1+1.53*2.05*2+1.38*2.5+2.5*1+1.38*2.3</f>
        <v>123.471</v>
      </c>
      <c r="J518" s="26">
        <f>4.42*1.5+2.44*2.2</f>
        <v>11.998000000000001</v>
      </c>
    </row>
    <row r="519" spans="1:10" s="26" customFormat="1" x14ac:dyDescent="0.35">
      <c r="A519" s="126">
        <f t="shared" si="118"/>
        <v>4</v>
      </c>
      <c r="B519" s="127"/>
      <c r="C519" s="33" t="s">
        <v>273</v>
      </c>
      <c r="D519" s="48">
        <f>(201.242)*10.764</f>
        <v>2166.1688879999997</v>
      </c>
      <c r="E519" s="48">
        <f>(33.739)*10.764</f>
        <v>363.16659599999997</v>
      </c>
      <c r="F519" s="33">
        <f>D519+E519</f>
        <v>2529.3354839999997</v>
      </c>
      <c r="G519" s="33">
        <v>0</v>
      </c>
      <c r="H519" s="33">
        <f t="shared" si="119"/>
        <v>3794.0032259999998</v>
      </c>
      <c r="I519" s="27"/>
    </row>
    <row r="520" spans="1:10" s="26" customFormat="1" x14ac:dyDescent="0.35">
      <c r="A520" s="128" t="s">
        <v>296</v>
      </c>
      <c r="B520" s="129"/>
      <c r="C520" s="129"/>
      <c r="D520" s="129"/>
      <c r="E520" s="129"/>
      <c r="F520" s="129"/>
      <c r="G520" s="129"/>
      <c r="H520" s="130"/>
      <c r="I520" s="27"/>
    </row>
    <row r="521" spans="1:10" s="26" customFormat="1" x14ac:dyDescent="0.35">
      <c r="A521" s="128" t="s">
        <v>302</v>
      </c>
      <c r="B521" s="129"/>
      <c r="C521" s="129"/>
      <c r="D521" s="129"/>
      <c r="E521" s="129"/>
      <c r="F521" s="129"/>
      <c r="G521" s="129"/>
      <c r="H521" s="130"/>
      <c r="I521" s="27"/>
    </row>
    <row r="522" spans="1:10" s="26" customFormat="1" x14ac:dyDescent="0.35">
      <c r="A522" s="128" t="s">
        <v>297</v>
      </c>
      <c r="B522" s="129"/>
      <c r="C522" s="129"/>
      <c r="D522" s="129"/>
      <c r="E522" s="129"/>
      <c r="F522" s="129"/>
      <c r="G522" s="129"/>
      <c r="H522" s="130"/>
      <c r="I522" s="27"/>
    </row>
    <row r="523" spans="1:10" s="26" customFormat="1" x14ac:dyDescent="0.35">
      <c r="A523" s="128" t="s">
        <v>269</v>
      </c>
      <c r="B523" s="129"/>
      <c r="C523" s="129"/>
      <c r="D523" s="129"/>
      <c r="E523" s="129"/>
      <c r="F523" s="129"/>
      <c r="G523" s="129"/>
      <c r="H523" s="130"/>
      <c r="I523" s="27"/>
    </row>
    <row r="524" spans="1:10" s="26" customFormat="1" x14ac:dyDescent="0.35">
      <c r="A524" s="128" t="s">
        <v>269</v>
      </c>
      <c r="B524" s="129"/>
      <c r="C524" s="129"/>
      <c r="D524" s="129"/>
      <c r="E524" s="129"/>
      <c r="F524" s="129"/>
      <c r="G524" s="129"/>
      <c r="H524" s="130"/>
      <c r="I524" s="27"/>
    </row>
    <row r="525" spans="1:10" s="26" customFormat="1" x14ac:dyDescent="0.35">
      <c r="A525" s="128" t="s">
        <v>298</v>
      </c>
      <c r="B525" s="129"/>
      <c r="C525" s="129"/>
      <c r="D525" s="129"/>
      <c r="E525" s="129"/>
      <c r="F525" s="129"/>
      <c r="G525" s="129"/>
      <c r="H525" s="130"/>
      <c r="I525" s="27"/>
    </row>
    <row r="526" spans="1:10" s="26" customFormat="1" x14ac:dyDescent="0.35">
      <c r="A526" s="128" t="s">
        <v>270</v>
      </c>
      <c r="B526" s="129"/>
      <c r="C526" s="129"/>
      <c r="D526" s="129"/>
      <c r="E526" s="129"/>
      <c r="F526" s="129"/>
      <c r="G526" s="129"/>
      <c r="H526" s="130"/>
      <c r="I526" s="27"/>
    </row>
    <row r="527" spans="1:10" s="26" customFormat="1" x14ac:dyDescent="0.35">
      <c r="A527" s="128" t="s">
        <v>299</v>
      </c>
      <c r="B527" s="129"/>
      <c r="C527" s="129"/>
      <c r="D527" s="129"/>
      <c r="E527" s="129"/>
      <c r="F527" s="129"/>
      <c r="G527" s="129"/>
      <c r="H527" s="130"/>
      <c r="I527" s="27"/>
    </row>
    <row r="528" spans="1:10" s="26" customFormat="1" x14ac:dyDescent="0.35">
      <c r="A528" s="128" t="s">
        <v>300</v>
      </c>
      <c r="B528" s="129"/>
      <c r="C528" s="129"/>
      <c r="D528" s="129"/>
      <c r="E528" s="129"/>
      <c r="F528" s="129"/>
      <c r="G528" s="129"/>
      <c r="H528" s="130"/>
      <c r="I528" s="27"/>
    </row>
    <row r="529" spans="1:13" s="26" customFormat="1" x14ac:dyDescent="0.35">
      <c r="A529" s="126">
        <v>1</v>
      </c>
      <c r="B529" s="127"/>
      <c r="C529" s="33" t="s">
        <v>272</v>
      </c>
      <c r="D529" s="48">
        <f>(100.629)*10.764</f>
        <v>1083.170556</v>
      </c>
      <c r="E529" s="48">
        <f>(8.523)*10.764</f>
        <v>91.741571999999991</v>
      </c>
      <c r="F529" s="33">
        <f t="shared" ref="F529:F531" si="120">D529+E529</f>
        <v>1174.9121279999999</v>
      </c>
      <c r="G529" s="33">
        <v>0</v>
      </c>
      <c r="H529" s="33">
        <f>F529*(($H$422)+1)+(IF(G529&lt;101,G529,IF(G529&lt;201,G529/2,IF(G529&lt;=301,G529/3,G529/4))))</f>
        <v>1762.3681919999999</v>
      </c>
      <c r="I529" s="27">
        <f>3.65*6.9+1.5*2.1+0.68*4.225+3.31*2.71+3.01*3.61+3.05*3.895+0.9*2+4.115*3.61+1.85*1.85+1.55*2.41+1.47*2.41+1.5*1.4+1.5*2.1</f>
        <v>95.529799999999994</v>
      </c>
      <c r="J529" s="26">
        <f>3.58*1.5+3.105*1.015</f>
        <v>8.5215750000000003</v>
      </c>
    </row>
    <row r="530" spans="1:13" s="26" customFormat="1" x14ac:dyDescent="0.35">
      <c r="A530" s="126">
        <f t="shared" ref="A530:A532" si="121">A529+1</f>
        <v>2</v>
      </c>
      <c r="B530" s="127"/>
      <c r="C530" s="33" t="s">
        <v>272</v>
      </c>
      <c r="D530" s="48">
        <f>(113.822)*10.764</f>
        <v>1225.180008</v>
      </c>
      <c r="E530" s="48">
        <f>(8.838)*10.764</f>
        <v>95.132231999999988</v>
      </c>
      <c r="F530" s="33">
        <f t="shared" si="120"/>
        <v>1320.31224</v>
      </c>
      <c r="G530" s="33">
        <v>0</v>
      </c>
      <c r="H530" s="33">
        <f t="shared" ref="H530:H532" si="122">F530*(($H$422)+1)+(IF(G530&lt;101,G530,IF(G530&lt;201,G530/2,IF(G530&lt;=301,G530/3,G530/4))))</f>
        <v>1980.4683599999998</v>
      </c>
      <c r="I530" s="27">
        <f>3.65*6.9+1.5*2.265+0.68*4.225+3.31*2.71+3.01*3.91+3.05*4.195+0.9*2+4.115*3.91+1.85*1.85+1.55*2.41+1.47*2.41+1.5*1.4+1.5*2.1+(2.45*2.265+1.805*1.25)</f>
        <v>106.6353</v>
      </c>
      <c r="J530" s="50">
        <f>3.58*1.5+3.7*1.015</f>
        <v>9.1254999999999988</v>
      </c>
      <c r="K530" s="50">
        <f>8.838</f>
        <v>8.8379999999999992</v>
      </c>
      <c r="M530" s="26">
        <f>31700000/H529</f>
        <v>17987.16076691425</v>
      </c>
    </row>
    <row r="531" spans="1:13" s="26" customFormat="1" x14ac:dyDescent="0.35">
      <c r="A531" s="126">
        <f t="shared" si="121"/>
        <v>3</v>
      </c>
      <c r="B531" s="127"/>
      <c r="C531" s="33" t="s">
        <v>272</v>
      </c>
      <c r="D531" s="48">
        <f>(113.822)*10.764</f>
        <v>1225.180008</v>
      </c>
      <c r="E531" s="48">
        <f>(8.838)*10.764</f>
        <v>95.132231999999988</v>
      </c>
      <c r="F531" s="33">
        <f t="shared" si="120"/>
        <v>1320.31224</v>
      </c>
      <c r="G531" s="33">
        <v>0</v>
      </c>
      <c r="H531" s="33">
        <f t="shared" si="122"/>
        <v>1980.4683599999998</v>
      </c>
      <c r="I531" s="27"/>
    </row>
    <row r="532" spans="1:13" s="26" customFormat="1" x14ac:dyDescent="0.35">
      <c r="A532" s="126">
        <f t="shared" si="121"/>
        <v>4</v>
      </c>
      <c r="B532" s="127"/>
      <c r="C532" s="33" t="s">
        <v>272</v>
      </c>
      <c r="D532" s="48">
        <f>(100.629)*10.764</f>
        <v>1083.170556</v>
      </c>
      <c r="E532" s="48">
        <f>(8.523)*10.764</f>
        <v>91.741571999999991</v>
      </c>
      <c r="F532" s="33">
        <f>D532+E532</f>
        <v>1174.9121279999999</v>
      </c>
      <c r="G532" s="33">
        <v>0</v>
      </c>
      <c r="H532" s="33">
        <f t="shared" si="122"/>
        <v>1762.3681919999999</v>
      </c>
      <c r="I532" s="27"/>
    </row>
    <row r="533" spans="1:13" s="26" customFormat="1" ht="15.75" customHeight="1" x14ac:dyDescent="0.35">
      <c r="A533" s="128" t="s">
        <v>291</v>
      </c>
      <c r="B533" s="129"/>
      <c r="C533" s="129"/>
      <c r="D533" s="129"/>
      <c r="E533" s="129"/>
      <c r="F533" s="129"/>
      <c r="G533" s="129"/>
      <c r="H533" s="130"/>
      <c r="I533" s="27"/>
    </row>
    <row r="534" spans="1:13" s="26" customFormat="1" x14ac:dyDescent="0.35">
      <c r="A534" s="126">
        <v>1</v>
      </c>
      <c r="B534" s="127"/>
      <c r="C534" s="33" t="s">
        <v>272</v>
      </c>
      <c r="D534" s="48">
        <f>(100.629)*10.764</f>
        <v>1083.170556</v>
      </c>
      <c r="E534" s="48">
        <f>(8.523)*10.764</f>
        <v>91.741571999999991</v>
      </c>
      <c r="F534" s="33">
        <f t="shared" ref="F534:F536" si="123">D534+E534</f>
        <v>1174.9121279999999</v>
      </c>
      <c r="G534" s="33">
        <v>0</v>
      </c>
      <c r="H534" s="33">
        <f>F534*(($H$422)+1)+(IF(G534&lt;101,G534,IF(G534&lt;201,G534/2,IF(G534&lt;=301,G534/3,G534/4))))</f>
        <v>1762.3681919999999</v>
      </c>
      <c r="I534" s="27"/>
    </row>
    <row r="535" spans="1:13" s="26" customFormat="1" x14ac:dyDescent="0.35">
      <c r="A535" s="126">
        <f t="shared" ref="A535:A537" si="124">A534+1</f>
        <v>2</v>
      </c>
      <c r="B535" s="127"/>
      <c r="C535" s="33" t="s">
        <v>272</v>
      </c>
      <c r="D535" s="48">
        <f>(113.822)*10.764</f>
        <v>1225.180008</v>
      </c>
      <c r="E535" s="48">
        <f>(8.838)*10.764</f>
        <v>95.132231999999988</v>
      </c>
      <c r="F535" s="33">
        <f t="shared" si="123"/>
        <v>1320.31224</v>
      </c>
      <c r="G535" s="33">
        <v>0</v>
      </c>
      <c r="H535" s="33">
        <f t="shared" ref="H535:H537" si="125">F535*(($H$422)+1)+(IF(G535&lt;101,G535,IF(G535&lt;201,G535/2,IF(G535&lt;=301,G535/3,G535/4))))</f>
        <v>1980.4683599999998</v>
      </c>
      <c r="I535" s="27"/>
    </row>
    <row r="536" spans="1:13" s="26" customFormat="1" x14ac:dyDescent="0.35">
      <c r="A536" s="126">
        <f t="shared" si="124"/>
        <v>3</v>
      </c>
      <c r="B536" s="127"/>
      <c r="C536" s="33" t="s">
        <v>272</v>
      </c>
      <c r="D536" s="48">
        <f>(113.822)*10.764</f>
        <v>1225.180008</v>
      </c>
      <c r="E536" s="48">
        <f>(8.838)*10.764</f>
        <v>95.132231999999988</v>
      </c>
      <c r="F536" s="33">
        <f t="shared" si="123"/>
        <v>1320.31224</v>
      </c>
      <c r="G536" s="33">
        <v>0</v>
      </c>
      <c r="H536" s="33">
        <f t="shared" si="125"/>
        <v>1980.4683599999998</v>
      </c>
      <c r="I536" s="27"/>
    </row>
    <row r="537" spans="1:13" s="26" customFormat="1" x14ac:dyDescent="0.35">
      <c r="A537" s="126">
        <f t="shared" si="124"/>
        <v>4</v>
      </c>
      <c r="B537" s="127"/>
      <c r="C537" s="33" t="s">
        <v>301</v>
      </c>
      <c r="D537" s="48">
        <f>(77.808)*10.764</f>
        <v>837.52531199999999</v>
      </c>
      <c r="E537" s="48">
        <f>(8.523)*10.764</f>
        <v>91.741571999999991</v>
      </c>
      <c r="F537" s="33">
        <f>D537+E537</f>
        <v>929.266884</v>
      </c>
      <c r="G537" s="33">
        <v>0</v>
      </c>
      <c r="H537" s="33">
        <f t="shared" si="125"/>
        <v>1393.9003259999999</v>
      </c>
      <c r="I537" s="27">
        <f>3.65*6.9+1.5*2.1+0.68*4.225+3.31*2.71+3.01*3.61+4.115*3.61+1.55*2.41+1.47*2.41+1.5*1.4+1.5*2.1</f>
        <v>78.427549999999997</v>
      </c>
      <c r="M537" s="26">
        <f>23000000/H537</f>
        <v>16500.462458461323</v>
      </c>
    </row>
    <row r="538" spans="1:13" s="26" customFormat="1" x14ac:dyDescent="0.35">
      <c r="A538" s="126" t="s">
        <v>276</v>
      </c>
      <c r="B538" s="127"/>
      <c r="C538" s="126" t="s">
        <v>292</v>
      </c>
      <c r="D538" s="131"/>
      <c r="E538" s="131"/>
      <c r="F538" s="131"/>
      <c r="G538" s="131"/>
      <c r="H538" s="127"/>
      <c r="I538" s="27"/>
    </row>
    <row r="539" spans="1:13" s="26" customFormat="1" x14ac:dyDescent="0.35">
      <c r="A539" s="128" t="s">
        <v>303</v>
      </c>
      <c r="B539" s="129"/>
      <c r="C539" s="129"/>
      <c r="D539" s="129"/>
      <c r="E539" s="129"/>
      <c r="F539" s="129"/>
      <c r="G539" s="129"/>
      <c r="H539" s="130"/>
      <c r="I539" s="27"/>
    </row>
    <row r="540" spans="1:13" s="26" customFormat="1" x14ac:dyDescent="0.35">
      <c r="A540" s="128" t="s">
        <v>297</v>
      </c>
      <c r="B540" s="129"/>
      <c r="C540" s="129"/>
      <c r="D540" s="129"/>
      <c r="E540" s="129"/>
      <c r="F540" s="129"/>
      <c r="G540" s="129"/>
      <c r="H540" s="130"/>
      <c r="I540" s="27"/>
    </row>
    <row r="541" spans="1:13" s="26" customFormat="1" x14ac:dyDescent="0.35">
      <c r="A541" s="128" t="s">
        <v>269</v>
      </c>
      <c r="B541" s="129"/>
      <c r="C541" s="129"/>
      <c r="D541" s="129"/>
      <c r="E541" s="129"/>
      <c r="F541" s="129"/>
      <c r="G541" s="129"/>
      <c r="H541" s="130"/>
      <c r="I541" s="27"/>
    </row>
    <row r="542" spans="1:13" s="26" customFormat="1" x14ac:dyDescent="0.35">
      <c r="A542" s="128" t="s">
        <v>269</v>
      </c>
      <c r="B542" s="129"/>
      <c r="C542" s="129"/>
      <c r="D542" s="129"/>
      <c r="E542" s="129"/>
      <c r="F542" s="129"/>
      <c r="G542" s="129"/>
      <c r="H542" s="130"/>
      <c r="I542" s="27"/>
    </row>
    <row r="543" spans="1:13" s="26" customFormat="1" x14ac:dyDescent="0.35">
      <c r="A543" s="128" t="s">
        <v>298</v>
      </c>
      <c r="B543" s="129"/>
      <c r="C543" s="129"/>
      <c r="D543" s="129"/>
      <c r="E543" s="129"/>
      <c r="F543" s="129"/>
      <c r="G543" s="129"/>
      <c r="H543" s="130"/>
      <c r="I543" s="27"/>
    </row>
    <row r="544" spans="1:13" s="26" customFormat="1" x14ac:dyDescent="0.35">
      <c r="A544" s="128" t="s">
        <v>270</v>
      </c>
      <c r="B544" s="129"/>
      <c r="C544" s="129"/>
      <c r="D544" s="129"/>
      <c r="E544" s="129"/>
      <c r="F544" s="129"/>
      <c r="G544" s="129"/>
      <c r="H544" s="130"/>
      <c r="I544" s="27"/>
    </row>
    <row r="545" spans="1:11" s="26" customFormat="1" x14ac:dyDescent="0.35">
      <c r="A545" s="128" t="s">
        <v>299</v>
      </c>
      <c r="B545" s="129"/>
      <c r="C545" s="129"/>
      <c r="D545" s="129"/>
      <c r="E545" s="129"/>
      <c r="F545" s="129"/>
      <c r="G545" s="129"/>
      <c r="H545" s="130"/>
      <c r="I545" s="27"/>
    </row>
    <row r="546" spans="1:11" s="26" customFormat="1" x14ac:dyDescent="0.35">
      <c r="A546" s="128" t="s">
        <v>300</v>
      </c>
      <c r="B546" s="129"/>
      <c r="C546" s="129"/>
      <c r="D546" s="129"/>
      <c r="E546" s="129"/>
      <c r="F546" s="129"/>
      <c r="G546" s="129"/>
      <c r="H546" s="130"/>
      <c r="I546" s="27"/>
    </row>
    <row r="547" spans="1:11" s="26" customFormat="1" x14ac:dyDescent="0.35">
      <c r="A547" s="126">
        <v>1</v>
      </c>
      <c r="B547" s="127"/>
      <c r="C547" s="33" t="s">
        <v>272</v>
      </c>
      <c r="D547" s="48">
        <f>(100.629)*10.764</f>
        <v>1083.170556</v>
      </c>
      <c r="E547" s="48">
        <f>(8.523)*10.764</f>
        <v>91.741571999999991</v>
      </c>
      <c r="F547" s="33">
        <f t="shared" ref="F547:F549" si="126">D547+E547</f>
        <v>1174.9121279999999</v>
      </c>
      <c r="G547" s="33">
        <v>0</v>
      </c>
      <c r="H547" s="33">
        <f>F547*(($H$422)+1)+(IF(G547&lt;101,G547,IF(G547&lt;201,G547/2,IF(G547&lt;=301,G547/3,G547/4))))</f>
        <v>1762.3681919999999</v>
      </c>
      <c r="I547" s="27"/>
    </row>
    <row r="548" spans="1:11" s="26" customFormat="1" x14ac:dyDescent="0.35">
      <c r="A548" s="126">
        <f t="shared" ref="A548:A550" si="127">A547+1</f>
        <v>2</v>
      </c>
      <c r="B548" s="127"/>
      <c r="C548" s="33" t="s">
        <v>272</v>
      </c>
      <c r="D548" s="48">
        <f>(113.822)*10.764</f>
        <v>1225.180008</v>
      </c>
      <c r="E548" s="48">
        <f>(8.838)*10.764</f>
        <v>95.132231999999988</v>
      </c>
      <c r="F548" s="33">
        <f t="shared" si="126"/>
        <v>1320.31224</v>
      </c>
      <c r="G548" s="33">
        <v>0</v>
      </c>
      <c r="H548" s="33">
        <f t="shared" ref="H548:H550" si="128">F548*(($H$422)+1)+(IF(G548&lt;101,G548,IF(G548&lt;201,G548/2,IF(G548&lt;=301,G548/3,G548/4))))</f>
        <v>1980.4683599999998</v>
      </c>
      <c r="I548" s="27"/>
    </row>
    <row r="549" spans="1:11" s="26" customFormat="1" x14ac:dyDescent="0.35">
      <c r="A549" s="126">
        <f t="shared" si="127"/>
        <v>3</v>
      </c>
      <c r="B549" s="127"/>
      <c r="C549" s="33" t="s">
        <v>272</v>
      </c>
      <c r="D549" s="48">
        <f>(113.822)*10.764</f>
        <v>1225.180008</v>
      </c>
      <c r="E549" s="48">
        <f>(8.838)*10.764</f>
        <v>95.132231999999988</v>
      </c>
      <c r="F549" s="33">
        <f t="shared" si="126"/>
        <v>1320.31224</v>
      </c>
      <c r="G549" s="33">
        <v>0</v>
      </c>
      <c r="H549" s="33">
        <f t="shared" si="128"/>
        <v>1980.4683599999998</v>
      </c>
      <c r="I549" s="27"/>
    </row>
    <row r="550" spans="1:11" s="26" customFormat="1" x14ac:dyDescent="0.35">
      <c r="A550" s="126">
        <f t="shared" si="127"/>
        <v>4</v>
      </c>
      <c r="B550" s="127"/>
      <c r="C550" s="33" t="s">
        <v>272</v>
      </c>
      <c r="D550" s="48">
        <f>(100.629)*10.764</f>
        <v>1083.170556</v>
      </c>
      <c r="E550" s="48">
        <f>(8.523)*10.764</f>
        <v>91.741571999999991</v>
      </c>
      <c r="F550" s="33">
        <f>D550+E550</f>
        <v>1174.9121279999999</v>
      </c>
      <c r="G550" s="33">
        <v>0</v>
      </c>
      <c r="H550" s="33">
        <f t="shared" si="128"/>
        <v>1762.3681919999999</v>
      </c>
      <c r="I550" s="27"/>
    </row>
    <row r="551" spans="1:11" s="26" customFormat="1" x14ac:dyDescent="0.35">
      <c r="A551" s="128" t="s">
        <v>291</v>
      </c>
      <c r="B551" s="129"/>
      <c r="C551" s="129"/>
      <c r="D551" s="129"/>
      <c r="E551" s="129"/>
      <c r="F551" s="129"/>
      <c r="G551" s="129"/>
      <c r="H551" s="130"/>
      <c r="I551" s="27"/>
    </row>
    <row r="552" spans="1:11" s="26" customFormat="1" x14ac:dyDescent="0.35">
      <c r="A552" s="126">
        <v>1</v>
      </c>
      <c r="B552" s="127"/>
      <c r="C552" s="33" t="s">
        <v>272</v>
      </c>
      <c r="D552" s="48">
        <f>(100.629)*10.764</f>
        <v>1083.170556</v>
      </c>
      <c r="E552" s="48">
        <f>(8.523)*10.764</f>
        <v>91.741571999999991</v>
      </c>
      <c r="F552" s="33">
        <f t="shared" ref="F552:F554" si="129">D552+E552</f>
        <v>1174.9121279999999</v>
      </c>
      <c r="G552" s="33">
        <v>0</v>
      </c>
      <c r="H552" s="33">
        <f>F552*(($H$422)+1)+(IF(G552&lt;101,G552,IF(G552&lt;201,G552/2,IF(G552&lt;=301,G552/3,G552/4))))</f>
        <v>1762.3681919999999</v>
      </c>
      <c r="I552" s="27"/>
    </row>
    <row r="553" spans="1:11" s="26" customFormat="1" x14ac:dyDescent="0.35">
      <c r="A553" s="126">
        <f t="shared" ref="A553:A555" si="130">A552+1</f>
        <v>2</v>
      </c>
      <c r="B553" s="127"/>
      <c r="C553" s="33" t="s">
        <v>272</v>
      </c>
      <c r="D553" s="48">
        <f>(113.822)*10.764</f>
        <v>1225.180008</v>
      </c>
      <c r="E553" s="48">
        <f>(8.838)*10.764</f>
        <v>95.132231999999988</v>
      </c>
      <c r="F553" s="33">
        <f t="shared" si="129"/>
        <v>1320.31224</v>
      </c>
      <c r="G553" s="33">
        <v>0</v>
      </c>
      <c r="H553" s="33">
        <f t="shared" ref="H553:H555" si="131">F553*(($H$422)+1)+(IF(G553&lt;101,G553,IF(G553&lt;201,G553/2,IF(G553&lt;=301,G553/3,G553/4))))</f>
        <v>1980.4683599999998</v>
      </c>
      <c r="I553" s="27"/>
    </row>
    <row r="554" spans="1:11" s="26" customFormat="1" x14ac:dyDescent="0.35">
      <c r="A554" s="126">
        <f t="shared" si="130"/>
        <v>3</v>
      </c>
      <c r="B554" s="127"/>
      <c r="C554" s="33" t="s">
        <v>272</v>
      </c>
      <c r="D554" s="48">
        <f>(113.822)*10.764</f>
        <v>1225.180008</v>
      </c>
      <c r="E554" s="48">
        <f>(8.838)*10.764</f>
        <v>95.132231999999988</v>
      </c>
      <c r="F554" s="33">
        <f t="shared" si="129"/>
        <v>1320.31224</v>
      </c>
      <c r="G554" s="33">
        <v>0</v>
      </c>
      <c r="H554" s="33">
        <f t="shared" si="131"/>
        <v>1980.4683599999998</v>
      </c>
      <c r="I554" s="27"/>
    </row>
    <row r="555" spans="1:11" s="26" customFormat="1" x14ac:dyDescent="0.35">
      <c r="A555" s="126">
        <f t="shared" si="130"/>
        <v>4</v>
      </c>
      <c r="B555" s="127"/>
      <c r="C555" s="33" t="s">
        <v>301</v>
      </c>
      <c r="D555" s="48">
        <f>(77.808)*10.764</f>
        <v>837.52531199999999</v>
      </c>
      <c r="E555" s="48">
        <f>(8.523)*10.764</f>
        <v>91.741571999999991</v>
      </c>
      <c r="F555" s="33">
        <f>D555+E555</f>
        <v>929.266884</v>
      </c>
      <c r="G555" s="33">
        <v>0</v>
      </c>
      <c r="H555" s="33">
        <f t="shared" si="131"/>
        <v>1393.9003259999999</v>
      </c>
      <c r="I555" s="27"/>
    </row>
    <row r="556" spans="1:11" s="26" customFormat="1" x14ac:dyDescent="0.35">
      <c r="A556" s="126" t="s">
        <v>276</v>
      </c>
      <c r="B556" s="127"/>
      <c r="C556" s="126" t="s">
        <v>292</v>
      </c>
      <c r="D556" s="131"/>
      <c r="E556" s="131"/>
      <c r="F556" s="131"/>
      <c r="G556" s="131"/>
      <c r="H556" s="127"/>
      <c r="I556" s="27"/>
    </row>
    <row r="557" spans="1:11" s="26" customFormat="1" x14ac:dyDescent="0.35">
      <c r="A557" s="128" t="s">
        <v>305</v>
      </c>
      <c r="B557" s="129"/>
      <c r="C557" s="129"/>
      <c r="D557" s="129"/>
      <c r="E557" s="129"/>
      <c r="F557" s="129"/>
      <c r="G557" s="129"/>
      <c r="H557" s="130"/>
      <c r="I557" s="27"/>
    </row>
    <row r="558" spans="1:11" s="26" customFormat="1" x14ac:dyDescent="0.35">
      <c r="A558" s="128" t="s">
        <v>279</v>
      </c>
      <c r="B558" s="129"/>
      <c r="C558" s="129"/>
      <c r="D558" s="129"/>
      <c r="E558" s="129"/>
      <c r="F558" s="129"/>
      <c r="G558" s="129"/>
      <c r="H558" s="130"/>
      <c r="I558" s="27"/>
    </row>
    <row r="559" spans="1:11" s="26" customFormat="1" ht="15.75" customHeight="1" x14ac:dyDescent="0.35">
      <c r="A559" s="126">
        <v>1</v>
      </c>
      <c r="B559" s="127"/>
      <c r="C559" s="33" t="s">
        <v>272</v>
      </c>
      <c r="D559" s="48">
        <f>(99.972)*10.764</f>
        <v>1076.0986079999998</v>
      </c>
      <c r="E559" s="48">
        <f>(8.564)*10.764</f>
        <v>92.182896</v>
      </c>
      <c r="F559" s="33">
        <f t="shared" ref="F559:F561" si="132">D559+E559</f>
        <v>1168.2815039999998</v>
      </c>
      <c r="G559" s="48">
        <f>(1.895*3.4+2.3*2.6+2.1*3.4+1.5*5.1+5*3.5+6*9+1.9*2+(1.9*1.8)/2)*10.764</f>
        <v>1121.8563719999997</v>
      </c>
      <c r="H559" s="33">
        <f>F559*(($H$422)+1)+(IF(G559&lt;101,G559,IF(G559&lt;201,G559/2,IF(G559&lt;=301,G559/3,G559/4))))</f>
        <v>2032.8863489999999</v>
      </c>
      <c r="I559" s="27">
        <f>3.65*6.83+0.68*4.215+1.5*2.1+3.35*2.7+3.05*3.55+3.05*3.825+0.9*2+4.115*3.55+1.85*1.85+1.55*2.4+1.47*2.4+1.5*1.4+2.1*1.5</f>
        <v>94.813200000000009</v>
      </c>
      <c r="J559" s="26">
        <f>3.58*1.5+3.145*1.015</f>
        <v>8.5621749999999999</v>
      </c>
    </row>
    <row r="560" spans="1:11" s="26" customFormat="1" ht="15.75" customHeight="1" x14ac:dyDescent="0.35">
      <c r="A560" s="126">
        <f t="shared" ref="A560:A565" si="133">A559+1</f>
        <v>2</v>
      </c>
      <c r="B560" s="127"/>
      <c r="C560" s="33" t="s">
        <v>272</v>
      </c>
      <c r="D560" s="48">
        <f>(114.272)*10.764</f>
        <v>1230.0238079999999</v>
      </c>
      <c r="E560" s="48">
        <f>(8.873)*10.764</f>
        <v>95.508971999999986</v>
      </c>
      <c r="F560" s="33">
        <f t="shared" si="132"/>
        <v>1325.53278</v>
      </c>
      <c r="G560" s="48">
        <f>((4.8*1.45+3*2.1)+7*0.45+3.05*0.45)*10.764</f>
        <v>191.41082999999998</v>
      </c>
      <c r="H560" s="33">
        <f>F560*(($H$422)+1)+(IF(G560&lt;101,G560,IF(G560&lt;201,G560/2,IF(G560&lt;=301,G560/3,G560/4))))</f>
        <v>2084.0045850000001</v>
      </c>
      <c r="I560" s="27">
        <f>3.65*6.83+0.68*4.215+1.5*2.315+3.35*2.7+3.05*3.9+3.05*4.19+0.9*2+4.115*3.9+1.85*1.85+1.55*2.4+1.47*2.4+1.5*1.4+2.1*1.5+(2.45*2.315+1.845*1.3)</f>
        <v>106.82695000000001</v>
      </c>
      <c r="J560" s="45">
        <f>3.58*1.5+3.6741*1.015</f>
        <v>9.0992114999999991</v>
      </c>
      <c r="K560" s="45">
        <f>8.873</f>
        <v>8.8729999999999993</v>
      </c>
    </row>
    <row r="561" spans="1:10" s="26" customFormat="1" ht="15.75" customHeight="1" x14ac:dyDescent="0.35">
      <c r="A561" s="126">
        <f t="shared" si="133"/>
        <v>3</v>
      </c>
      <c r="B561" s="127"/>
      <c r="C561" s="33" t="s">
        <v>272</v>
      </c>
      <c r="D561" s="48">
        <f>(114.272)*10.764</f>
        <v>1230.0238079999999</v>
      </c>
      <c r="E561" s="48">
        <f>(8.873)*10.764</f>
        <v>95.508971999999986</v>
      </c>
      <c r="F561" s="33">
        <f t="shared" si="132"/>
        <v>1325.53278</v>
      </c>
      <c r="G561" s="48">
        <f>(3.05*0.45+7*0.45+(4.8*1.45+3*2.1)+(5*1+(4*4.2)/2+(3.6*3.8)/2+5.7*3.4+3.4*4))*10.764</f>
        <v>764.27091000000007</v>
      </c>
      <c r="H561" s="33">
        <f>F561*(($H$422)+1)+(IF(G561&lt;101,G561,IF(G561&lt;201,G561/2,IF(G561&lt;=301,G561/3,G561/4))))</f>
        <v>2179.3668975000001</v>
      </c>
      <c r="I561" s="27"/>
    </row>
    <row r="562" spans="1:10" s="26" customFormat="1" ht="15.75" customHeight="1" x14ac:dyDescent="0.35">
      <c r="A562" s="128" t="s">
        <v>281</v>
      </c>
      <c r="B562" s="129"/>
      <c r="C562" s="129"/>
      <c r="D562" s="129"/>
      <c r="E562" s="129"/>
      <c r="F562" s="129"/>
      <c r="G562" s="129"/>
      <c r="H562" s="130"/>
      <c r="I562" s="27"/>
    </row>
    <row r="563" spans="1:10" s="26" customFormat="1" ht="15.75" customHeight="1" x14ac:dyDescent="0.35">
      <c r="A563" s="126">
        <v>1</v>
      </c>
      <c r="B563" s="127"/>
      <c r="C563" s="33" t="s">
        <v>272</v>
      </c>
      <c r="D563" s="48">
        <f>(99.972)*10.764</f>
        <v>1076.0986079999998</v>
      </c>
      <c r="E563" s="48">
        <f>(8.564)*10.764</f>
        <v>92.182896</v>
      </c>
      <c r="F563" s="33">
        <f t="shared" ref="F563:F565" si="134">D563+E563</f>
        <v>1168.2815039999998</v>
      </c>
      <c r="G563" s="33">
        <v>0</v>
      </c>
      <c r="H563" s="33">
        <f>F563*(($H$422)+1)+(IF(G563&lt;101,G563,IF(G563&lt;201,G563/2,IF(G563&lt;=301,G563/3,G563/4))))</f>
        <v>1752.4222559999998</v>
      </c>
      <c r="I563" s="27"/>
    </row>
    <row r="564" spans="1:10" s="26" customFormat="1" x14ac:dyDescent="0.35">
      <c r="A564" s="126">
        <f t="shared" si="133"/>
        <v>2</v>
      </c>
      <c r="B564" s="127"/>
      <c r="C564" s="33" t="s">
        <v>272</v>
      </c>
      <c r="D564" s="48">
        <f>(114.272)*10.764</f>
        <v>1230.0238079999999</v>
      </c>
      <c r="E564" s="48">
        <f>(8.873)*10.764</f>
        <v>95.508971999999986</v>
      </c>
      <c r="F564" s="33">
        <f t="shared" si="134"/>
        <v>1325.53278</v>
      </c>
      <c r="G564" s="33">
        <v>0</v>
      </c>
      <c r="H564" s="33">
        <f t="shared" ref="H564:H565" si="135">F564*(($H$422)+1)+(IF(G564&lt;101,G564,IF(G564&lt;201,G564/2,IF(G564&lt;=301,G564/3,G564/4))))</f>
        <v>1988.29917</v>
      </c>
      <c r="I564" s="27"/>
    </row>
    <row r="565" spans="1:10" s="26" customFormat="1" x14ac:dyDescent="0.35">
      <c r="A565" s="126">
        <f t="shared" si="133"/>
        <v>3</v>
      </c>
      <c r="B565" s="127"/>
      <c r="C565" s="33" t="s">
        <v>272</v>
      </c>
      <c r="D565" s="48">
        <f>(114.272)*10.764</f>
        <v>1230.0238079999999</v>
      </c>
      <c r="E565" s="48">
        <f>(8.873)*10.764</f>
        <v>95.508971999999986</v>
      </c>
      <c r="F565" s="33">
        <f t="shared" si="134"/>
        <v>1325.53278</v>
      </c>
      <c r="G565" s="33">
        <v>0</v>
      </c>
      <c r="H565" s="33">
        <f t="shared" si="135"/>
        <v>1988.29917</v>
      </c>
      <c r="I565" s="27"/>
    </row>
    <row r="566" spans="1:10" s="26" customFormat="1" x14ac:dyDescent="0.35">
      <c r="A566" s="128" t="s">
        <v>291</v>
      </c>
      <c r="B566" s="129"/>
      <c r="C566" s="129"/>
      <c r="D566" s="129"/>
      <c r="E566" s="129"/>
      <c r="F566" s="129"/>
      <c r="G566" s="129"/>
      <c r="H566" s="130"/>
      <c r="I566" s="27"/>
    </row>
    <row r="567" spans="1:10" s="26" customFormat="1" x14ac:dyDescent="0.35">
      <c r="A567" s="126">
        <v>1</v>
      </c>
      <c r="B567" s="127"/>
      <c r="C567" s="33" t="s">
        <v>272</v>
      </c>
      <c r="D567" s="48">
        <f>(99.972)*10.764</f>
        <v>1076.0986079999998</v>
      </c>
      <c r="E567" s="48">
        <f>(8.564)*10.764</f>
        <v>92.182896</v>
      </c>
      <c r="F567" s="33">
        <f t="shared" ref="F567:F569" si="136">D567+E567</f>
        <v>1168.2815039999998</v>
      </c>
      <c r="G567" s="33">
        <v>0</v>
      </c>
      <c r="H567" s="33">
        <f>F567*(($H$422)+1)+(IF(G567&lt;101,G567,IF(G567&lt;201,G567/2,IF(G567&lt;=301,G567/3,G567/4))))</f>
        <v>1752.4222559999998</v>
      </c>
      <c r="I567" s="27"/>
    </row>
    <row r="568" spans="1:10" s="26" customFormat="1" x14ac:dyDescent="0.35">
      <c r="A568" s="126">
        <f t="shared" ref="A568:A569" si="137">A567+1</f>
        <v>2</v>
      </c>
      <c r="B568" s="127"/>
      <c r="C568" s="33" t="s">
        <v>272</v>
      </c>
      <c r="D568" s="48">
        <f>(114.272)*10.764</f>
        <v>1230.0238079999999</v>
      </c>
      <c r="E568" s="48">
        <f>(8.873)*10.764</f>
        <v>95.508971999999986</v>
      </c>
      <c r="F568" s="33">
        <f t="shared" si="136"/>
        <v>1325.53278</v>
      </c>
      <c r="G568" s="33">
        <v>0</v>
      </c>
      <c r="H568" s="33">
        <f t="shared" ref="H568:H569" si="138">F568*(($H$422)+1)+(IF(G568&lt;101,G568,IF(G568&lt;201,G568/2,IF(G568&lt;=301,G568/3,G568/4))))</f>
        <v>1988.29917</v>
      </c>
      <c r="I568" s="27"/>
    </row>
    <row r="569" spans="1:10" s="26" customFormat="1" x14ac:dyDescent="0.35">
      <c r="A569" s="126">
        <f t="shared" si="137"/>
        <v>3</v>
      </c>
      <c r="B569" s="127"/>
      <c r="C569" s="33" t="s">
        <v>272</v>
      </c>
      <c r="D569" s="48">
        <f>(104.853)*10.764</f>
        <v>1128.6376919999998</v>
      </c>
      <c r="E569" s="48">
        <f>(5.372)*10.764</f>
        <v>57.824207999999999</v>
      </c>
      <c r="F569" s="33">
        <f t="shared" si="136"/>
        <v>1186.4618999999998</v>
      </c>
      <c r="G569" s="33">
        <v>0</v>
      </c>
      <c r="H569" s="33">
        <f t="shared" si="138"/>
        <v>1779.6928499999997</v>
      </c>
      <c r="I569" s="27">
        <f>3.65*6.83+0.68*4.215+1.5*2.315+3.35*2.7+3.05*3.9+3.05*4.19+0.9*2+4.115*3.9+1.85*1.85+1.55*2.4+1.47*2.4+1.5*1.4+2.1*1.5</f>
        <v>98.756700000000009</v>
      </c>
      <c r="J569" s="45">
        <f>3.58*1.5</f>
        <v>5.37</v>
      </c>
    </row>
    <row r="570" spans="1:10" s="26" customFormat="1" x14ac:dyDescent="0.35">
      <c r="A570" s="126" t="s">
        <v>276</v>
      </c>
      <c r="B570" s="127"/>
      <c r="C570" s="126" t="s">
        <v>292</v>
      </c>
      <c r="D570" s="131"/>
      <c r="E570" s="131"/>
      <c r="F570" s="131"/>
      <c r="G570" s="131"/>
      <c r="H570" s="127"/>
      <c r="I570" s="27"/>
    </row>
    <row r="571" spans="1:10" s="26" customFormat="1" x14ac:dyDescent="0.35">
      <c r="A571" s="128" t="s">
        <v>304</v>
      </c>
      <c r="B571" s="129"/>
      <c r="C571" s="129"/>
      <c r="D571" s="129"/>
      <c r="E571" s="129"/>
      <c r="F571" s="129"/>
      <c r="G571" s="129"/>
      <c r="H571" s="130"/>
      <c r="I571" s="27"/>
    </row>
    <row r="572" spans="1:10" s="26" customFormat="1" x14ac:dyDescent="0.35">
      <c r="A572" s="128" t="s">
        <v>279</v>
      </c>
      <c r="B572" s="129"/>
      <c r="C572" s="129"/>
      <c r="D572" s="129"/>
      <c r="E572" s="129"/>
      <c r="F572" s="129"/>
      <c r="G572" s="129"/>
      <c r="H572" s="130"/>
      <c r="I572" s="27"/>
    </row>
    <row r="573" spans="1:10" s="26" customFormat="1" x14ac:dyDescent="0.35">
      <c r="A573" s="126">
        <v>1</v>
      </c>
      <c r="B573" s="127"/>
      <c r="C573" s="33" t="s">
        <v>272</v>
      </c>
      <c r="D573" s="48">
        <f>(100.783)*10.764</f>
        <v>1084.8282119999999</v>
      </c>
      <c r="E573" s="48">
        <f>(8.564)*10.764</f>
        <v>92.182896</v>
      </c>
      <c r="F573" s="33">
        <f t="shared" ref="F573:F575" si="139">D573+E573</f>
        <v>1177.0111079999999</v>
      </c>
      <c r="G573" s="33">
        <v>0</v>
      </c>
      <c r="H573" s="33">
        <f>F573*(($H$422)+1)+(IF(G573&lt;101,G573,IF(G573&lt;201,G573/2,IF(G573&lt;=301,G573/3,G573/4))))</f>
        <v>1765.516662</v>
      </c>
      <c r="I573" s="27">
        <f>3.65*6.905+0.68*4.285+1.5*2.265+3.35*2.7+3.05*3.575+3.05*3.875+0.9*2+4.115*3.575+1.85*1.85+1.55*2.4+1.47*2.4+1.5*1.4+2.1*1.5</f>
        <v>95.713675000000009</v>
      </c>
      <c r="J573" s="26">
        <f>3.65*1.5+3.145*1.015</f>
        <v>8.6671750000000003</v>
      </c>
    </row>
    <row r="574" spans="1:10" s="26" customFormat="1" x14ac:dyDescent="0.35">
      <c r="A574" s="126">
        <f t="shared" ref="A574:A581" si="140">A573+1</f>
        <v>2</v>
      </c>
      <c r="B574" s="127"/>
      <c r="C574" s="33" t="s">
        <v>272</v>
      </c>
      <c r="D574" s="48">
        <f>(114.3)*10.764</f>
        <v>1230.3252</v>
      </c>
      <c r="E574" s="48">
        <f>(8.88)*10.764</f>
        <v>95.584320000000005</v>
      </c>
      <c r="F574" s="33">
        <f t="shared" si="139"/>
        <v>1325.9095199999999</v>
      </c>
      <c r="G574" s="48">
        <f>((4.8*1.4+3*2.1)+7*0.45+3.05*0.45)*10.764</f>
        <v>188.82746999999995</v>
      </c>
      <c r="H574" s="33">
        <f>F574*(($H$422)+1)+(IF(G574&lt;101,G574,IF(G574&lt;201,G574/2,IF(G574&lt;=301,G574/3,G574/4))))</f>
        <v>2083.2780149999999</v>
      </c>
      <c r="I574" s="27">
        <f>3.65*7.23+0.68*4.265+1.5*2.265+3.35*2.75+3.05*3.9+3.05*4.19+0.9*2+4.115*3.9+1.85*1.85+1.55*2.45+1.47*2.45+1.5*1.5+2.1*1.5+(2.45*2.265+1.845*1.25)</f>
        <v>108.49970000000002</v>
      </c>
      <c r="J574" s="26">
        <f>3.58*1.5+3.741*1.015</f>
        <v>9.167114999999999</v>
      </c>
    </row>
    <row r="575" spans="1:10" s="26" customFormat="1" x14ac:dyDescent="0.35">
      <c r="A575" s="126">
        <f t="shared" si="140"/>
        <v>3</v>
      </c>
      <c r="B575" s="127"/>
      <c r="C575" s="33" t="s">
        <v>272</v>
      </c>
      <c r="D575" s="48">
        <f>(114.3)*10.764</f>
        <v>1230.3252</v>
      </c>
      <c r="E575" s="48">
        <f>(8.88)*10.764</f>
        <v>95.584320000000005</v>
      </c>
      <c r="F575" s="33">
        <f t="shared" si="139"/>
        <v>1325.9095199999999</v>
      </c>
      <c r="G575" s="48">
        <f>(3.05*0.45+7*0.45+(4.8*1.45+3*2.1))*10.764</f>
        <v>191.41083</v>
      </c>
      <c r="H575" s="33">
        <f>F575*(($H$422)+1)+(IF(G575&lt;101,G575,IF(G575&lt;201,G575/2,IF(G575&lt;=301,G575/3,G575/4))))</f>
        <v>2084.5696949999997</v>
      </c>
      <c r="I575" s="27"/>
    </row>
    <row r="576" spans="1:10" s="26" customFormat="1" ht="15.75" customHeight="1" x14ac:dyDescent="0.35">
      <c r="A576" s="126">
        <f t="shared" si="140"/>
        <v>4</v>
      </c>
      <c r="B576" s="127"/>
      <c r="C576" s="33" t="s">
        <v>272</v>
      </c>
      <c r="D576" s="48">
        <f>(100.783)*10.764</f>
        <v>1084.8282119999999</v>
      </c>
      <c r="E576" s="48">
        <f>(8.564)*10.764</f>
        <v>92.182896</v>
      </c>
      <c r="F576" s="33">
        <f t="shared" ref="F576" si="141">D576+E576</f>
        <v>1177.0111079999999</v>
      </c>
      <c r="G576" s="33">
        <v>0</v>
      </c>
      <c r="H576" s="33">
        <f>F576*(($H$422)+1)+(IF(G576&lt;101,G576,IF(G576&lt;201,G576/2,IF(G576&lt;=301,G576/3,G576/4))))</f>
        <v>1765.516662</v>
      </c>
      <c r="I576" s="27"/>
    </row>
    <row r="577" spans="1:10" s="26" customFormat="1" x14ac:dyDescent="0.35">
      <c r="A577" s="128" t="s">
        <v>281</v>
      </c>
      <c r="B577" s="129"/>
      <c r="C577" s="129"/>
      <c r="D577" s="129"/>
      <c r="E577" s="129"/>
      <c r="F577" s="129"/>
      <c r="G577" s="129"/>
      <c r="H577" s="130"/>
      <c r="I577" s="27"/>
    </row>
    <row r="578" spans="1:10" s="26" customFormat="1" x14ac:dyDescent="0.35">
      <c r="A578" s="126">
        <v>1</v>
      </c>
      <c r="B578" s="127"/>
      <c r="C578" s="33" t="s">
        <v>272</v>
      </c>
      <c r="D578" s="48">
        <f>(100.783)*10.764</f>
        <v>1084.8282119999999</v>
      </c>
      <c r="E578" s="48">
        <f>(8.564)*10.764</f>
        <v>92.182896</v>
      </c>
      <c r="F578" s="33">
        <f t="shared" ref="F578:F581" si="142">D578+E578</f>
        <v>1177.0111079999999</v>
      </c>
      <c r="G578" s="33">
        <v>0</v>
      </c>
      <c r="H578" s="33">
        <f>F578*(($H$422)+1)+(IF(G578&lt;101,G578,IF(G578&lt;201,G578/2,IF(G578&lt;=301,G578/3,G578/4))))</f>
        <v>1765.516662</v>
      </c>
      <c r="I578" s="27"/>
    </row>
    <row r="579" spans="1:10" s="26" customFormat="1" x14ac:dyDescent="0.35">
      <c r="A579" s="126">
        <f t="shared" si="140"/>
        <v>2</v>
      </c>
      <c r="B579" s="127"/>
      <c r="C579" s="33" t="s">
        <v>272</v>
      </c>
      <c r="D579" s="48">
        <f>(114.3)*10.764</f>
        <v>1230.3252</v>
      </c>
      <c r="E579" s="48">
        <f>(8.88)*10.764</f>
        <v>95.584320000000005</v>
      </c>
      <c r="F579" s="33">
        <f t="shared" si="142"/>
        <v>1325.9095199999999</v>
      </c>
      <c r="G579" s="33">
        <v>0</v>
      </c>
      <c r="H579" s="33">
        <f>F579*(($H$422)+1)+(IF(G579&lt;101,G579,IF(G579&lt;201,G579/2,IF(G579&lt;=301,G579/3,G579/4))))</f>
        <v>1988.8642799999998</v>
      </c>
      <c r="I579" s="27"/>
    </row>
    <row r="580" spans="1:10" s="26" customFormat="1" x14ac:dyDescent="0.35">
      <c r="A580" s="126">
        <f t="shared" si="140"/>
        <v>3</v>
      </c>
      <c r="B580" s="127"/>
      <c r="C580" s="33" t="s">
        <v>272</v>
      </c>
      <c r="D580" s="48">
        <f>(114.3)*10.764</f>
        <v>1230.3252</v>
      </c>
      <c r="E580" s="48">
        <f>(8.88)*10.764</f>
        <v>95.584320000000005</v>
      </c>
      <c r="F580" s="33">
        <f t="shared" si="142"/>
        <v>1325.9095199999999</v>
      </c>
      <c r="G580" s="33">
        <v>0</v>
      </c>
      <c r="H580" s="33">
        <f>F580*(($H$422)+1)+(IF(G580&lt;101,G580,IF(G580&lt;201,G580/2,IF(G580&lt;=301,G580/3,G580/4))))</f>
        <v>1988.8642799999998</v>
      </c>
      <c r="I580" s="27"/>
    </row>
    <row r="581" spans="1:10" s="26" customFormat="1" x14ac:dyDescent="0.35">
      <c r="A581" s="126">
        <f t="shared" si="140"/>
        <v>4</v>
      </c>
      <c r="B581" s="127"/>
      <c r="C581" s="33" t="s">
        <v>272</v>
      </c>
      <c r="D581" s="48">
        <f>(100.783)*10.764</f>
        <v>1084.8282119999999</v>
      </c>
      <c r="E581" s="48">
        <f>(8.564)*10.764</f>
        <v>92.182896</v>
      </c>
      <c r="F581" s="33">
        <f t="shared" si="142"/>
        <v>1177.0111079999999</v>
      </c>
      <c r="G581" s="33">
        <v>0</v>
      </c>
      <c r="H581" s="33">
        <f>F581*(($H$422)+1)+(IF(G581&lt;101,G581,IF(G581&lt;201,G581/2,IF(G581&lt;=301,G581/3,G581/4))))</f>
        <v>1765.516662</v>
      </c>
      <c r="I581" s="27"/>
    </row>
    <row r="582" spans="1:10" s="26" customFormat="1" ht="15.75" customHeight="1" x14ac:dyDescent="0.35">
      <c r="A582" s="128" t="s">
        <v>291</v>
      </c>
      <c r="B582" s="129"/>
      <c r="C582" s="129"/>
      <c r="D582" s="129"/>
      <c r="E582" s="129"/>
      <c r="F582" s="129"/>
      <c r="G582" s="129"/>
      <c r="H582" s="130"/>
      <c r="I582" s="27"/>
    </row>
    <row r="583" spans="1:10" s="26" customFormat="1" x14ac:dyDescent="0.35">
      <c r="A583" s="126">
        <v>1</v>
      </c>
      <c r="B583" s="127"/>
      <c r="C583" s="33" t="s">
        <v>272</v>
      </c>
      <c r="D583" s="48">
        <f>(100.783)*10.764</f>
        <v>1084.8282119999999</v>
      </c>
      <c r="E583" s="48">
        <f>(8.564)*10.764</f>
        <v>92.182896</v>
      </c>
      <c r="F583" s="33">
        <f t="shared" ref="F583:F586" si="143">D583+E583</f>
        <v>1177.0111079999999</v>
      </c>
      <c r="G583" s="33">
        <v>0</v>
      </c>
      <c r="H583" s="33">
        <f>F583*(($H$422)+1)+(IF(G583&lt;101,G583,IF(G583&lt;201,G583/2,IF(G583&lt;=301,G583/3,G583/4))))</f>
        <v>1765.516662</v>
      </c>
      <c r="I583" s="27"/>
    </row>
    <row r="584" spans="1:10" s="26" customFormat="1" ht="15.75" customHeight="1" x14ac:dyDescent="0.35">
      <c r="A584" s="126">
        <f t="shared" ref="A584:A586" si="144">A583+1</f>
        <v>2</v>
      </c>
      <c r="B584" s="127"/>
      <c r="C584" s="33" t="s">
        <v>272</v>
      </c>
      <c r="D584" s="48">
        <f>(114.3)*10.764</f>
        <v>1230.3252</v>
      </c>
      <c r="E584" s="48">
        <f>(8.88)*10.764</f>
        <v>95.584320000000005</v>
      </c>
      <c r="F584" s="33">
        <f t="shared" si="143"/>
        <v>1325.9095199999999</v>
      </c>
      <c r="G584" s="33">
        <v>0</v>
      </c>
      <c r="H584" s="33">
        <f>F584*(($H$422)+1)+(IF(G584&lt;101,G584,IF(G584&lt;201,G584/2,IF(G584&lt;=301,G584/3,G584/4))))</f>
        <v>1988.8642799999998</v>
      </c>
      <c r="I584" s="27"/>
    </row>
    <row r="585" spans="1:10" s="26" customFormat="1" x14ac:dyDescent="0.35">
      <c r="A585" s="126">
        <f t="shared" si="144"/>
        <v>3</v>
      </c>
      <c r="B585" s="127"/>
      <c r="C585" s="33" t="s">
        <v>272</v>
      </c>
      <c r="D585" s="48">
        <f>(114.3)*10.764</f>
        <v>1230.3252</v>
      </c>
      <c r="E585" s="48">
        <f>(8.88)*10.764</f>
        <v>95.584320000000005</v>
      </c>
      <c r="F585" s="33">
        <f t="shared" si="143"/>
        <v>1325.9095199999999</v>
      </c>
      <c r="G585" s="33">
        <v>0</v>
      </c>
      <c r="H585" s="33">
        <f>F585*(($H$422)+1)+(IF(G585&lt;101,G585,IF(G585&lt;201,G585/2,IF(G585&lt;=301,G585/3,G585/4))))</f>
        <v>1988.8642799999998</v>
      </c>
      <c r="I585" s="27"/>
    </row>
    <row r="586" spans="1:10" s="26" customFormat="1" x14ac:dyDescent="0.35">
      <c r="A586" s="126">
        <f t="shared" si="144"/>
        <v>4</v>
      </c>
      <c r="B586" s="127"/>
      <c r="C586" s="33" t="s">
        <v>301</v>
      </c>
      <c r="D586" s="48">
        <f>(82.403)*10.764</f>
        <v>886.98589200000004</v>
      </c>
      <c r="E586" s="48">
        <f>(8.564)*10.764</f>
        <v>92.182896</v>
      </c>
      <c r="F586" s="33">
        <f t="shared" si="143"/>
        <v>979.16878800000006</v>
      </c>
      <c r="G586" s="33">
        <v>0</v>
      </c>
      <c r="H586" s="33">
        <f>F586*(($H$422)+1)+(IF(G586&lt;101,G586,IF(G586&lt;201,G586/2,IF(G586&lt;=301,G586/3,G586/4))))</f>
        <v>1468.7531820000002</v>
      </c>
      <c r="I586" s="27">
        <f>3.65*6.905+0.68*4.285+1.5*2.265+3.35*2.7+3.05*3.575+4.115*3.575+1.55*2.4+1.47*2.4+1.5*1.4+2.1*1.5</f>
        <v>78.672425000000004</v>
      </c>
    </row>
    <row r="587" spans="1:10" s="26" customFormat="1" x14ac:dyDescent="0.35">
      <c r="A587" s="126" t="s">
        <v>276</v>
      </c>
      <c r="B587" s="127"/>
      <c r="C587" s="126" t="s">
        <v>292</v>
      </c>
      <c r="D587" s="131"/>
      <c r="E587" s="131"/>
      <c r="F587" s="131"/>
      <c r="G587" s="131"/>
      <c r="H587" s="127"/>
      <c r="I587" s="27"/>
    </row>
    <row r="588" spans="1:10" s="26" customFormat="1" x14ac:dyDescent="0.35">
      <c r="A588" s="128" t="s">
        <v>308</v>
      </c>
      <c r="B588" s="129"/>
      <c r="C588" s="129"/>
      <c r="D588" s="129"/>
      <c r="E588" s="129"/>
      <c r="F588" s="129"/>
      <c r="G588" s="129"/>
      <c r="H588" s="130"/>
      <c r="I588" s="27"/>
    </row>
    <row r="589" spans="1:10" s="26" customFormat="1" x14ac:dyDescent="0.35">
      <c r="A589" s="128" t="s">
        <v>279</v>
      </c>
      <c r="B589" s="129"/>
      <c r="C589" s="129"/>
      <c r="D589" s="129"/>
      <c r="E589" s="129"/>
      <c r="F589" s="129"/>
      <c r="G589" s="129"/>
      <c r="H589" s="130"/>
      <c r="I589" s="27"/>
    </row>
    <row r="590" spans="1:10" s="26" customFormat="1" x14ac:dyDescent="0.35">
      <c r="A590" s="126">
        <v>1</v>
      </c>
      <c r="B590" s="127"/>
      <c r="C590" s="33" t="s">
        <v>301</v>
      </c>
      <c r="D590" s="48">
        <f>(75.3)*10.764</f>
        <v>810.52919999999995</v>
      </c>
      <c r="E590" s="48">
        <f>(4.276)*10.764</f>
        <v>46.026863999999996</v>
      </c>
      <c r="F590" s="33">
        <f t="shared" ref="F590:F592" si="145">D590+E590</f>
        <v>856.55606399999999</v>
      </c>
      <c r="G590" s="48">
        <v>0</v>
      </c>
      <c r="H590" s="33">
        <f>F590*(($H$422)+1)+(IF(G590&lt;101,G590,IF(G590&lt;201,G590/2,IF(G590&lt;=301,G590/3,G590/4))))</f>
        <v>1284.834096</v>
      </c>
      <c r="I590" s="27">
        <f>6.315*3.35+3.55*1.35+2.7*2.75+3.9*3.05+3.9*4.035+2.4*1.435*2+1.6*0.9+1.5*1.8</f>
        <v>72.032250000000005</v>
      </c>
      <c r="J590" s="26">
        <f>3.45*1.25</f>
        <v>4.3125</v>
      </c>
    </row>
    <row r="591" spans="1:10" s="26" customFormat="1" x14ac:dyDescent="0.35">
      <c r="A591" s="126">
        <f t="shared" ref="A591:A596" si="146">A590+1</f>
        <v>2</v>
      </c>
      <c r="B591" s="127"/>
      <c r="C591" s="33" t="s">
        <v>272</v>
      </c>
      <c r="D591" s="48">
        <f>(114.296)*10.764</f>
        <v>1230.282144</v>
      </c>
      <c r="E591" s="48">
        <f>(8.88)*10.764</f>
        <v>95.584320000000005</v>
      </c>
      <c r="F591" s="33">
        <f t="shared" si="145"/>
        <v>1325.866464</v>
      </c>
      <c r="G591" s="48">
        <f>((4.8*1.4+3*2.1)+7*0.45+3.05*0.45)*10.764</f>
        <v>188.82746999999995</v>
      </c>
      <c r="H591" s="33">
        <f>F591*(($H$422)+1)+(IF(G591&lt;101,G591,IF(G591&lt;201,G591/2,IF(G591&lt;=301,G591/3,G591/4))))</f>
        <v>2083.2134310000001</v>
      </c>
      <c r="I591" s="27">
        <f>3.65*7.23+0.68*4.265+1.5*2.265+3.35*2.75+3.05*3.9+3.05*4.19+0.9*2+4.115*3.9+1.85*1.85+1.55*2.4+1.47*2.4+1.4*1.5+2.1*1.5+(2.45*2.265+1.8*1.25)</f>
        <v>108.14245000000001</v>
      </c>
    </row>
    <row r="592" spans="1:10" s="26" customFormat="1" x14ac:dyDescent="0.35">
      <c r="A592" s="126">
        <f t="shared" si="146"/>
        <v>3</v>
      </c>
      <c r="B592" s="127"/>
      <c r="C592" s="33" t="s">
        <v>272</v>
      </c>
      <c r="D592" s="48">
        <f>(114.296)*10.764</f>
        <v>1230.282144</v>
      </c>
      <c r="E592" s="48">
        <f>(8.88)*10.764</f>
        <v>95.584320000000005</v>
      </c>
      <c r="F592" s="33">
        <f t="shared" si="145"/>
        <v>1325.866464</v>
      </c>
      <c r="G592" s="48">
        <f>(3.05*0.45+7*0.45+(4.8*1.45+3*2.1))*10.764</f>
        <v>191.41083</v>
      </c>
      <c r="H592" s="33">
        <f>F592*(($H$422)+1)+(IF(G592&lt;101,G592,IF(G592&lt;201,G592/2,IF(G592&lt;=301,G592/3,G592/4))))</f>
        <v>2084.5051109999999</v>
      </c>
      <c r="I592" s="27"/>
    </row>
    <row r="593" spans="1:10" s="26" customFormat="1" x14ac:dyDescent="0.35">
      <c r="A593" s="128" t="s">
        <v>281</v>
      </c>
      <c r="B593" s="129"/>
      <c r="C593" s="129"/>
      <c r="D593" s="129"/>
      <c r="E593" s="129"/>
      <c r="F593" s="129"/>
      <c r="G593" s="129"/>
      <c r="H593" s="130"/>
      <c r="I593" s="27"/>
    </row>
    <row r="594" spans="1:10" s="26" customFormat="1" x14ac:dyDescent="0.35">
      <c r="A594" s="126">
        <v>1</v>
      </c>
      <c r="B594" s="127"/>
      <c r="C594" s="33" t="s">
        <v>301</v>
      </c>
      <c r="D594" s="48">
        <f>(75.3)*10.764</f>
        <v>810.52919999999995</v>
      </c>
      <c r="E594" s="48">
        <f>(4.276)*10.764</f>
        <v>46.026863999999996</v>
      </c>
      <c r="F594" s="33">
        <f t="shared" ref="F594:F596" si="147">D594+E594</f>
        <v>856.55606399999999</v>
      </c>
      <c r="G594" s="33">
        <v>0</v>
      </c>
      <c r="H594" s="33">
        <f>F594*(($H$422)+1)+(IF(G594&lt;101,G594,IF(G594&lt;201,G594/2,IF(G594&lt;=301,G594/3,G594/4))))</f>
        <v>1284.834096</v>
      </c>
      <c r="I594" s="27"/>
    </row>
    <row r="595" spans="1:10" s="26" customFormat="1" x14ac:dyDescent="0.35">
      <c r="A595" s="126">
        <f t="shared" si="146"/>
        <v>2</v>
      </c>
      <c r="B595" s="127"/>
      <c r="C595" s="33" t="s">
        <v>272</v>
      </c>
      <c r="D595" s="48">
        <f>(114.296)*10.764</f>
        <v>1230.282144</v>
      </c>
      <c r="E595" s="48">
        <f>(8.88)*10.764</f>
        <v>95.584320000000005</v>
      </c>
      <c r="F595" s="33">
        <f t="shared" si="147"/>
        <v>1325.866464</v>
      </c>
      <c r="G595" s="33">
        <v>0</v>
      </c>
      <c r="H595" s="33">
        <f t="shared" ref="H595:H596" si="148">F595*(($H$422)+1)+(IF(G595&lt;101,G595,IF(G595&lt;201,G595/2,IF(G595&lt;=301,G595/3,G595/4))))</f>
        <v>1988.799696</v>
      </c>
      <c r="I595" s="27"/>
    </row>
    <row r="596" spans="1:10" s="26" customFormat="1" x14ac:dyDescent="0.35">
      <c r="A596" s="126">
        <f t="shared" si="146"/>
        <v>3</v>
      </c>
      <c r="B596" s="127"/>
      <c r="C596" s="33" t="s">
        <v>272</v>
      </c>
      <c r="D596" s="48">
        <f>(114.296)*10.764</f>
        <v>1230.282144</v>
      </c>
      <c r="E596" s="48">
        <f>(8.88)*10.764</f>
        <v>95.584320000000005</v>
      </c>
      <c r="F596" s="33">
        <f t="shared" si="147"/>
        <v>1325.866464</v>
      </c>
      <c r="G596" s="33">
        <v>0</v>
      </c>
      <c r="H596" s="33">
        <f t="shared" si="148"/>
        <v>1988.799696</v>
      </c>
      <c r="I596" s="27"/>
    </row>
    <row r="597" spans="1:10" s="26" customFormat="1" x14ac:dyDescent="0.35">
      <c r="A597" s="128" t="s">
        <v>291</v>
      </c>
      <c r="B597" s="129"/>
      <c r="C597" s="129"/>
      <c r="D597" s="129"/>
      <c r="E597" s="129"/>
      <c r="F597" s="129"/>
      <c r="G597" s="129"/>
      <c r="H597" s="130"/>
      <c r="I597" s="27"/>
    </row>
    <row r="598" spans="1:10" s="26" customFormat="1" x14ac:dyDescent="0.35">
      <c r="A598" s="126">
        <v>1</v>
      </c>
      <c r="B598" s="127"/>
      <c r="C598" s="33" t="s">
        <v>301</v>
      </c>
      <c r="D598" s="48">
        <f>(75.3)*10.764</f>
        <v>810.52919999999995</v>
      </c>
      <c r="E598" s="48">
        <f>(4.276)*10.764</f>
        <v>46.026863999999996</v>
      </c>
      <c r="F598" s="33">
        <f t="shared" ref="F598:F601" si="149">D598+E598</f>
        <v>856.55606399999999</v>
      </c>
      <c r="G598" s="33">
        <v>0</v>
      </c>
      <c r="H598" s="33">
        <f>F598*(($H$422)+1)+(IF(G598&lt;101,G598,IF(G598&lt;201,G598/2,IF(G598&lt;=301,G598/3,G598/4))))</f>
        <v>1284.834096</v>
      </c>
      <c r="I598" s="27"/>
    </row>
    <row r="599" spans="1:10" s="26" customFormat="1" x14ac:dyDescent="0.35">
      <c r="A599" s="126" t="s">
        <v>276</v>
      </c>
      <c r="B599" s="127"/>
      <c r="C599" s="126" t="s">
        <v>292</v>
      </c>
      <c r="D599" s="131"/>
      <c r="E599" s="131"/>
      <c r="F599" s="131"/>
      <c r="G599" s="131"/>
      <c r="H599" s="127"/>
      <c r="I599" s="27"/>
    </row>
    <row r="600" spans="1:10" s="26" customFormat="1" x14ac:dyDescent="0.35">
      <c r="A600" s="126">
        <f>A598+1</f>
        <v>2</v>
      </c>
      <c r="B600" s="127"/>
      <c r="C600" s="33" t="s">
        <v>272</v>
      </c>
      <c r="D600" s="48">
        <f>(105.099)*10.764</f>
        <v>1131.2856360000001</v>
      </c>
      <c r="E600" s="48">
        <f>(5.372)*10.764</f>
        <v>57.824207999999999</v>
      </c>
      <c r="F600" s="33">
        <f t="shared" si="149"/>
        <v>1189.1098440000001</v>
      </c>
      <c r="G600" s="33">
        <v>0</v>
      </c>
      <c r="H600" s="40">
        <f t="shared" ref="H600:H601" si="150">F600*(($H$422)+1)+(IF(G600&lt;101,G600,IF(G600&lt;201,G600/2,IF(G600&lt;=301,G600/3,G600/4))))</f>
        <v>1783.6647660000001</v>
      </c>
      <c r="I600" s="27">
        <f>3.65*7.23+0.68*4.265+1.5*2.265+3.35*2.75+3.05*3.9+3.05*4.19+0.9*2+4.115*3.9+1.85*1.85+1.55*2.4+1.47*2.4+1.4*1.5+2.1*1.5</f>
        <v>100.34320000000001</v>
      </c>
      <c r="J600" s="26">
        <f>3.58*1.5</f>
        <v>5.37</v>
      </c>
    </row>
    <row r="601" spans="1:10" s="26" customFormat="1" x14ac:dyDescent="0.35">
      <c r="A601" s="126">
        <f t="shared" ref="A601" si="151">A600+1</f>
        <v>3</v>
      </c>
      <c r="B601" s="127"/>
      <c r="C601" s="33" t="s">
        <v>272</v>
      </c>
      <c r="D601" s="48">
        <f>(114.296)*10.764</f>
        <v>1230.282144</v>
      </c>
      <c r="E601" s="48">
        <f>(8.88)*10.764</f>
        <v>95.584320000000005</v>
      </c>
      <c r="F601" s="33">
        <f t="shared" si="149"/>
        <v>1325.866464</v>
      </c>
      <c r="G601" s="33">
        <v>0</v>
      </c>
      <c r="H601" s="33">
        <f t="shared" si="150"/>
        <v>1988.799696</v>
      </c>
      <c r="I601" s="27"/>
    </row>
    <row r="602" spans="1:10" s="26" customFormat="1" x14ac:dyDescent="0.35">
      <c r="A602" s="128" t="s">
        <v>309</v>
      </c>
      <c r="B602" s="129"/>
      <c r="C602" s="129"/>
      <c r="D602" s="129"/>
      <c r="E602" s="129"/>
      <c r="F602" s="129"/>
      <c r="G602" s="129"/>
      <c r="H602" s="130"/>
      <c r="I602" s="27"/>
    </row>
    <row r="603" spans="1:10" s="26" customFormat="1" x14ac:dyDescent="0.35">
      <c r="A603" s="128" t="s">
        <v>297</v>
      </c>
      <c r="B603" s="129"/>
      <c r="C603" s="129"/>
      <c r="D603" s="129"/>
      <c r="E603" s="129"/>
      <c r="F603" s="129"/>
      <c r="G603" s="129"/>
      <c r="H603" s="130"/>
      <c r="I603" s="27"/>
    </row>
    <row r="604" spans="1:10" s="26" customFormat="1" x14ac:dyDescent="0.35">
      <c r="A604" s="128" t="s">
        <v>269</v>
      </c>
      <c r="B604" s="129"/>
      <c r="C604" s="129"/>
      <c r="D604" s="129"/>
      <c r="E604" s="129"/>
      <c r="F604" s="129"/>
      <c r="G604" s="129"/>
      <c r="H604" s="130"/>
      <c r="I604" s="27"/>
    </row>
    <row r="605" spans="1:10" s="26" customFormat="1" x14ac:dyDescent="0.35">
      <c r="A605" s="128" t="s">
        <v>298</v>
      </c>
      <c r="B605" s="129"/>
      <c r="C605" s="129"/>
      <c r="D605" s="129"/>
      <c r="E605" s="129"/>
      <c r="F605" s="129"/>
      <c r="G605" s="129"/>
      <c r="H605" s="130"/>
      <c r="I605" s="27"/>
    </row>
    <row r="606" spans="1:10" s="26" customFormat="1" x14ac:dyDescent="0.35">
      <c r="A606" s="128" t="s">
        <v>270</v>
      </c>
      <c r="B606" s="129"/>
      <c r="C606" s="129"/>
      <c r="D606" s="129"/>
      <c r="E606" s="129"/>
      <c r="F606" s="129"/>
      <c r="G606" s="129"/>
      <c r="H606" s="130"/>
      <c r="I606" s="27"/>
    </row>
    <row r="607" spans="1:10" s="26" customFormat="1" x14ac:dyDescent="0.35">
      <c r="A607" s="128" t="s">
        <v>310</v>
      </c>
      <c r="B607" s="129"/>
      <c r="C607" s="129"/>
      <c r="D607" s="129"/>
      <c r="E607" s="129"/>
      <c r="F607" s="129"/>
      <c r="G607" s="129"/>
      <c r="H607" s="130"/>
      <c r="I607" s="27"/>
    </row>
    <row r="608" spans="1:10" s="26" customFormat="1" ht="15.75" customHeight="1" x14ac:dyDescent="0.35">
      <c r="A608" s="128" t="s">
        <v>300</v>
      </c>
      <c r="B608" s="129"/>
      <c r="C608" s="129"/>
      <c r="D608" s="129"/>
      <c r="E608" s="129"/>
      <c r="F608" s="129"/>
      <c r="G608" s="129"/>
      <c r="H608" s="130"/>
      <c r="I608" s="27"/>
    </row>
    <row r="609" spans="1:10" s="26" customFormat="1" x14ac:dyDescent="0.35">
      <c r="A609" s="126">
        <v>1</v>
      </c>
      <c r="B609" s="127"/>
      <c r="C609" s="33" t="s">
        <v>301</v>
      </c>
      <c r="D609" s="48">
        <f>(75.539)*10.764</f>
        <v>813.10179599999992</v>
      </c>
      <c r="E609" s="48">
        <f>(4.162)*10.764</f>
        <v>44.799767999999993</v>
      </c>
      <c r="F609" s="33">
        <f t="shared" ref="F609:F612" si="152">D609+E609</f>
        <v>857.90156399999989</v>
      </c>
      <c r="G609" s="33">
        <v>0</v>
      </c>
      <c r="H609" s="33">
        <f>F609*(($H$422)+1)+(IF(G609&lt;101,G609,IF(G609&lt;201,G609/2,IF(G609&lt;=301,G609/3,G609/4))))</f>
        <v>1286.8523459999999</v>
      </c>
      <c r="I609" s="27">
        <f>6.315*3.35+3.55*1.365+2.7*2.75+3.9*3.05+3.9*4.115+2.41*1.45+2.41*1.435+1.5*1.8+1.7*1</f>
        <v>72.722350000000006</v>
      </c>
      <c r="J609" s="26">
        <f>3.465*1.25</f>
        <v>4.3312499999999998</v>
      </c>
    </row>
    <row r="610" spans="1:10" s="26" customFormat="1" x14ac:dyDescent="0.35">
      <c r="A610" s="126">
        <f t="shared" ref="A610:A612" si="153">A609+1</f>
        <v>2</v>
      </c>
      <c r="B610" s="127"/>
      <c r="C610" s="33" t="s">
        <v>301</v>
      </c>
      <c r="D610" s="48">
        <f>(75.676)*10.764</f>
        <v>814.57646399999999</v>
      </c>
      <c r="E610" s="48">
        <f>(4.162)*10.764</f>
        <v>44.799767999999993</v>
      </c>
      <c r="F610" s="33">
        <f t="shared" si="152"/>
        <v>859.37623199999996</v>
      </c>
      <c r="G610" s="33">
        <v>0</v>
      </c>
      <c r="H610" s="33">
        <f>F610*(($H$422)+1)+(IF(G610&lt;101,G610,IF(G610&lt;201,G610/2,IF(G610&lt;=301,G610/3,G610/4))))</f>
        <v>1289.0643479999999</v>
      </c>
      <c r="I610" s="27"/>
    </row>
    <row r="611" spans="1:10" s="26" customFormat="1" x14ac:dyDescent="0.35">
      <c r="A611" s="126">
        <f t="shared" si="153"/>
        <v>3</v>
      </c>
      <c r="B611" s="127"/>
      <c r="C611" s="33" t="s">
        <v>301</v>
      </c>
      <c r="D611" s="48">
        <f>(75.676)*10.764</f>
        <v>814.57646399999999</v>
      </c>
      <c r="E611" s="48">
        <f>(4.162)*10.764</f>
        <v>44.799767999999993</v>
      </c>
      <c r="F611" s="33">
        <f t="shared" si="152"/>
        <v>859.37623199999996</v>
      </c>
      <c r="G611" s="33">
        <v>0</v>
      </c>
      <c r="H611" s="33">
        <f>F611*(($H$422)+1)+(IF(G611&lt;101,G611,IF(G611&lt;201,G611/2,IF(G611&lt;=301,G611/3,G611/4))))</f>
        <v>1289.0643479999999</v>
      </c>
      <c r="I611" s="27"/>
    </row>
    <row r="612" spans="1:10" s="26" customFormat="1" x14ac:dyDescent="0.35">
      <c r="A612" s="126">
        <f t="shared" si="153"/>
        <v>4</v>
      </c>
      <c r="B612" s="127"/>
      <c r="C612" s="33" t="s">
        <v>301</v>
      </c>
      <c r="D612" s="48">
        <f>(75.539)*10.764</f>
        <v>813.10179599999992</v>
      </c>
      <c r="E612" s="48">
        <f>(4.162)*10.764</f>
        <v>44.799767999999993</v>
      </c>
      <c r="F612" s="33">
        <f t="shared" si="152"/>
        <v>857.90156399999989</v>
      </c>
      <c r="G612" s="33">
        <v>0</v>
      </c>
      <c r="H612" s="33">
        <f>F612*(($H$422)+1)+(IF(G612&lt;101,G612,IF(G612&lt;201,G612/2,IF(G612&lt;=301,G612/3,G612/4))))</f>
        <v>1286.8523459999999</v>
      </c>
      <c r="I612" s="27"/>
    </row>
    <row r="613" spans="1:10" s="26" customFormat="1" x14ac:dyDescent="0.35">
      <c r="A613" s="128" t="s">
        <v>291</v>
      </c>
      <c r="B613" s="129"/>
      <c r="C613" s="129"/>
      <c r="D613" s="129"/>
      <c r="E613" s="129"/>
      <c r="F613" s="129"/>
      <c r="G613" s="129"/>
      <c r="H613" s="130"/>
      <c r="I613" s="27"/>
    </row>
    <row r="614" spans="1:10" s="26" customFormat="1" x14ac:dyDescent="0.35">
      <c r="A614" s="126">
        <v>1</v>
      </c>
      <c r="B614" s="127"/>
      <c r="C614" s="33" t="s">
        <v>272</v>
      </c>
      <c r="D614" s="48">
        <f>(130.177)*10.764</f>
        <v>1401.2252279999998</v>
      </c>
      <c r="E614" s="48">
        <f>(8.475)*10.764</f>
        <v>91.224899999999991</v>
      </c>
      <c r="F614" s="33">
        <f t="shared" ref="F614:F617" si="154">D614+E614</f>
        <v>1492.4501279999997</v>
      </c>
      <c r="G614" s="33">
        <v>0</v>
      </c>
      <c r="H614" s="33">
        <f>F614*(($H$422)+1)+(IF(G614&lt;101,G614,IF(G614&lt;201,G614/2,IF(G614&lt;=301,G614/3,G614/4))))</f>
        <v>2238.6751919999997</v>
      </c>
      <c r="I614" s="27">
        <f>6.315*6.85+3.55*1.4+2.75*2.75+(5.985*3.2+5.5*1.2)+3.9*3.05+3.9*4.065+2.41*1.45+2.41*1.45+1.465*2.45+(1.4*1.5+0.7*1)+1.5*1.8+1.7*0.9</f>
        <v>126.899</v>
      </c>
      <c r="J614" s="26">
        <f>6.85*1.25</f>
        <v>8.5625</v>
      </c>
    </row>
    <row r="615" spans="1:10" s="26" customFormat="1" x14ac:dyDescent="0.35">
      <c r="A615" s="126" t="s">
        <v>276</v>
      </c>
      <c r="B615" s="127"/>
      <c r="C615" s="126" t="s">
        <v>292</v>
      </c>
      <c r="D615" s="131"/>
      <c r="E615" s="131"/>
      <c r="F615" s="131"/>
      <c r="G615" s="131"/>
      <c r="H615" s="127"/>
      <c r="I615" s="27"/>
    </row>
    <row r="616" spans="1:10" s="26" customFormat="1" x14ac:dyDescent="0.35">
      <c r="A616" s="134">
        <v>3</v>
      </c>
      <c r="B616" s="135"/>
      <c r="C616" s="33" t="s">
        <v>301</v>
      </c>
      <c r="D616" s="48">
        <f>(75.676)*10.764</f>
        <v>814.57646399999999</v>
      </c>
      <c r="E616" s="48">
        <f>(4.162)*10.764</f>
        <v>44.799767999999993</v>
      </c>
      <c r="F616" s="33">
        <f t="shared" si="154"/>
        <v>859.37623199999996</v>
      </c>
      <c r="G616" s="33">
        <v>0</v>
      </c>
      <c r="H616" s="33">
        <f>F616*(($H$422)+1)+(IF(G616&lt;101,G616,IF(G616&lt;201,G616/2,IF(G616&lt;=301,G616/3,G616/4))))</f>
        <v>1289.0643479999999</v>
      </c>
      <c r="I616" s="27"/>
    </row>
    <row r="617" spans="1:10" s="26" customFormat="1" x14ac:dyDescent="0.35">
      <c r="A617" s="134">
        <f t="shared" ref="A617" si="155">A616+1</f>
        <v>4</v>
      </c>
      <c r="B617" s="135"/>
      <c r="C617" s="33" t="s">
        <v>301</v>
      </c>
      <c r="D617" s="48">
        <f>(75.539)*10.764</f>
        <v>813.10179599999992</v>
      </c>
      <c r="E617" s="48">
        <f>(4.162)*10.764</f>
        <v>44.799767999999993</v>
      </c>
      <c r="F617" s="33">
        <f t="shared" si="154"/>
        <v>857.90156399999989</v>
      </c>
      <c r="G617" s="33">
        <v>0</v>
      </c>
      <c r="H617" s="33">
        <f>F617*(($H$422)+1)+(IF(G617&lt;101,G617,IF(G617&lt;201,G617/2,IF(G617&lt;=301,G617/3,G617/4))))</f>
        <v>1286.8523459999999</v>
      </c>
      <c r="I617" s="27"/>
    </row>
    <row r="618" spans="1:10" s="26" customFormat="1" x14ac:dyDescent="0.35">
      <c r="A618" s="128" t="s">
        <v>314</v>
      </c>
      <c r="B618" s="129"/>
      <c r="C618" s="129"/>
      <c r="D618" s="129"/>
      <c r="E618" s="129"/>
      <c r="F618" s="129"/>
      <c r="G618" s="129"/>
      <c r="H618" s="130"/>
      <c r="I618" s="27"/>
    </row>
    <row r="619" spans="1:10" s="26" customFormat="1" x14ac:dyDescent="0.35">
      <c r="A619" s="128" t="s">
        <v>297</v>
      </c>
      <c r="B619" s="129"/>
      <c r="C619" s="129"/>
      <c r="D619" s="129"/>
      <c r="E619" s="129"/>
      <c r="F619" s="129"/>
      <c r="G619" s="129"/>
      <c r="H619" s="130"/>
      <c r="I619" s="27"/>
    </row>
    <row r="620" spans="1:10" s="26" customFormat="1" x14ac:dyDescent="0.35">
      <c r="A620" s="128" t="s">
        <v>269</v>
      </c>
      <c r="B620" s="129"/>
      <c r="C620" s="129"/>
      <c r="D620" s="129"/>
      <c r="E620" s="129"/>
      <c r="F620" s="129"/>
      <c r="G620" s="129"/>
      <c r="H620" s="130"/>
      <c r="I620" s="27"/>
    </row>
    <row r="621" spans="1:10" s="26" customFormat="1" x14ac:dyDescent="0.35">
      <c r="A621" s="128" t="s">
        <v>298</v>
      </c>
      <c r="B621" s="129"/>
      <c r="C621" s="129"/>
      <c r="D621" s="129"/>
      <c r="E621" s="129"/>
      <c r="F621" s="129"/>
      <c r="G621" s="129"/>
      <c r="H621" s="130"/>
      <c r="I621" s="27"/>
    </row>
    <row r="622" spans="1:10" s="26" customFormat="1" x14ac:dyDescent="0.35">
      <c r="A622" s="128" t="s">
        <v>270</v>
      </c>
      <c r="B622" s="129"/>
      <c r="C622" s="129"/>
      <c r="D622" s="129"/>
      <c r="E622" s="129"/>
      <c r="F622" s="129"/>
      <c r="G622" s="129"/>
      <c r="H622" s="130"/>
      <c r="I622" s="27"/>
    </row>
    <row r="623" spans="1:10" s="26" customFormat="1" x14ac:dyDescent="0.35">
      <c r="A623" s="128" t="s">
        <v>310</v>
      </c>
      <c r="B623" s="129"/>
      <c r="C623" s="129"/>
      <c r="D623" s="129"/>
      <c r="E623" s="129"/>
      <c r="F623" s="129"/>
      <c r="G623" s="129"/>
      <c r="H623" s="130"/>
      <c r="I623" s="27"/>
    </row>
    <row r="624" spans="1:10" s="26" customFormat="1" x14ac:dyDescent="0.35">
      <c r="A624" s="128" t="s">
        <v>300</v>
      </c>
      <c r="B624" s="129"/>
      <c r="C624" s="129"/>
      <c r="D624" s="129"/>
      <c r="E624" s="129"/>
      <c r="F624" s="129"/>
      <c r="G624" s="129"/>
      <c r="H624" s="130"/>
      <c r="I624" s="27"/>
    </row>
    <row r="625" spans="1:9" s="26" customFormat="1" x14ac:dyDescent="0.35">
      <c r="A625" s="126">
        <v>1</v>
      </c>
      <c r="B625" s="127"/>
      <c r="C625" s="33" t="s">
        <v>301</v>
      </c>
      <c r="D625" s="48">
        <f>(75.539)*10.764</f>
        <v>813.10179599999992</v>
      </c>
      <c r="E625" s="48">
        <f>(4.162)*10.764</f>
        <v>44.799767999999993</v>
      </c>
      <c r="F625" s="33">
        <f t="shared" ref="F625:F628" si="156">D625+E625</f>
        <v>857.90156399999989</v>
      </c>
      <c r="G625" s="33">
        <v>0</v>
      </c>
      <c r="H625" s="33">
        <f>F625*(($H$422)+1)+(IF(G625&lt;101,G625,IF(G625&lt;201,G625/2,IF(G625&lt;=301,G625/3,G625/4))))</f>
        <v>1286.8523459999999</v>
      </c>
      <c r="I625" s="27"/>
    </row>
    <row r="626" spans="1:9" s="26" customFormat="1" x14ac:dyDescent="0.35">
      <c r="A626" s="126">
        <f t="shared" ref="A626:A628" si="157">A625+1</f>
        <v>2</v>
      </c>
      <c r="B626" s="127"/>
      <c r="C626" s="33" t="s">
        <v>301</v>
      </c>
      <c r="D626" s="48">
        <f>(75.676)*10.764</f>
        <v>814.57646399999999</v>
      </c>
      <c r="E626" s="48">
        <f>(4.162)*10.764</f>
        <v>44.799767999999993</v>
      </c>
      <c r="F626" s="33">
        <f t="shared" si="156"/>
        <v>859.37623199999996</v>
      </c>
      <c r="G626" s="33">
        <v>0</v>
      </c>
      <c r="H626" s="33">
        <f>F626*(($H$422)+1)+(IF(G626&lt;101,G626,IF(G626&lt;201,G626/2,IF(G626&lt;=301,G626/3,G626/4))))</f>
        <v>1289.0643479999999</v>
      </c>
      <c r="I626" s="27"/>
    </row>
    <row r="627" spans="1:9" s="26" customFormat="1" x14ac:dyDescent="0.35">
      <c r="A627" s="126">
        <f t="shared" si="157"/>
        <v>3</v>
      </c>
      <c r="B627" s="127"/>
      <c r="C627" s="33" t="s">
        <v>301</v>
      </c>
      <c r="D627" s="48">
        <f>(75.676)*10.764</f>
        <v>814.57646399999999</v>
      </c>
      <c r="E627" s="48">
        <f>(4.162)*10.764</f>
        <v>44.799767999999993</v>
      </c>
      <c r="F627" s="33">
        <f t="shared" si="156"/>
        <v>859.37623199999996</v>
      </c>
      <c r="G627" s="33">
        <v>0</v>
      </c>
      <c r="H627" s="33">
        <f>F627*(($H$422)+1)+(IF(G627&lt;101,G627,IF(G627&lt;201,G627/2,IF(G627&lt;=301,G627/3,G627/4))))</f>
        <v>1289.0643479999999</v>
      </c>
      <c r="I627" s="27"/>
    </row>
    <row r="628" spans="1:9" s="26" customFormat="1" x14ac:dyDescent="0.35">
      <c r="A628" s="126">
        <f t="shared" si="157"/>
        <v>4</v>
      </c>
      <c r="B628" s="127"/>
      <c r="C628" s="33" t="s">
        <v>301</v>
      </c>
      <c r="D628" s="48">
        <f>(75.539)*10.764</f>
        <v>813.10179599999992</v>
      </c>
      <c r="E628" s="48">
        <f>(4.162)*10.764</f>
        <v>44.799767999999993</v>
      </c>
      <c r="F628" s="33">
        <f t="shared" si="156"/>
        <v>857.90156399999989</v>
      </c>
      <c r="G628" s="33">
        <v>0</v>
      </c>
      <c r="H628" s="33">
        <f>F628*(($H$422)+1)+(IF(G628&lt;101,G628,IF(G628&lt;201,G628/2,IF(G628&lt;=301,G628/3,G628/4))))</f>
        <v>1286.8523459999999</v>
      </c>
      <c r="I628" s="27"/>
    </row>
    <row r="629" spans="1:9" s="26" customFormat="1" x14ac:dyDescent="0.35">
      <c r="A629" s="128" t="s">
        <v>291</v>
      </c>
      <c r="B629" s="129"/>
      <c r="C629" s="129"/>
      <c r="D629" s="129"/>
      <c r="E629" s="129"/>
      <c r="F629" s="129"/>
      <c r="G629" s="129"/>
      <c r="H629" s="130"/>
      <c r="I629" s="27"/>
    </row>
    <row r="630" spans="1:9" s="26" customFormat="1" x14ac:dyDescent="0.35">
      <c r="A630" s="126">
        <v>1</v>
      </c>
      <c r="B630" s="127"/>
      <c r="C630" s="33" t="s">
        <v>272</v>
      </c>
      <c r="D630" s="48">
        <f>(130.177)*10.764</f>
        <v>1401.2252279999998</v>
      </c>
      <c r="E630" s="48">
        <f>(8.475)*10.764</f>
        <v>91.224899999999991</v>
      </c>
      <c r="F630" s="33">
        <f t="shared" ref="F630" si="158">D630+E630</f>
        <v>1492.4501279999997</v>
      </c>
      <c r="G630" s="33">
        <v>0</v>
      </c>
      <c r="H630" s="33">
        <f>F630*(($H$422)+1)+(IF(G630&lt;101,G630,IF(G630&lt;201,G630/2,IF(G630&lt;=301,G630/3,G630/4))))</f>
        <v>2238.6751919999997</v>
      </c>
      <c r="I630" s="27"/>
    </row>
    <row r="631" spans="1:9" s="26" customFormat="1" x14ac:dyDescent="0.35">
      <c r="A631" s="126" t="s">
        <v>276</v>
      </c>
      <c r="B631" s="127"/>
      <c r="C631" s="126" t="s">
        <v>292</v>
      </c>
      <c r="D631" s="131"/>
      <c r="E631" s="131"/>
      <c r="F631" s="131"/>
      <c r="G631" s="131"/>
      <c r="H631" s="127"/>
      <c r="I631" s="27"/>
    </row>
    <row r="632" spans="1:9" s="26" customFormat="1" x14ac:dyDescent="0.35">
      <c r="A632" s="126">
        <v>3</v>
      </c>
      <c r="B632" s="127"/>
      <c r="C632" s="33" t="s">
        <v>301</v>
      </c>
      <c r="D632" s="48">
        <f>(75.676)*10.764</f>
        <v>814.57646399999999</v>
      </c>
      <c r="E632" s="48">
        <f>(4.162)*10.764</f>
        <v>44.799767999999993</v>
      </c>
      <c r="F632" s="33">
        <f t="shared" ref="F632:F633" si="159">D632+E632</f>
        <v>859.37623199999996</v>
      </c>
      <c r="G632" s="33">
        <v>0</v>
      </c>
      <c r="H632" s="33">
        <f>F632*(($H$422)+1)+(IF(G632&lt;101,G632,IF(G632&lt;201,G632/2,IF(G632&lt;=301,G632/3,G632/4))))</f>
        <v>1289.0643479999999</v>
      </c>
      <c r="I632" s="27"/>
    </row>
    <row r="633" spans="1:9" s="26" customFormat="1" x14ac:dyDescent="0.35">
      <c r="A633" s="126">
        <f t="shared" ref="A633" si="160">A632+1</f>
        <v>4</v>
      </c>
      <c r="B633" s="127"/>
      <c r="C633" s="33" t="s">
        <v>301</v>
      </c>
      <c r="D633" s="48">
        <f>(75.539)*10.764</f>
        <v>813.10179599999992</v>
      </c>
      <c r="E633" s="48">
        <f>(4.162)*10.764</f>
        <v>44.799767999999993</v>
      </c>
      <c r="F633" s="33">
        <f t="shared" si="159"/>
        <v>857.90156399999989</v>
      </c>
      <c r="G633" s="33">
        <v>0</v>
      </c>
      <c r="H633" s="33">
        <f>F633*(($H$422)+1)+(IF(G633&lt;101,G633,IF(G633&lt;201,G633/2,IF(G633&lt;=301,G633/3,G633/4))))</f>
        <v>1286.8523459999999</v>
      </c>
      <c r="I633" s="27"/>
    </row>
    <row r="634" spans="1:9" s="26" customFormat="1" x14ac:dyDescent="0.35">
      <c r="A634" s="128" t="s">
        <v>315</v>
      </c>
      <c r="B634" s="129"/>
      <c r="C634" s="129"/>
      <c r="D634" s="129"/>
      <c r="E634" s="129"/>
      <c r="F634" s="129"/>
      <c r="G634" s="129"/>
      <c r="H634" s="130"/>
      <c r="I634" s="27"/>
    </row>
    <row r="635" spans="1:9" s="26" customFormat="1" x14ac:dyDescent="0.35">
      <c r="A635" s="128" t="s">
        <v>297</v>
      </c>
      <c r="B635" s="129"/>
      <c r="C635" s="129"/>
      <c r="D635" s="129"/>
      <c r="E635" s="129"/>
      <c r="F635" s="129"/>
      <c r="G635" s="129"/>
      <c r="H635" s="130"/>
      <c r="I635" s="27"/>
    </row>
    <row r="636" spans="1:9" s="26" customFormat="1" x14ac:dyDescent="0.35">
      <c r="A636" s="128" t="s">
        <v>269</v>
      </c>
      <c r="B636" s="129"/>
      <c r="C636" s="129"/>
      <c r="D636" s="129"/>
      <c r="E636" s="129"/>
      <c r="F636" s="129"/>
      <c r="G636" s="129"/>
      <c r="H636" s="130"/>
      <c r="I636" s="27"/>
    </row>
    <row r="637" spans="1:9" s="26" customFormat="1" x14ac:dyDescent="0.35">
      <c r="A637" s="128" t="s">
        <v>298</v>
      </c>
      <c r="B637" s="129"/>
      <c r="C637" s="129"/>
      <c r="D637" s="129"/>
      <c r="E637" s="129"/>
      <c r="F637" s="129"/>
      <c r="G637" s="129"/>
      <c r="H637" s="130"/>
      <c r="I637" s="27"/>
    </row>
    <row r="638" spans="1:9" s="26" customFormat="1" x14ac:dyDescent="0.35">
      <c r="A638" s="128" t="s">
        <v>270</v>
      </c>
      <c r="B638" s="129"/>
      <c r="C638" s="129"/>
      <c r="D638" s="129"/>
      <c r="E638" s="129"/>
      <c r="F638" s="129"/>
      <c r="G638" s="129"/>
      <c r="H638" s="130"/>
      <c r="I638" s="27"/>
    </row>
    <row r="639" spans="1:9" s="26" customFormat="1" x14ac:dyDescent="0.35">
      <c r="A639" s="128" t="s">
        <v>310</v>
      </c>
      <c r="B639" s="129"/>
      <c r="C639" s="129"/>
      <c r="D639" s="129"/>
      <c r="E639" s="129"/>
      <c r="F639" s="129"/>
      <c r="G639" s="129"/>
      <c r="H639" s="130"/>
      <c r="I639" s="27"/>
    </row>
    <row r="640" spans="1:9" s="26" customFormat="1" x14ac:dyDescent="0.35">
      <c r="A640" s="128" t="s">
        <v>300</v>
      </c>
      <c r="B640" s="129"/>
      <c r="C640" s="129"/>
      <c r="D640" s="129"/>
      <c r="E640" s="129"/>
      <c r="F640" s="129"/>
      <c r="G640" s="129"/>
      <c r="H640" s="130"/>
      <c r="I640" s="27"/>
    </row>
    <row r="641" spans="1:9" s="26" customFormat="1" x14ac:dyDescent="0.35">
      <c r="A641" s="126">
        <v>1</v>
      </c>
      <c r="B641" s="127"/>
      <c r="C641" s="33" t="s">
        <v>301</v>
      </c>
      <c r="D641" s="48">
        <f>(75.539)*10.764</f>
        <v>813.10179599999992</v>
      </c>
      <c r="E641" s="48">
        <f>(4.162)*10.764</f>
        <v>44.799767999999993</v>
      </c>
      <c r="F641" s="33">
        <f t="shared" ref="F641:F644" si="161">D641+E641</f>
        <v>857.90156399999989</v>
      </c>
      <c r="G641" s="33">
        <v>0</v>
      </c>
      <c r="H641" s="33">
        <f>F641*(($H$422)+1)+(IF(G641&lt;101,G641,IF(G641&lt;201,G641/2,IF(G641&lt;=301,G641/3,G641/4))))</f>
        <v>1286.8523459999999</v>
      </c>
      <c r="I641" s="27"/>
    </row>
    <row r="642" spans="1:9" s="26" customFormat="1" x14ac:dyDescent="0.35">
      <c r="A642" s="126">
        <f t="shared" ref="A642:A644" si="162">A641+1</f>
        <v>2</v>
      </c>
      <c r="B642" s="127"/>
      <c r="C642" s="33" t="s">
        <v>301</v>
      </c>
      <c r="D642" s="48">
        <f>(75.676)*10.764</f>
        <v>814.57646399999999</v>
      </c>
      <c r="E642" s="48">
        <f>(4.162)*10.764</f>
        <v>44.799767999999993</v>
      </c>
      <c r="F642" s="33">
        <f t="shared" si="161"/>
        <v>859.37623199999996</v>
      </c>
      <c r="G642" s="33">
        <v>0</v>
      </c>
      <c r="H642" s="33">
        <f>F642*(($H$422)+1)+(IF(G642&lt;101,G642,IF(G642&lt;201,G642/2,IF(G642&lt;=301,G642/3,G642/4))))</f>
        <v>1289.0643479999999</v>
      </c>
      <c r="I642" s="27"/>
    </row>
    <row r="643" spans="1:9" s="26" customFormat="1" x14ac:dyDescent="0.35">
      <c r="A643" s="126">
        <f t="shared" si="162"/>
        <v>3</v>
      </c>
      <c r="B643" s="127"/>
      <c r="C643" s="33" t="s">
        <v>301</v>
      </c>
      <c r="D643" s="48">
        <f>(75.676)*10.764</f>
        <v>814.57646399999999</v>
      </c>
      <c r="E643" s="48">
        <f>(4.162)*10.764</f>
        <v>44.799767999999993</v>
      </c>
      <c r="F643" s="33">
        <f t="shared" si="161"/>
        <v>859.37623199999996</v>
      </c>
      <c r="G643" s="33">
        <v>0</v>
      </c>
      <c r="H643" s="33">
        <f>F643*(($H$422)+1)+(IF(G643&lt;101,G643,IF(G643&lt;201,G643/2,IF(G643&lt;=301,G643/3,G643/4))))</f>
        <v>1289.0643479999999</v>
      </c>
      <c r="I643" s="27"/>
    </row>
    <row r="644" spans="1:9" s="26" customFormat="1" x14ac:dyDescent="0.35">
      <c r="A644" s="126">
        <f t="shared" si="162"/>
        <v>4</v>
      </c>
      <c r="B644" s="127"/>
      <c r="C644" s="33" t="s">
        <v>301</v>
      </c>
      <c r="D644" s="48">
        <f>(75.539)*10.764</f>
        <v>813.10179599999992</v>
      </c>
      <c r="E644" s="48">
        <f>(4.162)*10.764</f>
        <v>44.799767999999993</v>
      </c>
      <c r="F644" s="33">
        <f t="shared" si="161"/>
        <v>857.90156399999989</v>
      </c>
      <c r="G644" s="33">
        <v>0</v>
      </c>
      <c r="H644" s="33">
        <f>F644*(($H$422)+1)+(IF(G644&lt;101,G644,IF(G644&lt;201,G644/2,IF(G644&lt;=301,G644/3,G644/4))))</f>
        <v>1286.8523459999999</v>
      </c>
      <c r="I644" s="27"/>
    </row>
    <row r="645" spans="1:9" s="26" customFormat="1" x14ac:dyDescent="0.35">
      <c r="A645" s="128" t="s">
        <v>291</v>
      </c>
      <c r="B645" s="129"/>
      <c r="C645" s="129"/>
      <c r="D645" s="129"/>
      <c r="E645" s="129"/>
      <c r="F645" s="129"/>
      <c r="G645" s="129"/>
      <c r="H645" s="130"/>
      <c r="I645" s="27"/>
    </row>
    <row r="646" spans="1:9" s="26" customFormat="1" x14ac:dyDescent="0.35">
      <c r="A646" s="126">
        <v>1</v>
      </c>
      <c r="B646" s="127"/>
      <c r="C646" s="33" t="s">
        <v>272</v>
      </c>
      <c r="D646" s="48">
        <f>(130.177)*10.764</f>
        <v>1401.2252279999998</v>
      </c>
      <c r="E646" s="48">
        <f>(8.475)*10.764</f>
        <v>91.224899999999991</v>
      </c>
      <c r="F646" s="33">
        <f t="shared" ref="F646" si="163">D646+E646</f>
        <v>1492.4501279999997</v>
      </c>
      <c r="G646" s="33">
        <v>0</v>
      </c>
      <c r="H646" s="33">
        <f>F646*(($H$422)+1)+(IF(G646&lt;101,G646,IF(G646&lt;201,G646/2,IF(G646&lt;=301,G646/3,G646/4))))</f>
        <v>2238.6751919999997</v>
      </c>
      <c r="I646" s="27"/>
    </row>
    <row r="647" spans="1:9" s="26" customFormat="1" x14ac:dyDescent="0.35">
      <c r="A647" s="126" t="s">
        <v>276</v>
      </c>
      <c r="B647" s="127"/>
      <c r="C647" s="126" t="s">
        <v>292</v>
      </c>
      <c r="D647" s="131"/>
      <c r="E647" s="131"/>
      <c r="F647" s="131"/>
      <c r="G647" s="131"/>
      <c r="H647" s="127"/>
      <c r="I647" s="27"/>
    </row>
    <row r="648" spans="1:9" s="26" customFormat="1" x14ac:dyDescent="0.35">
      <c r="A648" s="126">
        <v>3</v>
      </c>
      <c r="B648" s="127"/>
      <c r="C648" s="33" t="s">
        <v>301</v>
      </c>
      <c r="D648" s="48">
        <f>(75.676)*10.764</f>
        <v>814.57646399999999</v>
      </c>
      <c r="E648" s="48">
        <f>(4.162)*10.764</f>
        <v>44.799767999999993</v>
      </c>
      <c r="F648" s="33">
        <f t="shared" ref="F648:F649" si="164">D648+E648</f>
        <v>859.37623199999996</v>
      </c>
      <c r="G648" s="33">
        <v>0</v>
      </c>
      <c r="H648" s="33">
        <f>F648*(($H$422)+1)+(IF(G648&lt;101,G648,IF(G648&lt;201,G648/2,IF(G648&lt;=301,G648/3,G648/4))))</f>
        <v>1289.0643479999999</v>
      </c>
      <c r="I648" s="27"/>
    </row>
    <row r="649" spans="1:9" s="26" customFormat="1" x14ac:dyDescent="0.35">
      <c r="A649" s="126">
        <f t="shared" ref="A649" si="165">A648+1</f>
        <v>4</v>
      </c>
      <c r="B649" s="127"/>
      <c r="C649" s="33" t="s">
        <v>301</v>
      </c>
      <c r="D649" s="48">
        <f>(75.539)*10.764</f>
        <v>813.10179599999992</v>
      </c>
      <c r="E649" s="48">
        <f>(4.162)*10.764</f>
        <v>44.799767999999993</v>
      </c>
      <c r="F649" s="33">
        <f t="shared" si="164"/>
        <v>857.90156399999989</v>
      </c>
      <c r="G649" s="33">
        <v>0</v>
      </c>
      <c r="H649" s="33">
        <f>F649*(($H$422)+1)+(IF(G649&lt;101,G649,IF(G649&lt;201,G649/2,IF(G649&lt;=301,G649/3,G649/4))))</f>
        <v>1286.8523459999999</v>
      </c>
      <c r="I649" s="27"/>
    </row>
    <row r="650" spans="1:9" s="26" customFormat="1" x14ac:dyDescent="0.35">
      <c r="A650" s="220" t="s">
        <v>67</v>
      </c>
      <c r="B650" s="220"/>
      <c r="C650" s="220"/>
      <c r="D650" s="220"/>
      <c r="E650" s="220"/>
      <c r="F650" s="220"/>
      <c r="G650" s="220"/>
      <c r="H650" s="220"/>
    </row>
    <row r="651" spans="1:9" s="26" customFormat="1" ht="47.15" customHeight="1" x14ac:dyDescent="0.35">
      <c r="A651" s="39" t="s">
        <v>149</v>
      </c>
      <c r="B651" s="219" t="s">
        <v>350</v>
      </c>
      <c r="C651" s="219"/>
      <c r="D651" s="219"/>
      <c r="E651" s="219"/>
      <c r="F651" s="219"/>
      <c r="G651" s="219"/>
      <c r="H651" s="219"/>
      <c r="I651" s="42" t="s">
        <v>160</v>
      </c>
    </row>
    <row r="652" spans="1:9" s="26" customFormat="1" x14ac:dyDescent="0.35">
      <c r="A652" s="39" t="s">
        <v>149</v>
      </c>
      <c r="B652" s="218" t="str">
        <f>(IF(H421="Saleable area Loading :","We have considered Saleable area of Flats as per our Calculation.","We considered Saleable area of Flat as per Builder area Sheet."))</f>
        <v>We have considered Saleable area of Flats as per our Calculation.</v>
      </c>
      <c r="C652" s="218"/>
      <c r="D652" s="218"/>
      <c r="E652" s="218"/>
      <c r="F652" s="218"/>
      <c r="G652" s="218"/>
      <c r="H652" s="218"/>
    </row>
    <row r="653" spans="1:9" s="26" customFormat="1" x14ac:dyDescent="0.35">
      <c r="A653" s="39" t="s">
        <v>149</v>
      </c>
      <c r="B653" s="218" t="str">
        <f>(IF(H283="Saleable area Loading :","We have considered Saleable area of Commercial as per our Calculation.","We considered Saleable area of Commercial as per Builder area Sheet."))</f>
        <v>We have considered Saleable area of Commercial as per our Calculation.</v>
      </c>
      <c r="C653" s="218"/>
      <c r="D653" s="218"/>
      <c r="E653" s="218"/>
      <c r="F653" s="218"/>
      <c r="G653" s="218"/>
      <c r="H653" s="218"/>
    </row>
    <row r="654" spans="1:9" s="26" customFormat="1" x14ac:dyDescent="0.35">
      <c r="A654" s="39" t="s">
        <v>149</v>
      </c>
      <c r="B654" s="214" t="s">
        <v>119</v>
      </c>
      <c r="C654" s="214"/>
      <c r="D654" s="214"/>
      <c r="E654" s="214"/>
      <c r="F654" s="214"/>
      <c r="G654" s="214"/>
      <c r="H654" s="214"/>
    </row>
    <row r="655" spans="1:9" s="26" customFormat="1" x14ac:dyDescent="0.35">
      <c r="A655" s="39" t="s">
        <v>149</v>
      </c>
      <c r="B655" s="214" t="s">
        <v>311</v>
      </c>
      <c r="C655" s="214"/>
      <c r="D655" s="214"/>
      <c r="E655" s="214"/>
      <c r="F655" s="214"/>
      <c r="G655" s="214"/>
      <c r="H655" s="214"/>
    </row>
    <row r="656" spans="1:9" s="26" customFormat="1" ht="32.25" hidden="1" customHeight="1" x14ac:dyDescent="0.35">
      <c r="A656" s="39" t="s">
        <v>149</v>
      </c>
      <c r="B656" s="214" t="s">
        <v>148</v>
      </c>
      <c r="C656" s="214"/>
      <c r="D656" s="214"/>
      <c r="E656" s="214"/>
      <c r="F656" s="214"/>
      <c r="G656" s="214"/>
      <c r="H656" s="214"/>
    </row>
    <row r="657" spans="1:9" s="26" customFormat="1" x14ac:dyDescent="0.35">
      <c r="A657" s="39" t="s">
        <v>149</v>
      </c>
      <c r="B657" s="214" t="s">
        <v>120</v>
      </c>
      <c r="C657" s="214"/>
      <c r="D657" s="214"/>
      <c r="E657" s="214"/>
      <c r="F657" s="214"/>
      <c r="G657" s="214"/>
      <c r="H657" s="214"/>
    </row>
    <row r="658" spans="1:9" ht="33.65" customHeight="1" x14ac:dyDescent="0.35">
      <c r="A658" s="39" t="s">
        <v>149</v>
      </c>
      <c r="B658" s="214" t="s">
        <v>150</v>
      </c>
      <c r="C658" s="214"/>
      <c r="D658" s="214"/>
      <c r="E658" s="214"/>
      <c r="F658" s="214"/>
      <c r="G658" s="214"/>
      <c r="H658" s="214"/>
      <c r="I658" s="26"/>
    </row>
    <row r="659" spans="1:9" x14ac:dyDescent="0.35">
      <c r="A659" s="39" t="s">
        <v>149</v>
      </c>
      <c r="B659" s="214" t="s">
        <v>121</v>
      </c>
      <c r="C659" s="214"/>
      <c r="D659" s="214"/>
      <c r="E659" s="214"/>
      <c r="F659" s="214"/>
      <c r="G659" s="214"/>
      <c r="H659" s="214"/>
      <c r="I659" s="26"/>
    </row>
    <row r="660" spans="1:9" x14ac:dyDescent="0.35">
      <c r="A660" s="39" t="s">
        <v>149</v>
      </c>
      <c r="B660" s="218" t="s">
        <v>323</v>
      </c>
      <c r="C660" s="218"/>
      <c r="D660" s="218"/>
      <c r="E660" s="218"/>
      <c r="F660" s="218"/>
      <c r="G660" s="218"/>
      <c r="H660" s="218"/>
      <c r="I660" s="26"/>
    </row>
    <row r="661" spans="1:9" ht="15.75" hidden="1" customHeight="1" x14ac:dyDescent="0.35">
      <c r="A661" s="39" t="s">
        <v>149</v>
      </c>
      <c r="B661" s="224" t="s">
        <v>175</v>
      </c>
      <c r="C661" s="224"/>
      <c r="D661" s="224"/>
      <c r="E661" s="224"/>
      <c r="F661" s="224"/>
      <c r="G661" s="224"/>
      <c r="H661" s="224"/>
      <c r="I661" s="26"/>
    </row>
    <row r="662" spans="1:9" ht="31.5" customHeight="1" x14ac:dyDescent="0.35">
      <c r="A662" s="76" t="s">
        <v>149</v>
      </c>
      <c r="B662" s="235" t="s">
        <v>347</v>
      </c>
      <c r="C662" s="235"/>
      <c r="D662" s="235"/>
      <c r="E662" s="235"/>
      <c r="F662" s="235"/>
      <c r="G662" s="235"/>
      <c r="H662" s="235"/>
      <c r="I662" s="26"/>
    </row>
    <row r="663" spans="1:9" x14ac:dyDescent="0.35">
      <c r="A663" s="39" t="s">
        <v>149</v>
      </c>
      <c r="B663" s="208" t="s">
        <v>341</v>
      </c>
      <c r="C663" s="209"/>
      <c r="D663" s="209"/>
      <c r="E663" s="209"/>
      <c r="F663" s="209"/>
      <c r="G663" s="209"/>
      <c r="H663" s="210"/>
      <c r="I663" s="26"/>
    </row>
    <row r="664" spans="1:9" x14ac:dyDescent="0.35">
      <c r="A664" s="207" t="s">
        <v>60</v>
      </c>
      <c r="B664" s="207"/>
      <c r="C664" s="207"/>
      <c r="D664" s="207"/>
      <c r="E664" s="207"/>
      <c r="F664" s="207"/>
      <c r="G664" s="207"/>
      <c r="H664" s="207"/>
    </row>
    <row r="665" spans="1:9" x14ac:dyDescent="0.35">
      <c r="A665" s="148" t="s">
        <v>61</v>
      </c>
      <c r="B665" s="148"/>
      <c r="C665" s="148"/>
      <c r="D665" s="148"/>
      <c r="E665" s="148"/>
      <c r="F665" s="148"/>
      <c r="G665" s="148"/>
      <c r="H665" s="148"/>
    </row>
    <row r="666" spans="1:9" x14ac:dyDescent="0.35">
      <c r="A666" s="221" t="s">
        <v>62</v>
      </c>
      <c r="B666" s="221"/>
      <c r="C666" s="221"/>
      <c r="D666" s="221"/>
      <c r="E666" s="221"/>
      <c r="F666" s="221"/>
      <c r="G666" s="221"/>
      <c r="H666" s="221"/>
    </row>
    <row r="667" spans="1:9" x14ac:dyDescent="0.35">
      <c r="A667" s="148" t="s">
        <v>63</v>
      </c>
      <c r="B667" s="148"/>
      <c r="C667" s="148"/>
      <c r="D667" s="148"/>
      <c r="E667" s="148"/>
      <c r="F667" s="148"/>
      <c r="G667" s="148"/>
      <c r="H667" s="148"/>
    </row>
    <row r="668" spans="1:9" x14ac:dyDescent="0.35">
      <c r="A668" s="148" t="s">
        <v>64</v>
      </c>
      <c r="B668" s="148"/>
      <c r="C668" s="148"/>
      <c r="D668" s="148"/>
      <c r="E668" s="148"/>
      <c r="F668" s="148"/>
      <c r="G668" s="148"/>
      <c r="H668" s="148"/>
    </row>
    <row r="669" spans="1:9" x14ac:dyDescent="0.35">
      <c r="A669" s="148" t="s">
        <v>122</v>
      </c>
      <c r="B669" s="148"/>
      <c r="C669" s="148"/>
      <c r="D669" s="148"/>
      <c r="E669" s="148"/>
      <c r="F669" s="148"/>
      <c r="G669" s="148"/>
      <c r="H669" s="148"/>
    </row>
    <row r="670" spans="1:9" x14ac:dyDescent="0.35">
      <c r="A670" s="149" t="s">
        <v>123</v>
      </c>
      <c r="B670" s="149"/>
      <c r="C670" s="149"/>
      <c r="D670" s="149"/>
      <c r="E670" s="149"/>
      <c r="F670" s="149"/>
      <c r="G670" s="149"/>
      <c r="H670" s="149"/>
    </row>
    <row r="671" spans="1:9" x14ac:dyDescent="0.35">
      <c r="A671" s="205" t="s">
        <v>75</v>
      </c>
      <c r="B671" s="205"/>
      <c r="C671" s="205" t="s">
        <v>255</v>
      </c>
      <c r="D671" s="205"/>
      <c r="E671" s="205" t="s">
        <v>104</v>
      </c>
      <c r="F671" s="205"/>
      <c r="G671" s="206" t="s">
        <v>351</v>
      </c>
      <c r="H671" s="206"/>
    </row>
    <row r="672" spans="1:9" x14ac:dyDescent="0.35">
      <c r="A672" s="204" t="s">
        <v>77</v>
      </c>
      <c r="B672" s="204"/>
      <c r="C672" s="204"/>
      <c r="D672" s="204"/>
      <c r="E672" s="204"/>
      <c r="F672" s="204"/>
      <c r="G672" s="204"/>
      <c r="H672" s="204"/>
    </row>
    <row r="673" spans="1:8" x14ac:dyDescent="0.35">
      <c r="A673" s="204"/>
      <c r="B673" s="204"/>
      <c r="C673" s="204"/>
      <c r="D673" s="204"/>
      <c r="E673" s="204"/>
      <c r="F673" s="204"/>
      <c r="G673" s="204"/>
      <c r="H673" s="204"/>
    </row>
    <row r="674" spans="1:8" x14ac:dyDescent="0.35">
      <c r="A674" s="204"/>
      <c r="B674" s="204"/>
      <c r="C674" s="204"/>
      <c r="D674" s="204"/>
      <c r="E674" s="204"/>
      <c r="F674" s="204"/>
      <c r="G674" s="204"/>
      <c r="H674" s="204"/>
    </row>
    <row r="675" spans="1:8" x14ac:dyDescent="0.35">
      <c r="A675" s="29" t="s">
        <v>65</v>
      </c>
      <c r="B675" s="30"/>
      <c r="C675" s="30"/>
      <c r="D675" s="29" t="str">
        <f>E8</f>
        <v>Palm Amore</v>
      </c>
      <c r="F675" s="30"/>
      <c r="G675" s="30"/>
      <c r="H675" s="30"/>
    </row>
    <row r="676" spans="1:8" x14ac:dyDescent="0.35">
      <c r="A676" s="30"/>
      <c r="B676" s="30"/>
      <c r="C676" s="30"/>
      <c r="D676" s="30"/>
      <c r="E676" s="30"/>
      <c r="F676" s="30"/>
      <c r="G676" s="30"/>
      <c r="H676" s="30"/>
    </row>
    <row r="677" spans="1:8" x14ac:dyDescent="0.35">
      <c r="A677" s="30"/>
      <c r="B677" s="30"/>
      <c r="C677" s="30"/>
      <c r="D677" s="30"/>
      <c r="E677" s="30"/>
      <c r="F677" s="30"/>
      <c r="G677" s="30"/>
      <c r="H677" s="30"/>
    </row>
    <row r="719" spans="1:1" x14ac:dyDescent="0.35">
      <c r="A719" s="32" t="s">
        <v>161</v>
      </c>
    </row>
    <row r="763" spans="1:1" x14ac:dyDescent="0.35">
      <c r="A763" s="32" t="s">
        <v>66</v>
      </c>
    </row>
    <row r="781" spans="2:15" x14ac:dyDescent="0.35">
      <c r="O781" s="16" t="e" vm="1">
        <v>#VALUE!</v>
      </c>
    </row>
    <row r="784" spans="2:15" x14ac:dyDescent="0.35">
      <c r="B784" s="31" t="s">
        <v>352</v>
      </c>
    </row>
  </sheetData>
  <mergeCells count="923">
    <mergeCell ref="A473:B473"/>
    <mergeCell ref="A474:B474"/>
    <mergeCell ref="A394:H394"/>
    <mergeCell ref="A420:H420"/>
    <mergeCell ref="A396:H396"/>
    <mergeCell ref="A475:H475"/>
    <mergeCell ref="A495:B495"/>
    <mergeCell ref="A496:H496"/>
    <mergeCell ref="A476:H476"/>
    <mergeCell ref="A488:B488"/>
    <mergeCell ref="A489:B489"/>
    <mergeCell ref="C489:H489"/>
    <mergeCell ref="A490:B490"/>
    <mergeCell ref="A491:B491"/>
    <mergeCell ref="A487:B487"/>
    <mergeCell ref="A485:B485"/>
    <mergeCell ref="A486:H486"/>
    <mergeCell ref="A397:H397"/>
    <mergeCell ref="A398:H398"/>
    <mergeCell ref="A399:B399"/>
    <mergeCell ref="A400:B400"/>
    <mergeCell ref="A401:B401"/>
    <mergeCell ref="A402:B402"/>
    <mergeCell ref="A403:B403"/>
    <mergeCell ref="B662:H662"/>
    <mergeCell ref="B660:H660"/>
    <mergeCell ref="A498:B498"/>
    <mergeCell ref="A497:B497"/>
    <mergeCell ref="A499:H499"/>
    <mergeCell ref="A500:B500"/>
    <mergeCell ref="A502:B502"/>
    <mergeCell ref="A501:B501"/>
    <mergeCell ref="C501:H501"/>
    <mergeCell ref="B658:H658"/>
    <mergeCell ref="A514:H514"/>
    <mergeCell ref="A515:B515"/>
    <mergeCell ref="A516:B516"/>
    <mergeCell ref="A518:B518"/>
    <mergeCell ref="A519:B519"/>
    <mergeCell ref="A517:B517"/>
    <mergeCell ref="C517:H517"/>
    <mergeCell ref="A511:B511"/>
    <mergeCell ref="A512:B512"/>
    <mergeCell ref="A504:H504"/>
    <mergeCell ref="A505:B505"/>
    <mergeCell ref="A506:B506"/>
    <mergeCell ref="A507:B507"/>
    <mergeCell ref="A508:B508"/>
    <mergeCell ref="A373:B373"/>
    <mergeCell ref="A438:B438"/>
    <mergeCell ref="C438:H438"/>
    <mergeCell ref="A435:H435"/>
    <mergeCell ref="A450:B450"/>
    <mergeCell ref="A439:B439"/>
    <mergeCell ref="A451:B451"/>
    <mergeCell ref="A446:B446"/>
    <mergeCell ref="A472:B472"/>
    <mergeCell ref="C472:H472"/>
    <mergeCell ref="B421:B422"/>
    <mergeCell ref="A447:H447"/>
    <mergeCell ref="A441:H441"/>
    <mergeCell ref="A434:B434"/>
    <mergeCell ref="A430:H430"/>
    <mergeCell ref="A452:H452"/>
    <mergeCell ref="A453:B453"/>
    <mergeCell ref="A455:B455"/>
    <mergeCell ref="C455:H455"/>
    <mergeCell ref="A374:B374"/>
    <mergeCell ref="A375:B375"/>
    <mergeCell ref="A376:B376"/>
    <mergeCell ref="A377:B377"/>
    <mergeCell ref="A378:B378"/>
    <mergeCell ref="A353:B353"/>
    <mergeCell ref="A354:B354"/>
    <mergeCell ref="A355:B355"/>
    <mergeCell ref="A356:B356"/>
    <mergeCell ref="A357:B357"/>
    <mergeCell ref="A358:H358"/>
    <mergeCell ref="A492:H492"/>
    <mergeCell ref="A493:H493"/>
    <mergeCell ref="A494:B494"/>
    <mergeCell ref="A365:B365"/>
    <mergeCell ref="A366:B366"/>
    <mergeCell ref="A367:B367"/>
    <mergeCell ref="A368:B368"/>
    <mergeCell ref="A369:B369"/>
    <mergeCell ref="A370:B370"/>
    <mergeCell ref="A371:B371"/>
    <mergeCell ref="A372:B372"/>
    <mergeCell ref="A359:H359"/>
    <mergeCell ref="A360:H360"/>
    <mergeCell ref="A361:H361"/>
    <mergeCell ref="A362:H362"/>
    <mergeCell ref="A363:B363"/>
    <mergeCell ref="A364:B364"/>
    <mergeCell ref="A484:B484"/>
    <mergeCell ref="A344:B344"/>
    <mergeCell ref="A345:H345"/>
    <mergeCell ref="A346:H346"/>
    <mergeCell ref="A347:H347"/>
    <mergeCell ref="A348:H348"/>
    <mergeCell ref="A349:H349"/>
    <mergeCell ref="A350:B350"/>
    <mergeCell ref="A351:B351"/>
    <mergeCell ref="A352:B352"/>
    <mergeCell ref="I14:P14"/>
    <mergeCell ref="F248:H248"/>
    <mergeCell ref="F246:H246"/>
    <mergeCell ref="A443:B443"/>
    <mergeCell ref="A282:H282"/>
    <mergeCell ref="G252:H252"/>
    <mergeCell ref="A247:E247"/>
    <mergeCell ref="A326:B326"/>
    <mergeCell ref="A55:B55"/>
    <mergeCell ref="C55:E55"/>
    <mergeCell ref="D57:H57"/>
    <mergeCell ref="F247:H247"/>
    <mergeCell ref="E252:F252"/>
    <mergeCell ref="A252:B252"/>
    <mergeCell ref="C264:D264"/>
    <mergeCell ref="D67:H67"/>
    <mergeCell ref="A331:H331"/>
    <mergeCell ref="A332:H332"/>
    <mergeCell ref="A333:H333"/>
    <mergeCell ref="A334:H334"/>
    <mergeCell ref="A335:B335"/>
    <mergeCell ref="A336:B336"/>
    <mergeCell ref="A337:B337"/>
    <mergeCell ref="A338:B338"/>
    <mergeCell ref="E42:H42"/>
    <mergeCell ref="A42:D42"/>
    <mergeCell ref="A182:B182"/>
    <mergeCell ref="C182:H182"/>
    <mergeCell ref="A135:B135"/>
    <mergeCell ref="A49:B49"/>
    <mergeCell ref="D69:H69"/>
    <mergeCell ref="A67:C67"/>
    <mergeCell ref="D68:H68"/>
    <mergeCell ref="A130:B130"/>
    <mergeCell ref="G129:H129"/>
    <mergeCell ref="A44:D44"/>
    <mergeCell ref="D62:H62"/>
    <mergeCell ref="C51:E51"/>
    <mergeCell ref="D60:H60"/>
    <mergeCell ref="D61:H61"/>
    <mergeCell ref="C50:E50"/>
    <mergeCell ref="A88:B88"/>
    <mergeCell ref="E88:F97"/>
    <mergeCell ref="G88:H97"/>
    <mergeCell ref="A89:B89"/>
    <mergeCell ref="A90:B90"/>
    <mergeCell ref="A91:B91"/>
    <mergeCell ref="A92:B92"/>
    <mergeCell ref="A51:B52"/>
    <mergeCell ref="A136:B136"/>
    <mergeCell ref="A201:B201"/>
    <mergeCell ref="A68:C68"/>
    <mergeCell ref="E185:F185"/>
    <mergeCell ref="G185:H185"/>
    <mergeCell ref="C49:E49"/>
    <mergeCell ref="G49:H49"/>
    <mergeCell ref="G51:H51"/>
    <mergeCell ref="A50:B50"/>
    <mergeCell ref="A56:H56"/>
    <mergeCell ref="A57:C57"/>
    <mergeCell ref="A58:C58"/>
    <mergeCell ref="D58:H58"/>
    <mergeCell ref="G55:H55"/>
    <mergeCell ref="C52:H52"/>
    <mergeCell ref="A84:B84"/>
    <mergeCell ref="C84:H84"/>
    <mergeCell ref="A86:B86"/>
    <mergeCell ref="C86:H86"/>
    <mergeCell ref="A87:B87"/>
    <mergeCell ref="E87:F87"/>
    <mergeCell ref="G87:H87"/>
    <mergeCell ref="A93:B93"/>
    <mergeCell ref="A669:H669"/>
    <mergeCell ref="A666:H666"/>
    <mergeCell ref="A264:B264"/>
    <mergeCell ref="D421:D422"/>
    <mergeCell ref="E421:E422"/>
    <mergeCell ref="A190:B190"/>
    <mergeCell ref="A191:B191"/>
    <mergeCell ref="A192:B192"/>
    <mergeCell ref="A206:B206"/>
    <mergeCell ref="F239:H239"/>
    <mergeCell ref="G259:H259"/>
    <mergeCell ref="A209:B209"/>
    <mergeCell ref="F245:H245"/>
    <mergeCell ref="C252:D252"/>
    <mergeCell ref="C279:D279"/>
    <mergeCell ref="A424:H424"/>
    <mergeCell ref="A445:B445"/>
    <mergeCell ref="A281:H281"/>
    <mergeCell ref="A421:A422"/>
    <mergeCell ref="B661:H661"/>
    <mergeCell ref="A280:B280"/>
    <mergeCell ref="C280:D280"/>
    <mergeCell ref="E280:F280"/>
    <mergeCell ref="B659:H659"/>
    <mergeCell ref="A285:H285"/>
    <mergeCell ref="A291:B291"/>
    <mergeCell ref="A287:H287"/>
    <mergeCell ref="B657:H657"/>
    <mergeCell ref="B653:H653"/>
    <mergeCell ref="A457:B457"/>
    <mergeCell ref="A454:B454"/>
    <mergeCell ref="A456:B456"/>
    <mergeCell ref="B651:H651"/>
    <mergeCell ref="B652:H652"/>
    <mergeCell ref="B654:H654"/>
    <mergeCell ref="B655:H655"/>
    <mergeCell ref="A650:H650"/>
    <mergeCell ref="A458:H458"/>
    <mergeCell ref="A459:H459"/>
    <mergeCell ref="A460:B460"/>
    <mergeCell ref="A461:B461"/>
    <mergeCell ref="A462:B462"/>
    <mergeCell ref="A463:B463"/>
    <mergeCell ref="A464:H464"/>
    <mergeCell ref="A465:B465"/>
    <mergeCell ref="A466:B466"/>
    <mergeCell ref="A467:B467"/>
    <mergeCell ref="A468:B468"/>
    <mergeCell ref="A300:H300"/>
    <mergeCell ref="A297:B297"/>
    <mergeCell ref="A303:H303"/>
    <mergeCell ref="A305:B305"/>
    <mergeCell ref="A306:B306"/>
    <mergeCell ref="A307:B307"/>
    <mergeCell ref="A309:B309"/>
    <mergeCell ref="A316:H316"/>
    <mergeCell ref="A317:H317"/>
    <mergeCell ref="A301:H301"/>
    <mergeCell ref="A302:H302"/>
    <mergeCell ref="A308:B308"/>
    <mergeCell ref="A304:H304"/>
    <mergeCell ref="A313:B313"/>
    <mergeCell ref="A325:B325"/>
    <mergeCell ref="A324:B324"/>
    <mergeCell ref="A449:B449"/>
    <mergeCell ref="B656:H656"/>
    <mergeCell ref="F421:F422"/>
    <mergeCell ref="A469:H469"/>
    <mergeCell ref="A470:B470"/>
    <mergeCell ref="A471:B471"/>
    <mergeCell ref="A477:B477"/>
    <mergeCell ref="A478:B478"/>
    <mergeCell ref="A479:B479"/>
    <mergeCell ref="A480:B480"/>
    <mergeCell ref="A481:H481"/>
    <mergeCell ref="A482:B482"/>
    <mergeCell ref="A483:B483"/>
    <mergeCell ref="A339:B339"/>
    <mergeCell ref="A340:B340"/>
    <mergeCell ref="A341:B341"/>
    <mergeCell ref="A342:B342"/>
    <mergeCell ref="A343:B343"/>
    <mergeCell ref="A442:H442"/>
    <mergeCell ref="A431:B431"/>
    <mergeCell ref="A432:B432"/>
    <mergeCell ref="A433:B433"/>
    <mergeCell ref="A244:E244"/>
    <mergeCell ref="F244:H244"/>
    <mergeCell ref="A246:E246"/>
    <mergeCell ref="F241:H241"/>
    <mergeCell ref="A245:E245"/>
    <mergeCell ref="A203:B203"/>
    <mergeCell ref="A204:B204"/>
    <mergeCell ref="E186:F195"/>
    <mergeCell ref="A193:B193"/>
    <mergeCell ref="A194:B194"/>
    <mergeCell ref="E199:F199"/>
    <mergeCell ref="E200:F209"/>
    <mergeCell ref="A243:E243"/>
    <mergeCell ref="A195:B195"/>
    <mergeCell ref="A200:B200"/>
    <mergeCell ref="C198:H198"/>
    <mergeCell ref="A199:B199"/>
    <mergeCell ref="A189:B189"/>
    <mergeCell ref="F240:H240"/>
    <mergeCell ref="A240:E240"/>
    <mergeCell ref="A198:B198"/>
    <mergeCell ref="A202:B202"/>
    <mergeCell ref="A210:B210"/>
    <mergeCell ref="C210:H210"/>
    <mergeCell ref="A672:H674"/>
    <mergeCell ref="A671:B671"/>
    <mergeCell ref="E671:F671"/>
    <mergeCell ref="C671:D671"/>
    <mergeCell ref="G671:H671"/>
    <mergeCell ref="A251:H251"/>
    <mergeCell ref="A249:E249"/>
    <mergeCell ref="F249:H249"/>
    <mergeCell ref="A250:E250"/>
    <mergeCell ref="F250:H250"/>
    <mergeCell ref="A444:B444"/>
    <mergeCell ref="A667:H667"/>
    <mergeCell ref="A263:H263"/>
    <mergeCell ref="A670:H670"/>
    <mergeCell ref="A668:H668"/>
    <mergeCell ref="A664:H664"/>
    <mergeCell ref="G264:H264"/>
    <mergeCell ref="B663:H663"/>
    <mergeCell ref="A279:B279"/>
    <mergeCell ref="E279:F279"/>
    <mergeCell ref="G279:H279"/>
    <mergeCell ref="C260:D260"/>
    <mergeCell ref="A665:H665"/>
    <mergeCell ref="A328:B328"/>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C34:E3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F33:H33"/>
    <mergeCell ref="F34:H34"/>
    <mergeCell ref="F36:H36"/>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A37:H37"/>
    <mergeCell ref="A36:B36"/>
    <mergeCell ref="C36:E36"/>
    <mergeCell ref="G200:H209"/>
    <mergeCell ref="A41:D41"/>
    <mergeCell ref="E41:H41"/>
    <mergeCell ref="A40:H40"/>
    <mergeCell ref="A63:C63"/>
    <mergeCell ref="A64:C64"/>
    <mergeCell ref="D63:H63"/>
    <mergeCell ref="E130:F139"/>
    <mergeCell ref="G130:H139"/>
    <mergeCell ref="A138:B138"/>
    <mergeCell ref="A139:B139"/>
    <mergeCell ref="D64:H64"/>
    <mergeCell ref="A43:D43"/>
    <mergeCell ref="E43:H43"/>
    <mergeCell ref="E44:H44"/>
    <mergeCell ref="E45:H45"/>
    <mergeCell ref="A185:B185"/>
    <mergeCell ref="E46:H46"/>
    <mergeCell ref="A184:B184"/>
    <mergeCell ref="A129:B129"/>
    <mergeCell ref="A132:B132"/>
    <mergeCell ref="A38:B38"/>
    <mergeCell ref="C38:H38"/>
    <mergeCell ref="A45:D45"/>
    <mergeCell ref="L328:M328"/>
    <mergeCell ref="L327:M327"/>
    <mergeCell ref="L326:M326"/>
    <mergeCell ref="L325:M325"/>
    <mergeCell ref="A137:B137"/>
    <mergeCell ref="C275:D275"/>
    <mergeCell ref="E275:F275"/>
    <mergeCell ref="G275:H275"/>
    <mergeCell ref="A239:E239"/>
    <mergeCell ref="A196:B196"/>
    <mergeCell ref="C196:H196"/>
    <mergeCell ref="E283:E284"/>
    <mergeCell ref="A186:B186"/>
    <mergeCell ref="A46:D46"/>
    <mergeCell ref="A47:H47"/>
    <mergeCell ref="D59:H59"/>
    <mergeCell ref="A59:C59"/>
    <mergeCell ref="G50:H50"/>
    <mergeCell ref="G283:G284"/>
    <mergeCell ref="A48:B48"/>
    <mergeCell ref="C48:H48"/>
    <mergeCell ref="L429:M429"/>
    <mergeCell ref="A440:B440"/>
    <mergeCell ref="A436:B436"/>
    <mergeCell ref="A437:B437"/>
    <mergeCell ref="A448:B448"/>
    <mergeCell ref="A39:B39"/>
    <mergeCell ref="C39:H39"/>
    <mergeCell ref="F283:F284"/>
    <mergeCell ref="C259:D259"/>
    <mergeCell ref="E259:F259"/>
    <mergeCell ref="B283:B284"/>
    <mergeCell ref="A283:A284"/>
    <mergeCell ref="C421:C422"/>
    <mergeCell ref="G421:G422"/>
    <mergeCell ref="L428:M428"/>
    <mergeCell ref="L425:M425"/>
    <mergeCell ref="A426:B426"/>
    <mergeCell ref="G280:H280"/>
    <mergeCell ref="L426:M426"/>
    <mergeCell ref="A427:B427"/>
    <mergeCell ref="L427:M427"/>
    <mergeCell ref="A428:B428"/>
    <mergeCell ref="F238:H238"/>
    <mergeCell ref="F243:H243"/>
    <mergeCell ref="D283:D284"/>
    <mergeCell ref="A242:E242"/>
    <mergeCell ref="A205:B205"/>
    <mergeCell ref="A207:B207"/>
    <mergeCell ref="A208:B208"/>
    <mergeCell ref="A241:E241"/>
    <mergeCell ref="A238:E238"/>
    <mergeCell ref="F242:H242"/>
    <mergeCell ref="G199:H199"/>
    <mergeCell ref="G265:H265"/>
    <mergeCell ref="C266:D266"/>
    <mergeCell ref="E266:F266"/>
    <mergeCell ref="G266:H266"/>
    <mergeCell ref="C267:D267"/>
    <mergeCell ref="E267:F267"/>
    <mergeCell ref="G267:H267"/>
    <mergeCell ref="C268:D268"/>
    <mergeCell ref="E264:F264"/>
    <mergeCell ref="C283:C284"/>
    <mergeCell ref="A248:E248"/>
    <mergeCell ref="C257:D257"/>
    <mergeCell ref="E257:F257"/>
    <mergeCell ref="G257:H257"/>
    <mergeCell ref="C258:D258"/>
    <mergeCell ref="I66:L66"/>
    <mergeCell ref="A60:C62"/>
    <mergeCell ref="A286:H286"/>
    <mergeCell ref="A128:B128"/>
    <mergeCell ref="A126:B126"/>
    <mergeCell ref="C126:H126"/>
    <mergeCell ref="A134:B134"/>
    <mergeCell ref="A65:C65"/>
    <mergeCell ref="D65:H65"/>
    <mergeCell ref="C128:H128"/>
    <mergeCell ref="A131:B131"/>
    <mergeCell ref="A133:B133"/>
    <mergeCell ref="E129:F129"/>
    <mergeCell ref="A66:C66"/>
    <mergeCell ref="D66:H66"/>
    <mergeCell ref="A69:C69"/>
    <mergeCell ref="G260:H260"/>
    <mergeCell ref="A262:B262"/>
    <mergeCell ref="C262:D262"/>
    <mergeCell ref="E262:F262"/>
    <mergeCell ref="G262:H262"/>
    <mergeCell ref="G186:H195"/>
    <mergeCell ref="A187:B187"/>
    <mergeCell ref="A188:B188"/>
    <mergeCell ref="A288:H288"/>
    <mergeCell ref="A289:H289"/>
    <mergeCell ref="A290:H290"/>
    <mergeCell ref="A296:B296"/>
    <mergeCell ref="A298:B298"/>
    <mergeCell ref="A299:B299"/>
    <mergeCell ref="A292:B292"/>
    <mergeCell ref="A293:B293"/>
    <mergeCell ref="A294:B294"/>
    <mergeCell ref="A295:B295"/>
    <mergeCell ref="A323:B323"/>
    <mergeCell ref="A315:H315"/>
    <mergeCell ref="A429:B429"/>
    <mergeCell ref="A320:B320"/>
    <mergeCell ref="A321:B321"/>
    <mergeCell ref="A322:B322"/>
    <mergeCell ref="A310:B310"/>
    <mergeCell ref="A311:B311"/>
    <mergeCell ref="A312:B312"/>
    <mergeCell ref="A314:B314"/>
    <mergeCell ref="A423:H423"/>
    <mergeCell ref="A425:H425"/>
    <mergeCell ref="A318:H318"/>
    <mergeCell ref="A319:H319"/>
    <mergeCell ref="A329:B329"/>
    <mergeCell ref="A330:H330"/>
    <mergeCell ref="A379:H379"/>
    <mergeCell ref="A395:H395"/>
    <mergeCell ref="A327:B327"/>
    <mergeCell ref="A390:B390"/>
    <mergeCell ref="A391:B391"/>
    <mergeCell ref="A392:B392"/>
    <mergeCell ref="A393:B393"/>
    <mergeCell ref="A386:B386"/>
    <mergeCell ref="A510:B510"/>
    <mergeCell ref="A509:H509"/>
    <mergeCell ref="A503:H503"/>
    <mergeCell ref="A561:B561"/>
    <mergeCell ref="A546:H546"/>
    <mergeCell ref="A547:B547"/>
    <mergeCell ref="A548:B548"/>
    <mergeCell ref="A549:B549"/>
    <mergeCell ref="A550:B550"/>
    <mergeCell ref="A551:H551"/>
    <mergeCell ref="A552:B552"/>
    <mergeCell ref="A553:B553"/>
    <mergeCell ref="A554:B554"/>
    <mergeCell ref="A559:B559"/>
    <mergeCell ref="A560:B560"/>
    <mergeCell ref="A555:B555"/>
    <mergeCell ref="A556:B556"/>
    <mergeCell ref="C556:H556"/>
    <mergeCell ref="A557:H557"/>
    <mergeCell ref="A535:B535"/>
    <mergeCell ref="A536:B536"/>
    <mergeCell ref="A537:B537"/>
    <mergeCell ref="A520:H520"/>
    <mergeCell ref="A521:H521"/>
    <mergeCell ref="A540:H540"/>
    <mergeCell ref="A541:H541"/>
    <mergeCell ref="A542:H542"/>
    <mergeCell ref="A543:H543"/>
    <mergeCell ref="A544:H544"/>
    <mergeCell ref="A545:H545"/>
    <mergeCell ref="A513:B513"/>
    <mergeCell ref="A531:B531"/>
    <mergeCell ref="A532:B532"/>
    <mergeCell ref="A533:H533"/>
    <mergeCell ref="A534:B534"/>
    <mergeCell ref="A522:H522"/>
    <mergeCell ref="A523:H523"/>
    <mergeCell ref="A524:H524"/>
    <mergeCell ref="A525:H525"/>
    <mergeCell ref="A526:H526"/>
    <mergeCell ref="A527:H527"/>
    <mergeCell ref="A528:H528"/>
    <mergeCell ref="A529:B529"/>
    <mergeCell ref="A530:B530"/>
    <mergeCell ref="A380:H380"/>
    <mergeCell ref="A381:H381"/>
    <mergeCell ref="A382:H382"/>
    <mergeCell ref="A383:H383"/>
    <mergeCell ref="A384:H384"/>
    <mergeCell ref="A385:H385"/>
    <mergeCell ref="A387:B387"/>
    <mergeCell ref="A388:B388"/>
    <mergeCell ref="A389:B389"/>
    <mergeCell ref="A404:B404"/>
    <mergeCell ref="A576:B576"/>
    <mergeCell ref="A577:H577"/>
    <mergeCell ref="A580:B580"/>
    <mergeCell ref="A582:H582"/>
    <mergeCell ref="A405:B405"/>
    <mergeCell ref="A406:B406"/>
    <mergeCell ref="A571:H571"/>
    <mergeCell ref="A572:H572"/>
    <mergeCell ref="A573:B573"/>
    <mergeCell ref="A574:B574"/>
    <mergeCell ref="A575:B575"/>
    <mergeCell ref="A407:H407"/>
    <mergeCell ref="A408:H408"/>
    <mergeCell ref="A409:H409"/>
    <mergeCell ref="A410:H410"/>
    <mergeCell ref="A411:H411"/>
    <mergeCell ref="A412:B412"/>
    <mergeCell ref="A413:B413"/>
    <mergeCell ref="A414:B414"/>
    <mergeCell ref="A415:B415"/>
    <mergeCell ref="A416:B416"/>
    <mergeCell ref="A417:B417"/>
    <mergeCell ref="A418:B418"/>
    <mergeCell ref="A419:B419"/>
    <mergeCell ref="A585:B585"/>
    <mergeCell ref="A586:B586"/>
    <mergeCell ref="A587:B587"/>
    <mergeCell ref="C587:H587"/>
    <mergeCell ref="A578:B578"/>
    <mergeCell ref="A579:B579"/>
    <mergeCell ref="A581:B581"/>
    <mergeCell ref="A583:B583"/>
    <mergeCell ref="A584:B584"/>
    <mergeCell ref="A563:B563"/>
    <mergeCell ref="A564:B564"/>
    <mergeCell ref="A565:B565"/>
    <mergeCell ref="A566:H566"/>
    <mergeCell ref="A567:B567"/>
    <mergeCell ref="A568:B568"/>
    <mergeCell ref="A569:B569"/>
    <mergeCell ref="A570:B570"/>
    <mergeCell ref="C570:H570"/>
    <mergeCell ref="A562:H562"/>
    <mergeCell ref="A558:H558"/>
    <mergeCell ref="A538:B538"/>
    <mergeCell ref="C538:H538"/>
    <mergeCell ref="A539:H539"/>
    <mergeCell ref="A588:H588"/>
    <mergeCell ref="A589:H589"/>
    <mergeCell ref="A590:B590"/>
    <mergeCell ref="A591:B591"/>
    <mergeCell ref="A592:B592"/>
    <mergeCell ref="A593:H593"/>
    <mergeCell ref="A594:B594"/>
    <mergeCell ref="A595:B595"/>
    <mergeCell ref="A596:B596"/>
    <mergeCell ref="A597:H597"/>
    <mergeCell ref="A598:B598"/>
    <mergeCell ref="A600:B600"/>
    <mergeCell ref="A601:B601"/>
    <mergeCell ref="A599:B599"/>
    <mergeCell ref="C599:H599"/>
    <mergeCell ref="A602:H602"/>
    <mergeCell ref="A616:B616"/>
    <mergeCell ref="A603:H603"/>
    <mergeCell ref="A604:H604"/>
    <mergeCell ref="A605:H605"/>
    <mergeCell ref="A606:H606"/>
    <mergeCell ref="A607:H607"/>
    <mergeCell ref="C615:H615"/>
    <mergeCell ref="A609:B609"/>
    <mergeCell ref="A610:B610"/>
    <mergeCell ref="A611:B611"/>
    <mergeCell ref="A612:B612"/>
    <mergeCell ref="A608:H608"/>
    <mergeCell ref="A613:H613"/>
    <mergeCell ref="A614:B614"/>
    <mergeCell ref="A615:B615"/>
    <mergeCell ref="E258:F258"/>
    <mergeCell ref="G258:H258"/>
    <mergeCell ref="A253:A258"/>
    <mergeCell ref="C261:D261"/>
    <mergeCell ref="E261:F261"/>
    <mergeCell ref="G261:H261"/>
    <mergeCell ref="A259:A261"/>
    <mergeCell ref="A265:A270"/>
    <mergeCell ref="C265:D265"/>
    <mergeCell ref="E265:F265"/>
    <mergeCell ref="E268:F268"/>
    <mergeCell ref="G268:H268"/>
    <mergeCell ref="C269:D269"/>
    <mergeCell ref="E269:F269"/>
    <mergeCell ref="G269:H269"/>
    <mergeCell ref="C270:D270"/>
    <mergeCell ref="E270:F270"/>
    <mergeCell ref="G270:H270"/>
    <mergeCell ref="E260:F260"/>
    <mergeCell ref="A617:B617"/>
    <mergeCell ref="A640:H640"/>
    <mergeCell ref="A641:B641"/>
    <mergeCell ref="A642:B642"/>
    <mergeCell ref="A626:B626"/>
    <mergeCell ref="A627:B627"/>
    <mergeCell ref="A628:B628"/>
    <mergeCell ref="A629:H629"/>
    <mergeCell ref="A630:B630"/>
    <mergeCell ref="A631:B631"/>
    <mergeCell ref="C631:H631"/>
    <mergeCell ref="A632:B632"/>
    <mergeCell ref="A633:B633"/>
    <mergeCell ref="A638:H638"/>
    <mergeCell ref="A639:H639"/>
    <mergeCell ref="A621:H621"/>
    <mergeCell ref="A622:H622"/>
    <mergeCell ref="A623:H623"/>
    <mergeCell ref="A624:H624"/>
    <mergeCell ref="A625:B625"/>
    <mergeCell ref="A618:H618"/>
    <mergeCell ref="A619:H619"/>
    <mergeCell ref="A620:H620"/>
    <mergeCell ref="A643:B643"/>
    <mergeCell ref="A644:B644"/>
    <mergeCell ref="A645:H645"/>
    <mergeCell ref="A646:B646"/>
    <mergeCell ref="A647:B647"/>
    <mergeCell ref="C647:H647"/>
    <mergeCell ref="A648:B648"/>
    <mergeCell ref="A649:B649"/>
    <mergeCell ref="C253:D253"/>
    <mergeCell ref="E253:F253"/>
    <mergeCell ref="G253:H253"/>
    <mergeCell ref="C254:D254"/>
    <mergeCell ref="E254:F254"/>
    <mergeCell ref="G254:H254"/>
    <mergeCell ref="C255:D255"/>
    <mergeCell ref="E255:F255"/>
    <mergeCell ref="G255:H255"/>
    <mergeCell ref="C256:D256"/>
    <mergeCell ref="E256:F256"/>
    <mergeCell ref="G256:H256"/>
    <mergeCell ref="A634:H634"/>
    <mergeCell ref="A635:H635"/>
    <mergeCell ref="A636:H636"/>
    <mergeCell ref="A637:H637"/>
    <mergeCell ref="C271:D271"/>
    <mergeCell ref="E271:F271"/>
    <mergeCell ref="G271:H271"/>
    <mergeCell ref="C278:D278"/>
    <mergeCell ref="E278:F278"/>
    <mergeCell ref="G278:H278"/>
    <mergeCell ref="A271:A278"/>
    <mergeCell ref="C274:D274"/>
    <mergeCell ref="E274:F274"/>
    <mergeCell ref="G274:H274"/>
    <mergeCell ref="C276:D276"/>
    <mergeCell ref="E276:F276"/>
    <mergeCell ref="G276:H276"/>
    <mergeCell ref="C277:D277"/>
    <mergeCell ref="E277:F277"/>
    <mergeCell ref="G277:H277"/>
    <mergeCell ref="C272:D272"/>
    <mergeCell ref="E272:F272"/>
    <mergeCell ref="G272:H272"/>
    <mergeCell ref="C273:D273"/>
    <mergeCell ref="E273:F273"/>
    <mergeCell ref="G273:H273"/>
    <mergeCell ref="A94:B94"/>
    <mergeCell ref="A95:B95"/>
    <mergeCell ref="A96:B96"/>
    <mergeCell ref="A97:B97"/>
    <mergeCell ref="A70:B70"/>
    <mergeCell ref="C70:H70"/>
    <mergeCell ref="A72:B72"/>
    <mergeCell ref="C72:H72"/>
    <mergeCell ref="A73:B73"/>
    <mergeCell ref="E73:F73"/>
    <mergeCell ref="G73:H73"/>
    <mergeCell ref="A74:B74"/>
    <mergeCell ref="E74:F83"/>
    <mergeCell ref="G74:H83"/>
    <mergeCell ref="A75:B75"/>
    <mergeCell ref="A76:B76"/>
    <mergeCell ref="A77:B77"/>
    <mergeCell ref="A78:B78"/>
    <mergeCell ref="A79:B79"/>
    <mergeCell ref="A80:B80"/>
    <mergeCell ref="A81:B81"/>
    <mergeCell ref="A82:B82"/>
    <mergeCell ref="A83:B83"/>
    <mergeCell ref="A98:B98"/>
    <mergeCell ref="C98:H98"/>
    <mergeCell ref="A100:B100"/>
    <mergeCell ref="C100:H100"/>
    <mergeCell ref="A101:B101"/>
    <mergeCell ref="E101:F101"/>
    <mergeCell ref="G101:H101"/>
    <mergeCell ref="A102:B102"/>
    <mergeCell ref="E102:F111"/>
    <mergeCell ref="G102:H111"/>
    <mergeCell ref="A103:B103"/>
    <mergeCell ref="A104:B104"/>
    <mergeCell ref="A105:B105"/>
    <mergeCell ref="A106:B106"/>
    <mergeCell ref="A107:B107"/>
    <mergeCell ref="A108:B108"/>
    <mergeCell ref="A109:B109"/>
    <mergeCell ref="A110:B110"/>
    <mergeCell ref="A111:B111"/>
    <mergeCell ref="A112:B112"/>
    <mergeCell ref="C112:H112"/>
    <mergeCell ref="A114:B114"/>
    <mergeCell ref="C114:H114"/>
    <mergeCell ref="A115:B115"/>
    <mergeCell ref="E115:F115"/>
    <mergeCell ref="G115:H115"/>
    <mergeCell ref="A116:B116"/>
    <mergeCell ref="E116:F125"/>
    <mergeCell ref="G116:H125"/>
    <mergeCell ref="A117:B117"/>
    <mergeCell ref="A118:B118"/>
    <mergeCell ref="A119:B119"/>
    <mergeCell ref="A120:B120"/>
    <mergeCell ref="A121:B121"/>
    <mergeCell ref="A122:B122"/>
    <mergeCell ref="A123:B123"/>
    <mergeCell ref="A124:B124"/>
    <mergeCell ref="A125:B125"/>
    <mergeCell ref="A140:B140"/>
    <mergeCell ref="C140:H140"/>
    <mergeCell ref="A142:B142"/>
    <mergeCell ref="C142:H142"/>
    <mergeCell ref="A143:B143"/>
    <mergeCell ref="E143:F143"/>
    <mergeCell ref="G143:H143"/>
    <mergeCell ref="A144:B144"/>
    <mergeCell ref="E144:F153"/>
    <mergeCell ref="G144:H153"/>
    <mergeCell ref="A145:B145"/>
    <mergeCell ref="A146:B146"/>
    <mergeCell ref="A147:B147"/>
    <mergeCell ref="A148:B148"/>
    <mergeCell ref="A149:B149"/>
    <mergeCell ref="A150:B150"/>
    <mergeCell ref="A151:B151"/>
    <mergeCell ref="A152:B152"/>
    <mergeCell ref="A153:B153"/>
    <mergeCell ref="A154:B154"/>
    <mergeCell ref="C154:H154"/>
    <mergeCell ref="A156:B156"/>
    <mergeCell ref="C156:H156"/>
    <mergeCell ref="A157:B157"/>
    <mergeCell ref="E157:F157"/>
    <mergeCell ref="G157:H157"/>
    <mergeCell ref="A158:B158"/>
    <mergeCell ref="E158:F167"/>
    <mergeCell ref="G158:H167"/>
    <mergeCell ref="A159:B159"/>
    <mergeCell ref="A160:B160"/>
    <mergeCell ref="A161:B161"/>
    <mergeCell ref="A162:B162"/>
    <mergeCell ref="A163:B163"/>
    <mergeCell ref="A164:B164"/>
    <mergeCell ref="A165:B165"/>
    <mergeCell ref="A166:B166"/>
    <mergeCell ref="A167:B167"/>
    <mergeCell ref="A220:B220"/>
    <mergeCell ref="A221:B221"/>
    <mergeCell ref="A222:B222"/>
    <mergeCell ref="A223:B223"/>
    <mergeCell ref="A168:B168"/>
    <mergeCell ref="C168:H168"/>
    <mergeCell ref="A170:B170"/>
    <mergeCell ref="C170:H170"/>
    <mergeCell ref="A171:B171"/>
    <mergeCell ref="E171:F171"/>
    <mergeCell ref="G171:H171"/>
    <mergeCell ref="A172:B172"/>
    <mergeCell ref="E172:F181"/>
    <mergeCell ref="G172:H181"/>
    <mergeCell ref="A173:B173"/>
    <mergeCell ref="A174:B174"/>
    <mergeCell ref="A175:B175"/>
    <mergeCell ref="A176:B176"/>
    <mergeCell ref="A177:B177"/>
    <mergeCell ref="A178:B178"/>
    <mergeCell ref="A179:B179"/>
    <mergeCell ref="A180:B180"/>
    <mergeCell ref="A181:B181"/>
    <mergeCell ref="C184:H184"/>
    <mergeCell ref="A228:B228"/>
    <mergeCell ref="E228:F237"/>
    <mergeCell ref="G228:H237"/>
    <mergeCell ref="A229:B229"/>
    <mergeCell ref="A230:B230"/>
    <mergeCell ref="A231:B231"/>
    <mergeCell ref="A232:B232"/>
    <mergeCell ref="A233:B233"/>
    <mergeCell ref="A234:B234"/>
    <mergeCell ref="A235:B235"/>
    <mergeCell ref="A236:B236"/>
    <mergeCell ref="A237:B237"/>
    <mergeCell ref="A53:B54"/>
    <mergeCell ref="C53:E53"/>
    <mergeCell ref="G53:H53"/>
    <mergeCell ref="C54:H54"/>
    <mergeCell ref="A224:B224"/>
    <mergeCell ref="C224:H224"/>
    <mergeCell ref="A226:B226"/>
    <mergeCell ref="C226:H226"/>
    <mergeCell ref="A227:B227"/>
    <mergeCell ref="E227:F227"/>
    <mergeCell ref="G227:H227"/>
    <mergeCell ref="A212:B212"/>
    <mergeCell ref="C212:H212"/>
    <mergeCell ref="A213:B213"/>
    <mergeCell ref="E213:F213"/>
    <mergeCell ref="G213:H213"/>
    <mergeCell ref="A214:B214"/>
    <mergeCell ref="E214:F223"/>
    <mergeCell ref="G214:H223"/>
    <mergeCell ref="A215:B215"/>
    <mergeCell ref="A216:B216"/>
    <mergeCell ref="A217:B217"/>
    <mergeCell ref="A218:B218"/>
    <mergeCell ref="A219:B219"/>
  </mergeCells>
  <dataValidations count="12">
    <dataValidation type="list" allowBlank="1" showInputMessage="1" showErrorMessage="1" sqref="E4:H4">
      <formula1>"Axis Goregaon,Axis Thane,Axis Badlapur,Axis Sanpada, PNB Thane,IBHF Vashi,IBHF Thane,IBHF Andheri"</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283:E284">
      <formula1>"Attached Loft area,Attached Otla area,Attached Mezzanine area"</formula1>
    </dataValidation>
    <dataValidation type="list" allowBlank="1" showInputMessage="1" showErrorMessage="1" sqref="G671:H671">
      <formula1>"Kunal Kadam,Shruti Tathare,Pranita Mhatre,Shruti Fule,Pooja Kawale,Mansee Mohite,Anjali Kamble, Hitakshi Mhatre, Sachin Sawant"</formula1>
    </dataValidation>
    <dataValidation type="list" allowBlank="1" showInputMessage="1" showErrorMessage="1" sqref="F238:H238">
      <formula1>"On Saleable Area,On Builtup Area,On Carpet Area,On Plot Area"</formula1>
    </dataValidation>
    <dataValidation type="list" allowBlank="1" showInputMessage="1" showErrorMessage="1" sqref="F249:H249">
      <formula1>"100000,150000,200000,250000,300000,350000,400000,500000,600000,700000,800000,900000,1000000,1200000,1400000,1500000"</formula1>
    </dataValidation>
    <dataValidation type="list" allowBlank="1" showInputMessage="1" showErrorMessage="1" sqref="B283:B284">
      <formula1>"Shop No. (Sale Plan),Sale / Rehab,Sale / Mhada"</formula1>
    </dataValidation>
    <dataValidation type="list" allowBlank="1" showInputMessage="1" showErrorMessage="1" sqref="B421:B422">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 type="list" allowBlank="1" showInputMessage="1" showErrorMessage="1" sqref="E421:E422">
      <formula1>"Fungible area,Balcony Area,Chajja Area,Cornice Area,AP Area,WS Area"</formula1>
    </dataValidation>
  </dataValidations>
  <hyperlinks>
    <hyperlink ref="C39" r:id="rId1"/>
    <hyperlink ref="I66" r:id="rId2"/>
  </hyperlinks>
  <printOptions horizontalCentered="1"/>
  <pageMargins left="0.39370078740157483" right="0.39370078740157483" top="0.82677165354330717" bottom="0.78740157480314965" header="0.15748031496062992" footer="0.19685039370078741"/>
  <pageSetup paperSize="2" scale="92" orientation="portrait" r:id="rId3"/>
  <headerFooter>
    <oddHeader>&amp;C&amp;G</oddHeader>
    <oddFooter>&amp;L&amp;"Times New Roman,Bold"&amp;12Ref No: &amp;F&amp;C&amp;G&amp;R&amp;"Times New Roman,Bold"&amp;12&amp;P</oddFooter>
  </headerFooter>
  <rowBreaks count="7" manualBreakCount="7">
    <brk id="69" max="16383" man="1"/>
    <brk id="111" max="16383" man="1"/>
    <brk id="153" max="16383" man="1"/>
    <brk id="195" max="16383" man="1"/>
    <brk id="674" max="7" man="1"/>
    <brk id="718" max="7" man="1"/>
    <brk id="762" max="7"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6" t="s">
        <v>105</v>
      </c>
      <c r="C3" s="236"/>
      <c r="D3" s="236"/>
      <c r="E3" s="236"/>
      <c r="F3" s="236"/>
      <c r="G3" s="236"/>
      <c r="H3" s="236"/>
    </row>
    <row r="4" spans="1:9" x14ac:dyDescent="0.35">
      <c r="A4" s="2"/>
      <c r="B4" s="3" t="s">
        <v>106</v>
      </c>
      <c r="C4" s="3" t="s">
        <v>107</v>
      </c>
      <c r="D4" s="3" t="s">
        <v>68</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zoomScale="130" zoomScaleNormal="130" workbookViewId="0">
      <selection activeCell="C3" sqref="C3:K18"/>
    </sheetView>
  </sheetViews>
  <sheetFormatPr defaultRowHeight="14.5" x14ac:dyDescent="0.35"/>
  <cols>
    <col min="4" max="4" width="11" bestFit="1" customWidth="1"/>
    <col min="5" max="5" width="10.453125" bestFit="1" customWidth="1"/>
    <col min="8" max="8" width="10.54296875" bestFit="1" customWidth="1"/>
  </cols>
  <sheetData>
    <row r="3" spans="2:11" x14ac:dyDescent="0.35">
      <c r="J3">
        <v>1</v>
      </c>
      <c r="K3">
        <v>2</v>
      </c>
    </row>
    <row r="4" spans="2:11" x14ac:dyDescent="0.35">
      <c r="B4" s="36"/>
      <c r="C4" s="36" t="s">
        <v>12</v>
      </c>
      <c r="D4" s="37" t="s">
        <v>176</v>
      </c>
      <c r="E4" s="37" t="s">
        <v>186</v>
      </c>
      <c r="F4" s="37" t="s">
        <v>169</v>
      </c>
      <c r="G4" s="37" t="s">
        <v>191</v>
      </c>
      <c r="H4" s="37" t="s">
        <v>209</v>
      </c>
      <c r="J4" t="s">
        <v>191</v>
      </c>
      <c r="K4" t="s">
        <v>207</v>
      </c>
    </row>
    <row r="5" spans="2:11" x14ac:dyDescent="0.35">
      <c r="B5" s="36"/>
      <c r="C5" s="36"/>
      <c r="D5" s="37" t="s">
        <v>177</v>
      </c>
      <c r="E5" s="37" t="s">
        <v>184</v>
      </c>
      <c r="F5" s="37" t="s">
        <v>206</v>
      </c>
      <c r="G5" s="37" t="s">
        <v>192</v>
      </c>
      <c r="H5" s="37" t="s">
        <v>210</v>
      </c>
    </row>
    <row r="6" spans="2:11" x14ac:dyDescent="0.35">
      <c r="B6" s="36"/>
      <c r="C6" s="36"/>
      <c r="D6" s="37" t="s">
        <v>178</v>
      </c>
      <c r="E6" s="37" t="s">
        <v>185</v>
      </c>
      <c r="F6" s="37" t="s">
        <v>207</v>
      </c>
      <c r="G6" s="37" t="s">
        <v>193</v>
      </c>
      <c r="H6" s="37" t="s">
        <v>223</v>
      </c>
    </row>
    <row r="7" spans="2:11" x14ac:dyDescent="0.35">
      <c r="B7" s="36"/>
      <c r="C7" s="36"/>
      <c r="D7" s="37" t="s">
        <v>179</v>
      </c>
      <c r="E7" s="37" t="s">
        <v>187</v>
      </c>
      <c r="F7" s="37" t="s">
        <v>208</v>
      </c>
      <c r="G7" s="37" t="s">
        <v>194</v>
      </c>
      <c r="H7" s="37" t="s">
        <v>211</v>
      </c>
    </row>
    <row r="8" spans="2:11" x14ac:dyDescent="0.35">
      <c r="B8" s="36"/>
      <c r="C8" s="36"/>
      <c r="D8" s="37" t="s">
        <v>180</v>
      </c>
      <c r="E8" s="37" t="s">
        <v>188</v>
      </c>
      <c r="F8" s="37"/>
      <c r="G8" s="37" t="s">
        <v>195</v>
      </c>
      <c r="H8" s="37" t="s">
        <v>212</v>
      </c>
    </row>
    <row r="9" spans="2:11" x14ac:dyDescent="0.35">
      <c r="B9" s="36"/>
      <c r="C9" s="36"/>
      <c r="D9" s="37" t="s">
        <v>181</v>
      </c>
      <c r="E9" s="37" t="s">
        <v>186</v>
      </c>
      <c r="F9" s="37"/>
      <c r="G9" s="37" t="s">
        <v>196</v>
      </c>
      <c r="H9" s="37" t="s">
        <v>213</v>
      </c>
    </row>
    <row r="10" spans="2:11" x14ac:dyDescent="0.35">
      <c r="B10" s="36"/>
      <c r="C10" s="36"/>
      <c r="D10" s="37" t="s">
        <v>182</v>
      </c>
      <c r="E10" s="37" t="s">
        <v>189</v>
      </c>
      <c r="F10" s="37"/>
      <c r="G10" s="37" t="s">
        <v>197</v>
      </c>
      <c r="H10" s="37" t="s">
        <v>214</v>
      </c>
    </row>
    <row r="11" spans="2:11" x14ac:dyDescent="0.35">
      <c r="B11" s="36"/>
      <c r="C11" s="36"/>
      <c r="D11" s="37" t="s">
        <v>183</v>
      </c>
      <c r="E11" s="37" t="s">
        <v>190</v>
      </c>
      <c r="F11" s="37"/>
      <c r="G11" s="37" t="s">
        <v>198</v>
      </c>
      <c r="H11" s="37" t="s">
        <v>215</v>
      </c>
    </row>
    <row r="12" spans="2:11" x14ac:dyDescent="0.35">
      <c r="B12" s="36"/>
      <c r="C12" s="36"/>
      <c r="D12" s="37"/>
      <c r="E12" s="37"/>
      <c r="F12" s="37"/>
      <c r="G12" s="37" t="s">
        <v>199</v>
      </c>
      <c r="H12" s="37" t="s">
        <v>216</v>
      </c>
    </row>
    <row r="13" spans="2:11" x14ac:dyDescent="0.35">
      <c r="B13" s="36"/>
      <c r="C13" s="36"/>
      <c r="D13" s="37"/>
      <c r="E13" s="37"/>
      <c r="F13" s="37"/>
      <c r="G13" s="37" t="s">
        <v>200</v>
      </c>
      <c r="H13" s="37" t="s">
        <v>217</v>
      </c>
    </row>
    <row r="14" spans="2:11" x14ac:dyDescent="0.35">
      <c r="B14" s="36"/>
      <c r="C14" s="36"/>
      <c r="D14" s="37"/>
      <c r="E14" s="37"/>
      <c r="F14" s="37"/>
      <c r="G14" s="37" t="s">
        <v>201</v>
      </c>
      <c r="H14" s="37" t="s">
        <v>218</v>
      </c>
    </row>
    <row r="15" spans="2:11" x14ac:dyDescent="0.35">
      <c r="B15" s="36"/>
      <c r="C15" s="36"/>
      <c r="D15" s="37"/>
      <c r="E15" s="37"/>
      <c r="F15" s="37"/>
      <c r="G15" s="37" t="s">
        <v>202</v>
      </c>
      <c r="H15" s="37" t="s">
        <v>219</v>
      </c>
    </row>
    <row r="16" spans="2:11" x14ac:dyDescent="0.35">
      <c r="B16" s="36"/>
      <c r="C16" s="36"/>
      <c r="D16" s="37"/>
      <c r="E16" s="37"/>
      <c r="F16" s="37"/>
      <c r="G16" s="37" t="s">
        <v>203</v>
      </c>
      <c r="H16" s="37" t="s">
        <v>220</v>
      </c>
    </row>
    <row r="17" spans="2:8" x14ac:dyDescent="0.35">
      <c r="B17" s="36"/>
      <c r="C17" s="36"/>
      <c r="D17" s="37"/>
      <c r="E17" s="37"/>
      <c r="F17" s="37"/>
      <c r="G17" s="37" t="s">
        <v>204</v>
      </c>
      <c r="H17" s="37" t="s">
        <v>221</v>
      </c>
    </row>
    <row r="18" spans="2:8" x14ac:dyDescent="0.35">
      <c r="B18" s="36"/>
      <c r="C18" s="36"/>
      <c r="D18" s="37"/>
      <c r="E18" s="37"/>
      <c r="F18" s="37"/>
      <c r="G18" s="37" t="s">
        <v>205</v>
      </c>
      <c r="H18" s="37"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2025-09-27T11:57:19Z</cp:lastPrinted>
  <dcterms:created xsi:type="dcterms:W3CDTF">2019-07-16T09:29:46Z</dcterms:created>
  <dcterms:modified xsi:type="dcterms:W3CDTF">2025-09-27T11:57:41Z</dcterms:modified>
</cp:coreProperties>
</file>