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D:\Kunal\Sept 25\Checking\22997 - Lodha Vikhroli Signet (Wing S1 &amp; S2)\"/>
    </mc:Choice>
  </mc:AlternateContent>
  <xr:revisionPtr revIDLastSave="0" documentId="13_ncr:1_{97DB38CD-3160-41CE-8454-9F8C34A33059}" xr6:coauthVersionLast="47" xr6:coauthVersionMax="47" xr10:uidLastSave="{00000000-0000-0000-0000-000000000000}"/>
  <bookViews>
    <workbookView xWindow="-108" yWindow="-108" windowWidth="23256" windowHeight="12456" tabRatio="725" xr2:uid="{00000000-000D-0000-FFFF-FFFF00000000}"/>
  </bookViews>
  <sheets>
    <sheet name="Report" sheetId="1" r:id="rId1"/>
    <sheet name="valuation" sheetId="5" r:id="rId2"/>
    <sheet name="Note" sheetId="4" r:id="rId3"/>
  </sheets>
  <definedNames>
    <definedName name="_xlnm.Print_Area" localSheetId="0">Report!$A$1:$H$1185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44" i="1" l="1"/>
  <c r="C113" i="1"/>
  <c r="C120" i="1" s="1"/>
  <c r="E120" i="1"/>
  <c r="G120" i="1"/>
  <c r="J120" i="1"/>
  <c r="J119" i="1"/>
  <c r="D518" i="1" l="1"/>
  <c r="D878" i="1"/>
  <c r="F878" i="1" s="1"/>
  <c r="D877" i="1"/>
  <c r="F877" i="1" s="1"/>
  <c r="D876" i="1"/>
  <c r="F876" i="1" s="1"/>
  <c r="D875" i="1"/>
  <c r="F875" i="1" s="1"/>
  <c r="D874" i="1"/>
  <c r="F874" i="1" s="1"/>
  <c r="D873" i="1"/>
  <c r="F873" i="1" s="1"/>
  <c r="D872" i="1"/>
  <c r="F872" i="1" s="1"/>
  <c r="D871" i="1"/>
  <c r="F871" i="1" s="1"/>
  <c r="D870" i="1"/>
  <c r="F870" i="1" s="1"/>
  <c r="D869" i="1"/>
  <c r="F869" i="1" s="1"/>
  <c r="D868" i="1"/>
  <c r="F868" i="1" s="1"/>
  <c r="D867" i="1"/>
  <c r="F867" i="1" s="1"/>
  <c r="D866" i="1"/>
  <c r="F866" i="1" s="1"/>
  <c r="D865" i="1"/>
  <c r="F865" i="1" s="1"/>
  <c r="D864" i="1"/>
  <c r="F864" i="1" s="1"/>
  <c r="D863" i="1"/>
  <c r="F863" i="1" s="1"/>
  <c r="D862" i="1"/>
  <c r="F862" i="1" s="1"/>
  <c r="D861" i="1"/>
  <c r="F861" i="1" s="1"/>
  <c r="G860" i="1"/>
  <c r="D860" i="1"/>
  <c r="F860" i="1" s="1"/>
  <c r="D442" i="1"/>
  <c r="F442" i="1" s="1"/>
  <c r="D441" i="1"/>
  <c r="F441" i="1" s="1"/>
  <c r="D440" i="1"/>
  <c r="F440" i="1" s="1"/>
  <c r="D439" i="1"/>
  <c r="F439" i="1" s="1"/>
  <c r="D438" i="1"/>
  <c r="F438" i="1" s="1"/>
  <c r="D437" i="1"/>
  <c r="F437" i="1" s="1"/>
  <c r="D436" i="1"/>
  <c r="F436" i="1" s="1"/>
  <c r="D435" i="1"/>
  <c r="F435" i="1" s="1"/>
  <c r="D434" i="1"/>
  <c r="F434" i="1" s="1"/>
  <c r="D433" i="1"/>
  <c r="F433" i="1" s="1"/>
  <c r="D432" i="1"/>
  <c r="F432" i="1" s="1"/>
  <c r="D431" i="1"/>
  <c r="F431" i="1" s="1"/>
  <c r="D430" i="1"/>
  <c r="F430" i="1" s="1"/>
  <c r="A430" i="1"/>
  <c r="A431" i="1" s="1"/>
  <c r="A432" i="1" s="1"/>
  <c r="A433" i="1" s="1"/>
  <c r="A434" i="1" s="1"/>
  <c r="A435" i="1" s="1"/>
  <c r="A436" i="1" s="1"/>
  <c r="A437" i="1" s="1"/>
  <c r="A438" i="1" s="1"/>
  <c r="D429" i="1"/>
  <c r="F429" i="1" s="1"/>
  <c r="D428" i="1"/>
  <c r="F428" i="1" s="1"/>
  <c r="D427" i="1"/>
  <c r="F427" i="1" s="1"/>
  <c r="D426" i="1"/>
  <c r="F426" i="1" s="1"/>
  <c r="D425" i="1"/>
  <c r="F425" i="1" s="1"/>
  <c r="D424" i="1"/>
  <c r="F424" i="1" s="1"/>
  <c r="D423" i="1"/>
  <c r="F423" i="1" s="1"/>
  <c r="J422" i="1"/>
  <c r="D422" i="1"/>
  <c r="F422" i="1" s="1"/>
  <c r="D421" i="1"/>
  <c r="F421" i="1" s="1"/>
  <c r="D420" i="1"/>
  <c r="F420" i="1" s="1"/>
  <c r="D419" i="1"/>
  <c r="F419" i="1" s="1"/>
  <c r="D418" i="1"/>
  <c r="F418" i="1" s="1"/>
  <c r="G417" i="1"/>
  <c r="D417" i="1"/>
  <c r="F417" i="1" s="1"/>
  <c r="D314" i="1"/>
  <c r="D226" i="1"/>
  <c r="D709" i="1"/>
  <c r="F709" i="1" s="1"/>
  <c r="D708" i="1"/>
  <c r="F708" i="1" s="1"/>
  <c r="D707" i="1"/>
  <c r="F707" i="1" s="1"/>
  <c r="D706" i="1"/>
  <c r="F706" i="1" s="1"/>
  <c r="D705" i="1"/>
  <c r="F705" i="1" s="1"/>
  <c r="D704" i="1"/>
  <c r="F704" i="1" s="1"/>
  <c r="D703" i="1"/>
  <c r="F703" i="1" s="1"/>
  <c r="D702" i="1"/>
  <c r="F702" i="1" s="1"/>
  <c r="D701" i="1"/>
  <c r="F701" i="1" s="1"/>
  <c r="D700" i="1"/>
  <c r="F700" i="1" s="1"/>
  <c r="D699" i="1"/>
  <c r="F699" i="1" s="1"/>
  <c r="D698" i="1"/>
  <c r="F698" i="1" s="1"/>
  <c r="D697" i="1"/>
  <c r="F697" i="1" s="1"/>
  <c r="D696" i="1"/>
  <c r="F696" i="1" s="1"/>
  <c r="D695" i="1"/>
  <c r="F695" i="1" s="1"/>
  <c r="D694" i="1"/>
  <c r="F694" i="1" s="1"/>
  <c r="D693" i="1"/>
  <c r="F693" i="1" s="1"/>
  <c r="D692" i="1"/>
  <c r="F692" i="1" s="1"/>
  <c r="G691" i="1"/>
  <c r="D691" i="1"/>
  <c r="F691" i="1" s="1"/>
  <c r="D224" i="1"/>
  <c r="F224" i="1" s="1"/>
  <c r="D223" i="1"/>
  <c r="F223" i="1" s="1"/>
  <c r="D222" i="1"/>
  <c r="F222" i="1" s="1"/>
  <c r="D221" i="1"/>
  <c r="F221" i="1" s="1"/>
  <c r="J220" i="1"/>
  <c r="D220" i="1"/>
  <c r="F220" i="1" s="1"/>
  <c r="D219" i="1"/>
  <c r="F219" i="1" s="1"/>
  <c r="D218" i="1"/>
  <c r="F218" i="1" s="1"/>
  <c r="D217" i="1"/>
  <c r="F217" i="1" s="1"/>
  <c r="D216" i="1"/>
  <c r="F216" i="1" s="1"/>
  <c r="D215" i="1"/>
  <c r="F215" i="1" s="1"/>
  <c r="D214" i="1"/>
  <c r="F214" i="1" s="1"/>
  <c r="A214" i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D213" i="1"/>
  <c r="F213" i="1" s="1"/>
  <c r="D212" i="1"/>
  <c r="F212" i="1" s="1"/>
  <c r="D211" i="1"/>
  <c r="F211" i="1" s="1"/>
  <c r="D210" i="1"/>
  <c r="F210" i="1" s="1"/>
  <c r="D209" i="1"/>
  <c r="F209" i="1" s="1"/>
  <c r="D208" i="1"/>
  <c r="F208" i="1" s="1"/>
  <c r="D207" i="1"/>
  <c r="F207" i="1" s="1"/>
  <c r="D206" i="1"/>
  <c r="F206" i="1" s="1"/>
  <c r="D205" i="1"/>
  <c r="F205" i="1" s="1"/>
  <c r="D204" i="1"/>
  <c r="F204" i="1" s="1"/>
  <c r="D203" i="1"/>
  <c r="F203" i="1" s="1"/>
  <c r="D202" i="1"/>
  <c r="F202" i="1" s="1"/>
  <c r="A202" i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G201" i="1"/>
  <c r="D201" i="1"/>
  <c r="F201" i="1" s="1"/>
  <c r="L76" i="1"/>
  <c r="D282" i="1"/>
  <c r="I282" i="1"/>
  <c r="D652" i="1"/>
  <c r="D651" i="1"/>
  <c r="D650" i="1"/>
  <c r="D649" i="1"/>
  <c r="D648" i="1"/>
  <c r="D647" i="1"/>
  <c r="D646" i="1"/>
  <c r="D645" i="1"/>
  <c r="D644" i="1"/>
  <c r="D643" i="1"/>
  <c r="D642" i="1"/>
  <c r="D641" i="1"/>
  <c r="D640" i="1"/>
  <c r="D639" i="1"/>
  <c r="D638" i="1"/>
  <c r="D637" i="1"/>
  <c r="D635" i="1"/>
  <c r="D634" i="1"/>
  <c r="D633" i="1"/>
  <c r="D632" i="1"/>
  <c r="D631" i="1"/>
  <c r="D630" i="1"/>
  <c r="D629" i="1"/>
  <c r="D628" i="1"/>
  <c r="D627" i="1"/>
  <c r="D626" i="1"/>
  <c r="D625" i="1"/>
  <c r="D624" i="1"/>
  <c r="D623" i="1"/>
  <c r="D622" i="1"/>
  <c r="D621" i="1"/>
  <c r="D898" i="1" l="1"/>
  <c r="D897" i="1"/>
  <c r="D896" i="1"/>
  <c r="D895" i="1"/>
  <c r="D894" i="1"/>
  <c r="D893" i="1"/>
  <c r="D892" i="1"/>
  <c r="D891" i="1"/>
  <c r="D890" i="1"/>
  <c r="D889" i="1"/>
  <c r="D888" i="1"/>
  <c r="D887" i="1"/>
  <c r="D886" i="1"/>
  <c r="D885" i="1"/>
  <c r="D884" i="1"/>
  <c r="D883" i="1"/>
  <c r="D882" i="1"/>
  <c r="D881" i="1"/>
  <c r="D880" i="1"/>
  <c r="D937" i="1"/>
  <c r="D936" i="1"/>
  <c r="D935" i="1"/>
  <c r="D934" i="1"/>
  <c r="D933" i="1"/>
  <c r="D932" i="1"/>
  <c r="D931" i="1"/>
  <c r="D930" i="1"/>
  <c r="D929" i="1"/>
  <c r="D928" i="1"/>
  <c r="D927" i="1"/>
  <c r="D926" i="1"/>
  <c r="D925" i="1"/>
  <c r="D924" i="1"/>
  <c r="D923" i="1"/>
  <c r="D922" i="1"/>
  <c r="D921" i="1"/>
  <c r="D920" i="1"/>
  <c r="D939" i="1"/>
  <c r="F939" i="1" s="1"/>
  <c r="D1038" i="1"/>
  <c r="F1038" i="1" s="1"/>
  <c r="D1037" i="1"/>
  <c r="F1037" i="1" s="1"/>
  <c r="D1036" i="1"/>
  <c r="F1036" i="1" s="1"/>
  <c r="D1035" i="1"/>
  <c r="F1035" i="1" s="1"/>
  <c r="D1034" i="1"/>
  <c r="F1034" i="1" s="1"/>
  <c r="D1033" i="1"/>
  <c r="F1033" i="1" s="1"/>
  <c r="D1032" i="1"/>
  <c r="F1032" i="1" s="1"/>
  <c r="D1031" i="1"/>
  <c r="F1031" i="1" s="1"/>
  <c r="D1030" i="1"/>
  <c r="F1030" i="1" s="1"/>
  <c r="D1029" i="1"/>
  <c r="F1029" i="1" s="1"/>
  <c r="D1028" i="1"/>
  <c r="F1028" i="1" s="1"/>
  <c r="D1027" i="1"/>
  <c r="F1027" i="1" s="1"/>
  <c r="D1026" i="1"/>
  <c r="F1026" i="1" s="1"/>
  <c r="D1025" i="1"/>
  <c r="F1025" i="1" s="1"/>
  <c r="D1024" i="1"/>
  <c r="F1024" i="1" s="1"/>
  <c r="D1023" i="1"/>
  <c r="F1023" i="1" s="1"/>
  <c r="D1022" i="1"/>
  <c r="F1022" i="1" s="1"/>
  <c r="D1021" i="1"/>
  <c r="F1021" i="1" s="1"/>
  <c r="G1020" i="1"/>
  <c r="D1020" i="1"/>
  <c r="F1020" i="1" s="1"/>
  <c r="D1018" i="1"/>
  <c r="F1018" i="1" s="1"/>
  <c r="D1017" i="1"/>
  <c r="F1017" i="1" s="1"/>
  <c r="D1016" i="1"/>
  <c r="F1016" i="1" s="1"/>
  <c r="D1015" i="1"/>
  <c r="F1015" i="1" s="1"/>
  <c r="D1014" i="1"/>
  <c r="F1014" i="1" s="1"/>
  <c r="D1013" i="1"/>
  <c r="F1013" i="1" s="1"/>
  <c r="D1012" i="1"/>
  <c r="F1012" i="1" s="1"/>
  <c r="D1011" i="1"/>
  <c r="F1011" i="1" s="1"/>
  <c r="D1010" i="1"/>
  <c r="F1010" i="1" s="1"/>
  <c r="D1009" i="1"/>
  <c r="F1009" i="1" s="1"/>
  <c r="D1008" i="1"/>
  <c r="F1008" i="1" s="1"/>
  <c r="D1007" i="1"/>
  <c r="F1007" i="1" s="1"/>
  <c r="D1006" i="1"/>
  <c r="F1006" i="1" s="1"/>
  <c r="D1005" i="1"/>
  <c r="F1005" i="1" s="1"/>
  <c r="D1004" i="1"/>
  <c r="F1004" i="1" s="1"/>
  <c r="D1003" i="1"/>
  <c r="F1003" i="1" s="1"/>
  <c r="D1002" i="1"/>
  <c r="F1002" i="1" s="1"/>
  <c r="D1001" i="1"/>
  <c r="F1001" i="1" s="1"/>
  <c r="G1000" i="1"/>
  <c r="D1000" i="1"/>
  <c r="F1000" i="1" s="1"/>
  <c r="D998" i="1"/>
  <c r="F998" i="1" s="1"/>
  <c r="D997" i="1"/>
  <c r="F997" i="1" s="1"/>
  <c r="D996" i="1"/>
  <c r="F996" i="1" s="1"/>
  <c r="D995" i="1"/>
  <c r="F995" i="1" s="1"/>
  <c r="D994" i="1"/>
  <c r="F994" i="1" s="1"/>
  <c r="D993" i="1"/>
  <c r="F993" i="1" s="1"/>
  <c r="D992" i="1"/>
  <c r="F992" i="1" s="1"/>
  <c r="D991" i="1"/>
  <c r="F991" i="1" s="1"/>
  <c r="D990" i="1"/>
  <c r="F990" i="1" s="1"/>
  <c r="D989" i="1"/>
  <c r="F989" i="1" s="1"/>
  <c r="D988" i="1"/>
  <c r="F988" i="1" s="1"/>
  <c r="D987" i="1"/>
  <c r="F987" i="1" s="1"/>
  <c r="D986" i="1"/>
  <c r="F986" i="1" s="1"/>
  <c r="D985" i="1"/>
  <c r="F985" i="1" s="1"/>
  <c r="D984" i="1"/>
  <c r="F984" i="1" s="1"/>
  <c r="D983" i="1"/>
  <c r="F983" i="1" s="1"/>
  <c r="D982" i="1"/>
  <c r="F982" i="1" s="1"/>
  <c r="D981" i="1"/>
  <c r="F981" i="1" s="1"/>
  <c r="G980" i="1"/>
  <c r="D980" i="1"/>
  <c r="F980" i="1" s="1"/>
  <c r="D978" i="1"/>
  <c r="F978" i="1" s="1"/>
  <c r="D977" i="1"/>
  <c r="F977" i="1" s="1"/>
  <c r="D976" i="1"/>
  <c r="F976" i="1" s="1"/>
  <c r="D975" i="1"/>
  <c r="F975" i="1" s="1"/>
  <c r="D974" i="1"/>
  <c r="F974" i="1" s="1"/>
  <c r="D973" i="1"/>
  <c r="F973" i="1" s="1"/>
  <c r="D972" i="1"/>
  <c r="F972" i="1" s="1"/>
  <c r="D971" i="1"/>
  <c r="F971" i="1" s="1"/>
  <c r="D970" i="1"/>
  <c r="F970" i="1" s="1"/>
  <c r="D969" i="1"/>
  <c r="F969" i="1" s="1"/>
  <c r="D968" i="1"/>
  <c r="F968" i="1" s="1"/>
  <c r="D967" i="1"/>
  <c r="F967" i="1" s="1"/>
  <c r="D966" i="1"/>
  <c r="F966" i="1" s="1"/>
  <c r="D965" i="1"/>
  <c r="F965" i="1" s="1"/>
  <c r="D964" i="1"/>
  <c r="F964" i="1" s="1"/>
  <c r="D963" i="1"/>
  <c r="F963" i="1" s="1"/>
  <c r="D962" i="1"/>
  <c r="F962" i="1" s="1"/>
  <c r="D961" i="1"/>
  <c r="F961" i="1" s="1"/>
  <c r="G960" i="1"/>
  <c r="D960" i="1"/>
  <c r="F960" i="1" s="1"/>
  <c r="D950" i="1"/>
  <c r="D951" i="1"/>
  <c r="F951" i="1" s="1"/>
  <c r="D952" i="1"/>
  <c r="F952" i="1" s="1"/>
  <c r="D953" i="1"/>
  <c r="D954" i="1"/>
  <c r="F954" i="1" s="1"/>
  <c r="D955" i="1"/>
  <c r="F955" i="1" s="1"/>
  <c r="D956" i="1"/>
  <c r="F956" i="1" s="1"/>
  <c r="D957" i="1"/>
  <c r="F957" i="1" s="1"/>
  <c r="D958" i="1"/>
  <c r="F958" i="1" s="1"/>
  <c r="D949" i="1"/>
  <c r="D948" i="1"/>
  <c r="D947" i="1"/>
  <c r="F947" i="1" s="1"/>
  <c r="D946" i="1"/>
  <c r="F946" i="1" s="1"/>
  <c r="D945" i="1"/>
  <c r="F945" i="1" s="1"/>
  <c r="D944" i="1"/>
  <c r="F944" i="1" s="1"/>
  <c r="D943" i="1"/>
  <c r="F943" i="1" s="1"/>
  <c r="D942" i="1"/>
  <c r="F942" i="1" s="1"/>
  <c r="D941" i="1"/>
  <c r="F941" i="1" s="1"/>
  <c r="A942" i="1"/>
  <c r="A943" i="1" s="1"/>
  <c r="A944" i="1" s="1"/>
  <c r="A945" i="1" s="1"/>
  <c r="A946" i="1" s="1"/>
  <c r="A947" i="1" s="1"/>
  <c r="A948" i="1" s="1"/>
  <c r="A950" i="1" s="1"/>
  <c r="A951" i="1" s="1"/>
  <c r="A952" i="1" s="1"/>
  <c r="A953" i="1" s="1"/>
  <c r="F953" i="1"/>
  <c r="A954" i="1" l="1"/>
  <c r="A955" i="1" s="1"/>
  <c r="A956" i="1" s="1"/>
  <c r="A957" i="1" s="1"/>
  <c r="A958" i="1" s="1"/>
  <c r="D918" i="1"/>
  <c r="D917" i="1"/>
  <c r="D916" i="1"/>
  <c r="D915" i="1"/>
  <c r="D914" i="1"/>
  <c r="D913" i="1"/>
  <c r="D912" i="1"/>
  <c r="D911" i="1"/>
  <c r="D910" i="1"/>
  <c r="D909" i="1"/>
  <c r="D908" i="1"/>
  <c r="D907" i="1"/>
  <c r="D906" i="1"/>
  <c r="D905" i="1"/>
  <c r="D904" i="1"/>
  <c r="D903" i="1"/>
  <c r="D902" i="1"/>
  <c r="D901" i="1"/>
  <c r="D900" i="1"/>
  <c r="D858" i="1"/>
  <c r="D857" i="1"/>
  <c r="D856" i="1"/>
  <c r="D855" i="1"/>
  <c r="D854" i="1"/>
  <c r="D853" i="1"/>
  <c r="D852" i="1"/>
  <c r="D851" i="1"/>
  <c r="D850" i="1"/>
  <c r="D849" i="1"/>
  <c r="D848" i="1"/>
  <c r="D847" i="1"/>
  <c r="D846" i="1"/>
  <c r="D845" i="1"/>
  <c r="D844" i="1"/>
  <c r="D843" i="1"/>
  <c r="D842" i="1"/>
  <c r="D841" i="1"/>
  <c r="D840" i="1"/>
  <c r="D828" i="1"/>
  <c r="D829" i="1"/>
  <c r="D830" i="1"/>
  <c r="D831" i="1"/>
  <c r="D832" i="1"/>
  <c r="D833" i="1"/>
  <c r="D834" i="1"/>
  <c r="D835" i="1"/>
  <c r="D836" i="1"/>
  <c r="D837" i="1"/>
  <c r="D838" i="1"/>
  <c r="D827" i="1"/>
  <c r="D826" i="1"/>
  <c r="D825" i="1"/>
  <c r="D824" i="1"/>
  <c r="D823" i="1"/>
  <c r="D822" i="1"/>
  <c r="D821" i="1"/>
  <c r="D820" i="1"/>
  <c r="D808" i="1"/>
  <c r="D809" i="1"/>
  <c r="D810" i="1"/>
  <c r="D811" i="1"/>
  <c r="D812" i="1"/>
  <c r="D813" i="1"/>
  <c r="D814" i="1"/>
  <c r="D815" i="1"/>
  <c r="D816" i="1"/>
  <c r="D817" i="1"/>
  <c r="D818" i="1"/>
  <c r="D807" i="1"/>
  <c r="D806" i="1"/>
  <c r="D805" i="1"/>
  <c r="D804" i="1"/>
  <c r="D803" i="1"/>
  <c r="D802" i="1"/>
  <c r="D801" i="1"/>
  <c r="D800" i="1"/>
  <c r="D792" i="1"/>
  <c r="D793" i="1"/>
  <c r="D794" i="1"/>
  <c r="D795" i="1"/>
  <c r="D796" i="1"/>
  <c r="D797" i="1"/>
  <c r="D798" i="1"/>
  <c r="D791" i="1"/>
  <c r="D790" i="1"/>
  <c r="D789" i="1"/>
  <c r="D788" i="1"/>
  <c r="D787" i="1"/>
  <c r="D786" i="1"/>
  <c r="D785" i="1"/>
  <c r="D784" i="1"/>
  <c r="D783" i="1"/>
  <c r="D782" i="1"/>
  <c r="D773" i="1"/>
  <c r="D774" i="1"/>
  <c r="D775" i="1"/>
  <c r="D776" i="1"/>
  <c r="D777" i="1"/>
  <c r="D778" i="1"/>
  <c r="D779" i="1"/>
  <c r="D780" i="1"/>
  <c r="D772" i="1"/>
  <c r="D771" i="1"/>
  <c r="D770" i="1"/>
  <c r="D769" i="1"/>
  <c r="D768" i="1"/>
  <c r="D767" i="1"/>
  <c r="D766" i="1"/>
  <c r="D765" i="1"/>
  <c r="D764" i="1"/>
  <c r="D762" i="1"/>
  <c r="D761" i="1"/>
  <c r="D760" i="1"/>
  <c r="D759" i="1"/>
  <c r="D758" i="1"/>
  <c r="D757" i="1"/>
  <c r="D756" i="1"/>
  <c r="D755" i="1"/>
  <c r="D754" i="1"/>
  <c r="D753" i="1"/>
  <c r="D752" i="1"/>
  <c r="D751" i="1"/>
  <c r="D750" i="1"/>
  <c r="D743" i="1"/>
  <c r="D744" i="1"/>
  <c r="D745" i="1"/>
  <c r="D746" i="1"/>
  <c r="D747" i="1"/>
  <c r="D748" i="1"/>
  <c r="D742" i="1"/>
  <c r="D741" i="1"/>
  <c r="D739" i="1"/>
  <c r="D740" i="1"/>
  <c r="D738" i="1"/>
  <c r="D736" i="1"/>
  <c r="D737" i="1"/>
  <c r="D735" i="1"/>
  <c r="D734" i="1"/>
  <c r="D733" i="1"/>
  <c r="D732" i="1"/>
  <c r="D731" i="1"/>
  <c r="D724" i="1"/>
  <c r="D725" i="1"/>
  <c r="D726" i="1"/>
  <c r="D727" i="1"/>
  <c r="D728" i="1"/>
  <c r="D729" i="1"/>
  <c r="D722" i="1"/>
  <c r="D721" i="1"/>
  <c r="D720" i="1"/>
  <c r="D719" i="1"/>
  <c r="D718" i="1"/>
  <c r="D717" i="1"/>
  <c r="D716" i="1"/>
  <c r="D715" i="1"/>
  <c r="D713" i="1"/>
  <c r="D714" i="1"/>
  <c r="D712" i="1"/>
  <c r="D676" i="1"/>
  <c r="D674" i="1"/>
  <c r="D672" i="1"/>
  <c r="D671" i="1"/>
  <c r="D711" i="1"/>
  <c r="D679" i="1"/>
  <c r="D680" i="1"/>
  <c r="D681" i="1"/>
  <c r="D682" i="1"/>
  <c r="D683" i="1"/>
  <c r="D684" i="1"/>
  <c r="D685" i="1"/>
  <c r="D686" i="1"/>
  <c r="D687" i="1"/>
  <c r="D688" i="1"/>
  <c r="D689" i="1"/>
  <c r="D678" i="1"/>
  <c r="D677" i="1"/>
  <c r="D673" i="1"/>
  <c r="D675" i="1"/>
  <c r="D660" i="1"/>
  <c r="D661" i="1"/>
  <c r="D662" i="1"/>
  <c r="D663" i="1"/>
  <c r="D664" i="1"/>
  <c r="D665" i="1"/>
  <c r="D666" i="1"/>
  <c r="D657" i="1"/>
  <c r="D658" i="1"/>
  <c r="D659" i="1"/>
  <c r="D656" i="1"/>
  <c r="D655" i="1"/>
  <c r="D605" i="1"/>
  <c r="F605" i="1" s="1"/>
  <c r="D608" i="1"/>
  <c r="F608" i="1" s="1"/>
  <c r="D607" i="1"/>
  <c r="F607" i="1" s="1"/>
  <c r="D606" i="1"/>
  <c r="F606" i="1" s="1"/>
  <c r="D604" i="1"/>
  <c r="F604" i="1" s="1"/>
  <c r="D603" i="1"/>
  <c r="F603" i="1" s="1"/>
  <c r="D602" i="1"/>
  <c r="F602" i="1" s="1"/>
  <c r="D601" i="1"/>
  <c r="F601" i="1" s="1"/>
  <c r="D600" i="1"/>
  <c r="F600" i="1" s="1"/>
  <c r="D599" i="1"/>
  <c r="F599" i="1" s="1"/>
  <c r="D598" i="1"/>
  <c r="F598" i="1" s="1"/>
  <c r="D597" i="1"/>
  <c r="F597" i="1" s="1"/>
  <c r="D596" i="1"/>
  <c r="F596" i="1" s="1"/>
  <c r="A596" i="1"/>
  <c r="A597" i="1" s="1"/>
  <c r="A598" i="1" s="1"/>
  <c r="A599" i="1" s="1"/>
  <c r="A600" i="1" s="1"/>
  <c r="A601" i="1" s="1"/>
  <c r="A602" i="1" s="1"/>
  <c r="A603" i="1" s="1"/>
  <c r="A604" i="1" s="1"/>
  <c r="D595" i="1"/>
  <c r="F595" i="1" s="1"/>
  <c r="D594" i="1"/>
  <c r="F594" i="1" s="1"/>
  <c r="J593" i="1"/>
  <c r="D578" i="1"/>
  <c r="F578" i="1" s="1"/>
  <c r="D592" i="1"/>
  <c r="F592" i="1" s="1"/>
  <c r="D591" i="1"/>
  <c r="F591" i="1" s="1"/>
  <c r="D590" i="1"/>
  <c r="F590" i="1" s="1"/>
  <c r="D588" i="1"/>
  <c r="F588" i="1" s="1"/>
  <c r="D587" i="1"/>
  <c r="F587" i="1" s="1"/>
  <c r="D586" i="1"/>
  <c r="F586" i="1" s="1"/>
  <c r="D585" i="1"/>
  <c r="F585" i="1" s="1"/>
  <c r="D584" i="1"/>
  <c r="F584" i="1" s="1"/>
  <c r="D583" i="1"/>
  <c r="F583" i="1" s="1"/>
  <c r="D582" i="1"/>
  <c r="F582" i="1" s="1"/>
  <c r="D581" i="1"/>
  <c r="F581" i="1" s="1"/>
  <c r="D580" i="1"/>
  <c r="F580" i="1" s="1"/>
  <c r="A580" i="1"/>
  <c r="A581" i="1" s="1"/>
  <c r="A582" i="1" s="1"/>
  <c r="A583" i="1" s="1"/>
  <c r="A584" i="1" s="1"/>
  <c r="A585" i="1" s="1"/>
  <c r="A586" i="1" s="1"/>
  <c r="A587" i="1" s="1"/>
  <c r="A588" i="1" s="1"/>
  <c r="D579" i="1"/>
  <c r="F579" i="1" s="1"/>
  <c r="J577" i="1"/>
  <c r="D576" i="1"/>
  <c r="F576" i="1" s="1"/>
  <c r="D575" i="1"/>
  <c r="F575" i="1" s="1"/>
  <c r="D574" i="1"/>
  <c r="F574" i="1" s="1"/>
  <c r="D573" i="1"/>
  <c r="F573" i="1" s="1"/>
  <c r="D572" i="1"/>
  <c r="F572" i="1" s="1"/>
  <c r="D571" i="1"/>
  <c r="F571" i="1" s="1"/>
  <c r="D570" i="1"/>
  <c r="F570" i="1" s="1"/>
  <c r="D569" i="1"/>
  <c r="F569" i="1" s="1"/>
  <c r="D568" i="1"/>
  <c r="F568" i="1" s="1"/>
  <c r="D567" i="1"/>
  <c r="F567" i="1" s="1"/>
  <c r="D566" i="1"/>
  <c r="F566" i="1" s="1"/>
  <c r="D565" i="1"/>
  <c r="F565" i="1" s="1"/>
  <c r="D564" i="1"/>
  <c r="F564" i="1" s="1"/>
  <c r="A564" i="1"/>
  <c r="A565" i="1" s="1"/>
  <c r="A566" i="1" s="1"/>
  <c r="A567" i="1" s="1"/>
  <c r="A568" i="1" s="1"/>
  <c r="A569" i="1" s="1"/>
  <c r="A570" i="1" s="1"/>
  <c r="A571" i="1" s="1"/>
  <c r="A572" i="1" s="1"/>
  <c r="D563" i="1"/>
  <c r="F563" i="1" s="1"/>
  <c r="J561" i="1"/>
  <c r="D557" i="1"/>
  <c r="F557" i="1" s="1"/>
  <c r="D560" i="1"/>
  <c r="F560" i="1" s="1"/>
  <c r="D559" i="1"/>
  <c r="F559" i="1" s="1"/>
  <c r="D558" i="1"/>
  <c r="F558" i="1" s="1"/>
  <c r="D556" i="1"/>
  <c r="F556" i="1" s="1"/>
  <c r="D555" i="1"/>
  <c r="F555" i="1" s="1"/>
  <c r="D554" i="1"/>
  <c r="F554" i="1" s="1"/>
  <c r="D553" i="1"/>
  <c r="F553" i="1" s="1"/>
  <c r="D552" i="1"/>
  <c r="F552" i="1" s="1"/>
  <c r="D551" i="1"/>
  <c r="F551" i="1" s="1"/>
  <c r="D550" i="1"/>
  <c r="F550" i="1" s="1"/>
  <c r="D549" i="1"/>
  <c r="F549" i="1" s="1"/>
  <c r="D548" i="1"/>
  <c r="F548" i="1" s="1"/>
  <c r="A548" i="1"/>
  <c r="A549" i="1" s="1"/>
  <c r="A550" i="1" s="1"/>
  <c r="A551" i="1" s="1"/>
  <c r="A552" i="1" s="1"/>
  <c r="A553" i="1" s="1"/>
  <c r="A554" i="1" s="1"/>
  <c r="A555" i="1" s="1"/>
  <c r="A556" i="1" s="1"/>
  <c r="D547" i="1"/>
  <c r="F547" i="1" s="1"/>
  <c r="D546" i="1"/>
  <c r="F546" i="1" s="1"/>
  <c r="D545" i="1"/>
  <c r="F545" i="1" s="1"/>
  <c r="D544" i="1"/>
  <c r="F544" i="1" s="1"/>
  <c r="D543" i="1"/>
  <c r="F543" i="1" s="1"/>
  <c r="D542" i="1"/>
  <c r="F542" i="1" s="1"/>
  <c r="K541" i="1"/>
  <c r="D541" i="1"/>
  <c r="F541" i="1" s="1"/>
  <c r="D540" i="1"/>
  <c r="F540" i="1" s="1"/>
  <c r="D539" i="1"/>
  <c r="F539" i="1" s="1"/>
  <c r="D538" i="1"/>
  <c r="F538" i="1" s="1"/>
  <c r="D537" i="1"/>
  <c r="F537" i="1" s="1"/>
  <c r="D536" i="1"/>
  <c r="F536" i="1" s="1"/>
  <c r="G535" i="1"/>
  <c r="D535" i="1"/>
  <c r="F535" i="1" s="1"/>
  <c r="J534" i="1"/>
  <c r="D532" i="1"/>
  <c r="D533" i="1"/>
  <c r="D531" i="1"/>
  <c r="D529" i="1"/>
  <c r="D517" i="1"/>
  <c r="D519" i="1"/>
  <c r="D520" i="1"/>
  <c r="D521" i="1"/>
  <c r="D522" i="1"/>
  <c r="D523" i="1"/>
  <c r="D524" i="1"/>
  <c r="D525" i="1"/>
  <c r="D526" i="1"/>
  <c r="D527" i="1"/>
  <c r="D528" i="1"/>
  <c r="D516" i="1"/>
  <c r="D474" i="1"/>
  <c r="D515" i="1"/>
  <c r="D514" i="1"/>
  <c r="D510" i="1"/>
  <c r="D511" i="1"/>
  <c r="D512" i="1"/>
  <c r="D513" i="1"/>
  <c r="D509" i="1"/>
  <c r="D507" i="1"/>
  <c r="D506" i="1"/>
  <c r="D505" i="1"/>
  <c r="D504" i="1"/>
  <c r="D503" i="1"/>
  <c r="D498" i="1"/>
  <c r="D499" i="1"/>
  <c r="D500" i="1"/>
  <c r="D501" i="1"/>
  <c r="D502" i="1"/>
  <c r="D497" i="1"/>
  <c r="G496" i="1"/>
  <c r="D467" i="1"/>
  <c r="D466" i="1"/>
  <c r="D465" i="1"/>
  <c r="D463" i="1"/>
  <c r="D453" i="1"/>
  <c r="D454" i="1"/>
  <c r="D455" i="1"/>
  <c r="D456" i="1"/>
  <c r="D457" i="1"/>
  <c r="D458" i="1"/>
  <c r="D459" i="1"/>
  <c r="D460" i="1"/>
  <c r="D461" i="1"/>
  <c r="D462" i="1"/>
  <c r="D452" i="1"/>
  <c r="D451" i="1"/>
  <c r="D450" i="1"/>
  <c r="D449" i="1"/>
  <c r="F449" i="1" s="1"/>
  <c r="D448" i="1"/>
  <c r="D447" i="1"/>
  <c r="D446" i="1"/>
  <c r="D445" i="1"/>
  <c r="D494" i="1"/>
  <c r="D493" i="1"/>
  <c r="D492" i="1"/>
  <c r="D491" i="1"/>
  <c r="D490" i="1"/>
  <c r="D477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76" i="1"/>
  <c r="D475" i="1"/>
  <c r="D473" i="1"/>
  <c r="D472" i="1"/>
  <c r="D471" i="1"/>
  <c r="D470" i="1"/>
  <c r="D469" i="1"/>
  <c r="D415" i="1"/>
  <c r="F415" i="1" s="1"/>
  <c r="D413" i="1"/>
  <c r="F413" i="1" s="1"/>
  <c r="D414" i="1"/>
  <c r="F414" i="1" s="1"/>
  <c r="D412" i="1"/>
  <c r="F412" i="1" s="1"/>
  <c r="D411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397" i="1"/>
  <c r="D396" i="1"/>
  <c r="D395" i="1"/>
  <c r="D394" i="1"/>
  <c r="D393" i="1"/>
  <c r="D392" i="1"/>
  <c r="D391" i="1"/>
  <c r="D389" i="1"/>
  <c r="D388" i="1"/>
  <c r="D387" i="1"/>
  <c r="D385" i="1"/>
  <c r="D382" i="1"/>
  <c r="D383" i="1"/>
  <c r="D384" i="1"/>
  <c r="D371" i="1"/>
  <c r="D372" i="1"/>
  <c r="D373" i="1"/>
  <c r="D374" i="1"/>
  <c r="D375" i="1"/>
  <c r="D376" i="1"/>
  <c r="D377" i="1"/>
  <c r="D378" i="1"/>
  <c r="D379" i="1"/>
  <c r="D380" i="1"/>
  <c r="D381" i="1"/>
  <c r="D370" i="1"/>
  <c r="D369" i="1"/>
  <c r="D368" i="1"/>
  <c r="D367" i="1"/>
  <c r="D365" i="1"/>
  <c r="D364" i="1"/>
  <c r="D363" i="1"/>
  <c r="D362" i="1"/>
  <c r="D361" i="1"/>
  <c r="F361" i="1" s="1"/>
  <c r="D359" i="1"/>
  <c r="D360" i="1"/>
  <c r="F360" i="1" s="1"/>
  <c r="D348" i="1"/>
  <c r="D349" i="1"/>
  <c r="D350" i="1"/>
  <c r="D351" i="1"/>
  <c r="D352" i="1"/>
  <c r="D353" i="1"/>
  <c r="D354" i="1"/>
  <c r="D355" i="1"/>
  <c r="D356" i="1"/>
  <c r="D357" i="1"/>
  <c r="D358" i="1"/>
  <c r="D347" i="1"/>
  <c r="D346" i="1"/>
  <c r="D345" i="1"/>
  <c r="D344" i="1"/>
  <c r="D343" i="1"/>
  <c r="D342" i="1"/>
  <c r="D341" i="1"/>
  <c r="D172" i="1"/>
  <c r="D247" i="1"/>
  <c r="D272" i="1"/>
  <c r="D299" i="1"/>
  <c r="D325" i="1"/>
  <c r="D337" i="1"/>
  <c r="D338" i="1"/>
  <c r="D339" i="1"/>
  <c r="D336" i="1"/>
  <c r="D335" i="1"/>
  <c r="D334" i="1"/>
  <c r="D333" i="1"/>
  <c r="D332" i="1"/>
  <c r="D329" i="1"/>
  <c r="D328" i="1"/>
  <c r="D327" i="1"/>
  <c r="D313" i="1"/>
  <c r="D315" i="1"/>
  <c r="D316" i="1"/>
  <c r="D317" i="1"/>
  <c r="D318" i="1"/>
  <c r="D319" i="1"/>
  <c r="D320" i="1"/>
  <c r="D321" i="1"/>
  <c r="D322" i="1"/>
  <c r="D323" i="1"/>
  <c r="D324" i="1"/>
  <c r="D312" i="1"/>
  <c r="D311" i="1"/>
  <c r="D310" i="1"/>
  <c r="D309" i="1"/>
  <c r="D308" i="1"/>
  <c r="D307" i="1"/>
  <c r="D306" i="1"/>
  <c r="D305" i="1"/>
  <c r="D301" i="1"/>
  <c r="D302" i="1"/>
  <c r="D303" i="1"/>
  <c r="D180" i="1"/>
  <c r="D179" i="1"/>
  <c r="D178" i="1"/>
  <c r="D177" i="1"/>
  <c r="D176" i="1"/>
  <c r="D174" i="1"/>
  <c r="F174" i="1" s="1"/>
  <c r="D173" i="1"/>
  <c r="D250" i="1"/>
  <c r="D249" i="1"/>
  <c r="D255" i="1"/>
  <c r="D254" i="1"/>
  <c r="D253" i="1"/>
  <c r="D252" i="1"/>
  <c r="D276" i="1"/>
  <c r="D275" i="1"/>
  <c r="D274" i="1"/>
  <c r="D273" i="1"/>
  <c r="D281" i="1"/>
  <c r="D280" i="1"/>
  <c r="D278" i="1"/>
  <c r="D279" i="1"/>
  <c r="D300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85" i="1"/>
  <c r="D284" i="1"/>
  <c r="D283" i="1"/>
  <c r="D171" i="1"/>
  <c r="D170" i="1"/>
  <c r="D169" i="1"/>
  <c r="D168" i="1"/>
  <c r="D199" i="1"/>
  <c r="D198" i="1"/>
  <c r="D197" i="1"/>
  <c r="D196" i="1"/>
  <c r="D195" i="1"/>
  <c r="D194" i="1"/>
  <c r="D193" i="1"/>
  <c r="D192" i="1"/>
  <c r="D191" i="1"/>
  <c r="D190" i="1"/>
  <c r="D189" i="1"/>
  <c r="D188" i="1"/>
  <c r="D187" i="1"/>
  <c r="D186" i="1"/>
  <c r="D185" i="1"/>
  <c r="D184" i="1"/>
  <c r="D183" i="1"/>
  <c r="D182" i="1"/>
  <c r="D246" i="1"/>
  <c r="D245" i="1"/>
  <c r="D244" i="1"/>
  <c r="D243" i="1"/>
  <c r="D242" i="1"/>
  <c r="D241" i="1"/>
  <c r="D240" i="1"/>
  <c r="D239" i="1"/>
  <c r="D238" i="1"/>
  <c r="D237" i="1"/>
  <c r="D236" i="1"/>
  <c r="D235" i="1"/>
  <c r="D234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59" i="1"/>
  <c r="D256" i="1"/>
  <c r="D233" i="1"/>
  <c r="D232" i="1"/>
  <c r="D229" i="1"/>
  <c r="D181" i="1"/>
  <c r="D164" i="1"/>
  <c r="F164" i="1" s="1"/>
  <c r="D163" i="1"/>
  <c r="F163" i="1" s="1"/>
  <c r="D162" i="1"/>
  <c r="D161" i="1"/>
  <c r="D160" i="1"/>
  <c r="D159" i="1"/>
  <c r="D158" i="1"/>
  <c r="D157" i="1"/>
  <c r="D156" i="1"/>
  <c r="D154" i="1"/>
  <c r="F154" i="1" s="1"/>
  <c r="D153" i="1"/>
  <c r="F153" i="1" s="1"/>
  <c r="O156" i="1"/>
  <c r="O157" i="1" s="1"/>
  <c r="O158" i="1" s="1"/>
  <c r="O159" i="1" s="1"/>
  <c r="O160" i="1" s="1"/>
  <c r="O161" i="1" s="1"/>
  <c r="P157" i="1"/>
  <c r="P158" i="1" s="1"/>
  <c r="P159" i="1" s="1"/>
  <c r="P160" i="1" s="1"/>
  <c r="P161" i="1" s="1"/>
  <c r="D152" i="1"/>
  <c r="D151" i="1"/>
  <c r="D150" i="1"/>
  <c r="D149" i="1"/>
  <c r="D148" i="1"/>
  <c r="D147" i="1"/>
  <c r="D146" i="1"/>
  <c r="I332" i="1"/>
  <c r="I365" i="1"/>
  <c r="F173" i="1" l="1"/>
  <c r="C114" i="1"/>
  <c r="E114" i="1"/>
  <c r="C72" i="1"/>
  <c r="C74" i="1" s="1"/>
  <c r="C73" i="1" l="1"/>
  <c r="J112" i="1"/>
  <c r="I112" i="1"/>
  <c r="C86" i="1"/>
  <c r="C87" i="1" s="1"/>
  <c r="C88" i="1" s="1"/>
  <c r="J91" i="1"/>
  <c r="J90" i="1"/>
  <c r="F107" i="1"/>
  <c r="I116" i="1" l="1"/>
  <c r="K515" i="1"/>
  <c r="J121" i="1"/>
  <c r="J116" i="1" l="1"/>
  <c r="I118" i="1" l="1"/>
  <c r="L58" i="1"/>
  <c r="I55" i="1"/>
  <c r="K100" i="1" l="1"/>
  <c r="I113" i="1"/>
  <c r="I656" i="1"/>
  <c r="G637" i="1" l="1"/>
  <c r="G167" i="1"/>
  <c r="A169" i="1"/>
  <c r="A170" i="1" s="1"/>
  <c r="A171" i="1" s="1"/>
  <c r="A172" i="1" s="1"/>
  <c r="A173" i="1" s="1"/>
  <c r="A174" i="1" s="1"/>
  <c r="F169" i="1"/>
  <c r="F170" i="1"/>
  <c r="F171" i="1"/>
  <c r="F172" i="1"/>
  <c r="F176" i="1"/>
  <c r="G176" i="1"/>
  <c r="A177" i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F177" i="1"/>
  <c r="J195" i="1"/>
  <c r="F178" i="1"/>
  <c r="F179" i="1"/>
  <c r="F180" i="1"/>
  <c r="F181" i="1"/>
  <c r="F182" i="1"/>
  <c r="F183" i="1"/>
  <c r="F184" i="1"/>
  <c r="F185" i="1"/>
  <c r="F186" i="1"/>
  <c r="F187" i="1"/>
  <c r="F188" i="1"/>
  <c r="A189" i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F189" i="1"/>
  <c r="F190" i="1"/>
  <c r="F191" i="1"/>
  <c r="F192" i="1"/>
  <c r="F193" i="1"/>
  <c r="F194" i="1"/>
  <c r="F195" i="1"/>
  <c r="F196" i="1"/>
  <c r="F197" i="1"/>
  <c r="F198" i="1"/>
  <c r="F199" i="1"/>
  <c r="G621" i="1"/>
  <c r="G612" i="1"/>
  <c r="D619" i="1"/>
  <c r="F619" i="1" s="1"/>
  <c r="D618" i="1"/>
  <c r="F618" i="1" s="1"/>
  <c r="D617" i="1"/>
  <c r="F617" i="1" s="1"/>
  <c r="D616" i="1"/>
  <c r="F616" i="1" s="1"/>
  <c r="A616" i="1"/>
  <c r="A617" i="1" s="1"/>
  <c r="A618" i="1" s="1"/>
  <c r="A619" i="1" s="1"/>
  <c r="D615" i="1"/>
  <c r="F615" i="1" s="1"/>
  <c r="D614" i="1"/>
  <c r="F614" i="1" s="1"/>
  <c r="D613" i="1"/>
  <c r="F613" i="1" s="1"/>
  <c r="D612" i="1"/>
  <c r="C117" i="1" l="1"/>
  <c r="E117" i="1"/>
  <c r="F612" i="1"/>
  <c r="F168" i="1"/>
  <c r="G114" i="1" s="1"/>
  <c r="C49" i="1" l="1"/>
  <c r="G941" i="1"/>
  <c r="G920" i="1"/>
  <c r="G900" i="1"/>
  <c r="G840" i="1"/>
  <c r="G880" i="1"/>
  <c r="G782" i="1"/>
  <c r="G800" i="1"/>
  <c r="G820" i="1"/>
  <c r="G655" i="1"/>
  <c r="G671" i="1"/>
  <c r="A656" i="1"/>
  <c r="A657" i="1" s="1"/>
  <c r="A658" i="1" s="1"/>
  <c r="A659" i="1" s="1"/>
  <c r="F657" i="1"/>
  <c r="F658" i="1"/>
  <c r="F659" i="1"/>
  <c r="F660" i="1"/>
  <c r="A661" i="1"/>
  <c r="A662" i="1" s="1"/>
  <c r="A663" i="1" s="1"/>
  <c r="A664" i="1" s="1"/>
  <c r="A665" i="1" s="1"/>
  <c r="A666" i="1" s="1"/>
  <c r="A667" i="1" s="1"/>
  <c r="A668" i="1" s="1"/>
  <c r="A669" i="1" s="1"/>
  <c r="F661" i="1"/>
  <c r="F662" i="1"/>
  <c r="F663" i="1"/>
  <c r="F664" i="1"/>
  <c r="F665" i="1"/>
  <c r="F666" i="1"/>
  <c r="F950" i="1"/>
  <c r="F949" i="1"/>
  <c r="F948" i="1"/>
  <c r="D938" i="1"/>
  <c r="F938" i="1" s="1"/>
  <c r="F937" i="1"/>
  <c r="F936" i="1"/>
  <c r="F935" i="1"/>
  <c r="F934" i="1"/>
  <c r="F933" i="1"/>
  <c r="F932" i="1"/>
  <c r="F931" i="1"/>
  <c r="F930" i="1"/>
  <c r="F929" i="1"/>
  <c r="F928" i="1"/>
  <c r="F927" i="1"/>
  <c r="F926" i="1"/>
  <c r="F925" i="1"/>
  <c r="F924" i="1"/>
  <c r="F923" i="1"/>
  <c r="F922" i="1"/>
  <c r="F921" i="1"/>
  <c r="F920" i="1"/>
  <c r="F918" i="1"/>
  <c r="F917" i="1"/>
  <c r="F916" i="1"/>
  <c r="F915" i="1"/>
  <c r="F914" i="1"/>
  <c r="F913" i="1"/>
  <c r="F912" i="1"/>
  <c r="F911" i="1"/>
  <c r="F910" i="1"/>
  <c r="F909" i="1"/>
  <c r="F908" i="1"/>
  <c r="F907" i="1"/>
  <c r="F906" i="1"/>
  <c r="F905" i="1"/>
  <c r="F904" i="1"/>
  <c r="F903" i="1"/>
  <c r="F902" i="1"/>
  <c r="F901" i="1"/>
  <c r="F900" i="1"/>
  <c r="F898" i="1"/>
  <c r="F897" i="1"/>
  <c r="F896" i="1"/>
  <c r="F895" i="1"/>
  <c r="F894" i="1"/>
  <c r="F893" i="1"/>
  <c r="F892" i="1"/>
  <c r="F891" i="1"/>
  <c r="F890" i="1"/>
  <c r="F889" i="1"/>
  <c r="F888" i="1"/>
  <c r="F887" i="1"/>
  <c r="F886" i="1"/>
  <c r="F885" i="1"/>
  <c r="F884" i="1"/>
  <c r="F883" i="1"/>
  <c r="F882" i="1"/>
  <c r="F881" i="1"/>
  <c r="F880" i="1"/>
  <c r="F858" i="1"/>
  <c r="F857" i="1"/>
  <c r="F856" i="1"/>
  <c r="F855" i="1"/>
  <c r="F854" i="1"/>
  <c r="F853" i="1"/>
  <c r="F852" i="1"/>
  <c r="F851" i="1"/>
  <c r="F850" i="1"/>
  <c r="F849" i="1"/>
  <c r="F848" i="1"/>
  <c r="F847" i="1"/>
  <c r="F846" i="1"/>
  <c r="F845" i="1"/>
  <c r="F844" i="1"/>
  <c r="F843" i="1"/>
  <c r="F842" i="1"/>
  <c r="F841" i="1"/>
  <c r="F840" i="1"/>
  <c r="F838" i="1"/>
  <c r="F837" i="1"/>
  <c r="F836" i="1"/>
  <c r="F835" i="1"/>
  <c r="F834" i="1"/>
  <c r="F833" i="1"/>
  <c r="F832" i="1"/>
  <c r="F831" i="1"/>
  <c r="F830" i="1"/>
  <c r="F829" i="1"/>
  <c r="F828" i="1"/>
  <c r="F827" i="1"/>
  <c r="F826" i="1"/>
  <c r="F825" i="1"/>
  <c r="F824" i="1"/>
  <c r="F823" i="1"/>
  <c r="F822" i="1"/>
  <c r="F821" i="1"/>
  <c r="F820" i="1"/>
  <c r="F818" i="1"/>
  <c r="F817" i="1"/>
  <c r="F816" i="1"/>
  <c r="F815" i="1"/>
  <c r="F814" i="1"/>
  <c r="F813" i="1"/>
  <c r="F812" i="1"/>
  <c r="F811" i="1"/>
  <c r="F810" i="1"/>
  <c r="F809" i="1"/>
  <c r="F808" i="1"/>
  <c r="F807" i="1"/>
  <c r="F806" i="1"/>
  <c r="F805" i="1"/>
  <c r="F804" i="1"/>
  <c r="F803" i="1"/>
  <c r="F802" i="1"/>
  <c r="F801" i="1"/>
  <c r="F800" i="1"/>
  <c r="F798" i="1"/>
  <c r="F797" i="1"/>
  <c r="F796" i="1"/>
  <c r="F795" i="1"/>
  <c r="F794" i="1"/>
  <c r="F793" i="1"/>
  <c r="F792" i="1"/>
  <c r="F791" i="1"/>
  <c r="F790" i="1"/>
  <c r="F789" i="1"/>
  <c r="F788" i="1"/>
  <c r="F787" i="1"/>
  <c r="F786" i="1"/>
  <c r="F785" i="1"/>
  <c r="F784" i="1"/>
  <c r="F783" i="1"/>
  <c r="F782" i="1"/>
  <c r="F780" i="1"/>
  <c r="F779" i="1"/>
  <c r="F778" i="1"/>
  <c r="F777" i="1"/>
  <c r="F776" i="1"/>
  <c r="F775" i="1"/>
  <c r="F774" i="1"/>
  <c r="F773" i="1"/>
  <c r="F772" i="1"/>
  <c r="F771" i="1"/>
  <c r="F770" i="1"/>
  <c r="F769" i="1"/>
  <c r="F768" i="1"/>
  <c r="F767" i="1"/>
  <c r="F766" i="1"/>
  <c r="F765" i="1"/>
  <c r="F764" i="1"/>
  <c r="F762" i="1"/>
  <c r="F761" i="1"/>
  <c r="F760" i="1"/>
  <c r="F759" i="1"/>
  <c r="F758" i="1"/>
  <c r="F757" i="1"/>
  <c r="F756" i="1"/>
  <c r="F755" i="1"/>
  <c r="F754" i="1"/>
  <c r="F753" i="1"/>
  <c r="F752" i="1"/>
  <c r="F751" i="1"/>
  <c r="F750" i="1"/>
  <c r="F748" i="1"/>
  <c r="F747" i="1"/>
  <c r="F746" i="1"/>
  <c r="F745" i="1"/>
  <c r="F744" i="1"/>
  <c r="F743" i="1"/>
  <c r="F742" i="1"/>
  <c r="F741" i="1"/>
  <c r="F740" i="1"/>
  <c r="F739" i="1"/>
  <c r="F738" i="1"/>
  <c r="F737" i="1"/>
  <c r="F736" i="1"/>
  <c r="F735" i="1"/>
  <c r="F734" i="1"/>
  <c r="F733" i="1"/>
  <c r="F732" i="1"/>
  <c r="F731" i="1"/>
  <c r="F729" i="1"/>
  <c r="F728" i="1"/>
  <c r="F727" i="1"/>
  <c r="F726" i="1"/>
  <c r="F725" i="1"/>
  <c r="F724" i="1"/>
  <c r="D723" i="1"/>
  <c r="F722" i="1"/>
  <c r="F721" i="1"/>
  <c r="F720" i="1"/>
  <c r="F719" i="1"/>
  <c r="F718" i="1"/>
  <c r="F717" i="1"/>
  <c r="F716" i="1"/>
  <c r="F715" i="1"/>
  <c r="F714" i="1"/>
  <c r="F713" i="1"/>
  <c r="F712" i="1"/>
  <c r="F711" i="1"/>
  <c r="F689" i="1"/>
  <c r="F688" i="1"/>
  <c r="F687" i="1"/>
  <c r="F686" i="1"/>
  <c r="F685" i="1"/>
  <c r="F684" i="1"/>
  <c r="F683" i="1"/>
  <c r="F682" i="1"/>
  <c r="F681" i="1"/>
  <c r="F680" i="1"/>
  <c r="F679" i="1"/>
  <c r="F678" i="1"/>
  <c r="F677" i="1"/>
  <c r="F676" i="1"/>
  <c r="F675" i="1"/>
  <c r="F674" i="1"/>
  <c r="F673" i="1"/>
  <c r="F672" i="1"/>
  <c r="F671" i="1"/>
  <c r="F533" i="1"/>
  <c r="F532" i="1"/>
  <c r="F531" i="1"/>
  <c r="F529" i="1"/>
  <c r="F528" i="1"/>
  <c r="F527" i="1"/>
  <c r="F526" i="1"/>
  <c r="F525" i="1"/>
  <c r="F524" i="1"/>
  <c r="F523" i="1"/>
  <c r="F522" i="1"/>
  <c r="F521" i="1"/>
  <c r="A521" i="1"/>
  <c r="A522" i="1" s="1"/>
  <c r="A523" i="1" s="1"/>
  <c r="A524" i="1" s="1"/>
  <c r="A525" i="1" s="1"/>
  <c r="A526" i="1" s="1"/>
  <c r="A527" i="1" s="1"/>
  <c r="A528" i="1" s="1"/>
  <c r="A529" i="1" s="1"/>
  <c r="F520" i="1"/>
  <c r="F519" i="1"/>
  <c r="F518" i="1"/>
  <c r="F517" i="1"/>
  <c r="F516" i="1"/>
  <c r="F515" i="1"/>
  <c r="F514" i="1"/>
  <c r="F513" i="1"/>
  <c r="F512" i="1"/>
  <c r="F511" i="1"/>
  <c r="F510" i="1"/>
  <c r="G509" i="1"/>
  <c r="F509" i="1"/>
  <c r="F507" i="1"/>
  <c r="F506" i="1"/>
  <c r="F505" i="1"/>
  <c r="F504" i="1"/>
  <c r="F503" i="1"/>
  <c r="F502" i="1"/>
  <c r="F501" i="1"/>
  <c r="F500" i="1"/>
  <c r="F499" i="1"/>
  <c r="J609" i="1"/>
  <c r="F498" i="1"/>
  <c r="F497" i="1"/>
  <c r="A498" i="1"/>
  <c r="A499" i="1" s="1"/>
  <c r="A500" i="1" s="1"/>
  <c r="A501" i="1" s="1"/>
  <c r="A502" i="1" s="1"/>
  <c r="A503" i="1" s="1"/>
  <c r="F491" i="1"/>
  <c r="F478" i="1"/>
  <c r="F477" i="1"/>
  <c r="F476" i="1"/>
  <c r="F475" i="1"/>
  <c r="F474" i="1"/>
  <c r="F494" i="1"/>
  <c r="F493" i="1"/>
  <c r="F492" i="1"/>
  <c r="F490" i="1"/>
  <c r="F489" i="1"/>
  <c r="F488" i="1"/>
  <c r="F487" i="1"/>
  <c r="F486" i="1"/>
  <c r="J508" i="1"/>
  <c r="F485" i="1"/>
  <c r="F484" i="1"/>
  <c r="F483" i="1"/>
  <c r="F482" i="1"/>
  <c r="A482" i="1"/>
  <c r="A483" i="1" s="1"/>
  <c r="A484" i="1" s="1"/>
  <c r="A485" i="1" s="1"/>
  <c r="A486" i="1" s="1"/>
  <c r="A487" i="1" s="1"/>
  <c r="A488" i="1" s="1"/>
  <c r="A489" i="1" s="1"/>
  <c r="A490" i="1" s="1"/>
  <c r="F481" i="1"/>
  <c r="F480" i="1"/>
  <c r="F479" i="1"/>
  <c r="F473" i="1"/>
  <c r="F472" i="1"/>
  <c r="F471" i="1"/>
  <c r="F470" i="1"/>
  <c r="G469" i="1"/>
  <c r="F469" i="1"/>
  <c r="F467" i="1"/>
  <c r="F466" i="1"/>
  <c r="F465" i="1"/>
  <c r="F451" i="1"/>
  <c r="F450" i="1"/>
  <c r="F448" i="1"/>
  <c r="F463" i="1"/>
  <c r="F462" i="1"/>
  <c r="F461" i="1"/>
  <c r="F460" i="1"/>
  <c r="F459" i="1"/>
  <c r="J495" i="1"/>
  <c r="F458" i="1"/>
  <c r="F457" i="1"/>
  <c r="F456" i="1"/>
  <c r="F455" i="1"/>
  <c r="A455" i="1"/>
  <c r="A456" i="1" s="1"/>
  <c r="A457" i="1" s="1"/>
  <c r="A458" i="1" s="1"/>
  <c r="A459" i="1" s="1"/>
  <c r="A460" i="1" s="1"/>
  <c r="A461" i="1" s="1"/>
  <c r="A462" i="1" s="1"/>
  <c r="A463" i="1" s="1"/>
  <c r="F454" i="1"/>
  <c r="F453" i="1"/>
  <c r="F452" i="1"/>
  <c r="F447" i="1"/>
  <c r="F446" i="1"/>
  <c r="F445" i="1"/>
  <c r="G444" i="1"/>
  <c r="F444" i="1"/>
  <c r="F395" i="1"/>
  <c r="F394" i="1"/>
  <c r="F393" i="1"/>
  <c r="F392" i="1"/>
  <c r="F411" i="1"/>
  <c r="F410" i="1"/>
  <c r="F409" i="1"/>
  <c r="F408" i="1"/>
  <c r="F407" i="1"/>
  <c r="J474" i="1"/>
  <c r="F406" i="1"/>
  <c r="F405" i="1"/>
  <c r="F404" i="1"/>
  <c r="F403" i="1"/>
  <c r="A403" i="1"/>
  <c r="A404" i="1" s="1"/>
  <c r="A405" i="1" s="1"/>
  <c r="A406" i="1" s="1"/>
  <c r="A407" i="1" s="1"/>
  <c r="A408" i="1" s="1"/>
  <c r="F402" i="1"/>
  <c r="F401" i="1"/>
  <c r="F400" i="1"/>
  <c r="F399" i="1"/>
  <c r="F398" i="1"/>
  <c r="F397" i="1"/>
  <c r="F396" i="1"/>
  <c r="G391" i="1"/>
  <c r="F391" i="1"/>
  <c r="E118" i="1" l="1"/>
  <c r="C118" i="1"/>
  <c r="F723" i="1"/>
  <c r="A409" i="1"/>
  <c r="F656" i="1"/>
  <c r="F655" i="1"/>
  <c r="F385" i="1"/>
  <c r="F384" i="1"/>
  <c r="F383" i="1"/>
  <c r="F374" i="1"/>
  <c r="F373" i="1"/>
  <c r="F369" i="1"/>
  <c r="F368" i="1"/>
  <c r="F389" i="1"/>
  <c r="F388" i="1"/>
  <c r="F387" i="1"/>
  <c r="F382" i="1"/>
  <c r="F381" i="1"/>
  <c r="J447" i="1"/>
  <c r="F380" i="1"/>
  <c r="F379" i="1"/>
  <c r="F378" i="1"/>
  <c r="F377" i="1"/>
  <c r="A377" i="1"/>
  <c r="A378" i="1" s="1"/>
  <c r="A379" i="1" s="1"/>
  <c r="A380" i="1" s="1"/>
  <c r="A381" i="1" s="1"/>
  <c r="A382" i="1" s="1"/>
  <c r="A383" i="1" s="1"/>
  <c r="A384" i="1" s="1"/>
  <c r="A385" i="1" s="1"/>
  <c r="F376" i="1"/>
  <c r="F375" i="1"/>
  <c r="F372" i="1"/>
  <c r="F371" i="1"/>
  <c r="F370" i="1"/>
  <c r="G367" i="1"/>
  <c r="F367" i="1"/>
  <c r="F362" i="1"/>
  <c r="F359" i="1"/>
  <c r="F365" i="1"/>
  <c r="F364" i="1"/>
  <c r="F363" i="1"/>
  <c r="F358" i="1"/>
  <c r="F357" i="1"/>
  <c r="J395" i="1"/>
  <c r="F356" i="1"/>
  <c r="F355" i="1"/>
  <c r="F354" i="1"/>
  <c r="F353" i="1"/>
  <c r="A353" i="1"/>
  <c r="A354" i="1" s="1"/>
  <c r="A355" i="1" s="1"/>
  <c r="A356" i="1" s="1"/>
  <c r="A357" i="1" s="1"/>
  <c r="A358" i="1" s="1"/>
  <c r="A359" i="1" s="1"/>
  <c r="A360" i="1" s="1"/>
  <c r="A361" i="1" s="1"/>
  <c r="F352" i="1"/>
  <c r="F351" i="1"/>
  <c r="F350" i="1"/>
  <c r="A350" i="1"/>
  <c r="F349" i="1"/>
  <c r="F348" i="1"/>
  <c r="F347" i="1"/>
  <c r="F346" i="1"/>
  <c r="A346" i="1"/>
  <c r="F345" i="1"/>
  <c r="F344" i="1"/>
  <c r="F343" i="1"/>
  <c r="F342" i="1"/>
  <c r="G341" i="1"/>
  <c r="F341" i="1"/>
  <c r="F336" i="1"/>
  <c r="F339" i="1"/>
  <c r="F338" i="1"/>
  <c r="F337" i="1"/>
  <c r="F335" i="1"/>
  <c r="F334" i="1"/>
  <c r="F333" i="1"/>
  <c r="F332" i="1"/>
  <c r="A333" i="1"/>
  <c r="A334" i="1" s="1"/>
  <c r="A335" i="1" s="1"/>
  <c r="A336" i="1" s="1"/>
  <c r="G331" i="1"/>
  <c r="F314" i="1"/>
  <c r="F309" i="1"/>
  <c r="F329" i="1"/>
  <c r="F328" i="1"/>
  <c r="F327" i="1"/>
  <c r="A327" i="1"/>
  <c r="F325" i="1"/>
  <c r="F324" i="1"/>
  <c r="F323" i="1"/>
  <c r="F322" i="1"/>
  <c r="F321" i="1"/>
  <c r="J357" i="1"/>
  <c r="F320" i="1"/>
  <c r="F319" i="1"/>
  <c r="F318" i="1"/>
  <c r="F317" i="1"/>
  <c r="A317" i="1"/>
  <c r="A318" i="1" s="1"/>
  <c r="A319" i="1" s="1"/>
  <c r="A320" i="1" s="1"/>
  <c r="A321" i="1" s="1"/>
  <c r="A322" i="1" s="1"/>
  <c r="A323" i="1" s="1"/>
  <c r="A324" i="1" s="1"/>
  <c r="A325" i="1" s="1"/>
  <c r="F316" i="1"/>
  <c r="F315" i="1"/>
  <c r="A314" i="1"/>
  <c r="F313" i="1"/>
  <c r="F312" i="1"/>
  <c r="F311" i="1"/>
  <c r="F310" i="1"/>
  <c r="A310" i="1"/>
  <c r="F308" i="1"/>
  <c r="F307" i="1"/>
  <c r="F306" i="1"/>
  <c r="G305" i="1"/>
  <c r="F305" i="1"/>
  <c r="F284" i="1"/>
  <c r="G118" i="1" l="1"/>
  <c r="A410" i="1"/>
  <c r="F303" i="1"/>
  <c r="F302" i="1"/>
  <c r="F301" i="1"/>
  <c r="A301" i="1"/>
  <c r="F300" i="1"/>
  <c r="F299" i="1"/>
  <c r="F298" i="1"/>
  <c r="F297" i="1"/>
  <c r="F296" i="1"/>
  <c r="F295" i="1"/>
  <c r="J331" i="1"/>
  <c r="F294" i="1"/>
  <c r="F293" i="1"/>
  <c r="F292" i="1"/>
  <c r="F291" i="1"/>
  <c r="A291" i="1"/>
  <c r="A292" i="1" s="1"/>
  <c r="A293" i="1" s="1"/>
  <c r="A294" i="1" s="1"/>
  <c r="A295" i="1" s="1"/>
  <c r="A296" i="1" s="1"/>
  <c r="F290" i="1"/>
  <c r="F289" i="1"/>
  <c r="F288" i="1"/>
  <c r="F287" i="1"/>
  <c r="A287" i="1"/>
  <c r="A288" i="1" s="1"/>
  <c r="A289" i="1" s="1"/>
  <c r="F286" i="1"/>
  <c r="F285" i="1"/>
  <c r="F283" i="1"/>
  <c r="A283" i="1"/>
  <c r="F282" i="1"/>
  <c r="F281" i="1"/>
  <c r="F280" i="1"/>
  <c r="F279" i="1"/>
  <c r="G278" i="1"/>
  <c r="F278" i="1"/>
  <c r="F274" i="1"/>
  <c r="A274" i="1"/>
  <c r="F273" i="1"/>
  <c r="D258" i="1"/>
  <c r="F258" i="1" s="1"/>
  <c r="F255" i="1"/>
  <c r="F254" i="1"/>
  <c r="F253" i="1"/>
  <c r="F276" i="1"/>
  <c r="F275" i="1"/>
  <c r="F272" i="1"/>
  <c r="F271" i="1"/>
  <c r="F270" i="1"/>
  <c r="F269" i="1"/>
  <c r="F268" i="1"/>
  <c r="J304" i="1"/>
  <c r="F267" i="1"/>
  <c r="F266" i="1"/>
  <c r="F265" i="1"/>
  <c r="F264" i="1"/>
  <c r="A264" i="1"/>
  <c r="A265" i="1" s="1"/>
  <c r="A266" i="1" s="1"/>
  <c r="A267" i="1" s="1"/>
  <c r="A268" i="1" s="1"/>
  <c r="A269" i="1" s="1"/>
  <c r="A270" i="1" s="1"/>
  <c r="A271" i="1" s="1"/>
  <c r="A272" i="1" s="1"/>
  <c r="F263" i="1"/>
  <c r="F262" i="1"/>
  <c r="F261" i="1"/>
  <c r="F260" i="1"/>
  <c r="F259" i="1"/>
  <c r="D257" i="1"/>
  <c r="F257" i="1" s="1"/>
  <c r="F256" i="1"/>
  <c r="A257" i="1"/>
  <c r="A258" i="1" s="1"/>
  <c r="A260" i="1" s="1"/>
  <c r="A261" i="1" s="1"/>
  <c r="A262" i="1" s="1"/>
  <c r="G252" i="1"/>
  <c r="F252" i="1"/>
  <c r="F232" i="1"/>
  <c r="D231" i="1"/>
  <c r="F231" i="1" s="1"/>
  <c r="D230" i="1"/>
  <c r="F230" i="1" s="1"/>
  <c r="F229" i="1"/>
  <c r="D228" i="1"/>
  <c r="F228" i="1" s="1"/>
  <c r="D227" i="1"/>
  <c r="F250" i="1"/>
  <c r="F249" i="1"/>
  <c r="F247" i="1"/>
  <c r="F246" i="1"/>
  <c r="F245" i="1"/>
  <c r="F244" i="1"/>
  <c r="F243" i="1"/>
  <c r="J280" i="1"/>
  <c r="F242" i="1"/>
  <c r="F241" i="1"/>
  <c r="F240" i="1"/>
  <c r="F239" i="1"/>
  <c r="A239" i="1"/>
  <c r="A240" i="1" s="1"/>
  <c r="A241" i="1" s="1"/>
  <c r="A242" i="1" s="1"/>
  <c r="A243" i="1" s="1"/>
  <c r="A244" i="1" s="1"/>
  <c r="A245" i="1" s="1"/>
  <c r="A246" i="1" s="1"/>
  <c r="A247" i="1" s="1"/>
  <c r="F238" i="1"/>
  <c r="F237" i="1"/>
  <c r="F236" i="1"/>
  <c r="F235" i="1"/>
  <c r="F234" i="1"/>
  <c r="F233" i="1"/>
  <c r="K256" i="1"/>
  <c r="A228" i="1"/>
  <c r="A229" i="1" s="1"/>
  <c r="A230" i="1" s="1"/>
  <c r="A231" i="1" s="1"/>
  <c r="A232" i="1" s="1"/>
  <c r="A233" i="1" s="1"/>
  <c r="A234" i="1" s="1"/>
  <c r="A235" i="1" s="1"/>
  <c r="A236" i="1" s="1"/>
  <c r="A237" i="1" s="1"/>
  <c r="G226" i="1"/>
  <c r="C115" i="1" l="1"/>
  <c r="E115" i="1"/>
  <c r="E119" i="1" s="1"/>
  <c r="E121" i="1" s="1"/>
  <c r="F227" i="1"/>
  <c r="A411" i="1"/>
  <c r="A412" i="1" s="1"/>
  <c r="A413" i="1" s="1"/>
  <c r="A414" i="1" s="1"/>
  <c r="A415" i="1" s="1"/>
  <c r="A250" i="1"/>
  <c r="A248" i="1"/>
  <c r="F226" i="1"/>
  <c r="A297" i="1"/>
  <c r="A298" i="1" s="1"/>
  <c r="A299" i="1" s="1"/>
  <c r="D144" i="1"/>
  <c r="D143" i="1"/>
  <c r="D142" i="1"/>
  <c r="D141" i="1"/>
  <c r="D140" i="1"/>
  <c r="D139" i="1"/>
  <c r="D137" i="1"/>
  <c r="D138" i="1"/>
  <c r="G115" i="1" l="1"/>
  <c r="G119" i="1" s="1"/>
  <c r="G121" i="1" s="1"/>
  <c r="K104" i="1"/>
  <c r="C119" i="1"/>
  <c r="C121" i="1" s="1"/>
  <c r="J255" i="1"/>
  <c r="K230" i="1"/>
  <c r="F652" i="1"/>
  <c r="F651" i="1"/>
  <c r="F650" i="1"/>
  <c r="F649" i="1"/>
  <c r="F648" i="1"/>
  <c r="F647" i="1"/>
  <c r="L157" i="1"/>
  <c r="F634" i="1"/>
  <c r="F635" i="1"/>
  <c r="F633" i="1"/>
  <c r="F631" i="1"/>
  <c r="F632" i="1"/>
  <c r="K137" i="1"/>
  <c r="L129" i="1"/>
  <c r="L127" i="1"/>
  <c r="L126" i="1"/>
  <c r="L125" i="1"/>
  <c r="D136" i="1"/>
  <c r="L124" i="1"/>
  <c r="D135" i="1"/>
  <c r="L123" i="1"/>
  <c r="K123" i="1"/>
  <c r="E113" i="1" l="1"/>
  <c r="K93" i="1"/>
  <c r="K92" i="1"/>
  <c r="L81" i="1"/>
  <c r="K81" i="1"/>
  <c r="J95" i="1"/>
  <c r="F137" i="1" l="1"/>
  <c r="F139" i="1"/>
  <c r="F140" i="1"/>
  <c r="F142" i="1"/>
  <c r="F149" i="1"/>
  <c r="F150" i="1"/>
  <c r="F621" i="1"/>
  <c r="F623" i="1"/>
  <c r="F625" i="1"/>
  <c r="F626" i="1"/>
  <c r="F627" i="1"/>
  <c r="F628" i="1"/>
  <c r="F160" i="1"/>
  <c r="F161" i="1"/>
  <c r="F162" i="1"/>
  <c r="F638" i="1"/>
  <c r="F640" i="1"/>
  <c r="F643" i="1"/>
  <c r="F645" i="1"/>
  <c r="F646" i="1"/>
  <c r="F146" i="1"/>
  <c r="F158" i="1"/>
  <c r="J133" i="1"/>
  <c r="F644" i="1"/>
  <c r="F642" i="1"/>
  <c r="F641" i="1"/>
  <c r="F637" i="1"/>
  <c r="F639" i="1"/>
  <c r="F159" i="1"/>
  <c r="F157" i="1"/>
  <c r="F156" i="1"/>
  <c r="J166" i="1"/>
  <c r="A157" i="1"/>
  <c r="A158" i="1" s="1"/>
  <c r="A159" i="1" s="1"/>
  <c r="A160" i="1" s="1"/>
  <c r="A161" i="1" s="1"/>
  <c r="A162" i="1" s="1"/>
  <c r="G156" i="1"/>
  <c r="F629" i="1"/>
  <c r="F630" i="1"/>
  <c r="F624" i="1"/>
  <c r="F622" i="1"/>
  <c r="F152" i="1"/>
  <c r="F148" i="1"/>
  <c r="F147" i="1"/>
  <c r="F151" i="1"/>
  <c r="A147" i="1"/>
  <c r="A148" i="1" s="1"/>
  <c r="A149" i="1" s="1"/>
  <c r="A150" i="1" s="1"/>
  <c r="A151" i="1" s="1"/>
  <c r="A152" i="1" s="1"/>
  <c r="G146" i="1"/>
  <c r="F141" i="1"/>
  <c r="F143" i="1"/>
  <c r="F144" i="1"/>
  <c r="J138" i="1"/>
  <c r="F138" i="1"/>
  <c r="F136" i="1"/>
  <c r="F135" i="1"/>
  <c r="A136" i="1"/>
  <c r="A137" i="1" s="1"/>
  <c r="A138" i="1" s="1"/>
  <c r="A139" i="1" s="1"/>
  <c r="A140" i="1" s="1"/>
  <c r="A141" i="1" s="1"/>
  <c r="A142" i="1" s="1"/>
  <c r="A143" i="1" s="1"/>
  <c r="A144" i="1" s="1"/>
  <c r="G135" i="1"/>
  <c r="G117" i="1" l="1"/>
  <c r="G113" i="1"/>
  <c r="A638" i="1"/>
  <c r="A639" i="1" s="1"/>
  <c r="A640" i="1" s="1"/>
  <c r="A641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164" i="1"/>
  <c r="A622" i="1"/>
  <c r="A623" i="1" s="1"/>
  <c r="A624" i="1" s="1"/>
  <c r="A625" i="1" s="1"/>
  <c r="A627" i="1" s="1"/>
  <c r="A628" i="1" s="1"/>
  <c r="A629" i="1" s="1"/>
  <c r="A630" i="1" s="1"/>
  <c r="A632" i="1" s="1"/>
  <c r="A633" i="1" s="1"/>
  <c r="A634" i="1" s="1"/>
  <c r="A635" i="1" s="1"/>
  <c r="A154" i="1"/>
  <c r="E42" i="1"/>
  <c r="E43" i="1" s="1"/>
  <c r="C14" i="1" l="1"/>
  <c r="E29" i="1" l="1"/>
  <c r="B1041" i="1" l="1"/>
  <c r="B1042" i="1" l="1"/>
  <c r="F11" i="5" l="1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D1068" i="1"/>
  <c r="J76" i="1"/>
  <c r="E26" i="1"/>
  <c r="E24" i="1"/>
  <c r="E7" i="1"/>
  <c r="E3" i="1"/>
  <c r="H66" i="1"/>
  <c r="D59" i="1" l="1"/>
  <c r="D78" i="1"/>
  <c r="D76" i="1"/>
  <c r="D75" i="1"/>
  <c r="D74" i="1"/>
  <c r="D72" i="1"/>
  <c r="J65" i="1"/>
  <c r="D77" i="1"/>
  <c r="D73" i="1"/>
  <c r="J69" i="1"/>
  <c r="J70" i="1"/>
  <c r="C69" i="1" s="1"/>
  <c r="J68" i="1"/>
  <c r="J71" i="1"/>
  <c r="J72" i="1" l="1"/>
  <c r="J77" i="1" s="1"/>
  <c r="D71" i="1"/>
  <c r="J67" i="1"/>
  <c r="D69" i="1"/>
  <c r="H80" i="1"/>
  <c r="D92" i="1" l="1"/>
  <c r="D91" i="1"/>
  <c r="D90" i="1"/>
  <c r="D86" i="1"/>
  <c r="J85" i="1"/>
  <c r="J86" i="1" s="1"/>
  <c r="J79" i="1"/>
  <c r="J81" i="1" s="1"/>
  <c r="D88" i="1"/>
  <c r="J83" i="1"/>
  <c r="D87" i="1"/>
  <c r="E83" i="1"/>
  <c r="D89" i="1"/>
  <c r="D85" i="1"/>
  <c r="J82" i="1"/>
  <c r="J84" i="1"/>
  <c r="C83" i="1" s="1"/>
  <c r="D83" i="1" s="1"/>
  <c r="D84" i="1"/>
  <c r="J73" i="1"/>
  <c r="I80" i="1" l="1"/>
  <c r="I81" i="1" s="1"/>
  <c r="G83" i="1"/>
  <c r="J87" i="1"/>
  <c r="J88" i="1" s="1"/>
  <c r="J89" i="1" s="1"/>
  <c r="J74" i="1"/>
  <c r="J75" i="1" s="1"/>
  <c r="J78" i="1" s="1"/>
  <c r="G69" i="1"/>
  <c r="D63" i="1" s="1"/>
  <c r="J92" i="1" l="1"/>
  <c r="J80" i="1" s="1"/>
  <c r="I79" i="1" s="1"/>
  <c r="C81" i="1" s="1"/>
  <c r="J66" i="1"/>
  <c r="E69" i="1"/>
  <c r="D70" i="1"/>
  <c r="I66" i="1" s="1"/>
  <c r="I67" i="1" s="1"/>
  <c r="D64" i="1"/>
  <c r="F64" i="1"/>
  <c r="I65" i="1" l="1"/>
  <c r="C67" i="1" s="1"/>
</calcChain>
</file>

<file path=xl/sharedStrings.xml><?xml version="1.0" encoding="utf-8"?>
<sst xmlns="http://schemas.openxmlformats.org/spreadsheetml/2006/main" count="1255" uniqueCount="299">
  <si>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</si>
  <si>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</si>
  <si>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</si>
  <si>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</si>
  <si>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</si>
  <si>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</si>
  <si>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</si>
  <si>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</si>
  <si>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</si>
  <si>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</si>
  <si>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</si>
  <si>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</si>
  <si>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</si>
  <si>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</si>
  <si>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</si>
  <si>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</si>
  <si>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</si>
  <si>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</si>
  <si>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</si>
  <si>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</si>
  <si>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</si>
  <si>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</si>
  <si>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</si>
  <si>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</si>
  <si>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</si>
  <si>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</si>
  <si>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</si>
  <si>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</si>
  <si>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</si>
  <si>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</si>
  <si>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</si>
  <si>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</si>
  <si>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</si>
  <si>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</si>
  <si>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</si>
  <si>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</si>
  <si>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</si>
  <si>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</si>
  <si>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</si>
  <si>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</si>
  <si>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</si>
  <si>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</si>
  <si>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</si>
  <si>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O. Certificate No.: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</si>
  <si>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</si>
  <si>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</si>
  <si>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</si>
  <si>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</si>
  <si>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</si>
  <si>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</si>
  <si>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</si>
  <si>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</si>
  <si>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</si>
  <si>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</si>
  <si>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</si>
  <si>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Description</t>
  </si>
  <si>
    <t>Gross Carpet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</si>
  <si>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</si>
  <si>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</si>
  <si>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</si>
  <si>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</si>
  <si>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</si>
  <si>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</si>
  <si>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</si>
  <si>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</si>
  <si>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</si>
  <si>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</si>
  <si>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Residential Area Details :</t>
  </si>
  <si>
    <t>Podium</t>
  </si>
  <si>
    <t>Ground</t>
  </si>
  <si>
    <t>Locality/Village</t>
  </si>
  <si>
    <t>Taluka</t>
  </si>
  <si>
    <t>Commercial Area Details :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</si>
  <si>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</si>
  <si>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</si>
  <si>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</si>
  <si>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</si>
  <si>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</si>
  <si>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</si>
  <si>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</si>
  <si>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</si>
  <si>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</si>
  <si>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</si>
  <si>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</si>
  <si>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</si>
  <si>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</si>
  <si>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</si>
  <si>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</si>
  <si>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Total Approved Builtup area of the project (Sq.Mt)</t>
  </si>
  <si>
    <t>Restrictive Covenants in regard to Land Use</t>
  </si>
  <si>
    <t>Boundries</t>
  </si>
  <si>
    <t>Water, Electricity, Drainages, Sewerage Connection</t>
  </si>
  <si>
    <t>Society Formation Charges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</si>
  <si>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</si>
  <si>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</si>
  <si>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</si>
  <si>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</si>
  <si>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</si>
  <si>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</si>
  <si>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</si>
  <si>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</si>
  <si>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</si>
  <si>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</si>
  <si>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</si>
  <si>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</si>
  <si>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</si>
  <si>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</si>
  <si>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</si>
  <si>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</si>
  <si>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</si>
  <si>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</si>
  <si>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</si>
  <si>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</si>
  <si>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t>Shop No.
(Sale Plan)</t>
  </si>
  <si>
    <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</si>
  <si>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</si>
  <si>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</si>
  <si>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</si>
  <si>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</si>
  <si>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</si>
  <si>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</si>
  <si>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</si>
  <si>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</si>
  <si>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</si>
  <si>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</si>
  <si>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</si>
  <si>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</si>
  <si>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</si>
  <si>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</si>
  <si>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</si>
  <si>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</si>
  <si>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</si>
  <si>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</si>
  <si>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</si>
  <si>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</si>
  <si>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</si>
  <si>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</si>
  <si>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</si>
  <si>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</si>
  <si>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</si>
  <si>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</si>
  <si>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 xml:space="preserve">Violations Observed if any : </t>
  </si>
  <si>
    <t>Saleable area Loading :</t>
  </si>
  <si>
    <t>Total</t>
  </si>
  <si>
    <t>Name of Municipal Corporation/Authority</t>
  </si>
  <si>
    <t>We have considered proposed No. of Floor for Stage Calculation.</t>
  </si>
  <si>
    <t>*</t>
  </si>
  <si>
    <t>Recommended rate should be considered as all inclusive rate if other charges are not mentioned. (Excluding GST &amp; other government Taxes)</t>
  </si>
  <si>
    <t xml:space="preserve">Commencement-CC No
Valid Up to: </t>
  </si>
  <si>
    <t>Attached Loft area</t>
  </si>
  <si>
    <t xml:space="preserve">Recommended Rates of the Property : </t>
  </si>
  <si>
    <t>Floor Rise Rate</t>
  </si>
  <si>
    <t>Recommended rate of the Flat Per Sq. Ft.</t>
  </si>
  <si>
    <t>On Saleable Area</t>
  </si>
  <si>
    <t>Legal Charges</t>
  </si>
  <si>
    <t>Location Link</t>
  </si>
  <si>
    <t>Locality</t>
  </si>
  <si>
    <t>Provided Contact Details ( Name &amp; Contact No.)</t>
  </si>
  <si>
    <t>Site Person - Contact Details ( Name &amp; Contact No.)</t>
  </si>
  <si>
    <t>Layout :</t>
  </si>
  <si>
    <t>Axis Thane</t>
  </si>
  <si>
    <t>Macrotech Developers Limited</t>
  </si>
  <si>
    <t>Approved Plans, CC</t>
  </si>
  <si>
    <t>P51800047504</t>
  </si>
  <si>
    <t>CTS No</t>
  </si>
  <si>
    <t>L.B.S. Marg</t>
  </si>
  <si>
    <t>Vikhroli (W)</t>
  </si>
  <si>
    <t>Kurla</t>
  </si>
  <si>
    <t>Vikhroli</t>
  </si>
  <si>
    <t>Mumbai</t>
  </si>
  <si>
    <t>Godrej Infotech Limited</t>
  </si>
  <si>
    <t>Slum Area</t>
  </si>
  <si>
    <t>Building</t>
  </si>
  <si>
    <t>https://goo.gl/maps/NnBAD67ksv6wFPAD7</t>
  </si>
  <si>
    <t xml:space="preserve">Slum Rehabilitation Authority (SRA)
</t>
  </si>
  <si>
    <t xml:space="preserve">N/PVT/0106/20220718/AP/C-1
</t>
  </si>
  <si>
    <t>Ground Floor For Commercial</t>
  </si>
  <si>
    <t>Shop</t>
  </si>
  <si>
    <t>Clinic</t>
  </si>
  <si>
    <t>Shops</t>
  </si>
  <si>
    <t>Harishchandra Compound</t>
  </si>
  <si>
    <t>L.B.S. Road</t>
  </si>
  <si>
    <t>Lodha</t>
  </si>
  <si>
    <t>offices/Clinic</t>
  </si>
  <si>
    <t>Recommended rate of the Office or Clinic Per Sq. Ft.</t>
  </si>
  <si>
    <t>Recommended rate of the Shop Per Sq. Ft. (Ground Floor)</t>
  </si>
  <si>
    <t>Recommended rate of the Shop Per Sq. Ft. (1st &amp; 2nd Floor)</t>
  </si>
  <si>
    <t>Latitude, Longitude</t>
  </si>
  <si>
    <t>19.106135,72.923397</t>
  </si>
  <si>
    <t>11B</t>
  </si>
  <si>
    <t>11A</t>
  </si>
  <si>
    <t>-</t>
  </si>
  <si>
    <t>Office</t>
  </si>
  <si>
    <t>Refuge Area</t>
  </si>
  <si>
    <t>We considered Gross carpet area = Net carpet</t>
  </si>
  <si>
    <t>Offices</t>
  </si>
  <si>
    <t>Clinics</t>
  </si>
  <si>
    <t>We have updated revised Approved Floor Plan &amp; CC (Taken From RERA site) of Wing S1 (on 18/04/2023).</t>
  </si>
  <si>
    <t>Lodha Vikhroli Signet</t>
  </si>
  <si>
    <t>15th Floor (16th Floor as per Builder)</t>
  </si>
  <si>
    <t>16th Floor (17th Floor as per Builder)</t>
  </si>
  <si>
    <t>17th Floor (18th Floor as per Builder)</t>
  </si>
  <si>
    <t>18th Floor (19th Floor as per Builder)</t>
  </si>
  <si>
    <t>19th Floor (20th Floor as per Builder) (Part Refuge Area)</t>
  </si>
  <si>
    <t>20th Floor (21th Floor as per Builder)</t>
  </si>
  <si>
    <t>21th Floor (22nd Floor as per Builder)</t>
  </si>
  <si>
    <t>22nd Floor (23rd Floor as per Builder)</t>
  </si>
  <si>
    <t>24 Floor (25th Floor as per Builder)</t>
  </si>
  <si>
    <t>26th Floor (27th Floor as per Builder)</t>
  </si>
  <si>
    <t>27th Floor (28th Floor as per Builder)</t>
  </si>
  <si>
    <t>Mr.Rajendra Giri  9820248856</t>
  </si>
  <si>
    <t>Mr. Jay 9819115602</t>
  </si>
  <si>
    <t>Provisional Building Common Area Maintenance (CAM) Charges for 18</t>
  </si>
  <si>
    <t>Utility / Infrastructure / Other Charges</t>
  </si>
  <si>
    <t>Building Protection Deposit</t>
  </si>
  <si>
    <t>67 (Pt), 67A, 67/1 to 5, 67/9 to 18</t>
  </si>
  <si>
    <t>As per Layout</t>
  </si>
  <si>
    <t>0.900 Km from Vikhroli
Railway Station</t>
  </si>
  <si>
    <t>12.00 Mt. Wide Driveway</t>
  </si>
  <si>
    <t>Sale Building No.1</t>
  </si>
  <si>
    <t>30.50 Mtrs. Wide Road</t>
  </si>
  <si>
    <t>PTC Building No.2</t>
  </si>
  <si>
    <t>02 Wings</t>
  </si>
  <si>
    <t>Approved Builtup Area of Wing S1 &amp; S2 (Sq.Mt)</t>
  </si>
  <si>
    <t>This C.C. is further extende upto 11th floor for sale commercial wing S1 &amp; S2 &amp; Multi level car parking (MLCP) floor of sale building no.1 as per approved plan dated 10/11/2023</t>
  </si>
  <si>
    <t>Sale Building No.1 (Wing S1 &amp; S2)</t>
  </si>
  <si>
    <t>Wing S1(A Wing) &amp; S2(B Wing) = 4B + Gr + 1st to 2nd + P4 to P11 + 12th  to 27th Floor (Pt)</t>
  </si>
  <si>
    <t xml:space="preserve">Details of Commercial in Building   </t>
  </si>
  <si>
    <t>Building Details Floor Wise</t>
  </si>
  <si>
    <t>2nd Floor</t>
  </si>
  <si>
    <t xml:space="preserve">Wing S1 (A Wing) </t>
  </si>
  <si>
    <t>4th to 1st Basement Floor For Parking</t>
  </si>
  <si>
    <t>Wing S2 (B Wing)</t>
  </si>
  <si>
    <t>https://housing.com/commercial/lodha-vikhroli-signet-in-vikhroli-east-mumbai-cpid-308314</t>
  </si>
  <si>
    <t>1st Floor</t>
  </si>
  <si>
    <t xml:space="preserve">2nd Floor </t>
  </si>
  <si>
    <t xml:space="preserve"> 12th Floor (Part Fitness Center Area)</t>
  </si>
  <si>
    <t xml:space="preserve">Refuge Area </t>
  </si>
  <si>
    <t>Approved Floor plan No.</t>
  </si>
  <si>
    <t>Grand Total</t>
  </si>
  <si>
    <t>24th Floor (25th Floor as per Builder)</t>
  </si>
  <si>
    <t>We have updated revised Approved Floor Plan of Wing S1 &amp; S2 4B + G + 1st, 2nd, 12th, 15th to 27th Floor (Pt) Only) (on 28/12/2023).</t>
  </si>
  <si>
    <t xml:space="preserve">Entrance Lobby, Parking, Landscaping &amp; Tree Planting, Fire Fighting System, Community Buildings, 24X7 Water Supply, Meter Room, Open Parking, Lift, etc. 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</si>
  <si>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rFont val="Times New Roman"/>
        <family val="1"/>
      </rPr>
      <t xml:space="preserve">                                               </t>
    </r>
  </si>
  <si>
    <t xml:space="preserve"> 12th Floor (Part Refuge &amp; Fitness Center Area)</t>
  </si>
  <si>
    <t>3rd to 11th Podium Floor For Parking</t>
  </si>
  <si>
    <t>Shops - 98, Clinic - 53, Offices - 568</t>
  </si>
  <si>
    <t>Office No. 1031, Wing J, Akshar Business Park, Plot No. 03 Sector 25, Near APMC Market,  
Vashi, Navi Mumbai, Maharashtra 400703 TEL: 022-46090378/79/80 
E mail : vsjcapf@gmail.com. Web site : www.vsjadon.com</t>
  </si>
  <si>
    <t>Please provide revised approved CC, As the construction work goes beyond the CC permission of Wing B.</t>
  </si>
  <si>
    <t>Wing S1 (A Wing)</t>
  </si>
  <si>
    <t>Gaurav Panchal</t>
  </si>
  <si>
    <t>Nainesh Tambe</t>
  </si>
  <si>
    <t>Sheet No. 9</t>
  </si>
  <si>
    <t>Sheet No. 10</t>
  </si>
  <si>
    <t>Sheet No. 22</t>
  </si>
  <si>
    <r>
      <rPr>
        <b/>
        <sz val="12"/>
        <color theme="1"/>
        <rFont val="Times New Roman"/>
        <family val="1"/>
      </rPr>
      <t>3rd</t>
    </r>
    <r>
      <rPr>
        <b/>
        <sz val="12"/>
        <color indexed="8"/>
        <rFont val="Times New Roman"/>
        <family val="1"/>
      </rPr>
      <t xml:space="preserve"> to 11th Podium Floor For Parking</t>
    </r>
  </si>
  <si>
    <t>Section  at 56/58</t>
  </si>
  <si>
    <t>sheet no. 48/58</t>
  </si>
  <si>
    <t>sheet no. 40/58</t>
  </si>
  <si>
    <t>Shop No. 13 missing</t>
  </si>
  <si>
    <t>Shop No. 13 &amp; 19 merged with 18 no.</t>
  </si>
  <si>
    <t>sheet no. 26/58</t>
  </si>
  <si>
    <t>Break-Out Space</t>
  </si>
  <si>
    <t>Break out space / Terrace</t>
  </si>
  <si>
    <t>Break out space/ Terrace</t>
  </si>
  <si>
    <t>26th Floor (27th Floor as per Builder) (Part Refuge Area)</t>
  </si>
  <si>
    <t>28th Floor (29th Floor as per Builder)</t>
  </si>
  <si>
    <t>sheet no. 49/58</t>
  </si>
  <si>
    <t>29th Floor (30th Floor as per Builder) ( Part Refuge Area)</t>
  </si>
  <si>
    <t>sheet no. 52/58</t>
  </si>
  <si>
    <t>sheet no. 51/58</t>
  </si>
  <si>
    <t xml:space="preserve">30th Floor (31st Floor as per Builder) </t>
  </si>
  <si>
    <t>sheet no. 53/58</t>
  </si>
  <si>
    <t>U</t>
  </si>
  <si>
    <t>29th Floor (30th Floor as per Builder)</t>
  </si>
  <si>
    <t>30th Floor (31st Floor as per Builder)</t>
  </si>
  <si>
    <t>31st Floor (32nd Floor as per Builder)</t>
  </si>
  <si>
    <t>sheet No, 45/58</t>
  </si>
  <si>
    <t xml:space="preserve">31st Floor (32nd Floor as per Builder) </t>
  </si>
  <si>
    <t>Shop No. 13 missing &amp; 19 merged with 18 no.</t>
  </si>
  <si>
    <t>As per RERA - 29/06/2028</t>
  </si>
  <si>
    <t>As per Approved floor plan Shop, Clinic &amp; Office No. 13 is not mentioned &amp; Shop No. 1 on 30th &amp; 31st Floor of  Wing S1 is merged, Shop No. 18 is merged on 1st &amp; 2nd Floor of Wing S2.</t>
  </si>
  <si>
    <t>Wing S1(A Wing) &amp; S2(B Wing) = 4B + Gr + 1st to 2nd + P3 to P11 + 12th  to 31st Floor</t>
  </si>
  <si>
    <t>Fitness Centre</t>
  </si>
  <si>
    <t>13th Floor (14th Floor as per Builder) For Commercial</t>
  </si>
  <si>
    <t>14th Floor (15th Floor as per Builder)</t>
  </si>
  <si>
    <t>13th Floor (14th Floor as per Builder)</t>
  </si>
  <si>
    <t>23rd Floor (24th Floor as per Builder)</t>
  </si>
  <si>
    <t>25th Floor (26th Floor as per Builder)</t>
  </si>
  <si>
    <t>We have updated revised approved CC for Wing S1 &amp; S2 on 18/05/2024</t>
  </si>
  <si>
    <t>Please provide revised approved CC.</t>
  </si>
  <si>
    <t>Total Office</t>
  </si>
  <si>
    <t>Total Shops</t>
  </si>
  <si>
    <t>Shops - 67, Clinic - 51, Offices - 724</t>
  </si>
  <si>
    <t>Wing S1 &amp; S2 = Construction work is in  process at the time of Visit. Internal Photographs was not allowed.
Wing S2 = Construction work is same as last visit dtd. 19/08/2025. Internal Photographs was not allowed. (Slow  Speed).</t>
  </si>
  <si>
    <t>We have updated revised Approved Plans for Wing S1 &amp; S2 (On 30/09/2025)</t>
  </si>
  <si>
    <t>Wing S1(A Wing) &amp; S2(B Wing) = 4B + Gr + 1st to 2nd + P3 to P11 + 12th to 33rd Floor</t>
  </si>
  <si>
    <t>Wing S1(A Wing) = 4B + Gr + 1st to 2nd + P3 to P11 + 12th to 33rd Floor</t>
  </si>
  <si>
    <t>Wing S2 (B Wing) = 4B + Gr + 1st to 2nd + P3 to P11 + 12th to 33rd Floor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</si>
</sst>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_(* #,##0.00_);_(* \(#,##0.00\);_(* &quot;-&quot;??_);_(@_)"/>
    <numFmt numFmtId="165" formatCode="0.0"/>
    <numFmt numFmtId="166" formatCode="_(* #,##0_);_(* \(#,##0\);_(* &quot;-&quot;??_);_(@_)"/>
    <numFmt numFmtId="167" formatCode="_ * #,##0_ ;_ * \-#,##0_ ;_ * &quot;-&quot;??_ ;_ @_ "/>
  </numFmts>
  <fonts count="28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  <font>
      <b/>
      <sz val="12"/>
      <color rgb="FFFF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1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4" fontId="5" fillId="0" borderId="0" applyFont="0" applyFill="0" applyBorder="0" applyAlignment="0" applyProtection="0"/>
    <xf numFmtId="0" fontId="20" fillId="0" borderId="0"/>
    <xf numFmtId="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0" borderId="0" applyNumberFormat="0" applyFill="0" applyBorder="0" applyAlignment="0" applyProtection="0"/>
  </cellStyleXfs>
  <cellXfs count="254">
    <xf numFmtId="0" fontId="0" fillId="0" borderId="0" xfId="0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19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8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9" fontId="8" fillId="0" borderId="15" xfId="8" applyFont="1" applyFill="1" applyBorder="1" applyAlignment="1" applyProtection="1">
      <alignment horizontal="center" vertical="top" wrapText="1"/>
      <protection locked="0"/>
    </xf>
    <xf numFmtId="0" fontId="17" fillId="0" borderId="0" xfId="0" applyFont="1" applyProtection="1">
      <protection hidden="1"/>
    </xf>
    <xf numFmtId="0" fontId="17" fillId="0" borderId="10" xfId="0" applyFont="1" applyBorder="1" applyProtection="1">
      <protection hidden="1"/>
    </xf>
    <xf numFmtId="0" fontId="12" fillId="0" borderId="3" xfId="1" applyFont="1" applyBorder="1" applyAlignment="1" applyProtection="1">
      <alignment horizontal="center" vertical="top"/>
      <protection locked="0"/>
    </xf>
    <xf numFmtId="0" fontId="12" fillId="0" borderId="4" xfId="1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vertical="top" wrapText="1"/>
      <protection locked="0"/>
    </xf>
    <xf numFmtId="9" fontId="7" fillId="0" borderId="1" xfId="8" applyFont="1" applyFill="1" applyBorder="1" applyAlignment="1" applyProtection="1">
      <alignment horizontal="center" vertical="top" wrapText="1"/>
      <protection locked="0"/>
    </xf>
    <xf numFmtId="9" fontId="7" fillId="0" borderId="6" xfId="8" applyFont="1" applyFill="1" applyBorder="1" applyAlignment="1" applyProtection="1">
      <alignment horizontal="center" vertical="top" wrapText="1"/>
      <protection locked="0"/>
    </xf>
    <xf numFmtId="0" fontId="7" fillId="0" borderId="0" xfId="1" applyFont="1"/>
    <xf numFmtId="0" fontId="15" fillId="0" borderId="0" xfId="1" applyFont="1"/>
    <xf numFmtId="0" fontId="12" fillId="0" borderId="0" xfId="1" applyFont="1"/>
    <xf numFmtId="1" fontId="7" fillId="0" borderId="0" xfId="1" applyNumberFormat="1" applyFont="1"/>
    <xf numFmtId="14" fontId="7" fillId="0" borderId="0" xfId="1" applyNumberFormat="1" applyFont="1"/>
    <xf numFmtId="0" fontId="7" fillId="0" borderId="0" xfId="1" applyFont="1" applyProtection="1">
      <protection hidden="1"/>
    </xf>
    <xf numFmtId="0" fontId="23" fillId="0" borderId="0" xfId="1" applyFont="1"/>
    <xf numFmtId="0" fontId="7" fillId="0" borderId="9" xfId="1" applyFont="1" applyBorder="1"/>
    <xf numFmtId="0" fontId="17" fillId="0" borderId="9" xfId="0" applyFont="1" applyBorder="1" applyProtection="1">
      <protection hidden="1"/>
    </xf>
    <xf numFmtId="1" fontId="0" fillId="0" borderId="9" xfId="0" applyNumberFormat="1" applyBorder="1"/>
    <xf numFmtId="1" fontId="0" fillId="0" borderId="9" xfId="0" applyNumberFormat="1" applyBorder="1" applyAlignment="1">
      <alignment horizontal="right"/>
    </xf>
    <xf numFmtId="1" fontId="0" fillId="0" borderId="11" xfId="0" applyNumberFormat="1" applyBorder="1"/>
    <xf numFmtId="0" fontId="16" fillId="0" borderId="0" xfId="1" applyFont="1"/>
    <xf numFmtId="0" fontId="6" fillId="0" borderId="0" xfId="2" applyFont="1"/>
    <xf numFmtId="0" fontId="7" fillId="0" borderId="0" xfId="0" applyFont="1" applyAlignment="1">
      <alignment horizontal="center" vertical="center"/>
    </xf>
    <xf numFmtId="1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1" fontId="8" fillId="0" borderId="2" xfId="1" applyNumberFormat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7" fillId="0" borderId="6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24" fillId="2" borderId="29" xfId="0" applyFont="1" applyFill="1" applyBorder="1"/>
    <xf numFmtId="0" fontId="25" fillId="0" borderId="30" xfId="0" applyFont="1" applyBorder="1"/>
    <xf numFmtId="0" fontId="25" fillId="0" borderId="1" xfId="0" applyFont="1" applyBorder="1"/>
    <xf numFmtId="0" fontId="25" fillId="0" borderId="4" xfId="0" applyFont="1" applyBorder="1"/>
    <xf numFmtId="0" fontId="12" fillId="0" borderId="1" xfId="1" applyFont="1" applyBorder="1" applyAlignment="1" applyProtection="1">
      <alignment horizontal="center" vertical="top"/>
      <protection locked="0"/>
    </xf>
    <xf numFmtId="1" fontId="7" fillId="0" borderId="1" xfId="1" applyNumberFormat="1" applyFont="1" applyBorder="1" applyAlignment="1">
      <alignment horizontal="center" vertical="center"/>
    </xf>
    <xf numFmtId="167" fontId="7" fillId="0" borderId="0" xfId="9" applyNumberFormat="1" applyFont="1"/>
    <xf numFmtId="0" fontId="7" fillId="0" borderId="0" xfId="1" applyFont="1" applyAlignment="1">
      <alignment horizontal="right"/>
    </xf>
    <xf numFmtId="167" fontId="6" fillId="0" borderId="0" xfId="9" applyNumberFormat="1" applyFont="1"/>
    <xf numFmtId="1" fontId="7" fillId="0" borderId="1" xfId="1" applyNumberFormat="1" applyFont="1" applyBorder="1" applyAlignment="1" applyProtection="1">
      <alignment horizontal="center" vertical="top" wrapText="1"/>
      <protection locked="0"/>
    </xf>
    <xf numFmtId="0" fontId="7" fillId="0" borderId="0" xfId="1" applyFont="1" applyAlignment="1">
      <alignment vertical="center"/>
    </xf>
    <xf numFmtId="1" fontId="7" fillId="0" borderId="0" xfId="0" applyNumberFormat="1" applyFont="1" applyAlignment="1">
      <alignment horizontal="center" vertical="center"/>
    </xf>
    <xf numFmtId="0" fontId="26" fillId="0" borderId="0" xfId="10"/>
    <xf numFmtId="0" fontId="15" fillId="0" borderId="0" xfId="1" applyFont="1" applyAlignment="1">
      <alignment horizontal="center" vertical="center"/>
    </xf>
    <xf numFmtId="1" fontId="12" fillId="0" borderId="0" xfId="1" applyNumberFormat="1" applyFont="1" applyAlignment="1">
      <alignment horizontal="center" vertical="center"/>
    </xf>
    <xf numFmtId="1" fontId="15" fillId="0" borderId="1" xfId="1" applyNumberFormat="1" applyFont="1" applyBorder="1" applyAlignment="1">
      <alignment horizontal="center" vertical="center"/>
    </xf>
    <xf numFmtId="1" fontId="15" fillId="0" borderId="0" xfId="1" applyNumberFormat="1" applyFont="1" applyAlignment="1">
      <alignment horizontal="center" vertical="center"/>
    </xf>
    <xf numFmtId="1" fontId="6" fillId="0" borderId="0" xfId="1" applyNumberFormat="1" applyFont="1" applyAlignment="1" applyProtection="1">
      <alignment vertical="center" wrapText="1"/>
      <protection locked="0"/>
    </xf>
    <xf numFmtId="1" fontId="15" fillId="0" borderId="0" xfId="1" applyNumberFormat="1" applyFont="1" applyAlignment="1" applyProtection="1">
      <alignment vertical="center" wrapText="1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1" fontId="12" fillId="0" borderId="1" xfId="1" applyNumberFormat="1" applyFont="1" applyBorder="1" applyAlignment="1" applyProtection="1">
      <alignment horizontal="center" vertical="top" wrapText="1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6" fillId="0" borderId="25" xfId="1" applyNumberFormat="1" applyFont="1" applyBorder="1" applyAlignment="1" applyProtection="1">
      <alignment horizontal="center" vertical="center" wrapText="1"/>
      <protection locked="0"/>
    </xf>
    <xf numFmtId="1" fontId="7" fillId="0" borderId="1" xfId="1" applyNumberFormat="1" applyFont="1" applyBorder="1" applyAlignment="1" applyProtection="1">
      <alignment horizontal="center" vertical="center" wrapText="1"/>
      <protection locked="0"/>
    </xf>
    <xf numFmtId="1" fontId="6" fillId="0" borderId="15" xfId="1" applyNumberFormat="1" applyFont="1" applyBorder="1" applyAlignment="1" applyProtection="1">
      <alignment horizontal="center" vertical="center" wrapText="1"/>
      <protection locked="0"/>
    </xf>
    <xf numFmtId="1" fontId="7" fillId="0" borderId="15" xfId="1" applyNumberFormat="1" applyFont="1" applyBorder="1" applyAlignment="1">
      <alignment horizontal="center" vertical="center"/>
    </xf>
    <xf numFmtId="1" fontId="6" fillId="0" borderId="0" xfId="1" applyNumberFormat="1" applyFont="1" applyAlignment="1" applyProtection="1">
      <alignment horizontal="center" vertical="center" wrapText="1"/>
      <protection locked="0"/>
    </xf>
    <xf numFmtId="1" fontId="8" fillId="0" borderId="2" xfId="0" applyNumberFormat="1" applyFont="1" applyBorder="1" applyAlignment="1" applyProtection="1">
      <alignment horizontal="center" vertical="center" wrapText="1"/>
      <protection locked="0"/>
    </xf>
    <xf numFmtId="1" fontId="10" fillId="0" borderId="2" xfId="0" applyNumberFormat="1" applyFont="1" applyBorder="1" applyAlignment="1" applyProtection="1">
      <alignment horizontal="center" vertical="center"/>
      <protection locked="0"/>
    </xf>
    <xf numFmtId="0" fontId="10" fillId="0" borderId="2" xfId="0" applyFont="1" applyBorder="1" applyAlignment="1" applyProtection="1">
      <alignment horizontal="center" vertical="center"/>
      <protection locked="0"/>
    </xf>
    <xf numFmtId="0" fontId="7" fillId="0" borderId="0" xfId="1" applyFont="1" applyAlignment="1">
      <alignment horizontal="center" vertical="center"/>
    </xf>
    <xf numFmtId="1" fontId="6" fillId="0" borderId="7" xfId="1" applyNumberFormat="1" applyFont="1" applyBorder="1" applyAlignment="1" applyProtection="1">
      <alignment horizontal="center" vertical="center" wrapText="1"/>
      <protection locked="0"/>
    </xf>
    <xf numFmtId="1" fontId="6" fillId="0" borderId="8" xfId="1" applyNumberFormat="1" applyFont="1" applyBorder="1" applyAlignment="1" applyProtection="1">
      <alignment horizontal="center" vertical="center" wrapText="1"/>
      <protection locked="0"/>
    </xf>
    <xf numFmtId="1" fontId="13" fillId="0" borderId="7" xfId="0" applyNumberFormat="1" applyFont="1" applyBorder="1" applyAlignment="1" applyProtection="1">
      <alignment vertical="top" wrapText="1"/>
      <protection locked="0"/>
    </xf>
    <xf numFmtId="1" fontId="13" fillId="0" borderId="20" xfId="0" applyNumberFormat="1" applyFont="1" applyBorder="1" applyAlignment="1" applyProtection="1">
      <alignment vertical="top" wrapText="1"/>
      <protection locked="0"/>
    </xf>
    <xf numFmtId="1" fontId="13" fillId="0" borderId="8" xfId="0" applyNumberFormat="1" applyFont="1" applyBorder="1" applyAlignment="1" applyProtection="1">
      <alignment vertical="top" wrapText="1"/>
      <protection locked="0"/>
    </xf>
    <xf numFmtId="1" fontId="10" fillId="0" borderId="7" xfId="1" applyNumberFormat="1" applyFont="1" applyBorder="1" applyAlignment="1" applyProtection="1">
      <alignment horizontal="center" vertical="center" wrapText="1"/>
      <protection locked="0"/>
    </xf>
    <xf numFmtId="1" fontId="10" fillId="0" borderId="20" xfId="1" applyNumberFormat="1" applyFont="1" applyBorder="1" applyAlignment="1" applyProtection="1">
      <alignment horizontal="center" vertical="center" wrapText="1"/>
      <protection locked="0"/>
    </xf>
    <xf numFmtId="1" fontId="10" fillId="0" borderId="8" xfId="1" applyNumberFormat="1" applyFont="1" applyBorder="1" applyAlignment="1" applyProtection="1">
      <alignment horizontal="center" vertical="center" wrapText="1"/>
      <protection locked="0"/>
    </xf>
    <xf numFmtId="1" fontId="6" fillId="0" borderId="24" xfId="1" applyNumberFormat="1" applyFont="1" applyBorder="1" applyAlignment="1" applyProtection="1">
      <alignment horizontal="center" vertical="center" wrapText="1"/>
      <protection locked="0"/>
    </xf>
    <xf numFmtId="1" fontId="6" fillId="0" borderId="25" xfId="1" applyNumberFormat="1" applyFont="1" applyBorder="1" applyAlignment="1" applyProtection="1">
      <alignment horizontal="center" vertical="center" wrapText="1"/>
      <protection locked="0"/>
    </xf>
    <xf numFmtId="1" fontId="13" fillId="0" borderId="7" xfId="1" applyNumberFormat="1" applyFont="1" applyBorder="1" applyAlignment="1" applyProtection="1">
      <alignment horizontal="center" vertical="center" wrapText="1"/>
      <protection locked="0"/>
    </xf>
    <xf numFmtId="1" fontId="13" fillId="0" borderId="20" xfId="1" applyNumberFormat="1" applyFont="1" applyBorder="1" applyAlignment="1" applyProtection="1">
      <alignment horizontal="center" vertical="center" wrapText="1"/>
      <protection locked="0"/>
    </xf>
    <xf numFmtId="1" fontId="13" fillId="0" borderId="8" xfId="1" applyNumberFormat="1" applyFont="1" applyBorder="1" applyAlignment="1" applyProtection="1">
      <alignment horizontal="center" vertical="center" wrapText="1"/>
      <protection locked="0"/>
    </xf>
    <xf numFmtId="1" fontId="6" fillId="0" borderId="16" xfId="1" applyNumberFormat="1" applyFont="1" applyBorder="1" applyAlignment="1" applyProtection="1">
      <alignment horizontal="center" vertical="center" wrapText="1"/>
      <protection locked="0"/>
    </xf>
    <xf numFmtId="1" fontId="6" fillId="0" borderId="17" xfId="1" applyNumberFormat="1" applyFont="1" applyBorder="1" applyAlignment="1" applyProtection="1">
      <alignment horizontal="center" vertical="center" wrapText="1"/>
      <protection locked="0"/>
    </xf>
    <xf numFmtId="1" fontId="6" fillId="0" borderId="20" xfId="1" applyNumberFormat="1" applyFont="1" applyBorder="1" applyAlignment="1" applyProtection="1">
      <alignment horizontal="center" vertical="center" wrapText="1"/>
      <protection locked="0"/>
    </xf>
    <xf numFmtId="1" fontId="12" fillId="0" borderId="1" xfId="1" applyNumberFormat="1" applyFont="1" applyBorder="1" applyAlignment="1" applyProtection="1">
      <alignment horizontal="center" vertical="center" wrapText="1"/>
      <protection locked="0"/>
    </xf>
    <xf numFmtId="1" fontId="13" fillId="0" borderId="16" xfId="1" applyNumberFormat="1" applyFont="1" applyBorder="1" applyAlignment="1" applyProtection="1">
      <alignment horizontal="center" vertical="center" wrapText="1"/>
      <protection locked="0"/>
    </xf>
    <xf numFmtId="1" fontId="13" fillId="0" borderId="17" xfId="1" applyNumberFormat="1" applyFont="1" applyBorder="1" applyAlignment="1" applyProtection="1">
      <alignment horizontal="center" vertical="center" wrapText="1"/>
      <protection locked="0"/>
    </xf>
    <xf numFmtId="1" fontId="13" fillId="0" borderId="24" xfId="1" applyNumberFormat="1" applyFont="1" applyBorder="1" applyAlignment="1" applyProtection="1">
      <alignment horizontal="center" vertical="center" wrapText="1"/>
      <protection locked="0"/>
    </xf>
    <xf numFmtId="1" fontId="13" fillId="0" borderId="25" xfId="1" applyNumberFormat="1" applyFont="1" applyBorder="1" applyAlignment="1" applyProtection="1">
      <alignment horizontal="center" vertical="center" wrapText="1"/>
      <protection locked="0"/>
    </xf>
    <xf numFmtId="1" fontId="13" fillId="0" borderId="18" xfId="1" applyNumberFormat="1" applyFont="1" applyBorder="1" applyAlignment="1" applyProtection="1">
      <alignment horizontal="center" vertical="center" wrapText="1"/>
      <protection locked="0"/>
    </xf>
    <xf numFmtId="1" fontId="13" fillId="0" borderId="19" xfId="1" applyNumberFormat="1" applyFont="1" applyBorder="1" applyAlignment="1" applyProtection="1">
      <alignment horizontal="center" vertical="center" wrapText="1"/>
      <protection locked="0"/>
    </xf>
    <xf numFmtId="1" fontId="6" fillId="0" borderId="18" xfId="1" applyNumberFormat="1" applyFont="1" applyBorder="1" applyAlignment="1" applyProtection="1">
      <alignment horizontal="center" vertical="center" wrapText="1"/>
      <protection locked="0"/>
    </xf>
    <xf numFmtId="1" fontId="6" fillId="0" borderId="19" xfId="1" applyNumberFormat="1" applyFont="1" applyBorder="1" applyAlignment="1" applyProtection="1">
      <alignment horizontal="center" vertical="center" wrapText="1"/>
      <protection locked="0"/>
    </xf>
    <xf numFmtId="1" fontId="12" fillId="0" borderId="7" xfId="1" applyNumberFormat="1" applyFont="1" applyBorder="1" applyAlignment="1" applyProtection="1">
      <alignment horizontal="center" vertical="center" wrapText="1"/>
      <protection locked="0"/>
    </xf>
    <xf numFmtId="1" fontId="12" fillId="0" borderId="20" xfId="1" applyNumberFormat="1" applyFont="1" applyBorder="1" applyAlignment="1" applyProtection="1">
      <alignment horizontal="center" vertical="center" wrapText="1"/>
      <protection locked="0"/>
    </xf>
    <xf numFmtId="1" fontId="12" fillId="0" borderId="8" xfId="1" applyNumberFormat="1" applyFont="1" applyBorder="1" applyAlignment="1" applyProtection="1">
      <alignment horizontal="center" vertical="center" wrapText="1"/>
      <protection locked="0"/>
    </xf>
    <xf numFmtId="1" fontId="13" fillId="0" borderId="1" xfId="1" applyNumberFormat="1" applyFont="1" applyBorder="1" applyAlignment="1" applyProtection="1">
      <alignment horizontal="center" vertical="center" wrapText="1"/>
      <protection locked="0"/>
    </xf>
    <xf numFmtId="0" fontId="15" fillId="0" borderId="0" xfId="1" applyFont="1" applyAlignment="1">
      <alignment horizontal="center" vertical="center"/>
    </xf>
    <xf numFmtId="0" fontId="12" fillId="0" borderId="1" xfId="1" applyFont="1" applyBorder="1" applyAlignment="1" applyProtection="1">
      <alignment horizontal="left" vertical="top"/>
      <protection locked="0"/>
    </xf>
    <xf numFmtId="1" fontId="8" fillId="3" borderId="7" xfId="0" applyNumberFormat="1" applyFont="1" applyFill="1" applyBorder="1" applyAlignment="1" applyProtection="1">
      <alignment horizontal="center" vertical="center" wrapText="1"/>
      <protection locked="0"/>
    </xf>
    <xf numFmtId="1" fontId="8" fillId="3" borderId="20" xfId="0" applyNumberFormat="1" applyFont="1" applyFill="1" applyBorder="1" applyAlignment="1" applyProtection="1">
      <alignment horizontal="center" vertical="center" wrapText="1"/>
      <protection locked="0"/>
    </xf>
    <xf numFmtId="1" fontId="8" fillId="3" borderId="8" xfId="0" applyNumberFormat="1" applyFont="1" applyFill="1" applyBorder="1" applyAlignment="1" applyProtection="1">
      <alignment horizontal="center" vertical="center" wrapText="1"/>
      <protection locked="0"/>
    </xf>
    <xf numFmtId="1" fontId="27" fillId="0" borderId="7" xfId="0" applyNumberFormat="1" applyFont="1" applyBorder="1" applyAlignment="1" applyProtection="1">
      <alignment vertical="top" wrapText="1"/>
      <protection locked="0"/>
    </xf>
    <xf numFmtId="1" fontId="27" fillId="0" borderId="20" xfId="0" applyNumberFormat="1" applyFont="1" applyBorder="1" applyAlignment="1" applyProtection="1">
      <alignment vertical="top" wrapText="1"/>
      <protection locked="0"/>
    </xf>
    <xf numFmtId="1" fontId="27" fillId="0" borderId="8" xfId="0" applyNumberFormat="1" applyFont="1" applyBorder="1" applyAlignment="1" applyProtection="1">
      <alignment vertical="top" wrapText="1"/>
      <protection locked="0"/>
    </xf>
    <xf numFmtId="0" fontId="7" fillId="0" borderId="5" xfId="1" applyFont="1" applyBorder="1" applyAlignment="1" applyProtection="1">
      <alignment horizontal="center" vertical="top" wrapText="1"/>
      <protection locked="0"/>
    </xf>
    <xf numFmtId="0" fontId="7" fillId="0" borderId="6" xfId="1" applyFont="1" applyBorder="1" applyAlignment="1" applyProtection="1">
      <alignment horizontal="center" vertical="top" wrapText="1"/>
      <protection locked="0"/>
    </xf>
    <xf numFmtId="1" fontId="8" fillId="5" borderId="7" xfId="1" applyNumberFormat="1" applyFont="1" applyFill="1" applyBorder="1" applyAlignment="1" applyProtection="1">
      <alignment horizontal="center" vertical="top" wrapText="1"/>
      <protection locked="0"/>
    </xf>
    <xf numFmtId="1" fontId="8" fillId="5" borderId="20" xfId="1" applyNumberFormat="1" applyFont="1" applyFill="1" applyBorder="1" applyAlignment="1" applyProtection="1">
      <alignment horizontal="center" vertical="top" wrapText="1"/>
      <protection locked="0"/>
    </xf>
    <xf numFmtId="1" fontId="8" fillId="5" borderId="8" xfId="1" applyNumberFormat="1" applyFont="1" applyFill="1" applyBorder="1" applyAlignment="1" applyProtection="1">
      <alignment horizontal="center" vertical="top" wrapText="1"/>
      <protection locked="0"/>
    </xf>
    <xf numFmtId="1" fontId="8" fillId="3" borderId="7" xfId="1" applyNumberFormat="1" applyFont="1" applyFill="1" applyBorder="1" applyAlignment="1" applyProtection="1">
      <alignment horizontal="center" vertical="top" wrapText="1"/>
      <protection locked="0"/>
    </xf>
    <xf numFmtId="1" fontId="8" fillId="3" borderId="20" xfId="1" applyNumberFormat="1" applyFont="1" applyFill="1" applyBorder="1" applyAlignment="1" applyProtection="1">
      <alignment horizontal="center" vertical="top" wrapText="1"/>
      <protection locked="0"/>
    </xf>
    <xf numFmtId="1" fontId="8" fillId="3" borderId="8" xfId="1" applyNumberFormat="1" applyFont="1" applyFill="1" applyBorder="1" applyAlignment="1" applyProtection="1">
      <alignment horizontal="center" vertical="top" wrapText="1"/>
      <protection locked="0"/>
    </xf>
    <xf numFmtId="1" fontId="10" fillId="0" borderId="1" xfId="0" applyNumberFormat="1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1" fontId="10" fillId="0" borderId="1" xfId="0" applyNumberFormat="1" applyFont="1" applyBorder="1" applyAlignment="1" applyProtection="1">
      <alignment horizontal="center" vertical="top" wrapText="1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1" fontId="7" fillId="0" borderId="1" xfId="0" applyNumberFormat="1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1" fontId="4" fillId="0" borderId="2" xfId="1" applyNumberFormat="1" applyFont="1" applyBorder="1" applyAlignment="1" applyProtection="1">
      <alignment horizontal="center" vertical="top" wrapText="1"/>
      <protection locked="0"/>
    </xf>
    <xf numFmtId="1" fontId="4" fillId="0" borderId="15" xfId="1" applyNumberFormat="1" applyFont="1" applyBorder="1" applyAlignment="1" applyProtection="1">
      <alignment horizontal="center" vertical="top" wrapText="1"/>
      <protection locked="0"/>
    </xf>
    <xf numFmtId="1" fontId="6" fillId="0" borderId="1" xfId="0" applyNumberFormat="1" applyFont="1" applyBorder="1" applyAlignment="1" applyProtection="1">
      <alignment horizontal="center" vertical="top" wrapText="1"/>
      <protection locked="0"/>
    </xf>
    <xf numFmtId="167" fontId="12" fillId="0" borderId="1" xfId="9" applyNumberFormat="1" applyFont="1" applyFill="1" applyBorder="1" applyAlignment="1" applyProtection="1">
      <alignment horizontal="left" vertical="top"/>
      <protection locked="0"/>
    </xf>
    <xf numFmtId="1" fontId="8" fillId="0" borderId="2" xfId="1" applyNumberFormat="1" applyFont="1" applyBorder="1" applyAlignment="1" applyProtection="1">
      <alignment horizontal="center" vertical="top" wrapText="1"/>
      <protection locked="0"/>
    </xf>
    <xf numFmtId="1" fontId="8" fillId="0" borderId="15" xfId="1" applyNumberFormat="1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1" fontId="7" fillId="0" borderId="7" xfId="0" applyNumberFormat="1" applyFont="1" applyBorder="1" applyAlignment="1" applyProtection="1">
      <alignment horizontal="center" vertical="center"/>
      <protection locked="0"/>
    </xf>
    <xf numFmtId="1" fontId="7" fillId="0" borderId="8" xfId="0" applyNumberFormat="1" applyFont="1" applyBorder="1" applyAlignment="1" applyProtection="1">
      <alignment horizontal="center" vertical="center"/>
      <protection locked="0"/>
    </xf>
    <xf numFmtId="1" fontId="7" fillId="0" borderId="7" xfId="0" applyNumberFormat="1" applyFont="1" applyBorder="1" applyAlignment="1" applyProtection="1">
      <alignment horizontal="center" vertical="top" wrapText="1"/>
      <protection locked="0"/>
    </xf>
    <xf numFmtId="1" fontId="7" fillId="0" borderId="8" xfId="0" applyNumberFormat="1" applyFont="1" applyBorder="1" applyAlignment="1" applyProtection="1">
      <alignment horizontal="center" vertical="top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1" fontId="12" fillId="0" borderId="1" xfId="0" applyNumberFormat="1" applyFont="1" applyBorder="1" applyAlignment="1" applyProtection="1">
      <alignment horizontal="center" vertical="center" wrapText="1"/>
      <protection locked="0"/>
    </xf>
    <xf numFmtId="1" fontId="8" fillId="0" borderId="32" xfId="0" applyNumberFormat="1" applyFont="1" applyBorder="1" applyAlignment="1" applyProtection="1">
      <alignment horizontal="center" vertical="center" wrapText="1"/>
      <protection locked="0"/>
    </xf>
    <xf numFmtId="1" fontId="8" fillId="0" borderId="33" xfId="0" applyNumberFormat="1" applyFont="1" applyBorder="1" applyAlignment="1" applyProtection="1">
      <alignment horizontal="center" vertical="center" wrapText="1"/>
      <protection locked="0"/>
    </xf>
    <xf numFmtId="1" fontId="10" fillId="0" borderId="33" xfId="0" applyNumberFormat="1" applyFont="1" applyBorder="1" applyAlignment="1" applyProtection="1">
      <alignment horizontal="center" vertical="center"/>
      <protection locked="0"/>
    </xf>
    <xf numFmtId="0" fontId="10" fillId="0" borderId="33" xfId="0" applyFont="1" applyBorder="1" applyAlignment="1" applyProtection="1">
      <alignment horizontal="center" vertical="center"/>
      <protection locked="0"/>
    </xf>
    <xf numFmtId="0" fontId="7" fillId="0" borderId="7" xfId="1" applyFont="1" applyBorder="1" applyAlignment="1" applyProtection="1">
      <alignment horizontal="left"/>
      <protection locked="0"/>
    </xf>
    <xf numFmtId="0" fontId="7" fillId="0" borderId="20" xfId="1" applyFont="1" applyBorder="1" applyAlignment="1" applyProtection="1">
      <alignment horizontal="left"/>
      <protection locked="0"/>
    </xf>
    <xf numFmtId="0" fontId="7" fillId="0" borderId="8" xfId="1" applyFont="1" applyBorder="1" applyAlignment="1" applyProtection="1">
      <alignment horizontal="left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1" fontId="8" fillId="0" borderId="7" xfId="1" applyNumberFormat="1" applyFont="1" applyBorder="1" applyAlignment="1" applyProtection="1">
      <alignment horizontal="center" vertical="center" wrapText="1"/>
      <protection locked="0"/>
    </xf>
    <xf numFmtId="1" fontId="8" fillId="0" borderId="20" xfId="1" applyNumberFormat="1" applyFont="1" applyBorder="1" applyAlignment="1" applyProtection="1">
      <alignment horizontal="center" vertical="center" wrapText="1"/>
      <protection locked="0"/>
    </xf>
    <xf numFmtId="1" fontId="8" fillId="0" borderId="8" xfId="1" applyNumberFormat="1" applyFont="1" applyBorder="1" applyAlignment="1" applyProtection="1">
      <alignment horizontal="center" vertical="center" wrapText="1"/>
      <protection locked="0"/>
    </xf>
    <xf numFmtId="0" fontId="8" fillId="0" borderId="15" xfId="1" applyFont="1" applyBorder="1" applyAlignment="1" applyProtection="1">
      <alignment horizontal="left" vertical="top"/>
      <protection locked="0"/>
    </xf>
    <xf numFmtId="0" fontId="6" fillId="0" borderId="7" xfId="1" applyFont="1" applyBorder="1" applyAlignment="1" applyProtection="1">
      <alignment horizontal="left" vertical="top" wrapText="1"/>
      <protection locked="0"/>
    </xf>
    <xf numFmtId="0" fontId="6" fillId="0" borderId="20" xfId="1" applyFont="1" applyBorder="1" applyAlignment="1" applyProtection="1">
      <alignment horizontal="left" vertical="top" wrapText="1"/>
      <protection locked="0"/>
    </xf>
    <xf numFmtId="0" fontId="6" fillId="0" borderId="8" xfId="1" applyFont="1" applyBorder="1" applyAlignment="1" applyProtection="1">
      <alignment horizontal="left" vertical="top" wrapText="1"/>
      <protection locked="0"/>
    </xf>
    <xf numFmtId="14" fontId="6" fillId="0" borderId="7" xfId="1" applyNumberFormat="1" applyFont="1" applyBorder="1" applyAlignment="1" applyProtection="1">
      <alignment horizontal="left" vertical="top" wrapText="1"/>
      <protection locked="0"/>
    </xf>
    <xf numFmtId="0" fontId="12" fillId="0" borderId="2" xfId="1" applyFont="1" applyBorder="1" applyAlignment="1" applyProtection="1">
      <alignment horizontal="left" vertical="top" wrapText="1"/>
      <protection locked="0"/>
    </xf>
    <xf numFmtId="0" fontId="12" fillId="0" borderId="2" xfId="1" applyFont="1" applyBorder="1" applyAlignment="1" applyProtection="1">
      <alignment horizontal="left" vertical="top"/>
      <protection locked="0"/>
    </xf>
    <xf numFmtId="1" fontId="8" fillId="4" borderId="7" xfId="1" applyNumberFormat="1" applyFont="1" applyFill="1" applyBorder="1" applyAlignment="1" applyProtection="1">
      <alignment horizontal="center" vertical="center" wrapText="1"/>
      <protection locked="0"/>
    </xf>
    <xf numFmtId="1" fontId="8" fillId="4" borderId="20" xfId="1" applyNumberFormat="1" applyFont="1" applyFill="1" applyBorder="1" applyAlignment="1" applyProtection="1">
      <alignment horizontal="center" vertical="center" wrapText="1"/>
      <protection locked="0"/>
    </xf>
    <xf numFmtId="1" fontId="8" fillId="4" borderId="8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7" xfId="0" applyNumberFormat="1" applyFont="1" applyBorder="1" applyAlignment="1" applyProtection="1">
      <alignment horizontal="center" vertical="center" wrapText="1"/>
      <protection locked="0"/>
    </xf>
    <xf numFmtId="1" fontId="6" fillId="0" borderId="8" xfId="0" applyNumberFormat="1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top" wrapText="1"/>
      <protection locked="0"/>
    </xf>
    <xf numFmtId="0" fontId="7" fillId="0" borderId="3" xfId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8" fillId="0" borderId="15" xfId="1" applyFont="1" applyBorder="1" applyAlignment="1" applyProtection="1">
      <alignment horizontal="center" vertical="top"/>
      <protection locked="0"/>
    </xf>
    <xf numFmtId="0" fontId="13" fillId="0" borderId="21" xfId="1" applyFont="1" applyBorder="1" applyAlignment="1" applyProtection="1">
      <alignment horizontal="left" vertical="top" wrapText="1"/>
      <protection locked="0"/>
    </xf>
    <xf numFmtId="0" fontId="13" fillId="0" borderId="14" xfId="1" applyFont="1" applyBorder="1" applyAlignment="1" applyProtection="1">
      <alignment horizontal="left" vertical="top" wrapText="1"/>
      <protection locked="0"/>
    </xf>
    <xf numFmtId="0" fontId="13" fillId="0" borderId="12" xfId="1" applyFont="1" applyBorder="1" applyAlignment="1" applyProtection="1">
      <alignment horizontal="left" vertical="top" wrapText="1"/>
      <protection locked="0"/>
    </xf>
    <xf numFmtId="0" fontId="13" fillId="0" borderId="13" xfId="1" applyFont="1" applyBorder="1" applyAlignment="1" applyProtection="1">
      <alignment horizontal="left" vertical="top" wrapText="1"/>
      <protection locked="0"/>
    </xf>
    <xf numFmtId="0" fontId="13" fillId="0" borderId="22" xfId="1" applyFont="1" applyBorder="1" applyAlignment="1" applyProtection="1">
      <alignment horizontal="left" vertical="top" wrapText="1"/>
      <protection locked="0"/>
    </xf>
    <xf numFmtId="0" fontId="13" fillId="0" borderId="3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0" fontId="13" fillId="0" borderId="4" xfId="1" applyFont="1" applyBorder="1" applyAlignment="1" applyProtection="1">
      <alignment horizontal="left" vertical="top" wrapText="1"/>
      <protection locked="0"/>
    </xf>
    <xf numFmtId="1" fontId="8" fillId="0" borderId="16" xfId="1" applyNumberFormat="1" applyFont="1" applyBorder="1" applyAlignment="1" applyProtection="1">
      <alignment horizontal="center" vertical="top" wrapText="1"/>
      <protection locked="0"/>
    </xf>
    <xf numFmtId="1" fontId="8" fillId="0" borderId="17" xfId="1" applyNumberFormat="1" applyFont="1" applyBorder="1" applyAlignment="1" applyProtection="1">
      <alignment horizontal="center" vertical="top" wrapText="1"/>
      <protection locked="0"/>
    </xf>
    <xf numFmtId="1" fontId="8" fillId="0" borderId="18" xfId="1" applyNumberFormat="1" applyFont="1" applyBorder="1" applyAlignment="1" applyProtection="1">
      <alignment horizontal="center" vertical="top" wrapText="1"/>
      <protection locked="0"/>
    </xf>
    <xf numFmtId="1" fontId="8" fillId="0" borderId="19" xfId="1" applyNumberFormat="1" applyFont="1" applyBorder="1" applyAlignment="1" applyProtection="1">
      <alignment horizontal="center" vertical="top" wrapText="1"/>
      <protection locked="0"/>
    </xf>
    <xf numFmtId="1" fontId="8" fillId="0" borderId="15" xfId="0" applyNumberFormat="1" applyFont="1" applyBorder="1" applyAlignment="1" applyProtection="1">
      <alignment horizontal="center" vertical="center" wrapText="1"/>
      <protection locked="0"/>
    </xf>
    <xf numFmtId="0" fontId="7" fillId="0" borderId="4" xfId="1" applyFont="1" applyBorder="1" applyAlignment="1" applyProtection="1">
      <alignment horizontal="center" vertical="top" wrapText="1"/>
      <protection locked="0"/>
    </xf>
    <xf numFmtId="9" fontId="7" fillId="0" borderId="16" xfId="8" applyFont="1" applyFill="1" applyBorder="1" applyAlignment="1" applyProtection="1">
      <alignment horizontal="center" vertical="center" wrapText="1"/>
      <protection locked="0"/>
    </xf>
    <xf numFmtId="9" fontId="7" fillId="0" borderId="17" xfId="8" applyFont="1" applyFill="1" applyBorder="1" applyAlignment="1" applyProtection="1">
      <alignment horizontal="center" vertical="center" wrapText="1"/>
      <protection locked="0"/>
    </xf>
    <xf numFmtId="9" fontId="7" fillId="0" borderId="24" xfId="8" applyFont="1" applyFill="1" applyBorder="1" applyAlignment="1" applyProtection="1">
      <alignment horizontal="center" vertical="center" wrapText="1"/>
      <protection locked="0"/>
    </xf>
    <xf numFmtId="9" fontId="7" fillId="0" borderId="25" xfId="8" applyFont="1" applyFill="1" applyBorder="1" applyAlignment="1" applyProtection="1">
      <alignment horizontal="center" vertical="center" wrapText="1"/>
      <protection locked="0"/>
    </xf>
    <xf numFmtId="9" fontId="7" fillId="0" borderId="27" xfId="8" applyFont="1" applyFill="1" applyBorder="1" applyAlignment="1" applyProtection="1">
      <alignment horizontal="center" vertical="center" wrapText="1"/>
      <protection locked="0"/>
    </xf>
    <xf numFmtId="9" fontId="7" fillId="0" borderId="28" xfId="8" applyFont="1" applyFill="1" applyBorder="1" applyAlignment="1" applyProtection="1">
      <alignment horizontal="center" vertical="center" wrapText="1"/>
      <protection locked="0"/>
    </xf>
    <xf numFmtId="9" fontId="7" fillId="0" borderId="26" xfId="8" applyFont="1" applyFill="1" applyBorder="1" applyAlignment="1" applyProtection="1">
      <alignment horizontal="center" vertical="center" wrapText="1"/>
      <protection locked="0"/>
    </xf>
    <xf numFmtId="9" fontId="7" fillId="0" borderId="9" xfId="8" applyFont="1" applyFill="1" applyBorder="1" applyAlignment="1" applyProtection="1">
      <alignment horizontal="center" vertical="center" wrapText="1"/>
      <protection locked="0"/>
    </xf>
    <xf numFmtId="9" fontId="7" fillId="0" borderId="11" xfId="8" applyFont="1" applyFill="1" applyBorder="1" applyAlignment="1" applyProtection="1">
      <alignment horizontal="center" vertical="center" wrapText="1"/>
      <protection locked="0"/>
    </xf>
    <xf numFmtId="165" fontId="6" fillId="0" borderId="1" xfId="1" applyNumberFormat="1" applyFont="1" applyBorder="1" applyAlignment="1" applyProtection="1">
      <alignment horizontal="left" vertical="top"/>
      <protection locked="0"/>
    </xf>
    <xf numFmtId="2" fontId="6" fillId="0" borderId="1" xfId="1" applyNumberFormat="1" applyFont="1" applyBorder="1" applyAlignment="1" applyProtection="1">
      <alignment horizontal="left" vertical="top"/>
      <protection locked="0"/>
    </xf>
    <xf numFmtId="0" fontId="6" fillId="0" borderId="15" xfId="1" applyFont="1" applyBorder="1" applyAlignment="1" applyProtection="1">
      <alignment horizontal="left" vertical="top" wrapText="1"/>
      <protection locked="0"/>
    </xf>
    <xf numFmtId="0" fontId="13" fillId="0" borderId="7" xfId="1" applyFont="1" applyBorder="1" applyAlignment="1" applyProtection="1">
      <alignment horizontal="left" vertical="top" wrapText="1"/>
      <protection locked="0"/>
    </xf>
    <xf numFmtId="0" fontId="13" fillId="0" borderId="20" xfId="1" applyFont="1" applyBorder="1" applyAlignment="1" applyProtection="1">
      <alignment horizontal="left" vertical="top"/>
      <protection locked="0"/>
    </xf>
    <xf numFmtId="0" fontId="13" fillId="0" borderId="8" xfId="1" applyFont="1" applyBorder="1" applyAlignment="1" applyProtection="1">
      <alignment horizontal="left" vertical="top"/>
      <protection locked="0"/>
    </xf>
    <xf numFmtId="0" fontId="8" fillId="0" borderId="7" xfId="1" applyFont="1" applyBorder="1" applyAlignment="1" applyProtection="1">
      <alignment horizontal="left" vertical="top" wrapText="1"/>
      <protection locked="0"/>
    </xf>
    <xf numFmtId="0" fontId="8" fillId="0" borderId="20" xfId="1" applyFont="1" applyBorder="1" applyAlignment="1" applyProtection="1">
      <alignment horizontal="left" vertical="top" wrapText="1"/>
      <protection locked="0"/>
    </xf>
    <xf numFmtId="0" fontId="8" fillId="0" borderId="8" xfId="1" applyFont="1" applyBorder="1" applyAlignment="1" applyProtection="1">
      <alignment horizontal="left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1" fontId="6" fillId="0" borderId="1" xfId="1" applyNumberFormat="1" applyFont="1" applyBorder="1" applyAlignment="1" applyProtection="1">
      <alignment horizontal="left" vertical="top" wrapText="1"/>
      <protection locked="0"/>
    </xf>
    <xf numFmtId="0" fontId="8" fillId="0" borderId="7" xfId="1" applyFont="1" applyBorder="1" applyAlignment="1" applyProtection="1">
      <alignment horizontal="left" vertical="top"/>
      <protection locked="0"/>
    </xf>
    <xf numFmtId="0" fontId="8" fillId="0" borderId="8" xfId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2" fontId="6" fillId="0" borderId="1" xfId="1" applyNumberFormat="1" applyFont="1" applyBorder="1" applyAlignment="1" applyProtection="1">
      <alignment horizontal="left" vertical="top" wrapText="1"/>
      <protection locked="0"/>
    </xf>
    <xf numFmtId="0" fontId="26" fillId="0" borderId="1" xfId="10" applyFill="1" applyBorder="1" applyAlignment="1" applyProtection="1">
      <alignment horizontal="left" vertical="top" wrapText="1"/>
      <protection locked="0"/>
    </xf>
    <xf numFmtId="0" fontId="12" fillId="0" borderId="16" xfId="1" applyFont="1" applyBorder="1" applyAlignment="1" applyProtection="1">
      <alignment horizontal="left" vertical="top" wrapText="1"/>
      <protection locked="0"/>
    </xf>
    <xf numFmtId="0" fontId="12" fillId="0" borderId="23" xfId="1" applyFont="1" applyBorder="1" applyAlignment="1" applyProtection="1">
      <alignment horizontal="left" vertical="top" wrapText="1"/>
      <protection locked="0"/>
    </xf>
    <xf numFmtId="0" fontId="12" fillId="0" borderId="17" xfId="1" applyFont="1" applyBorder="1" applyAlignment="1" applyProtection="1">
      <alignment horizontal="left" vertical="top" wrapText="1"/>
      <protection locked="0"/>
    </xf>
    <xf numFmtId="0" fontId="6" fillId="0" borderId="16" xfId="1" applyFont="1" applyBorder="1" applyAlignment="1" applyProtection="1">
      <alignment horizontal="left" vertical="top" wrapText="1"/>
      <protection locked="0"/>
    </xf>
    <xf numFmtId="0" fontId="6" fillId="0" borderId="17" xfId="1" applyFont="1" applyBorder="1" applyAlignment="1" applyProtection="1">
      <alignment horizontal="left" vertical="top" wrapText="1"/>
      <protection locked="0"/>
    </xf>
    <xf numFmtId="0" fontId="6" fillId="0" borderId="18" xfId="1" applyFont="1" applyBorder="1" applyAlignment="1" applyProtection="1">
      <alignment horizontal="left" vertical="top" wrapText="1"/>
      <protection locked="0"/>
    </xf>
    <xf numFmtId="0" fontId="6" fillId="0" borderId="19" xfId="1" applyFont="1" applyBorder="1" applyAlignment="1" applyProtection="1">
      <alignment horizontal="left" vertical="top" wrapText="1"/>
      <protection locked="0"/>
    </xf>
    <xf numFmtId="0" fontId="12" fillId="0" borderId="7" xfId="1" applyFont="1" applyBorder="1" applyAlignment="1" applyProtection="1">
      <alignment horizontal="left" vertical="top" wrapText="1"/>
      <protection locked="0"/>
    </xf>
    <xf numFmtId="0" fontId="12" fillId="0" borderId="20" xfId="1" applyFont="1" applyBorder="1" applyAlignment="1" applyProtection="1">
      <alignment horizontal="left" vertical="top" wrapText="1"/>
      <protection locked="0"/>
    </xf>
    <xf numFmtId="0" fontId="12" fillId="0" borderId="8" xfId="1" applyFont="1" applyBorder="1" applyAlignment="1" applyProtection="1">
      <alignment horizontal="left" vertical="top" wrapText="1"/>
      <protection locked="0"/>
    </xf>
    <xf numFmtId="14" fontId="6" fillId="0" borderId="8" xfId="1" applyNumberFormat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/>
      <protection locked="0"/>
    </xf>
    <xf numFmtId="0" fontId="12" fillId="0" borderId="1" xfId="1" applyFont="1" applyBorder="1" applyAlignment="1" applyProtection="1">
      <alignment horizontal="left" wrapText="1"/>
      <protection locked="0"/>
    </xf>
    <xf numFmtId="0" fontId="12" fillId="0" borderId="1" xfId="1" applyFont="1" applyBorder="1" applyAlignment="1" applyProtection="1">
      <alignment horizontal="left"/>
      <protection locked="0"/>
    </xf>
    <xf numFmtId="14" fontId="7" fillId="0" borderId="1" xfId="1" applyNumberFormat="1" applyFont="1" applyBorder="1" applyAlignment="1" applyProtection="1">
      <alignment horizontal="left" vertical="top"/>
      <protection locked="0"/>
    </xf>
    <xf numFmtId="0" fontId="7" fillId="0" borderId="1" xfId="1" applyFont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vertical="top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0" fontId="6" fillId="0" borderId="2" xfId="1" applyFont="1" applyBorder="1" applyAlignment="1" applyProtection="1">
      <alignment horizontal="left" vertical="top" wrapText="1"/>
      <protection locked="0"/>
    </xf>
    <xf numFmtId="0" fontId="6" fillId="0" borderId="2" xfId="1" applyFont="1" applyBorder="1" applyAlignment="1" applyProtection="1">
      <alignment horizontal="left" vertical="top"/>
      <protection locked="0"/>
    </xf>
    <xf numFmtId="1" fontId="8" fillId="0" borderId="7" xfId="0" applyNumberFormat="1" applyFont="1" applyBorder="1" applyAlignment="1" applyProtection="1">
      <alignment vertical="top" wrapText="1"/>
      <protection locked="0"/>
    </xf>
    <xf numFmtId="1" fontId="8" fillId="0" borderId="20" xfId="0" applyNumberFormat="1" applyFont="1" applyBorder="1" applyAlignment="1" applyProtection="1">
      <alignment vertical="top" wrapText="1"/>
      <protection locked="0"/>
    </xf>
    <xf numFmtId="1" fontId="8" fillId="0" borderId="8" xfId="0" applyNumberFormat="1" applyFont="1" applyBorder="1" applyAlignment="1" applyProtection="1">
      <alignment vertical="top" wrapText="1"/>
      <protection locked="0"/>
    </xf>
    <xf numFmtId="1" fontId="8" fillId="0" borderId="1" xfId="0" applyNumberFormat="1" applyFont="1" applyBorder="1" applyAlignment="1" applyProtection="1">
      <alignment horizontal="left" vertical="top" wrapText="1"/>
      <protection locked="0"/>
    </xf>
    <xf numFmtId="1" fontId="7" fillId="0" borderId="7" xfId="1" applyNumberFormat="1" applyFont="1" applyBorder="1" applyAlignment="1" applyProtection="1">
      <alignment horizontal="center" vertical="center" wrapText="1"/>
      <protection locked="0"/>
    </xf>
    <xf numFmtId="1" fontId="7" fillId="0" borderId="8" xfId="1" applyNumberFormat="1" applyFont="1" applyBorder="1" applyAlignment="1" applyProtection="1">
      <alignment horizontal="center" vertical="center" wrapText="1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1" fontId="6" fillId="0" borderId="23" xfId="1" applyNumberFormat="1" applyFont="1" applyBorder="1" applyAlignment="1" applyProtection="1">
      <alignment horizontal="center" vertical="center" wrapText="1"/>
      <protection locked="0"/>
    </xf>
    <xf numFmtId="1" fontId="6" fillId="0" borderId="0" xfId="1" applyNumberFormat="1" applyFont="1" applyAlignment="1" applyProtection="1">
      <alignment horizontal="center" vertical="center" wrapText="1"/>
      <protection locked="0"/>
    </xf>
    <xf numFmtId="1" fontId="6" fillId="0" borderId="31" xfId="1" applyNumberFormat="1" applyFont="1" applyBorder="1" applyAlignment="1" applyProtection="1">
      <alignment horizontal="center" vertical="center" wrapText="1"/>
      <protection locked="0"/>
    </xf>
    <xf numFmtId="1" fontId="10" fillId="0" borderId="7" xfId="0" applyNumberFormat="1" applyFont="1" applyBorder="1" applyAlignment="1" applyProtection="1">
      <alignment vertical="top" wrapText="1"/>
      <protection locked="0"/>
    </xf>
    <xf numFmtId="1" fontId="10" fillId="0" borderId="20" xfId="0" applyNumberFormat="1" applyFont="1" applyBorder="1" applyAlignment="1" applyProtection="1">
      <alignment vertical="top" wrapText="1"/>
      <protection locked="0"/>
    </xf>
    <xf numFmtId="1" fontId="10" fillId="0" borderId="8" xfId="0" applyNumberFormat="1" applyFont="1" applyBorder="1" applyAlignment="1" applyProtection="1">
      <alignment vertical="top" wrapText="1"/>
      <protection locked="0"/>
    </xf>
    <xf numFmtId="1" fontId="27" fillId="0" borderId="7" xfId="0" applyNumberFormat="1" applyFont="1" applyBorder="1" applyAlignment="1" applyProtection="1">
      <alignment horizontal="left" vertical="top" wrapText="1"/>
      <protection locked="0"/>
    </xf>
    <xf numFmtId="1" fontId="27" fillId="0" borderId="20" xfId="0" applyNumberFormat="1" applyFont="1" applyBorder="1" applyAlignment="1" applyProtection="1">
      <alignment horizontal="left" vertical="top" wrapText="1"/>
      <protection locked="0"/>
    </xf>
    <xf numFmtId="1" fontId="27" fillId="0" borderId="8" xfId="0" applyNumberFormat="1" applyFont="1" applyBorder="1" applyAlignment="1" applyProtection="1">
      <alignment horizontal="left" vertical="top" wrapText="1"/>
      <protection locked="0"/>
    </xf>
    <xf numFmtId="0" fontId="9" fillId="0" borderId="1" xfId="5" applyFont="1" applyBorder="1" applyAlignment="1">
      <alignment horizontal="left"/>
    </xf>
  </cellXfs>
  <cellStyles count="11">
    <cellStyle name="Comma" xfId="9" builtinId="3"/>
    <cellStyle name="Comma 2" xfId="6" xr:uid="{00000000-0005-0000-0000-000001000000}"/>
    <cellStyle name="Excel Built-in Normal" xfId="2" xr:uid="{00000000-0005-0000-0000-000002000000}"/>
    <cellStyle name="Excel Built-in Normal 2" xfId="4" xr:uid="{00000000-0005-0000-0000-000003000000}"/>
    <cellStyle name="Hyperlink" xfId="10" builtinId="8"/>
    <cellStyle name="Normal" xfId="0" builtinId="0"/>
    <cellStyle name="Normal 2" xfId="3" xr:uid="{00000000-0005-0000-0000-000006000000}"/>
    <cellStyle name="Normal 3" xfId="1" xr:uid="{00000000-0005-0000-0000-000007000000}"/>
    <cellStyle name="Normal 3 3" xfId="7" xr:uid="{00000000-0005-0000-0000-000008000000}"/>
    <cellStyle name="Normal 4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1.jpeg"/><Relationship Id="rId18" Type="http://schemas.openxmlformats.org/officeDocument/2006/relationships/image" Target="../media/image16.jpeg"/><Relationship Id="rId26" Type="http://schemas.openxmlformats.org/officeDocument/2006/relationships/image" Target="../media/image24.jpeg"/><Relationship Id="rId39" Type="http://schemas.openxmlformats.org/officeDocument/2006/relationships/image" Target="../media/image37.png"/><Relationship Id="rId21" Type="http://schemas.openxmlformats.org/officeDocument/2006/relationships/image" Target="../media/image19.jpeg"/><Relationship Id="rId34" Type="http://schemas.openxmlformats.org/officeDocument/2006/relationships/image" Target="../media/image32.png"/><Relationship Id="rId42" Type="http://schemas.openxmlformats.org/officeDocument/2006/relationships/image" Target="../media/image40.jpeg"/><Relationship Id="rId47" Type="http://schemas.openxmlformats.org/officeDocument/2006/relationships/image" Target="../media/image45.jpeg"/><Relationship Id="rId7" Type="http://schemas.openxmlformats.org/officeDocument/2006/relationships/image" Target="../media/image6.png"/><Relationship Id="rId2" Type="http://schemas.openxmlformats.org/officeDocument/2006/relationships/image" Target="../media/image2.png"/><Relationship Id="rId16" Type="http://schemas.openxmlformats.org/officeDocument/2006/relationships/image" Target="../media/image14.jpeg"/><Relationship Id="rId29" Type="http://schemas.openxmlformats.org/officeDocument/2006/relationships/image" Target="../media/image27.jpeg"/><Relationship Id="rId1" Type="http://schemas.openxmlformats.org/officeDocument/2006/relationships/image" Target="../media/image1.png"/><Relationship Id="rId6" Type="http://schemas.microsoft.com/office/2007/relationships/hdphoto" Target="../media/hdphoto1.wdp"/><Relationship Id="rId11" Type="http://schemas.openxmlformats.org/officeDocument/2006/relationships/image" Target="../media/image9.png"/><Relationship Id="rId24" Type="http://schemas.openxmlformats.org/officeDocument/2006/relationships/image" Target="../media/image22.jpeg"/><Relationship Id="rId32" Type="http://schemas.openxmlformats.org/officeDocument/2006/relationships/image" Target="../media/image30.jpeg"/><Relationship Id="rId37" Type="http://schemas.openxmlformats.org/officeDocument/2006/relationships/image" Target="../media/image35.png"/><Relationship Id="rId40" Type="http://schemas.openxmlformats.org/officeDocument/2006/relationships/image" Target="../media/image38.jpeg"/><Relationship Id="rId45" Type="http://schemas.openxmlformats.org/officeDocument/2006/relationships/image" Target="../media/image43.jpeg"/><Relationship Id="rId5" Type="http://schemas.openxmlformats.org/officeDocument/2006/relationships/image" Target="../media/image5.png"/><Relationship Id="rId15" Type="http://schemas.openxmlformats.org/officeDocument/2006/relationships/image" Target="../media/image13.jpeg"/><Relationship Id="rId23" Type="http://schemas.openxmlformats.org/officeDocument/2006/relationships/image" Target="../media/image21.jpeg"/><Relationship Id="rId28" Type="http://schemas.openxmlformats.org/officeDocument/2006/relationships/image" Target="../media/image26.jpeg"/><Relationship Id="rId36" Type="http://schemas.openxmlformats.org/officeDocument/2006/relationships/image" Target="../media/image34.png"/><Relationship Id="rId10" Type="http://schemas.microsoft.com/office/2007/relationships/hdphoto" Target="../media/hdphoto2.wdp"/><Relationship Id="rId19" Type="http://schemas.openxmlformats.org/officeDocument/2006/relationships/image" Target="../media/image17.jpeg"/><Relationship Id="rId31" Type="http://schemas.openxmlformats.org/officeDocument/2006/relationships/image" Target="../media/image29.jpeg"/><Relationship Id="rId44" Type="http://schemas.openxmlformats.org/officeDocument/2006/relationships/image" Target="../media/image42.jpeg"/><Relationship Id="rId4" Type="http://schemas.openxmlformats.org/officeDocument/2006/relationships/image" Target="../media/image4.png"/><Relationship Id="rId9" Type="http://schemas.openxmlformats.org/officeDocument/2006/relationships/image" Target="../media/image8.png"/><Relationship Id="rId14" Type="http://schemas.openxmlformats.org/officeDocument/2006/relationships/image" Target="../media/image12.jpeg"/><Relationship Id="rId22" Type="http://schemas.openxmlformats.org/officeDocument/2006/relationships/image" Target="../media/image20.jpeg"/><Relationship Id="rId27" Type="http://schemas.openxmlformats.org/officeDocument/2006/relationships/image" Target="../media/image25.jpeg"/><Relationship Id="rId30" Type="http://schemas.openxmlformats.org/officeDocument/2006/relationships/image" Target="../media/image28.jpeg"/><Relationship Id="rId35" Type="http://schemas.openxmlformats.org/officeDocument/2006/relationships/image" Target="../media/image33.png"/><Relationship Id="rId43" Type="http://schemas.openxmlformats.org/officeDocument/2006/relationships/image" Target="../media/image41.jpeg"/><Relationship Id="rId8" Type="http://schemas.openxmlformats.org/officeDocument/2006/relationships/image" Target="../media/image7.png"/><Relationship Id="rId3" Type="http://schemas.openxmlformats.org/officeDocument/2006/relationships/image" Target="../media/image3.png"/><Relationship Id="rId12" Type="http://schemas.openxmlformats.org/officeDocument/2006/relationships/image" Target="../media/image10.png"/><Relationship Id="rId17" Type="http://schemas.openxmlformats.org/officeDocument/2006/relationships/image" Target="../media/image15.jpeg"/><Relationship Id="rId25" Type="http://schemas.openxmlformats.org/officeDocument/2006/relationships/image" Target="../media/image23.jpeg"/><Relationship Id="rId33" Type="http://schemas.openxmlformats.org/officeDocument/2006/relationships/image" Target="../media/image31.jpeg"/><Relationship Id="rId38" Type="http://schemas.openxmlformats.org/officeDocument/2006/relationships/image" Target="../media/image36.png"/><Relationship Id="rId46" Type="http://schemas.openxmlformats.org/officeDocument/2006/relationships/image" Target="../media/image44.jpeg"/><Relationship Id="rId20" Type="http://schemas.openxmlformats.org/officeDocument/2006/relationships/image" Target="../media/image18.jpeg"/><Relationship Id="rId41" Type="http://schemas.openxmlformats.org/officeDocument/2006/relationships/image" Target="../media/image39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47.png"/><Relationship Id="rId1" Type="http://schemas.openxmlformats.org/officeDocument/2006/relationships/image" Target="../media/image4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783272</xdr:colOff>
      <xdr:row>127</xdr:row>
      <xdr:rowOff>186977</xdr:rowOff>
    </xdr:from>
    <xdr:to>
      <xdr:col>13</xdr:col>
      <xdr:colOff>824035</xdr:colOff>
      <xdr:row>135</xdr:row>
      <xdr:rowOff>51497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07245" y="22864306"/>
          <a:ext cx="4294393" cy="1443322"/>
        </a:xfrm>
        <a:prstGeom prst="rect">
          <a:avLst/>
        </a:prstGeom>
      </xdr:spPr>
    </xdr:pic>
    <xdr:clientData/>
  </xdr:twoCellAnchor>
  <xdr:twoCellAnchor editAs="oneCell">
    <xdr:from>
      <xdr:col>11</xdr:col>
      <xdr:colOff>352431</xdr:colOff>
      <xdr:row>96</xdr:row>
      <xdr:rowOff>28575</xdr:rowOff>
    </xdr:from>
    <xdr:to>
      <xdr:col>19</xdr:col>
      <xdr:colOff>160275</xdr:colOff>
      <xdr:row>112</xdr:row>
      <xdr:rowOff>108585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629781" y="20126325"/>
          <a:ext cx="5408544" cy="1280160"/>
        </a:xfrm>
        <a:prstGeom prst="rect">
          <a:avLst/>
        </a:prstGeom>
      </xdr:spPr>
    </xdr:pic>
    <xdr:clientData/>
  </xdr:twoCellAnchor>
  <xdr:twoCellAnchor editAs="oneCell">
    <xdr:from>
      <xdr:col>12</xdr:col>
      <xdr:colOff>514350</xdr:colOff>
      <xdr:row>122</xdr:row>
      <xdr:rowOff>95250</xdr:rowOff>
    </xdr:from>
    <xdr:to>
      <xdr:col>15</xdr:col>
      <xdr:colOff>495017</xdr:colOff>
      <xdr:row>141</xdr:row>
      <xdr:rowOff>85341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496550" y="22374225"/>
          <a:ext cx="2266667" cy="3085714"/>
        </a:xfrm>
        <a:prstGeom prst="rect">
          <a:avLst/>
        </a:prstGeom>
      </xdr:spPr>
    </xdr:pic>
    <xdr:clientData/>
  </xdr:twoCellAnchor>
  <xdr:twoCellAnchor editAs="oneCell">
    <xdr:from>
      <xdr:col>13</xdr:col>
      <xdr:colOff>333375</xdr:colOff>
      <xdr:row>113</xdr:row>
      <xdr:rowOff>390525</xdr:rowOff>
    </xdr:from>
    <xdr:to>
      <xdr:col>15</xdr:col>
      <xdr:colOff>567159</xdr:colOff>
      <xdr:row>126</xdr:row>
      <xdr:rowOff>155985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029950" y="20278725"/>
          <a:ext cx="1729209" cy="1554480"/>
        </a:xfrm>
        <a:prstGeom prst="rect">
          <a:avLst/>
        </a:prstGeom>
      </xdr:spPr>
    </xdr:pic>
    <xdr:clientData/>
  </xdr:twoCellAnchor>
  <xdr:oneCellAnchor>
    <xdr:from>
      <xdr:col>12</xdr:col>
      <xdr:colOff>514350</xdr:colOff>
      <xdr:row>633</xdr:row>
      <xdr:rowOff>0</xdr:rowOff>
    </xdr:from>
    <xdr:ext cx="2266667" cy="3085714"/>
    <xdr:pic>
      <xdr:nvPicPr>
        <xdr:cNvPr id="17" name="Pictur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496550" y="22945725"/>
          <a:ext cx="2266667" cy="3085714"/>
        </a:xfrm>
        <a:prstGeom prst="rect">
          <a:avLst/>
        </a:prstGeom>
      </xdr:spPr>
    </xdr:pic>
    <xdr:clientData/>
  </xdr:oneCellAnchor>
  <xdr:twoCellAnchor>
    <xdr:from>
      <xdr:col>8</xdr:col>
      <xdr:colOff>604603</xdr:colOff>
      <xdr:row>1120</xdr:row>
      <xdr:rowOff>124099</xdr:rowOff>
    </xdr:from>
    <xdr:to>
      <xdr:col>15</xdr:col>
      <xdr:colOff>135421</xdr:colOff>
      <xdr:row>1142</xdr:row>
      <xdr:rowOff>189671</xdr:rowOff>
    </xdr:to>
    <xdr:grpSp>
      <xdr:nvGrpSpPr>
        <xdr:cNvPr id="16" name="Group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GrpSpPr/>
      </xdr:nvGrpSpPr>
      <xdr:grpSpPr>
        <a:xfrm>
          <a:off x="7302583" y="221248879"/>
          <a:ext cx="5443938" cy="4424212"/>
          <a:chOff x="897075" y="207533065"/>
          <a:chExt cx="4933345" cy="4338186"/>
        </a:xfrm>
      </xdr:grpSpPr>
      <xdr:pic>
        <xdr:nvPicPr>
          <xdr:cNvPr id="14" name="Picture 13">
            <a:extLst>
              <a:ext uri="{FF2B5EF4-FFF2-40B4-BE49-F238E27FC236}">
                <a16:creationId xmlns:a16="http://schemas.microsoft.com/office/drawing/2014/main" id="{00000000-0008-0000-0000-00000E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>
            <a:extLst>
              <a:ext uri="{BEBA8EAE-BF5A-486C-A8C5-ECC9F3942E4B}">
                <a14:imgProps xmlns:a14="http://schemas.microsoft.com/office/drawing/2010/main">
                  <a14:imgLayer r:embed="rId6">
                    <a14:imgEffect>
                      <a14:colorTemperature colorTemp="8800"/>
                    </a14:imgEffect>
                    <a14:imgEffect>
                      <a14:brightnessContrast bright="20000" contrast="-20000"/>
                    </a14:imgEffect>
                  </a14:imgLayer>
                </a14:imgProps>
              </a:ext>
            </a:extLst>
          </a:blip>
          <a:stretch>
            <a:fillRect/>
          </a:stretch>
        </xdr:blipFill>
        <xdr:spPr>
          <a:xfrm>
            <a:off x="897075" y="207533065"/>
            <a:ext cx="4933345" cy="4338186"/>
          </a:xfrm>
          <a:prstGeom prst="rect">
            <a:avLst/>
          </a:prstGeom>
          <a:ln>
            <a:solidFill>
              <a:sysClr val="windowText" lastClr="000000"/>
            </a:solidFill>
          </a:ln>
        </xdr:spPr>
      </xdr:pic>
      <xdr:sp macro="" textlink="">
        <xdr:nvSpPr>
          <xdr:cNvPr id="24" name="Rectangle 23">
            <a:extLst>
              <a:ext uri="{FF2B5EF4-FFF2-40B4-BE49-F238E27FC236}">
                <a16:creationId xmlns:a16="http://schemas.microsoft.com/office/drawing/2014/main" id="{00000000-0008-0000-0000-000018000000}"/>
              </a:ext>
            </a:extLst>
          </xdr:cNvPr>
          <xdr:cNvSpPr/>
        </xdr:nvSpPr>
        <xdr:spPr>
          <a:xfrm rot="2417362">
            <a:off x="1611559" y="210119811"/>
            <a:ext cx="1445735" cy="587621"/>
          </a:xfrm>
          <a:prstGeom prst="rect">
            <a:avLst/>
          </a:prstGeom>
          <a:noFill/>
          <a:ln w="57150">
            <a:solidFill>
              <a:srgbClr val="00206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t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/>
            <a:endParaRPr lang="en-IN" sz="1100"/>
          </a:p>
        </xdr:txBody>
      </xdr:sp>
      <xdr:sp macro="" textlink="">
        <xdr:nvSpPr>
          <xdr:cNvPr id="25" name="Rectangle 24">
            <a:extLst>
              <a:ext uri="{FF2B5EF4-FFF2-40B4-BE49-F238E27FC236}">
                <a16:creationId xmlns:a16="http://schemas.microsoft.com/office/drawing/2014/main" id="{00000000-0008-0000-0000-000019000000}"/>
              </a:ext>
            </a:extLst>
          </xdr:cNvPr>
          <xdr:cNvSpPr/>
        </xdr:nvSpPr>
        <xdr:spPr>
          <a:xfrm rot="7665993">
            <a:off x="1048860" y="209011144"/>
            <a:ext cx="1717879" cy="552407"/>
          </a:xfrm>
          <a:prstGeom prst="rect">
            <a:avLst/>
          </a:prstGeom>
          <a:noFill/>
          <a:ln w="5715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t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/>
            <a:endParaRPr lang="en-IN" sz="1100"/>
          </a:p>
        </xdr:txBody>
      </xdr:sp>
      <xdr:sp macro="" textlink="">
        <xdr:nvSpPr>
          <xdr:cNvPr id="26" name="Rectangle 25">
            <a:extLst>
              <a:ext uri="{FF2B5EF4-FFF2-40B4-BE49-F238E27FC236}">
                <a16:creationId xmlns:a16="http://schemas.microsoft.com/office/drawing/2014/main" id="{00000000-0008-0000-0000-00001A000000}"/>
              </a:ext>
            </a:extLst>
          </xdr:cNvPr>
          <xdr:cNvSpPr/>
        </xdr:nvSpPr>
        <xdr:spPr>
          <a:xfrm rot="2428016">
            <a:off x="2197172" y="209970906"/>
            <a:ext cx="1114325" cy="229591"/>
          </a:xfrm>
          <a:prstGeom prst="rect">
            <a:avLst/>
          </a:prstGeom>
        </xdr:spPr>
        <xdr:txBody>
          <a:bodyPr wrap="square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IN" b="1">
                <a:solidFill>
                  <a:srgbClr val="002060"/>
                </a:solidFill>
              </a:rPr>
              <a:t>Wing S1</a:t>
            </a:r>
          </a:p>
        </xdr:txBody>
      </xdr:sp>
      <xdr:sp macro="" textlink="">
        <xdr:nvSpPr>
          <xdr:cNvPr id="27" name="Rectangle 26">
            <a:extLst>
              <a:ext uri="{FF2B5EF4-FFF2-40B4-BE49-F238E27FC236}">
                <a16:creationId xmlns:a16="http://schemas.microsoft.com/office/drawing/2014/main" id="{00000000-0008-0000-0000-00001B000000}"/>
              </a:ext>
            </a:extLst>
          </xdr:cNvPr>
          <xdr:cNvSpPr/>
        </xdr:nvSpPr>
        <xdr:spPr>
          <a:xfrm rot="18336073">
            <a:off x="976717" y="208726461"/>
            <a:ext cx="1097661" cy="233083"/>
          </a:xfrm>
          <a:prstGeom prst="rect">
            <a:avLst/>
          </a:prstGeom>
        </xdr:spPr>
        <xdr:txBody>
          <a:bodyPr wrap="square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IN" b="1">
                <a:solidFill>
                  <a:srgbClr val="FF0000"/>
                </a:solidFill>
              </a:rPr>
              <a:t>Wing S2</a:t>
            </a:r>
          </a:p>
        </xdr:txBody>
      </xdr:sp>
    </xdr:grpSp>
    <xdr:clientData/>
  </xdr:twoCellAnchor>
  <xdr:twoCellAnchor editAs="oneCell">
    <xdr:from>
      <xdr:col>1</xdr:col>
      <xdr:colOff>59340</xdr:colOff>
      <xdr:row>1144</xdr:row>
      <xdr:rowOff>104745</xdr:rowOff>
    </xdr:from>
    <xdr:to>
      <xdr:col>6</xdr:col>
      <xdr:colOff>562160</xdr:colOff>
      <xdr:row>1161</xdr:row>
      <xdr:rowOff>156934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821340" y="212807520"/>
          <a:ext cx="4655720" cy="3452613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 editAs="oneCell">
    <xdr:from>
      <xdr:col>35</xdr:col>
      <xdr:colOff>490257</xdr:colOff>
      <xdr:row>11</xdr:row>
      <xdr:rowOff>69116</xdr:rowOff>
    </xdr:from>
    <xdr:to>
      <xdr:col>46</xdr:col>
      <xdr:colOff>505221</xdr:colOff>
      <xdr:row>14</xdr:row>
      <xdr:rowOff>77899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25374320" y="2617054"/>
          <a:ext cx="6825339" cy="1008908"/>
        </a:xfrm>
        <a:prstGeom prst="rect">
          <a:avLst/>
        </a:prstGeom>
      </xdr:spPr>
    </xdr:pic>
    <xdr:clientData/>
  </xdr:twoCellAnchor>
  <xdr:twoCellAnchor editAs="oneCell">
    <xdr:from>
      <xdr:col>9</xdr:col>
      <xdr:colOff>187037</xdr:colOff>
      <xdr:row>1103</xdr:row>
      <xdr:rowOff>113436</xdr:rowOff>
    </xdr:from>
    <xdr:to>
      <xdr:col>14</xdr:col>
      <xdr:colOff>277650</xdr:colOff>
      <xdr:row>1119</xdr:row>
      <xdr:rowOff>141612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BEBA8EAE-BF5A-486C-A8C5-ECC9F3942E4B}">
              <a14:imgProps xmlns:a14="http://schemas.microsoft.com/office/drawing/2010/main">
                <a14:imgLayer r:embed="rId10">
                  <a14:imgEffect>
                    <a14:colorTemperature colorTemp="8800"/>
                  </a14:imgEffect>
                  <a14:imgEffect>
                    <a14:saturation sat="66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7873712" y="209168136"/>
          <a:ext cx="4014913" cy="3228576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>
    <xdr:from>
      <xdr:col>0</xdr:col>
      <xdr:colOff>337146</xdr:colOff>
      <xdr:row>1162</xdr:row>
      <xdr:rowOff>108038</xdr:rowOff>
    </xdr:from>
    <xdr:to>
      <xdr:col>7</xdr:col>
      <xdr:colOff>331304</xdr:colOff>
      <xdr:row>1183</xdr:row>
      <xdr:rowOff>125897</xdr:rowOff>
    </xdr:to>
    <xdr:grpSp>
      <xdr:nvGrpSpPr>
        <xdr:cNvPr id="8" name="Group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pSpPr/>
      </xdr:nvGrpSpPr>
      <xdr:grpSpPr>
        <a:xfrm>
          <a:off x="337146" y="229553858"/>
          <a:ext cx="5838698" cy="4178379"/>
          <a:chOff x="318096" y="216411262"/>
          <a:chExt cx="5788822" cy="4460185"/>
        </a:xfrm>
      </xdr:grpSpPr>
      <xdr:grpSp>
        <xdr:nvGrpSpPr>
          <xdr:cNvPr id="3" name="Group 2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GrpSpPr/>
        </xdr:nvGrpSpPr>
        <xdr:grpSpPr>
          <a:xfrm>
            <a:off x="318096" y="216411262"/>
            <a:ext cx="5788822" cy="4460185"/>
            <a:chOff x="318096" y="216411262"/>
            <a:chExt cx="5788822" cy="4460185"/>
          </a:xfrm>
        </xdr:grpSpPr>
        <xdr:pic>
          <xdr:nvPicPr>
            <xdr:cNvPr id="20" name="Picture 19">
              <a:extLst>
                <a:ext uri="{FF2B5EF4-FFF2-40B4-BE49-F238E27FC236}">
                  <a16:creationId xmlns:a16="http://schemas.microsoft.com/office/drawing/2014/main" id="{00000000-0008-0000-0000-00001400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1"/>
            <a:stretch>
              <a:fillRect/>
            </a:stretch>
          </xdr:blipFill>
          <xdr:spPr>
            <a:xfrm>
              <a:off x="318096" y="216411262"/>
              <a:ext cx="5788822" cy="4460185"/>
            </a:xfrm>
            <a:prstGeom prst="rect">
              <a:avLst/>
            </a:prstGeom>
            <a:ln>
              <a:solidFill>
                <a:sysClr val="windowText" lastClr="000000"/>
              </a:solidFill>
            </a:ln>
          </xdr:spPr>
        </xdr:pic>
        <xdr:sp macro="" textlink="">
          <xdr:nvSpPr>
            <xdr:cNvPr id="2" name="Freeform 1">
              <a:extLst>
                <a:ext uri="{FF2B5EF4-FFF2-40B4-BE49-F238E27FC236}">
                  <a16:creationId xmlns:a16="http://schemas.microsoft.com/office/drawing/2014/main" id="{00000000-0008-0000-0000-000002000000}"/>
                </a:ext>
              </a:extLst>
            </xdr:cNvPr>
            <xdr:cNvSpPr/>
          </xdr:nvSpPr>
          <xdr:spPr>
            <a:xfrm>
              <a:off x="2085975" y="217970100"/>
              <a:ext cx="1247775" cy="1790700"/>
            </a:xfrm>
            <a:custGeom>
              <a:avLst/>
              <a:gdLst>
                <a:gd name="connsiteX0" fmla="*/ 581025 w 1228725"/>
                <a:gd name="connsiteY0" fmla="*/ 0 h 1790700"/>
                <a:gd name="connsiteX1" fmla="*/ 0 w 1228725"/>
                <a:gd name="connsiteY1" fmla="*/ 971550 h 1790700"/>
                <a:gd name="connsiteX2" fmla="*/ 1000125 w 1228725"/>
                <a:gd name="connsiteY2" fmla="*/ 1790700 h 1790700"/>
                <a:gd name="connsiteX3" fmla="*/ 1228725 w 1228725"/>
                <a:gd name="connsiteY3" fmla="*/ 1543050 h 1790700"/>
                <a:gd name="connsiteX4" fmla="*/ 581025 w 1228725"/>
                <a:gd name="connsiteY4" fmla="*/ 876300 h 1790700"/>
                <a:gd name="connsiteX5" fmla="*/ 923925 w 1228725"/>
                <a:gd name="connsiteY5" fmla="*/ 219075 h 1790700"/>
                <a:gd name="connsiteX6" fmla="*/ 581025 w 1228725"/>
                <a:gd name="connsiteY6" fmla="*/ 0 h 1790700"/>
                <a:gd name="connsiteX0" fmla="*/ 581025 w 1247775"/>
                <a:gd name="connsiteY0" fmla="*/ 0 h 1790700"/>
                <a:gd name="connsiteX1" fmla="*/ 0 w 1247775"/>
                <a:gd name="connsiteY1" fmla="*/ 971550 h 1790700"/>
                <a:gd name="connsiteX2" fmla="*/ 1000125 w 1247775"/>
                <a:gd name="connsiteY2" fmla="*/ 1790700 h 1790700"/>
                <a:gd name="connsiteX3" fmla="*/ 1247775 w 1247775"/>
                <a:gd name="connsiteY3" fmla="*/ 1485900 h 1790700"/>
                <a:gd name="connsiteX4" fmla="*/ 581025 w 1247775"/>
                <a:gd name="connsiteY4" fmla="*/ 876300 h 1790700"/>
                <a:gd name="connsiteX5" fmla="*/ 923925 w 1247775"/>
                <a:gd name="connsiteY5" fmla="*/ 219075 h 1790700"/>
                <a:gd name="connsiteX6" fmla="*/ 581025 w 1247775"/>
                <a:gd name="connsiteY6" fmla="*/ 0 h 1790700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</a:cxnLst>
              <a:rect l="l" t="t" r="r" b="b"/>
              <a:pathLst>
                <a:path w="1247775" h="1790700">
                  <a:moveTo>
                    <a:pt x="581025" y="0"/>
                  </a:moveTo>
                  <a:lnTo>
                    <a:pt x="0" y="971550"/>
                  </a:lnTo>
                  <a:lnTo>
                    <a:pt x="1000125" y="1790700"/>
                  </a:lnTo>
                  <a:lnTo>
                    <a:pt x="1247775" y="1485900"/>
                  </a:lnTo>
                  <a:lnTo>
                    <a:pt x="581025" y="876300"/>
                  </a:lnTo>
                  <a:lnTo>
                    <a:pt x="923925" y="219075"/>
                  </a:lnTo>
                  <a:lnTo>
                    <a:pt x="581025" y="0"/>
                  </a:lnTo>
                  <a:close/>
                </a:path>
              </a:pathLst>
            </a:custGeom>
            <a:noFill/>
            <a:ln w="28575">
              <a:solidFill>
                <a:srgbClr val="FFFF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IN" sz="1100"/>
            </a:p>
          </xdr:txBody>
        </xdr:sp>
      </xdr:grpSp>
      <xdr:sp macro="" textlink="">
        <xdr:nvSpPr>
          <xdr:cNvPr id="19" name="TextBox 12">
            <a:extLst>
              <a:ext uri="{FF2B5EF4-FFF2-40B4-BE49-F238E27FC236}">
                <a16:creationId xmlns:a16="http://schemas.microsoft.com/office/drawing/2014/main" id="{00000000-0008-0000-0000-000013000000}"/>
              </a:ext>
            </a:extLst>
          </xdr:cNvPr>
          <xdr:cNvSpPr txBox="1"/>
        </xdr:nvSpPr>
        <xdr:spPr>
          <a:xfrm rot="2476027">
            <a:off x="2148117" y="219055959"/>
            <a:ext cx="1254959" cy="38601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IN" sz="1200" b="1">
                <a:solidFill>
                  <a:srgbClr val="FFFF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Lodha Vikhroli Signet</a:t>
            </a:r>
          </a:p>
        </xdr:txBody>
      </xdr:sp>
    </xdr:grpSp>
    <xdr:clientData/>
  </xdr:twoCellAnchor>
  <xdr:twoCellAnchor editAs="oneCell">
    <xdr:from>
      <xdr:col>11</xdr:col>
      <xdr:colOff>587862</xdr:colOff>
      <xdr:row>56</xdr:row>
      <xdr:rowOff>107799</xdr:rowOff>
    </xdr:from>
    <xdr:to>
      <xdr:col>21</xdr:col>
      <xdr:colOff>11855</xdr:colOff>
      <xdr:row>63</xdr:row>
      <xdr:rowOff>317968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0120482" y="13282779"/>
          <a:ext cx="6426773" cy="2214229"/>
        </a:xfrm>
        <a:prstGeom prst="rect">
          <a:avLst/>
        </a:prstGeom>
      </xdr:spPr>
    </xdr:pic>
    <xdr:clientData/>
  </xdr:twoCellAnchor>
  <xdr:twoCellAnchor editAs="oneCell">
    <xdr:from>
      <xdr:col>11</xdr:col>
      <xdr:colOff>540274</xdr:colOff>
      <xdr:row>1088</xdr:row>
      <xdr:rowOff>159957</xdr:rowOff>
    </xdr:from>
    <xdr:to>
      <xdr:col>14</xdr:col>
      <xdr:colOff>525698</xdr:colOff>
      <xdr:row>1097</xdr:row>
      <xdr:rowOff>110262</xdr:rowOff>
    </xdr:to>
    <xdr:pic>
      <xdr:nvPicPr>
        <xdr:cNvPr id="28" name="Picture 27" descr="https://vsjcllp.vsjadon.com/upload/insp-217373-1525.jpg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72894" y="173469237"/>
          <a:ext cx="2385724" cy="1733385"/>
        </a:xfrm>
        <a:prstGeom prst="rect">
          <a:avLst/>
        </a:prstGeom>
        <a:noFill/>
        <a:ln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186192</xdr:colOff>
      <xdr:row>1078</xdr:row>
      <xdr:rowOff>99080</xdr:rowOff>
    </xdr:from>
    <xdr:to>
      <xdr:col>15</xdr:col>
      <xdr:colOff>538701</xdr:colOff>
      <xdr:row>1088</xdr:row>
      <xdr:rowOff>75476</xdr:rowOff>
    </xdr:to>
    <xdr:pic>
      <xdr:nvPicPr>
        <xdr:cNvPr id="30" name="Picture 29" descr="https://vsjcllp.vsjadon.com/upload/insp-217373-846.jpg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442712" y="171427160"/>
          <a:ext cx="2707089" cy="1957596"/>
        </a:xfrm>
        <a:prstGeom prst="rect">
          <a:avLst/>
        </a:prstGeom>
        <a:noFill/>
        <a:ln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981655</xdr:colOff>
      <xdr:row>1078</xdr:row>
      <xdr:rowOff>102391</xdr:rowOff>
    </xdr:from>
    <xdr:to>
      <xdr:col>12</xdr:col>
      <xdr:colOff>108338</xdr:colOff>
      <xdr:row>1088</xdr:row>
      <xdr:rowOff>78787</xdr:rowOff>
    </xdr:to>
    <xdr:pic>
      <xdr:nvPicPr>
        <xdr:cNvPr id="31" name="Picture 30" descr="https://vsjcllp.vsjadon.com/upload/insp-217373-847.jpg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679635" y="171430471"/>
          <a:ext cx="2685223" cy="1957596"/>
        </a:xfrm>
        <a:prstGeom prst="rect">
          <a:avLst/>
        </a:prstGeom>
        <a:noFill/>
        <a:ln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771526</xdr:colOff>
      <xdr:row>1088</xdr:row>
      <xdr:rowOff>155610</xdr:rowOff>
    </xdr:from>
    <xdr:to>
      <xdr:col>11</xdr:col>
      <xdr:colOff>460233</xdr:colOff>
      <xdr:row>1097</xdr:row>
      <xdr:rowOff>105914</xdr:rowOff>
    </xdr:to>
    <xdr:pic>
      <xdr:nvPicPr>
        <xdr:cNvPr id="33" name="Picture 32" descr="https://vsjcllp.vsjadon.com/upload/insp-217373-861.jpg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665846" y="173464890"/>
          <a:ext cx="1327007" cy="1733384"/>
        </a:xfrm>
        <a:prstGeom prst="rect">
          <a:avLst/>
        </a:prstGeom>
        <a:noFill/>
        <a:ln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176254</xdr:colOff>
      <xdr:row>1066</xdr:row>
      <xdr:rowOff>34165</xdr:rowOff>
    </xdr:from>
    <xdr:to>
      <xdr:col>16</xdr:col>
      <xdr:colOff>268688</xdr:colOff>
      <xdr:row>1078</xdr:row>
      <xdr:rowOff>18014</xdr:rowOff>
    </xdr:to>
    <xdr:pic>
      <xdr:nvPicPr>
        <xdr:cNvPr id="34" name="Picture 33" descr="https://vsjcllp.vsjadon.com/upload/insp-217373-1046.jpg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432774" y="168984805"/>
          <a:ext cx="3247114" cy="2361289"/>
        </a:xfrm>
        <a:prstGeom prst="rect">
          <a:avLst/>
        </a:prstGeom>
        <a:noFill/>
        <a:ln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416365</xdr:colOff>
      <xdr:row>1066</xdr:row>
      <xdr:rowOff>42034</xdr:rowOff>
    </xdr:from>
    <xdr:to>
      <xdr:col>12</xdr:col>
      <xdr:colOff>83073</xdr:colOff>
      <xdr:row>1078</xdr:row>
      <xdr:rowOff>25883</xdr:rowOff>
    </xdr:to>
    <xdr:grpSp>
      <xdr:nvGrpSpPr>
        <xdr:cNvPr id="40" name="Group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pSpPr/>
      </xdr:nvGrpSpPr>
      <xdr:grpSpPr>
        <a:xfrm>
          <a:off x="7114345" y="210468334"/>
          <a:ext cx="3225248" cy="2361289"/>
          <a:chOff x="65845" y="170520484"/>
          <a:chExt cx="3158573" cy="2384149"/>
        </a:xfrm>
      </xdr:grpSpPr>
      <xdr:pic>
        <xdr:nvPicPr>
          <xdr:cNvPr id="29" name="Picture 28" descr="https://vsjcllp.vsjadon.com/upload/insp-217373-843.jpg">
            <a:extLst>
              <a:ext uri="{FF2B5EF4-FFF2-40B4-BE49-F238E27FC236}">
                <a16:creationId xmlns:a16="http://schemas.microsoft.com/office/drawing/2014/main" id="{00000000-0008-0000-0000-00001D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8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65845" y="170520484"/>
            <a:ext cx="3158573" cy="2384149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35" name="TextBox 34">
            <a:extLst>
              <a:ext uri="{FF2B5EF4-FFF2-40B4-BE49-F238E27FC236}">
                <a16:creationId xmlns:a16="http://schemas.microsoft.com/office/drawing/2014/main" id="{00000000-0008-0000-0000-000023000000}"/>
              </a:ext>
            </a:extLst>
          </xdr:cNvPr>
          <xdr:cNvSpPr txBox="1"/>
        </xdr:nvSpPr>
        <xdr:spPr>
          <a:xfrm>
            <a:off x="1019175" y="170716575"/>
            <a:ext cx="428625" cy="3714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IN" sz="1600" b="1">
                <a:solidFill>
                  <a:srgbClr val="FF0000"/>
                </a:solidFill>
              </a:rPr>
              <a:t>S1</a:t>
            </a:r>
          </a:p>
        </xdr:txBody>
      </xdr:sp>
      <xdr:sp macro="" textlink="">
        <xdr:nvSpPr>
          <xdr:cNvPr id="36" name="TextBox 35">
            <a:extLst>
              <a:ext uri="{FF2B5EF4-FFF2-40B4-BE49-F238E27FC236}">
                <a16:creationId xmlns:a16="http://schemas.microsoft.com/office/drawing/2014/main" id="{00000000-0008-0000-0000-000024000000}"/>
              </a:ext>
            </a:extLst>
          </xdr:cNvPr>
          <xdr:cNvSpPr txBox="1"/>
        </xdr:nvSpPr>
        <xdr:spPr>
          <a:xfrm>
            <a:off x="2313745" y="170920534"/>
            <a:ext cx="428625" cy="3714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IN" sz="1600" b="1">
                <a:solidFill>
                  <a:srgbClr val="FF0000"/>
                </a:solidFill>
              </a:rPr>
              <a:t>S2</a:t>
            </a:r>
          </a:p>
        </xdr:txBody>
      </xdr:sp>
    </xdr:grpSp>
    <xdr:clientData/>
  </xdr:twoCellAnchor>
  <xdr:twoCellAnchor>
    <xdr:from>
      <xdr:col>14</xdr:col>
      <xdr:colOff>460513</xdr:colOff>
      <xdr:row>1067</xdr:row>
      <xdr:rowOff>18014</xdr:rowOff>
    </xdr:from>
    <xdr:to>
      <xdr:col>15</xdr:col>
      <xdr:colOff>230008</xdr:colOff>
      <xdr:row>1068</xdr:row>
      <xdr:rowOff>187559</xdr:rowOff>
    </xdr:to>
    <xdr:sp macro="" textlink="">
      <xdr:nvSpPr>
        <xdr:cNvPr id="37" name="TextBox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12393433" y="169166774"/>
          <a:ext cx="447675" cy="3676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IN" sz="1600" b="1">
              <a:solidFill>
                <a:srgbClr val="FF0000"/>
              </a:solidFill>
            </a:rPr>
            <a:t>S1</a:t>
          </a:r>
        </a:p>
      </xdr:txBody>
    </xdr:sp>
    <xdr:clientData/>
  </xdr:twoCellAnchor>
  <xdr:twoCellAnchor>
    <xdr:from>
      <xdr:col>12</xdr:col>
      <xdr:colOff>593863</xdr:colOff>
      <xdr:row>1066</xdr:row>
      <xdr:rowOff>65639</xdr:rowOff>
    </xdr:from>
    <xdr:to>
      <xdr:col>13</xdr:col>
      <xdr:colOff>226198</xdr:colOff>
      <xdr:row>1068</xdr:row>
      <xdr:rowOff>37064</xdr:rowOff>
    </xdr:to>
    <xdr:sp macro="" textlink="">
      <xdr:nvSpPr>
        <xdr:cNvPr id="38" name="TextBox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10850383" y="169016279"/>
          <a:ext cx="447675" cy="3676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IN" sz="1600" b="1">
              <a:solidFill>
                <a:srgbClr val="FF0000"/>
              </a:solidFill>
            </a:rPr>
            <a:t>S2</a:t>
          </a:r>
        </a:p>
      </xdr:txBody>
    </xdr:sp>
    <xdr:clientData/>
  </xdr:twoCellAnchor>
  <xdr:twoCellAnchor>
    <xdr:from>
      <xdr:col>8</xdr:col>
      <xdr:colOff>697230</xdr:colOff>
      <xdr:row>1066</xdr:row>
      <xdr:rowOff>142876</xdr:rowOff>
    </xdr:from>
    <xdr:to>
      <xdr:col>15</xdr:col>
      <xdr:colOff>306705</xdr:colOff>
      <xdr:row>1097</xdr:row>
      <xdr:rowOff>142876</xdr:rowOff>
    </xdr:to>
    <xdr:grpSp>
      <xdr:nvGrpSpPr>
        <xdr:cNvPr id="32" name="Group 31">
          <a:extLst>
            <a:ext uri="{FF2B5EF4-FFF2-40B4-BE49-F238E27FC236}">
              <a16:creationId xmlns:a16="http://schemas.microsoft.com/office/drawing/2014/main" id="{B1A7B98C-0E09-7BD0-21A1-782B5D4038B2}"/>
            </a:ext>
          </a:extLst>
        </xdr:cNvPr>
        <xdr:cNvGrpSpPr/>
      </xdr:nvGrpSpPr>
      <xdr:grpSpPr>
        <a:xfrm>
          <a:off x="7395210" y="210569176"/>
          <a:ext cx="5522595" cy="6141720"/>
          <a:chOff x="231981" y="139516"/>
          <a:chExt cx="6092860" cy="7348333"/>
        </a:xfrm>
      </xdr:grpSpPr>
      <xdr:pic>
        <xdr:nvPicPr>
          <xdr:cNvPr id="39" name="Picture 38">
            <a:extLst>
              <a:ext uri="{FF2B5EF4-FFF2-40B4-BE49-F238E27FC236}">
                <a16:creationId xmlns:a16="http://schemas.microsoft.com/office/drawing/2014/main" id="{7957DB28-AE3F-406D-B061-25BEBEFF856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9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14837" y="139516"/>
            <a:ext cx="5927148" cy="3334021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grpSp>
        <xdr:nvGrpSpPr>
          <xdr:cNvPr id="41" name="Group 40">
            <a:extLst>
              <a:ext uri="{FF2B5EF4-FFF2-40B4-BE49-F238E27FC236}">
                <a16:creationId xmlns:a16="http://schemas.microsoft.com/office/drawing/2014/main" id="{252A7587-0D74-8C33-B11F-761C4613F0BE}"/>
              </a:ext>
            </a:extLst>
          </xdr:cNvPr>
          <xdr:cNvGrpSpPr/>
        </xdr:nvGrpSpPr>
        <xdr:grpSpPr>
          <a:xfrm>
            <a:off x="231981" y="5670464"/>
            <a:ext cx="6092860" cy="1817385"/>
            <a:chOff x="164249" y="5670464"/>
            <a:chExt cx="6092860" cy="1817385"/>
          </a:xfrm>
        </xdr:grpSpPr>
        <xdr:pic>
          <xdr:nvPicPr>
            <xdr:cNvPr id="47" name="Picture 46">
              <a:extLst>
                <a:ext uri="{FF2B5EF4-FFF2-40B4-BE49-F238E27FC236}">
                  <a16:creationId xmlns:a16="http://schemas.microsoft.com/office/drawing/2014/main" id="{07F049CC-745B-B8F0-0877-33C95C12C536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0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164249" y="5687849"/>
              <a:ext cx="3200000" cy="180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48" name="Picture 47">
              <a:extLst>
                <a:ext uri="{FF2B5EF4-FFF2-40B4-BE49-F238E27FC236}">
                  <a16:creationId xmlns:a16="http://schemas.microsoft.com/office/drawing/2014/main" id="{017B04EC-9C63-026D-FCC4-A9D55169839D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1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5097981" y="5670464"/>
              <a:ext cx="1159128" cy="180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49" name="Picture 48">
              <a:extLst>
                <a:ext uri="{FF2B5EF4-FFF2-40B4-BE49-F238E27FC236}">
                  <a16:creationId xmlns:a16="http://schemas.microsoft.com/office/drawing/2014/main" id="{C9BCFB2C-AC93-B910-9CC7-FBB1676C32DF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2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3556115" y="5687849"/>
              <a:ext cx="1350000" cy="180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  <xdr:grpSp>
        <xdr:nvGrpSpPr>
          <xdr:cNvPr id="42" name="Group 41">
            <a:extLst>
              <a:ext uri="{FF2B5EF4-FFF2-40B4-BE49-F238E27FC236}">
                <a16:creationId xmlns:a16="http://schemas.microsoft.com/office/drawing/2014/main" id="{99B87204-9BB5-0D50-F064-01AAEBD2C55E}"/>
              </a:ext>
            </a:extLst>
          </xdr:cNvPr>
          <xdr:cNvGrpSpPr/>
        </xdr:nvGrpSpPr>
        <xdr:grpSpPr>
          <a:xfrm>
            <a:off x="662478" y="3635693"/>
            <a:ext cx="5231866" cy="1890000"/>
            <a:chOff x="844249" y="3635693"/>
            <a:chExt cx="5231866" cy="1890000"/>
          </a:xfrm>
        </xdr:grpSpPr>
        <xdr:pic>
          <xdr:nvPicPr>
            <xdr:cNvPr id="45" name="Picture 44">
              <a:extLst>
                <a:ext uri="{FF2B5EF4-FFF2-40B4-BE49-F238E27FC236}">
                  <a16:creationId xmlns:a16="http://schemas.microsoft.com/office/drawing/2014/main" id="{79FB173A-F8C7-8D2E-D6EC-2048FE056FCF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3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844249" y="3635693"/>
              <a:ext cx="2520000" cy="189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46" name="Picture 45">
              <a:extLst>
                <a:ext uri="{FF2B5EF4-FFF2-40B4-BE49-F238E27FC236}">
                  <a16:creationId xmlns:a16="http://schemas.microsoft.com/office/drawing/2014/main" id="{893D54BE-E822-01E2-9CEF-6979EAC61505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4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3556115" y="3635693"/>
              <a:ext cx="2520000" cy="189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  <xdr:sp macro="" textlink="">
        <xdr:nvSpPr>
          <xdr:cNvPr id="43" name="TextBox 22">
            <a:extLst>
              <a:ext uri="{FF2B5EF4-FFF2-40B4-BE49-F238E27FC236}">
                <a16:creationId xmlns:a16="http://schemas.microsoft.com/office/drawing/2014/main" id="{F6788BB2-4917-4799-3593-71F985C48748}"/>
              </a:ext>
            </a:extLst>
          </xdr:cNvPr>
          <xdr:cNvSpPr txBox="1"/>
        </xdr:nvSpPr>
        <xdr:spPr>
          <a:xfrm>
            <a:off x="1675008" y="563489"/>
            <a:ext cx="506570" cy="447645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IN" b="1"/>
              <a:t>S2</a:t>
            </a:r>
          </a:p>
        </xdr:txBody>
      </xdr:sp>
      <xdr:sp macro="" textlink="">
        <xdr:nvSpPr>
          <xdr:cNvPr id="44" name="TextBox 24">
            <a:extLst>
              <a:ext uri="{FF2B5EF4-FFF2-40B4-BE49-F238E27FC236}">
                <a16:creationId xmlns:a16="http://schemas.microsoft.com/office/drawing/2014/main" id="{CC36756B-E153-199B-8531-7D7CC88CEA9A}"/>
              </a:ext>
            </a:extLst>
          </xdr:cNvPr>
          <xdr:cNvSpPr txBox="1"/>
        </xdr:nvSpPr>
        <xdr:spPr>
          <a:xfrm>
            <a:off x="3931920" y="378823"/>
            <a:ext cx="502615" cy="447645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IN" b="1"/>
              <a:t>S1</a:t>
            </a:r>
          </a:p>
        </xdr:txBody>
      </xdr:sp>
    </xdr:grpSp>
    <xdr:clientData/>
  </xdr:twoCellAnchor>
  <xdr:twoCellAnchor>
    <xdr:from>
      <xdr:col>9</xdr:col>
      <xdr:colOff>133350</xdr:colOff>
      <xdr:row>1069</xdr:row>
      <xdr:rowOff>47625</xdr:rowOff>
    </xdr:from>
    <xdr:to>
      <xdr:col>15</xdr:col>
      <xdr:colOff>390525</xdr:colOff>
      <xdr:row>1100</xdr:row>
      <xdr:rowOff>19050</xdr:rowOff>
    </xdr:to>
    <xdr:grpSp>
      <xdr:nvGrpSpPr>
        <xdr:cNvPr id="50" name="Group 49">
          <a:extLst>
            <a:ext uri="{FF2B5EF4-FFF2-40B4-BE49-F238E27FC236}">
              <a16:creationId xmlns:a16="http://schemas.microsoft.com/office/drawing/2014/main" id="{771E252C-D30E-4A08-A2D5-A71F9CAF49DB}"/>
            </a:ext>
          </a:extLst>
        </xdr:cNvPr>
        <xdr:cNvGrpSpPr/>
      </xdr:nvGrpSpPr>
      <xdr:grpSpPr>
        <a:xfrm>
          <a:off x="8027670" y="211068285"/>
          <a:ext cx="4973955" cy="6113145"/>
          <a:chOff x="810356" y="358589"/>
          <a:chExt cx="5112564" cy="7604896"/>
        </a:xfrm>
      </xdr:grpSpPr>
      <xdr:grpSp>
        <xdr:nvGrpSpPr>
          <xdr:cNvPr id="51" name="Group 50">
            <a:extLst>
              <a:ext uri="{FF2B5EF4-FFF2-40B4-BE49-F238E27FC236}">
                <a16:creationId xmlns:a16="http://schemas.microsoft.com/office/drawing/2014/main" id="{15EF8060-1E5A-40E3-A9EC-C0E0710FDE01}"/>
              </a:ext>
            </a:extLst>
          </xdr:cNvPr>
          <xdr:cNvGrpSpPr/>
        </xdr:nvGrpSpPr>
        <xdr:grpSpPr>
          <a:xfrm>
            <a:off x="810356" y="358589"/>
            <a:ext cx="5112564" cy="7604896"/>
            <a:chOff x="810356" y="358589"/>
            <a:chExt cx="5112564" cy="7604896"/>
          </a:xfrm>
        </xdr:grpSpPr>
        <xdr:pic>
          <xdr:nvPicPr>
            <xdr:cNvPr id="55" name="Picture 54">
              <a:extLst>
                <a:ext uri="{FF2B5EF4-FFF2-40B4-BE49-F238E27FC236}">
                  <a16:creationId xmlns:a16="http://schemas.microsoft.com/office/drawing/2014/main" id="{10DB1645-EF66-4D52-8B33-F04D9154B84F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5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842683" y="358589"/>
              <a:ext cx="2430000" cy="324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56" name="Picture 55">
              <a:extLst>
                <a:ext uri="{FF2B5EF4-FFF2-40B4-BE49-F238E27FC236}">
                  <a16:creationId xmlns:a16="http://schemas.microsoft.com/office/drawing/2014/main" id="{C7E40A75-6D56-4284-B9B9-BD1ED3DCA42C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6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3459037" y="358589"/>
              <a:ext cx="2430000" cy="324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57" name="Picture 56">
              <a:extLst>
                <a:ext uri="{FF2B5EF4-FFF2-40B4-BE49-F238E27FC236}">
                  <a16:creationId xmlns:a16="http://schemas.microsoft.com/office/drawing/2014/main" id="{B2B47A22-C7D7-400B-A04D-1A216C5F59A4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7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810356" y="3801037"/>
              <a:ext cx="1620000" cy="216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58" name="Picture 57">
              <a:extLst>
                <a:ext uri="{FF2B5EF4-FFF2-40B4-BE49-F238E27FC236}">
                  <a16:creationId xmlns:a16="http://schemas.microsoft.com/office/drawing/2014/main" id="{0714293B-B88C-45A0-947E-0D490F534DD5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8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2556638" y="3801037"/>
              <a:ext cx="1620000" cy="216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59" name="Picture 58">
              <a:extLst>
                <a:ext uri="{FF2B5EF4-FFF2-40B4-BE49-F238E27FC236}">
                  <a16:creationId xmlns:a16="http://schemas.microsoft.com/office/drawing/2014/main" id="{CC231544-4EFC-4E3A-B651-8C749841B8E9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9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4302920" y="3801037"/>
              <a:ext cx="1620000" cy="216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60" name="Picture 59">
              <a:extLst>
                <a:ext uri="{FF2B5EF4-FFF2-40B4-BE49-F238E27FC236}">
                  <a16:creationId xmlns:a16="http://schemas.microsoft.com/office/drawing/2014/main" id="{F79BEBA8-BD3D-45EF-8EFB-4FD2AC0DF9F6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30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1922683" y="6163485"/>
              <a:ext cx="1350000" cy="180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61" name="Picture 60">
              <a:extLst>
                <a:ext uri="{FF2B5EF4-FFF2-40B4-BE49-F238E27FC236}">
                  <a16:creationId xmlns:a16="http://schemas.microsoft.com/office/drawing/2014/main" id="{C847EB64-5EA0-471B-9C1F-E2D4EE4E2EA5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31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3459037" y="6163485"/>
              <a:ext cx="1350000" cy="180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  <xdr:sp macro="" textlink="">
        <xdr:nvSpPr>
          <xdr:cNvPr id="52" name="TextBox 158">
            <a:extLst>
              <a:ext uri="{FF2B5EF4-FFF2-40B4-BE49-F238E27FC236}">
                <a16:creationId xmlns:a16="http://schemas.microsoft.com/office/drawing/2014/main" id="{9B30D31B-5809-4F3E-A97B-0DD1C5ACEDCF}"/>
              </a:ext>
            </a:extLst>
          </xdr:cNvPr>
          <xdr:cNvSpPr txBox="1"/>
        </xdr:nvSpPr>
        <xdr:spPr>
          <a:xfrm>
            <a:off x="1511994" y="811183"/>
            <a:ext cx="465798" cy="460987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1">
                <a:solidFill>
                  <a:srgbClr val="FF0000"/>
                </a:solidFill>
              </a:rPr>
              <a:t>S1</a:t>
            </a:r>
            <a:endParaRPr lang="en-IN" b="1">
              <a:solidFill>
                <a:srgbClr val="FF0000"/>
              </a:solidFill>
            </a:endParaRPr>
          </a:p>
        </xdr:txBody>
      </xdr:sp>
      <xdr:sp macro="" textlink="">
        <xdr:nvSpPr>
          <xdr:cNvPr id="53" name="TextBox 159">
            <a:extLst>
              <a:ext uri="{FF2B5EF4-FFF2-40B4-BE49-F238E27FC236}">
                <a16:creationId xmlns:a16="http://schemas.microsoft.com/office/drawing/2014/main" id="{DC46D99B-E84C-47BF-A01F-BAF0E5B0EBF8}"/>
              </a:ext>
            </a:extLst>
          </xdr:cNvPr>
          <xdr:cNvSpPr txBox="1"/>
        </xdr:nvSpPr>
        <xdr:spPr>
          <a:xfrm>
            <a:off x="5288883" y="709960"/>
            <a:ext cx="467815" cy="460987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1">
                <a:solidFill>
                  <a:srgbClr val="FF0000"/>
                </a:solidFill>
              </a:rPr>
              <a:t>S1</a:t>
            </a:r>
            <a:endParaRPr lang="en-IN" b="1">
              <a:solidFill>
                <a:srgbClr val="FF0000"/>
              </a:solidFill>
            </a:endParaRPr>
          </a:p>
        </xdr:txBody>
      </xdr:sp>
      <xdr:sp macro="" textlink="">
        <xdr:nvSpPr>
          <xdr:cNvPr id="54" name="TextBox 160">
            <a:extLst>
              <a:ext uri="{FF2B5EF4-FFF2-40B4-BE49-F238E27FC236}">
                <a16:creationId xmlns:a16="http://schemas.microsoft.com/office/drawing/2014/main" id="{1832187F-6F50-4FE7-87D0-07AB3BCBB649}"/>
              </a:ext>
            </a:extLst>
          </xdr:cNvPr>
          <xdr:cNvSpPr txBox="1"/>
        </xdr:nvSpPr>
        <xdr:spPr>
          <a:xfrm>
            <a:off x="4176638" y="894626"/>
            <a:ext cx="468141" cy="460987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1">
                <a:solidFill>
                  <a:srgbClr val="FF0000"/>
                </a:solidFill>
              </a:rPr>
              <a:t>S2</a:t>
            </a:r>
            <a:endParaRPr lang="en-IN" b="1">
              <a:solidFill>
                <a:srgbClr val="FF0000"/>
              </a:solidFill>
            </a:endParaRPr>
          </a:p>
        </xdr:txBody>
      </xdr:sp>
    </xdr:grpSp>
    <xdr:clientData/>
  </xdr:twoCellAnchor>
  <xdr:twoCellAnchor editAs="oneCell">
    <xdr:from>
      <xdr:col>1</xdr:col>
      <xdr:colOff>720609</xdr:colOff>
      <xdr:row>1102</xdr:row>
      <xdr:rowOff>54428</xdr:rowOff>
    </xdr:from>
    <xdr:to>
      <xdr:col>6</xdr:col>
      <xdr:colOff>184038</xdr:colOff>
      <xdr:row>1117</xdr:row>
      <xdr:rowOff>66977</xdr:rowOff>
    </xdr:to>
    <xdr:pic>
      <xdr:nvPicPr>
        <xdr:cNvPr id="62" name="Picture 61">
          <a:extLst>
            <a:ext uri="{FF2B5EF4-FFF2-40B4-BE49-F238E27FC236}">
              <a16:creationId xmlns:a16="http://schemas.microsoft.com/office/drawing/2014/main" id="{E9D32F51-8075-40E6-AC0A-DCE37E0D6A3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482609" y="212978999"/>
          <a:ext cx="3600000" cy="3074157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0</xdr:col>
      <xdr:colOff>530676</xdr:colOff>
      <xdr:row>1119</xdr:row>
      <xdr:rowOff>17352</xdr:rowOff>
    </xdr:from>
    <xdr:to>
      <xdr:col>7</xdr:col>
      <xdr:colOff>308430</xdr:colOff>
      <xdr:row>1139</xdr:row>
      <xdr:rowOff>69879</xdr:rowOff>
    </xdr:to>
    <xdr:grpSp>
      <xdr:nvGrpSpPr>
        <xdr:cNvPr id="63" name="Group 62">
          <a:extLst>
            <a:ext uri="{FF2B5EF4-FFF2-40B4-BE49-F238E27FC236}">
              <a16:creationId xmlns:a16="http://schemas.microsoft.com/office/drawing/2014/main" id="{7C3ACDEA-8304-4565-8181-53411CEE0425}"/>
            </a:ext>
          </a:extLst>
        </xdr:cNvPr>
        <xdr:cNvGrpSpPr/>
      </xdr:nvGrpSpPr>
      <xdr:grpSpPr>
        <a:xfrm>
          <a:off x="530676" y="220944012"/>
          <a:ext cx="5622294" cy="4014927"/>
          <a:chOff x="410702" y="4006487"/>
          <a:chExt cx="5451933" cy="4134670"/>
        </a:xfrm>
      </xdr:grpSpPr>
      <xdr:pic>
        <xdr:nvPicPr>
          <xdr:cNvPr id="64" name="Picture 63">
            <a:extLst>
              <a:ext uri="{FF2B5EF4-FFF2-40B4-BE49-F238E27FC236}">
                <a16:creationId xmlns:a16="http://schemas.microsoft.com/office/drawing/2014/main" id="{10C366D9-D08C-4663-A6DB-E5A93BCBDC7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3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62635" y="4006487"/>
            <a:ext cx="5400000" cy="4062656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sp macro="" textlink="">
        <xdr:nvSpPr>
          <xdr:cNvPr id="65" name="Rectangle 64">
            <a:extLst>
              <a:ext uri="{FF2B5EF4-FFF2-40B4-BE49-F238E27FC236}">
                <a16:creationId xmlns:a16="http://schemas.microsoft.com/office/drawing/2014/main" id="{F04893EA-B309-4E51-B669-CF8C75F9AAFC}"/>
              </a:ext>
            </a:extLst>
          </xdr:cNvPr>
          <xdr:cNvSpPr/>
        </xdr:nvSpPr>
        <xdr:spPr>
          <a:xfrm rot="1786235">
            <a:off x="1159457" y="4607323"/>
            <a:ext cx="424556" cy="1194090"/>
          </a:xfrm>
          <a:prstGeom prst="rect">
            <a:avLst/>
          </a:prstGeom>
          <a:noFill/>
          <a:ln w="28575">
            <a:solidFill>
              <a:srgbClr val="FFFF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IN"/>
          </a:p>
        </xdr:txBody>
      </xdr:sp>
      <xdr:sp macro="" textlink="">
        <xdr:nvSpPr>
          <xdr:cNvPr id="66" name="Rectangle 65">
            <a:extLst>
              <a:ext uri="{FF2B5EF4-FFF2-40B4-BE49-F238E27FC236}">
                <a16:creationId xmlns:a16="http://schemas.microsoft.com/office/drawing/2014/main" id="{F2575C1C-6BB7-4788-8703-8F31E94D7752}"/>
              </a:ext>
            </a:extLst>
          </xdr:cNvPr>
          <xdr:cNvSpPr/>
        </xdr:nvSpPr>
        <xdr:spPr>
          <a:xfrm rot="1981795">
            <a:off x="1218886" y="5841929"/>
            <a:ext cx="976835" cy="367849"/>
          </a:xfrm>
          <a:prstGeom prst="rect">
            <a:avLst/>
          </a:prstGeom>
          <a:noFill/>
          <a:ln w="28575">
            <a:solidFill>
              <a:srgbClr val="FFFF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IN"/>
          </a:p>
        </xdr:txBody>
      </xdr:sp>
      <xdr:sp macro="" textlink="">
        <xdr:nvSpPr>
          <xdr:cNvPr id="67" name="TextBox 7">
            <a:extLst>
              <a:ext uri="{FF2B5EF4-FFF2-40B4-BE49-F238E27FC236}">
                <a16:creationId xmlns:a16="http://schemas.microsoft.com/office/drawing/2014/main" id="{F780ABE0-E1FB-499A-A67D-B4307D6DD13A}"/>
              </a:ext>
            </a:extLst>
          </xdr:cNvPr>
          <xdr:cNvSpPr txBox="1"/>
        </xdr:nvSpPr>
        <xdr:spPr>
          <a:xfrm>
            <a:off x="410702" y="4964468"/>
            <a:ext cx="790601" cy="307777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400" b="1">
                <a:solidFill>
                  <a:srgbClr val="FFFF00"/>
                </a:solidFill>
              </a:rPr>
              <a:t>Wing S2</a:t>
            </a:r>
            <a:endParaRPr lang="en-IN" sz="1400" b="1">
              <a:solidFill>
                <a:srgbClr val="FFFF00"/>
              </a:solidFill>
            </a:endParaRPr>
          </a:p>
        </xdr:txBody>
      </xdr:sp>
      <xdr:sp macro="" textlink="">
        <xdr:nvSpPr>
          <xdr:cNvPr id="68" name="TextBox 8">
            <a:extLst>
              <a:ext uri="{FF2B5EF4-FFF2-40B4-BE49-F238E27FC236}">
                <a16:creationId xmlns:a16="http://schemas.microsoft.com/office/drawing/2014/main" id="{DFEEB188-507F-48DC-877B-3B8E6088744E}"/>
              </a:ext>
            </a:extLst>
          </xdr:cNvPr>
          <xdr:cNvSpPr txBox="1"/>
        </xdr:nvSpPr>
        <xdr:spPr>
          <a:xfrm>
            <a:off x="1197568" y="6297211"/>
            <a:ext cx="790601" cy="307777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400" b="1">
                <a:solidFill>
                  <a:srgbClr val="FFFF00"/>
                </a:solidFill>
              </a:rPr>
              <a:t>Wing S1</a:t>
            </a:r>
            <a:endParaRPr lang="en-IN" sz="1400" b="1">
              <a:solidFill>
                <a:srgbClr val="FFFF00"/>
              </a:solidFill>
            </a:endParaRPr>
          </a:p>
        </xdr:txBody>
      </xdr:sp>
      <xdr:sp macro="" textlink="">
        <xdr:nvSpPr>
          <xdr:cNvPr id="69" name="Arrow: Right 68">
            <a:extLst>
              <a:ext uri="{FF2B5EF4-FFF2-40B4-BE49-F238E27FC236}">
                <a16:creationId xmlns:a16="http://schemas.microsoft.com/office/drawing/2014/main" id="{6A2D66B7-7057-4FC4-B82F-A5D807507D0E}"/>
              </a:ext>
            </a:extLst>
          </xdr:cNvPr>
          <xdr:cNvSpPr/>
        </xdr:nvSpPr>
        <xdr:spPr>
          <a:xfrm rot="16200000">
            <a:off x="2333625" y="7572375"/>
            <a:ext cx="257175" cy="285750"/>
          </a:xfrm>
          <a:prstGeom prst="rightArrow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IN"/>
          </a:p>
        </xdr:txBody>
      </xdr:sp>
      <xdr:sp macro="" textlink="">
        <xdr:nvSpPr>
          <xdr:cNvPr id="70" name="TextBox 10">
            <a:extLst>
              <a:ext uri="{FF2B5EF4-FFF2-40B4-BE49-F238E27FC236}">
                <a16:creationId xmlns:a16="http://schemas.microsoft.com/office/drawing/2014/main" id="{BC3E1E9A-BBE4-4A77-AC48-957D5312E027}"/>
              </a:ext>
            </a:extLst>
          </xdr:cNvPr>
          <xdr:cNvSpPr txBox="1"/>
        </xdr:nvSpPr>
        <xdr:spPr>
          <a:xfrm>
            <a:off x="2295339" y="7771825"/>
            <a:ext cx="333746" cy="36933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1"/>
              <a:t>N</a:t>
            </a:r>
            <a:endParaRPr lang="en-IN" b="1"/>
          </a:p>
        </xdr:txBody>
      </xdr:sp>
    </xdr:grpSp>
    <xdr:clientData/>
  </xdr:twoCellAnchor>
  <xdr:twoCellAnchor editAs="oneCell">
    <xdr:from>
      <xdr:col>9</xdr:col>
      <xdr:colOff>600075</xdr:colOff>
      <xdr:row>280</xdr:row>
      <xdr:rowOff>161925</xdr:rowOff>
    </xdr:from>
    <xdr:to>
      <xdr:col>14</xdr:col>
      <xdr:colOff>275775</xdr:colOff>
      <xdr:row>294</xdr:row>
      <xdr:rowOff>101874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6C19F137-CE86-4480-B1AF-D1C23E4A11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286750" y="51339750"/>
          <a:ext cx="3600000" cy="2740299"/>
        </a:xfrm>
        <a:prstGeom prst="rect">
          <a:avLst/>
        </a:prstGeom>
      </xdr:spPr>
    </xdr:pic>
    <xdr:clientData/>
  </xdr:twoCellAnchor>
  <xdr:twoCellAnchor editAs="oneCell">
    <xdr:from>
      <xdr:col>9</xdr:col>
      <xdr:colOff>390525</xdr:colOff>
      <xdr:row>276</xdr:row>
      <xdr:rowOff>28575</xdr:rowOff>
    </xdr:from>
    <xdr:to>
      <xdr:col>14</xdr:col>
      <xdr:colOff>295809</xdr:colOff>
      <xdr:row>280</xdr:row>
      <xdr:rowOff>76318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5A4CD572-EF17-429A-B5B0-D5623378D5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8077200" y="50406300"/>
          <a:ext cx="3829584" cy="847843"/>
        </a:xfrm>
        <a:prstGeom prst="rect">
          <a:avLst/>
        </a:prstGeom>
      </xdr:spPr>
    </xdr:pic>
    <xdr:clientData/>
  </xdr:twoCellAnchor>
  <xdr:twoCellAnchor editAs="oneCell">
    <xdr:from>
      <xdr:col>11</xdr:col>
      <xdr:colOff>441960</xdr:colOff>
      <xdr:row>173</xdr:row>
      <xdr:rowOff>192405</xdr:rowOff>
    </xdr:from>
    <xdr:to>
      <xdr:col>13</xdr:col>
      <xdr:colOff>440313</xdr:colOff>
      <xdr:row>176</xdr:row>
      <xdr:rowOff>3867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8F615424-244A-4A5F-BA36-9DB2BBD54D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9974580" y="34665285"/>
          <a:ext cx="1537593" cy="405822"/>
        </a:xfrm>
        <a:prstGeom prst="rect">
          <a:avLst/>
        </a:prstGeom>
      </xdr:spPr>
    </xdr:pic>
    <xdr:clientData/>
  </xdr:twoCellAnchor>
  <xdr:twoCellAnchor editAs="oneCell">
    <xdr:from>
      <xdr:col>10</xdr:col>
      <xdr:colOff>659130</xdr:colOff>
      <xdr:row>177</xdr:row>
      <xdr:rowOff>51435</xdr:rowOff>
    </xdr:from>
    <xdr:to>
      <xdr:col>15</xdr:col>
      <xdr:colOff>452940</xdr:colOff>
      <xdr:row>193</xdr:row>
      <xdr:rowOff>13035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892DC066-0FCC-4231-9B02-4F2342D6C7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8310" y="35316795"/>
          <a:ext cx="3725730" cy="3131520"/>
        </a:xfrm>
        <a:prstGeom prst="rect">
          <a:avLst/>
        </a:prstGeom>
      </xdr:spPr>
    </xdr:pic>
    <xdr:clientData/>
  </xdr:twoCellAnchor>
  <xdr:twoCellAnchor editAs="oneCell">
    <xdr:from>
      <xdr:col>8</xdr:col>
      <xdr:colOff>285750</xdr:colOff>
      <xdr:row>40</xdr:row>
      <xdr:rowOff>0</xdr:rowOff>
    </xdr:from>
    <xdr:to>
      <xdr:col>11</xdr:col>
      <xdr:colOff>413025</xdr:colOff>
      <xdr:row>50</xdr:row>
      <xdr:rowOff>155522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71D24EAE-419F-4649-9298-D5885119A8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6810375" y="9020175"/>
          <a:ext cx="2880000" cy="2384372"/>
        </a:xfrm>
        <a:prstGeom prst="rect">
          <a:avLst/>
        </a:prstGeom>
      </xdr:spPr>
    </xdr:pic>
    <xdr:clientData/>
  </xdr:twoCellAnchor>
  <xdr:twoCellAnchor editAs="oneCell">
    <xdr:from>
      <xdr:col>8</xdr:col>
      <xdr:colOff>314325</xdr:colOff>
      <xdr:row>66</xdr:row>
      <xdr:rowOff>247650</xdr:rowOff>
    </xdr:from>
    <xdr:to>
      <xdr:col>14</xdr:col>
      <xdr:colOff>627975</xdr:colOff>
      <xdr:row>69</xdr:row>
      <xdr:rowOff>169790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FE1321D5-9A48-46FB-871A-11C267D330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838950" y="16373475"/>
          <a:ext cx="5400000" cy="762245"/>
        </a:xfrm>
        <a:prstGeom prst="rect">
          <a:avLst/>
        </a:prstGeom>
      </xdr:spPr>
    </xdr:pic>
    <xdr:clientData/>
  </xdr:twoCellAnchor>
  <xdr:twoCellAnchor>
    <xdr:from>
      <xdr:col>0</xdr:col>
      <xdr:colOff>200025</xdr:colOff>
      <xdr:row>1068</xdr:row>
      <xdr:rowOff>104775</xdr:rowOff>
    </xdr:from>
    <xdr:to>
      <xdr:col>7</xdr:col>
      <xdr:colOff>666750</xdr:colOff>
      <xdr:row>1098</xdr:row>
      <xdr:rowOff>104775</xdr:rowOff>
    </xdr:to>
    <xdr:grpSp>
      <xdr:nvGrpSpPr>
        <xdr:cNvPr id="71" name="Group 70">
          <a:extLst>
            <a:ext uri="{FF2B5EF4-FFF2-40B4-BE49-F238E27FC236}">
              <a16:creationId xmlns:a16="http://schemas.microsoft.com/office/drawing/2014/main" id="{947B072C-E601-4524-A4EF-9465580A95EB}"/>
            </a:ext>
          </a:extLst>
        </xdr:cNvPr>
        <xdr:cNvGrpSpPr/>
      </xdr:nvGrpSpPr>
      <xdr:grpSpPr>
        <a:xfrm>
          <a:off x="200025" y="210927315"/>
          <a:ext cx="6311265" cy="5943600"/>
          <a:chOff x="266701" y="531016"/>
          <a:chExt cx="6374660" cy="6867300"/>
        </a:xfrm>
      </xdr:grpSpPr>
      <xdr:grpSp>
        <xdr:nvGrpSpPr>
          <xdr:cNvPr id="72" name="Group 71">
            <a:extLst>
              <a:ext uri="{FF2B5EF4-FFF2-40B4-BE49-F238E27FC236}">
                <a16:creationId xmlns:a16="http://schemas.microsoft.com/office/drawing/2014/main" id="{38B5EAE6-A721-4FDA-B359-0ACF8787F376}"/>
              </a:ext>
            </a:extLst>
          </xdr:cNvPr>
          <xdr:cNvGrpSpPr/>
        </xdr:nvGrpSpPr>
        <xdr:grpSpPr>
          <a:xfrm>
            <a:off x="266701" y="531016"/>
            <a:ext cx="6374660" cy="6867300"/>
            <a:chOff x="266701" y="531016"/>
            <a:chExt cx="6374660" cy="6867300"/>
          </a:xfrm>
        </xdr:grpSpPr>
        <xdr:pic>
          <xdr:nvPicPr>
            <xdr:cNvPr id="78" name="Picture 77">
              <a:extLst>
                <a:ext uri="{FF2B5EF4-FFF2-40B4-BE49-F238E27FC236}">
                  <a16:creationId xmlns:a16="http://schemas.microsoft.com/office/drawing/2014/main" id="{80BE27D9-F0FB-4EF9-82D3-0F899D36D561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40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3524250" y="531016"/>
              <a:ext cx="3117111" cy="234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79" name="Picture 78">
              <a:extLst>
                <a:ext uri="{FF2B5EF4-FFF2-40B4-BE49-F238E27FC236}">
                  <a16:creationId xmlns:a16="http://schemas.microsoft.com/office/drawing/2014/main" id="{1E9D4976-54CA-4FBE-A6C8-20800549F7EE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41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266701" y="531016"/>
              <a:ext cx="3117111" cy="234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80" name="Picture 79">
              <a:extLst>
                <a:ext uri="{FF2B5EF4-FFF2-40B4-BE49-F238E27FC236}">
                  <a16:creationId xmlns:a16="http://schemas.microsoft.com/office/drawing/2014/main" id="{A7BB4E46-BA86-4E83-B86D-DAD89081A1B5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42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3725928" y="3064666"/>
              <a:ext cx="2877333" cy="216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81" name="Picture 80">
              <a:extLst>
                <a:ext uri="{FF2B5EF4-FFF2-40B4-BE49-F238E27FC236}">
                  <a16:creationId xmlns:a16="http://schemas.microsoft.com/office/drawing/2014/main" id="{D383526D-B841-421B-A878-A8D8579B9222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43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2015364" y="3064666"/>
              <a:ext cx="1618312" cy="216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82" name="Picture 81">
              <a:extLst>
                <a:ext uri="{FF2B5EF4-FFF2-40B4-BE49-F238E27FC236}">
                  <a16:creationId xmlns:a16="http://schemas.microsoft.com/office/drawing/2014/main" id="{BE509C62-FA7D-4230-9586-E8EE0B01FD94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44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295276" y="3064666"/>
              <a:ext cx="1618312" cy="216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83" name="Picture 82">
              <a:extLst>
                <a:ext uri="{FF2B5EF4-FFF2-40B4-BE49-F238E27FC236}">
                  <a16:creationId xmlns:a16="http://schemas.microsoft.com/office/drawing/2014/main" id="{FC86B5FE-8420-4E6B-B5EA-482DA6601F27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45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2698781" y="5418316"/>
              <a:ext cx="1483453" cy="198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84" name="Picture 83">
              <a:extLst>
                <a:ext uri="{FF2B5EF4-FFF2-40B4-BE49-F238E27FC236}">
                  <a16:creationId xmlns:a16="http://schemas.microsoft.com/office/drawing/2014/main" id="{D1E0DD15-3B10-40A3-925F-26E9C7FC04D8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46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1045429" y="5418316"/>
              <a:ext cx="1483453" cy="198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85" name="Picture 84">
              <a:extLst>
                <a:ext uri="{FF2B5EF4-FFF2-40B4-BE49-F238E27FC236}">
                  <a16:creationId xmlns:a16="http://schemas.microsoft.com/office/drawing/2014/main" id="{F1A9A727-9ED5-4043-A326-C83FE196D9FF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47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4352133" y="5418316"/>
              <a:ext cx="1483453" cy="198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  <xdr:sp macro="" textlink="">
        <xdr:nvSpPr>
          <xdr:cNvPr id="73" name="TextBox 57">
            <a:extLst>
              <a:ext uri="{FF2B5EF4-FFF2-40B4-BE49-F238E27FC236}">
                <a16:creationId xmlns:a16="http://schemas.microsoft.com/office/drawing/2014/main" id="{98678957-3B01-4E37-8D21-5674A09E3B20}"/>
              </a:ext>
            </a:extLst>
          </xdr:cNvPr>
          <xdr:cNvSpPr txBox="1"/>
        </xdr:nvSpPr>
        <xdr:spPr>
          <a:xfrm>
            <a:off x="2483547" y="704850"/>
            <a:ext cx="531366" cy="535597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2400" b="1"/>
              <a:t>S2</a:t>
            </a:r>
            <a:endParaRPr lang="en-IN" sz="2400" b="1"/>
          </a:p>
        </xdr:txBody>
      </xdr:sp>
      <xdr:sp macro="" textlink="">
        <xdr:nvSpPr>
          <xdr:cNvPr id="74" name="TextBox 58">
            <a:extLst>
              <a:ext uri="{FF2B5EF4-FFF2-40B4-BE49-F238E27FC236}">
                <a16:creationId xmlns:a16="http://schemas.microsoft.com/office/drawing/2014/main" id="{FCA6F869-550F-4283-8A5D-B344DECC5A76}"/>
              </a:ext>
            </a:extLst>
          </xdr:cNvPr>
          <xdr:cNvSpPr txBox="1"/>
        </xdr:nvSpPr>
        <xdr:spPr>
          <a:xfrm>
            <a:off x="5557571" y="531016"/>
            <a:ext cx="521031" cy="535597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2400" b="1"/>
              <a:t>S1</a:t>
            </a:r>
            <a:endParaRPr lang="en-IN" sz="2400" b="1"/>
          </a:p>
        </xdr:txBody>
      </xdr:sp>
      <xdr:sp macro="" textlink="">
        <xdr:nvSpPr>
          <xdr:cNvPr id="75" name="TextBox 59">
            <a:extLst>
              <a:ext uri="{FF2B5EF4-FFF2-40B4-BE49-F238E27FC236}">
                <a16:creationId xmlns:a16="http://schemas.microsoft.com/office/drawing/2014/main" id="{8BDE6B56-1CD1-4436-AA09-58B3467561EB}"/>
              </a:ext>
            </a:extLst>
          </xdr:cNvPr>
          <xdr:cNvSpPr txBox="1"/>
        </xdr:nvSpPr>
        <xdr:spPr>
          <a:xfrm>
            <a:off x="5971381" y="3064665"/>
            <a:ext cx="593249" cy="535597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2400" b="1"/>
              <a:t>S1</a:t>
            </a:r>
            <a:endParaRPr lang="en-IN" sz="2400" b="1"/>
          </a:p>
        </xdr:txBody>
      </xdr:sp>
      <xdr:sp macro="" textlink="">
        <xdr:nvSpPr>
          <xdr:cNvPr id="76" name="TextBox 60">
            <a:extLst>
              <a:ext uri="{FF2B5EF4-FFF2-40B4-BE49-F238E27FC236}">
                <a16:creationId xmlns:a16="http://schemas.microsoft.com/office/drawing/2014/main" id="{920AD9A2-3215-4FD3-BFDE-9198B7314A3D}"/>
              </a:ext>
            </a:extLst>
          </xdr:cNvPr>
          <xdr:cNvSpPr txBox="1"/>
        </xdr:nvSpPr>
        <xdr:spPr>
          <a:xfrm>
            <a:off x="2316052" y="2943565"/>
            <a:ext cx="547879" cy="535597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2400" b="1"/>
              <a:t>S2</a:t>
            </a:r>
            <a:endParaRPr lang="en-IN" sz="2400" b="1"/>
          </a:p>
        </xdr:txBody>
      </xdr:sp>
      <xdr:sp macro="" textlink="">
        <xdr:nvSpPr>
          <xdr:cNvPr id="77" name="TextBox 61">
            <a:extLst>
              <a:ext uri="{FF2B5EF4-FFF2-40B4-BE49-F238E27FC236}">
                <a16:creationId xmlns:a16="http://schemas.microsoft.com/office/drawing/2014/main" id="{09FA2648-A0AD-4104-9ECA-E6A068320CE5}"/>
              </a:ext>
            </a:extLst>
          </xdr:cNvPr>
          <xdr:cNvSpPr txBox="1"/>
        </xdr:nvSpPr>
        <xdr:spPr>
          <a:xfrm>
            <a:off x="1291377" y="3047171"/>
            <a:ext cx="518176" cy="535597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2400" b="1"/>
              <a:t>S2</a:t>
            </a:r>
            <a:endParaRPr lang="en-IN" sz="2400" b="1"/>
          </a:p>
        </xdr:txBody>
      </xdr:sp>
    </xdr:grpSp>
    <xdr:clientData/>
  </xdr:twoCellAnchor>
  <xdr:oneCellAnchor>
    <xdr:from>
      <xdr:col>11</xdr:col>
      <xdr:colOff>441960</xdr:colOff>
      <xdr:row>198</xdr:row>
      <xdr:rowOff>192405</xdr:rowOff>
    </xdr:from>
    <xdr:ext cx="1537593" cy="405822"/>
    <xdr:pic>
      <xdr:nvPicPr>
        <xdr:cNvPr id="86" name="Picture 85">
          <a:extLst>
            <a:ext uri="{FF2B5EF4-FFF2-40B4-BE49-F238E27FC236}">
              <a16:creationId xmlns:a16="http://schemas.microsoft.com/office/drawing/2014/main" id="{0E53665F-0A89-4653-B099-38D64FCACA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9974580" y="34665285"/>
          <a:ext cx="1537593" cy="405822"/>
        </a:xfrm>
        <a:prstGeom prst="rect">
          <a:avLst/>
        </a:prstGeom>
      </xdr:spPr>
    </xdr:pic>
    <xdr:clientData/>
  </xdr:oneCellAnchor>
  <xdr:oneCellAnchor>
    <xdr:from>
      <xdr:col>10</xdr:col>
      <xdr:colOff>659130</xdr:colOff>
      <xdr:row>202</xdr:row>
      <xdr:rowOff>51435</xdr:rowOff>
    </xdr:from>
    <xdr:ext cx="3725730" cy="3131520"/>
    <xdr:pic>
      <xdr:nvPicPr>
        <xdr:cNvPr id="87" name="Picture 86">
          <a:extLst>
            <a:ext uri="{FF2B5EF4-FFF2-40B4-BE49-F238E27FC236}">
              <a16:creationId xmlns:a16="http://schemas.microsoft.com/office/drawing/2014/main" id="{DC4651DB-0A26-464F-BA73-347ABCF2C8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8310" y="35316795"/>
          <a:ext cx="3725730" cy="313152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housing.com/commercial/lodha-vikhroli-signet-in-vikhroli-east-mumbai-cpid-308314" TargetMode="External"/><Relationship Id="rId1" Type="http://schemas.openxmlformats.org/officeDocument/2006/relationships/hyperlink" Target="https://goo.gl/maps/NnBAD67ksv6wFPAD7" TargetMode="Externa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P1144"/>
  <sheetViews>
    <sheetView tabSelected="1" view="pageBreakPreview" topLeftCell="A153" zoomScaleNormal="100" zoomScaleSheetLayoutView="100" workbookViewId="0">
      <selection activeCell="L165" sqref="L165:M165"/>
    </sheetView>
  </sheetViews>
  <sheetFormatPr defaultColWidth="9.109375" defaultRowHeight="15.6" x14ac:dyDescent="0.3"/>
  <cols>
    <col min="1" max="1" width="11.44140625" style="40" customWidth="1"/>
    <col min="2" max="2" width="12" style="40" customWidth="1"/>
    <col min="3" max="3" width="12.6640625" style="40" customWidth="1"/>
    <col min="4" max="4" width="14.109375" style="40" customWidth="1"/>
    <col min="5" max="7" width="11.6640625" style="40" customWidth="1"/>
    <col min="8" max="8" width="12.44140625" style="40" customWidth="1"/>
    <col min="9" max="9" width="17.44140625" style="21" customWidth="1"/>
    <col min="10" max="10" width="11.44140625" style="21" customWidth="1"/>
    <col min="11" max="11" width="12.44140625" style="21" bestFit="1" customWidth="1"/>
    <col min="12" max="12" width="10.5546875" style="21" customWidth="1"/>
    <col min="13" max="13" width="11.88671875" style="21" customWidth="1"/>
    <col min="14" max="14" width="12.5546875" style="21" customWidth="1"/>
    <col min="15" max="15" width="9.88671875" style="21" customWidth="1"/>
    <col min="16" max="16" width="11.6640625" style="21" customWidth="1"/>
    <col min="17" max="247" width="9.109375" style="21"/>
    <col min="248" max="248" width="8.6640625" style="21" customWidth="1"/>
    <col min="249" max="249" width="9.88671875" style="21" customWidth="1"/>
    <col min="250" max="250" width="14.44140625" style="21" customWidth="1"/>
    <col min="251" max="251" width="7.33203125" style="21" customWidth="1"/>
    <col min="252" max="252" width="5.5546875" style="21" customWidth="1"/>
    <col min="253" max="253" width="9" style="21" customWidth="1"/>
    <col min="254" max="255" width="9.88671875" style="21" customWidth="1"/>
    <col min="256" max="256" width="11.109375" style="21" customWidth="1"/>
    <col min="257" max="257" width="2.88671875" style="21" customWidth="1"/>
    <col min="258" max="258" width="3.5546875" style="21" customWidth="1"/>
    <col min="259" max="503" width="9.109375" style="21"/>
    <col min="504" max="504" width="8.6640625" style="21" customWidth="1"/>
    <col min="505" max="505" width="9.88671875" style="21" customWidth="1"/>
    <col min="506" max="506" width="14.44140625" style="21" customWidth="1"/>
    <col min="507" max="507" width="7.33203125" style="21" customWidth="1"/>
    <col min="508" max="508" width="5.5546875" style="21" customWidth="1"/>
    <col min="509" max="509" width="9" style="21" customWidth="1"/>
    <col min="510" max="511" width="9.88671875" style="21" customWidth="1"/>
    <col min="512" max="512" width="11.109375" style="21" customWidth="1"/>
    <col min="513" max="513" width="2.88671875" style="21" customWidth="1"/>
    <col min="514" max="514" width="3.5546875" style="21" customWidth="1"/>
    <col min="515" max="759" width="9.109375" style="21"/>
    <col min="760" max="760" width="8.6640625" style="21" customWidth="1"/>
    <col min="761" max="761" width="9.88671875" style="21" customWidth="1"/>
    <col min="762" max="762" width="14.44140625" style="21" customWidth="1"/>
    <col min="763" max="763" width="7.33203125" style="21" customWidth="1"/>
    <col min="764" max="764" width="5.5546875" style="21" customWidth="1"/>
    <col min="765" max="765" width="9" style="21" customWidth="1"/>
    <col min="766" max="767" width="9.88671875" style="21" customWidth="1"/>
    <col min="768" max="768" width="11.109375" style="21" customWidth="1"/>
    <col min="769" max="769" width="2.88671875" style="21" customWidth="1"/>
    <col min="770" max="770" width="3.5546875" style="21" customWidth="1"/>
    <col min="771" max="1015" width="9.109375" style="21"/>
    <col min="1016" max="1016" width="8.6640625" style="21" customWidth="1"/>
    <col min="1017" max="1017" width="9.88671875" style="21" customWidth="1"/>
    <col min="1018" max="1018" width="14.44140625" style="21" customWidth="1"/>
    <col min="1019" max="1019" width="7.33203125" style="21" customWidth="1"/>
    <col min="1020" max="1020" width="5.5546875" style="21" customWidth="1"/>
    <col min="1021" max="1021" width="9" style="21" customWidth="1"/>
    <col min="1022" max="1023" width="9.88671875" style="21" customWidth="1"/>
    <col min="1024" max="1024" width="11.109375" style="21" customWidth="1"/>
    <col min="1025" max="1025" width="2.88671875" style="21" customWidth="1"/>
    <col min="1026" max="1026" width="3.5546875" style="21" customWidth="1"/>
    <col min="1027" max="1271" width="9.109375" style="21"/>
    <col min="1272" max="1272" width="8.6640625" style="21" customWidth="1"/>
    <col min="1273" max="1273" width="9.88671875" style="21" customWidth="1"/>
    <col min="1274" max="1274" width="14.44140625" style="21" customWidth="1"/>
    <col min="1275" max="1275" width="7.33203125" style="21" customWidth="1"/>
    <col min="1276" max="1276" width="5.5546875" style="21" customWidth="1"/>
    <col min="1277" max="1277" width="9" style="21" customWidth="1"/>
    <col min="1278" max="1279" width="9.88671875" style="21" customWidth="1"/>
    <col min="1280" max="1280" width="11.109375" style="21" customWidth="1"/>
    <col min="1281" max="1281" width="2.88671875" style="21" customWidth="1"/>
    <col min="1282" max="1282" width="3.5546875" style="21" customWidth="1"/>
    <col min="1283" max="1527" width="9.109375" style="21"/>
    <col min="1528" max="1528" width="8.6640625" style="21" customWidth="1"/>
    <col min="1529" max="1529" width="9.88671875" style="21" customWidth="1"/>
    <col min="1530" max="1530" width="14.44140625" style="21" customWidth="1"/>
    <col min="1531" max="1531" width="7.33203125" style="21" customWidth="1"/>
    <col min="1532" max="1532" width="5.5546875" style="21" customWidth="1"/>
    <col min="1533" max="1533" width="9" style="21" customWidth="1"/>
    <col min="1534" max="1535" width="9.88671875" style="21" customWidth="1"/>
    <col min="1536" max="1536" width="11.109375" style="21" customWidth="1"/>
    <col min="1537" max="1537" width="2.88671875" style="21" customWidth="1"/>
    <col min="1538" max="1538" width="3.5546875" style="21" customWidth="1"/>
    <col min="1539" max="1783" width="9.109375" style="21"/>
    <col min="1784" max="1784" width="8.6640625" style="21" customWidth="1"/>
    <col min="1785" max="1785" width="9.88671875" style="21" customWidth="1"/>
    <col min="1786" max="1786" width="14.44140625" style="21" customWidth="1"/>
    <col min="1787" max="1787" width="7.33203125" style="21" customWidth="1"/>
    <col min="1788" max="1788" width="5.5546875" style="21" customWidth="1"/>
    <col min="1789" max="1789" width="9" style="21" customWidth="1"/>
    <col min="1790" max="1791" width="9.88671875" style="21" customWidth="1"/>
    <col min="1792" max="1792" width="11.109375" style="21" customWidth="1"/>
    <col min="1793" max="1793" width="2.88671875" style="21" customWidth="1"/>
    <col min="1794" max="1794" width="3.5546875" style="21" customWidth="1"/>
    <col min="1795" max="2039" width="9.109375" style="21"/>
    <col min="2040" max="2040" width="8.6640625" style="21" customWidth="1"/>
    <col min="2041" max="2041" width="9.88671875" style="21" customWidth="1"/>
    <col min="2042" max="2042" width="14.44140625" style="21" customWidth="1"/>
    <col min="2043" max="2043" width="7.33203125" style="21" customWidth="1"/>
    <col min="2044" max="2044" width="5.5546875" style="21" customWidth="1"/>
    <col min="2045" max="2045" width="9" style="21" customWidth="1"/>
    <col min="2046" max="2047" width="9.88671875" style="21" customWidth="1"/>
    <col min="2048" max="2048" width="11.109375" style="21" customWidth="1"/>
    <col min="2049" max="2049" width="2.88671875" style="21" customWidth="1"/>
    <col min="2050" max="2050" width="3.5546875" style="21" customWidth="1"/>
    <col min="2051" max="2295" width="9.109375" style="21"/>
    <col min="2296" max="2296" width="8.6640625" style="21" customWidth="1"/>
    <col min="2297" max="2297" width="9.88671875" style="21" customWidth="1"/>
    <col min="2298" max="2298" width="14.44140625" style="21" customWidth="1"/>
    <col min="2299" max="2299" width="7.33203125" style="21" customWidth="1"/>
    <col min="2300" max="2300" width="5.5546875" style="21" customWidth="1"/>
    <col min="2301" max="2301" width="9" style="21" customWidth="1"/>
    <col min="2302" max="2303" width="9.88671875" style="21" customWidth="1"/>
    <col min="2304" max="2304" width="11.109375" style="21" customWidth="1"/>
    <col min="2305" max="2305" width="2.88671875" style="21" customWidth="1"/>
    <col min="2306" max="2306" width="3.5546875" style="21" customWidth="1"/>
    <col min="2307" max="2551" width="9.109375" style="21"/>
    <col min="2552" max="2552" width="8.6640625" style="21" customWidth="1"/>
    <col min="2553" max="2553" width="9.88671875" style="21" customWidth="1"/>
    <col min="2554" max="2554" width="14.44140625" style="21" customWidth="1"/>
    <col min="2555" max="2555" width="7.33203125" style="21" customWidth="1"/>
    <col min="2556" max="2556" width="5.5546875" style="21" customWidth="1"/>
    <col min="2557" max="2557" width="9" style="21" customWidth="1"/>
    <col min="2558" max="2559" width="9.88671875" style="21" customWidth="1"/>
    <col min="2560" max="2560" width="11.109375" style="21" customWidth="1"/>
    <col min="2561" max="2561" width="2.88671875" style="21" customWidth="1"/>
    <col min="2562" max="2562" width="3.5546875" style="21" customWidth="1"/>
    <col min="2563" max="2807" width="9.109375" style="21"/>
    <col min="2808" max="2808" width="8.6640625" style="21" customWidth="1"/>
    <col min="2809" max="2809" width="9.88671875" style="21" customWidth="1"/>
    <col min="2810" max="2810" width="14.44140625" style="21" customWidth="1"/>
    <col min="2811" max="2811" width="7.33203125" style="21" customWidth="1"/>
    <col min="2812" max="2812" width="5.5546875" style="21" customWidth="1"/>
    <col min="2813" max="2813" width="9" style="21" customWidth="1"/>
    <col min="2814" max="2815" width="9.88671875" style="21" customWidth="1"/>
    <col min="2816" max="2816" width="11.109375" style="21" customWidth="1"/>
    <col min="2817" max="2817" width="2.88671875" style="21" customWidth="1"/>
    <col min="2818" max="2818" width="3.5546875" style="21" customWidth="1"/>
    <col min="2819" max="3063" width="9.109375" style="21"/>
    <col min="3064" max="3064" width="8.6640625" style="21" customWidth="1"/>
    <col min="3065" max="3065" width="9.88671875" style="21" customWidth="1"/>
    <col min="3066" max="3066" width="14.44140625" style="21" customWidth="1"/>
    <col min="3067" max="3067" width="7.33203125" style="21" customWidth="1"/>
    <col min="3068" max="3068" width="5.5546875" style="21" customWidth="1"/>
    <col min="3069" max="3069" width="9" style="21" customWidth="1"/>
    <col min="3070" max="3071" width="9.88671875" style="21" customWidth="1"/>
    <col min="3072" max="3072" width="11.109375" style="21" customWidth="1"/>
    <col min="3073" max="3073" width="2.88671875" style="21" customWidth="1"/>
    <col min="3074" max="3074" width="3.5546875" style="21" customWidth="1"/>
    <col min="3075" max="3319" width="9.109375" style="21"/>
    <col min="3320" max="3320" width="8.6640625" style="21" customWidth="1"/>
    <col min="3321" max="3321" width="9.88671875" style="21" customWidth="1"/>
    <col min="3322" max="3322" width="14.44140625" style="21" customWidth="1"/>
    <col min="3323" max="3323" width="7.33203125" style="21" customWidth="1"/>
    <col min="3324" max="3324" width="5.5546875" style="21" customWidth="1"/>
    <col min="3325" max="3325" width="9" style="21" customWidth="1"/>
    <col min="3326" max="3327" width="9.88671875" style="21" customWidth="1"/>
    <col min="3328" max="3328" width="11.109375" style="21" customWidth="1"/>
    <col min="3329" max="3329" width="2.88671875" style="21" customWidth="1"/>
    <col min="3330" max="3330" width="3.5546875" style="21" customWidth="1"/>
    <col min="3331" max="3575" width="9.109375" style="21"/>
    <col min="3576" max="3576" width="8.6640625" style="21" customWidth="1"/>
    <col min="3577" max="3577" width="9.88671875" style="21" customWidth="1"/>
    <col min="3578" max="3578" width="14.44140625" style="21" customWidth="1"/>
    <col min="3579" max="3579" width="7.33203125" style="21" customWidth="1"/>
    <col min="3580" max="3580" width="5.5546875" style="21" customWidth="1"/>
    <col min="3581" max="3581" width="9" style="21" customWidth="1"/>
    <col min="3582" max="3583" width="9.88671875" style="21" customWidth="1"/>
    <col min="3584" max="3584" width="11.109375" style="21" customWidth="1"/>
    <col min="3585" max="3585" width="2.88671875" style="21" customWidth="1"/>
    <col min="3586" max="3586" width="3.5546875" style="21" customWidth="1"/>
    <col min="3587" max="3831" width="9.109375" style="21"/>
    <col min="3832" max="3832" width="8.6640625" style="21" customWidth="1"/>
    <col min="3833" max="3833" width="9.88671875" style="21" customWidth="1"/>
    <col min="3834" max="3834" width="14.44140625" style="21" customWidth="1"/>
    <col min="3835" max="3835" width="7.33203125" style="21" customWidth="1"/>
    <col min="3836" max="3836" width="5.5546875" style="21" customWidth="1"/>
    <col min="3837" max="3837" width="9" style="21" customWidth="1"/>
    <col min="3838" max="3839" width="9.88671875" style="21" customWidth="1"/>
    <col min="3840" max="3840" width="11.109375" style="21" customWidth="1"/>
    <col min="3841" max="3841" width="2.88671875" style="21" customWidth="1"/>
    <col min="3842" max="3842" width="3.5546875" style="21" customWidth="1"/>
    <col min="3843" max="4087" width="9.109375" style="21"/>
    <col min="4088" max="4088" width="8.6640625" style="21" customWidth="1"/>
    <col min="4089" max="4089" width="9.88671875" style="21" customWidth="1"/>
    <col min="4090" max="4090" width="14.44140625" style="21" customWidth="1"/>
    <col min="4091" max="4091" width="7.33203125" style="21" customWidth="1"/>
    <col min="4092" max="4092" width="5.5546875" style="21" customWidth="1"/>
    <col min="4093" max="4093" width="9" style="21" customWidth="1"/>
    <col min="4094" max="4095" width="9.88671875" style="21" customWidth="1"/>
    <col min="4096" max="4096" width="11.109375" style="21" customWidth="1"/>
    <col min="4097" max="4097" width="2.88671875" style="21" customWidth="1"/>
    <col min="4098" max="4098" width="3.5546875" style="21" customWidth="1"/>
    <col min="4099" max="4343" width="9.109375" style="21"/>
    <col min="4344" max="4344" width="8.6640625" style="21" customWidth="1"/>
    <col min="4345" max="4345" width="9.88671875" style="21" customWidth="1"/>
    <col min="4346" max="4346" width="14.44140625" style="21" customWidth="1"/>
    <col min="4347" max="4347" width="7.33203125" style="21" customWidth="1"/>
    <col min="4348" max="4348" width="5.5546875" style="21" customWidth="1"/>
    <col min="4349" max="4349" width="9" style="21" customWidth="1"/>
    <col min="4350" max="4351" width="9.88671875" style="21" customWidth="1"/>
    <col min="4352" max="4352" width="11.109375" style="21" customWidth="1"/>
    <col min="4353" max="4353" width="2.88671875" style="21" customWidth="1"/>
    <col min="4354" max="4354" width="3.5546875" style="21" customWidth="1"/>
    <col min="4355" max="4599" width="9.109375" style="21"/>
    <col min="4600" max="4600" width="8.6640625" style="21" customWidth="1"/>
    <col min="4601" max="4601" width="9.88671875" style="21" customWidth="1"/>
    <col min="4602" max="4602" width="14.44140625" style="21" customWidth="1"/>
    <col min="4603" max="4603" width="7.33203125" style="21" customWidth="1"/>
    <col min="4604" max="4604" width="5.5546875" style="21" customWidth="1"/>
    <col min="4605" max="4605" width="9" style="21" customWidth="1"/>
    <col min="4606" max="4607" width="9.88671875" style="21" customWidth="1"/>
    <col min="4608" max="4608" width="11.109375" style="21" customWidth="1"/>
    <col min="4609" max="4609" width="2.88671875" style="21" customWidth="1"/>
    <col min="4610" max="4610" width="3.5546875" style="21" customWidth="1"/>
    <col min="4611" max="4855" width="9.109375" style="21"/>
    <col min="4856" max="4856" width="8.6640625" style="21" customWidth="1"/>
    <col min="4857" max="4857" width="9.88671875" style="21" customWidth="1"/>
    <col min="4858" max="4858" width="14.44140625" style="21" customWidth="1"/>
    <col min="4859" max="4859" width="7.33203125" style="21" customWidth="1"/>
    <col min="4860" max="4860" width="5.5546875" style="21" customWidth="1"/>
    <col min="4861" max="4861" width="9" style="21" customWidth="1"/>
    <col min="4862" max="4863" width="9.88671875" style="21" customWidth="1"/>
    <col min="4864" max="4864" width="11.109375" style="21" customWidth="1"/>
    <col min="4865" max="4865" width="2.88671875" style="21" customWidth="1"/>
    <col min="4866" max="4866" width="3.5546875" style="21" customWidth="1"/>
    <col min="4867" max="5111" width="9.109375" style="21"/>
    <col min="5112" max="5112" width="8.6640625" style="21" customWidth="1"/>
    <col min="5113" max="5113" width="9.88671875" style="21" customWidth="1"/>
    <col min="5114" max="5114" width="14.44140625" style="21" customWidth="1"/>
    <col min="5115" max="5115" width="7.33203125" style="21" customWidth="1"/>
    <col min="5116" max="5116" width="5.5546875" style="21" customWidth="1"/>
    <col min="5117" max="5117" width="9" style="21" customWidth="1"/>
    <col min="5118" max="5119" width="9.88671875" style="21" customWidth="1"/>
    <col min="5120" max="5120" width="11.109375" style="21" customWidth="1"/>
    <col min="5121" max="5121" width="2.88671875" style="21" customWidth="1"/>
    <col min="5122" max="5122" width="3.5546875" style="21" customWidth="1"/>
    <col min="5123" max="5367" width="9.109375" style="21"/>
    <col min="5368" max="5368" width="8.6640625" style="21" customWidth="1"/>
    <col min="5369" max="5369" width="9.88671875" style="21" customWidth="1"/>
    <col min="5370" max="5370" width="14.44140625" style="21" customWidth="1"/>
    <col min="5371" max="5371" width="7.33203125" style="21" customWidth="1"/>
    <col min="5372" max="5372" width="5.5546875" style="21" customWidth="1"/>
    <col min="5373" max="5373" width="9" style="21" customWidth="1"/>
    <col min="5374" max="5375" width="9.88671875" style="21" customWidth="1"/>
    <col min="5376" max="5376" width="11.109375" style="21" customWidth="1"/>
    <col min="5377" max="5377" width="2.88671875" style="21" customWidth="1"/>
    <col min="5378" max="5378" width="3.5546875" style="21" customWidth="1"/>
    <col min="5379" max="5623" width="9.109375" style="21"/>
    <col min="5624" max="5624" width="8.6640625" style="21" customWidth="1"/>
    <col min="5625" max="5625" width="9.88671875" style="21" customWidth="1"/>
    <col min="5626" max="5626" width="14.44140625" style="21" customWidth="1"/>
    <col min="5627" max="5627" width="7.33203125" style="21" customWidth="1"/>
    <col min="5628" max="5628" width="5.5546875" style="21" customWidth="1"/>
    <col min="5629" max="5629" width="9" style="21" customWidth="1"/>
    <col min="5630" max="5631" width="9.88671875" style="21" customWidth="1"/>
    <col min="5632" max="5632" width="11.109375" style="21" customWidth="1"/>
    <col min="5633" max="5633" width="2.88671875" style="21" customWidth="1"/>
    <col min="5634" max="5634" width="3.5546875" style="21" customWidth="1"/>
    <col min="5635" max="5879" width="9.109375" style="21"/>
    <col min="5880" max="5880" width="8.6640625" style="21" customWidth="1"/>
    <col min="5881" max="5881" width="9.88671875" style="21" customWidth="1"/>
    <col min="5882" max="5882" width="14.44140625" style="21" customWidth="1"/>
    <col min="5883" max="5883" width="7.33203125" style="21" customWidth="1"/>
    <col min="5884" max="5884" width="5.5546875" style="21" customWidth="1"/>
    <col min="5885" max="5885" width="9" style="21" customWidth="1"/>
    <col min="5886" max="5887" width="9.88671875" style="21" customWidth="1"/>
    <col min="5888" max="5888" width="11.109375" style="21" customWidth="1"/>
    <col min="5889" max="5889" width="2.88671875" style="21" customWidth="1"/>
    <col min="5890" max="5890" width="3.5546875" style="21" customWidth="1"/>
    <col min="5891" max="6135" width="9.109375" style="21"/>
    <col min="6136" max="6136" width="8.6640625" style="21" customWidth="1"/>
    <col min="6137" max="6137" width="9.88671875" style="21" customWidth="1"/>
    <col min="6138" max="6138" width="14.44140625" style="21" customWidth="1"/>
    <col min="6139" max="6139" width="7.33203125" style="21" customWidth="1"/>
    <col min="6140" max="6140" width="5.5546875" style="21" customWidth="1"/>
    <col min="6141" max="6141" width="9" style="21" customWidth="1"/>
    <col min="6142" max="6143" width="9.88671875" style="21" customWidth="1"/>
    <col min="6144" max="6144" width="11.109375" style="21" customWidth="1"/>
    <col min="6145" max="6145" width="2.88671875" style="21" customWidth="1"/>
    <col min="6146" max="6146" width="3.5546875" style="21" customWidth="1"/>
    <col min="6147" max="6391" width="9.109375" style="21"/>
    <col min="6392" max="6392" width="8.6640625" style="21" customWidth="1"/>
    <col min="6393" max="6393" width="9.88671875" style="21" customWidth="1"/>
    <col min="6394" max="6394" width="14.44140625" style="21" customWidth="1"/>
    <col min="6395" max="6395" width="7.33203125" style="21" customWidth="1"/>
    <col min="6396" max="6396" width="5.5546875" style="21" customWidth="1"/>
    <col min="6397" max="6397" width="9" style="21" customWidth="1"/>
    <col min="6398" max="6399" width="9.88671875" style="21" customWidth="1"/>
    <col min="6400" max="6400" width="11.109375" style="21" customWidth="1"/>
    <col min="6401" max="6401" width="2.88671875" style="21" customWidth="1"/>
    <col min="6402" max="6402" width="3.5546875" style="21" customWidth="1"/>
    <col min="6403" max="6647" width="9.109375" style="21"/>
    <col min="6648" max="6648" width="8.6640625" style="21" customWidth="1"/>
    <col min="6649" max="6649" width="9.88671875" style="21" customWidth="1"/>
    <col min="6650" max="6650" width="14.44140625" style="21" customWidth="1"/>
    <col min="6651" max="6651" width="7.33203125" style="21" customWidth="1"/>
    <col min="6652" max="6652" width="5.5546875" style="21" customWidth="1"/>
    <col min="6653" max="6653" width="9" style="21" customWidth="1"/>
    <col min="6654" max="6655" width="9.88671875" style="21" customWidth="1"/>
    <col min="6656" max="6656" width="11.109375" style="21" customWidth="1"/>
    <col min="6657" max="6657" width="2.88671875" style="21" customWidth="1"/>
    <col min="6658" max="6658" width="3.5546875" style="21" customWidth="1"/>
    <col min="6659" max="6903" width="9.109375" style="21"/>
    <col min="6904" max="6904" width="8.6640625" style="21" customWidth="1"/>
    <col min="6905" max="6905" width="9.88671875" style="21" customWidth="1"/>
    <col min="6906" max="6906" width="14.44140625" style="21" customWidth="1"/>
    <col min="6907" max="6907" width="7.33203125" style="21" customWidth="1"/>
    <col min="6908" max="6908" width="5.5546875" style="21" customWidth="1"/>
    <col min="6909" max="6909" width="9" style="21" customWidth="1"/>
    <col min="6910" max="6911" width="9.88671875" style="21" customWidth="1"/>
    <col min="6912" max="6912" width="11.109375" style="21" customWidth="1"/>
    <col min="6913" max="6913" width="2.88671875" style="21" customWidth="1"/>
    <col min="6914" max="6914" width="3.5546875" style="21" customWidth="1"/>
    <col min="6915" max="7159" width="9.109375" style="21"/>
    <col min="7160" max="7160" width="8.6640625" style="21" customWidth="1"/>
    <col min="7161" max="7161" width="9.88671875" style="21" customWidth="1"/>
    <col min="7162" max="7162" width="14.44140625" style="21" customWidth="1"/>
    <col min="7163" max="7163" width="7.33203125" style="21" customWidth="1"/>
    <col min="7164" max="7164" width="5.5546875" style="21" customWidth="1"/>
    <col min="7165" max="7165" width="9" style="21" customWidth="1"/>
    <col min="7166" max="7167" width="9.88671875" style="21" customWidth="1"/>
    <col min="7168" max="7168" width="11.109375" style="21" customWidth="1"/>
    <col min="7169" max="7169" width="2.88671875" style="21" customWidth="1"/>
    <col min="7170" max="7170" width="3.5546875" style="21" customWidth="1"/>
    <col min="7171" max="7415" width="9.109375" style="21"/>
    <col min="7416" max="7416" width="8.6640625" style="21" customWidth="1"/>
    <col min="7417" max="7417" width="9.88671875" style="21" customWidth="1"/>
    <col min="7418" max="7418" width="14.44140625" style="21" customWidth="1"/>
    <col min="7419" max="7419" width="7.33203125" style="21" customWidth="1"/>
    <col min="7420" max="7420" width="5.5546875" style="21" customWidth="1"/>
    <col min="7421" max="7421" width="9" style="21" customWidth="1"/>
    <col min="7422" max="7423" width="9.88671875" style="21" customWidth="1"/>
    <col min="7424" max="7424" width="11.109375" style="21" customWidth="1"/>
    <col min="7425" max="7425" width="2.88671875" style="21" customWidth="1"/>
    <col min="7426" max="7426" width="3.5546875" style="21" customWidth="1"/>
    <col min="7427" max="7671" width="9.109375" style="21"/>
    <col min="7672" max="7672" width="8.6640625" style="21" customWidth="1"/>
    <col min="7673" max="7673" width="9.88671875" style="21" customWidth="1"/>
    <col min="7674" max="7674" width="14.44140625" style="21" customWidth="1"/>
    <col min="7675" max="7675" width="7.33203125" style="21" customWidth="1"/>
    <col min="7676" max="7676" width="5.5546875" style="21" customWidth="1"/>
    <col min="7677" max="7677" width="9" style="21" customWidth="1"/>
    <col min="7678" max="7679" width="9.88671875" style="21" customWidth="1"/>
    <col min="7680" max="7680" width="11.109375" style="21" customWidth="1"/>
    <col min="7681" max="7681" width="2.88671875" style="21" customWidth="1"/>
    <col min="7682" max="7682" width="3.5546875" style="21" customWidth="1"/>
    <col min="7683" max="7927" width="9.109375" style="21"/>
    <col min="7928" max="7928" width="8.6640625" style="21" customWidth="1"/>
    <col min="7929" max="7929" width="9.88671875" style="21" customWidth="1"/>
    <col min="7930" max="7930" width="14.44140625" style="21" customWidth="1"/>
    <col min="7931" max="7931" width="7.33203125" style="21" customWidth="1"/>
    <col min="7932" max="7932" width="5.5546875" style="21" customWidth="1"/>
    <col min="7933" max="7933" width="9" style="21" customWidth="1"/>
    <col min="7934" max="7935" width="9.88671875" style="21" customWidth="1"/>
    <col min="7936" max="7936" width="11.109375" style="21" customWidth="1"/>
    <col min="7937" max="7937" width="2.88671875" style="21" customWidth="1"/>
    <col min="7938" max="7938" width="3.5546875" style="21" customWidth="1"/>
    <col min="7939" max="8183" width="9.109375" style="21"/>
    <col min="8184" max="8184" width="8.6640625" style="21" customWidth="1"/>
    <col min="8185" max="8185" width="9.88671875" style="21" customWidth="1"/>
    <col min="8186" max="8186" width="14.44140625" style="21" customWidth="1"/>
    <col min="8187" max="8187" width="7.33203125" style="21" customWidth="1"/>
    <col min="8188" max="8188" width="5.5546875" style="21" customWidth="1"/>
    <col min="8189" max="8189" width="9" style="21" customWidth="1"/>
    <col min="8190" max="8191" width="9.88671875" style="21" customWidth="1"/>
    <col min="8192" max="8192" width="11.109375" style="21" customWidth="1"/>
    <col min="8193" max="8193" width="2.88671875" style="21" customWidth="1"/>
    <col min="8194" max="8194" width="3.5546875" style="21" customWidth="1"/>
    <col min="8195" max="8439" width="9.109375" style="21"/>
    <col min="8440" max="8440" width="8.6640625" style="21" customWidth="1"/>
    <col min="8441" max="8441" width="9.88671875" style="21" customWidth="1"/>
    <col min="8442" max="8442" width="14.44140625" style="21" customWidth="1"/>
    <col min="8443" max="8443" width="7.33203125" style="21" customWidth="1"/>
    <col min="8444" max="8444" width="5.5546875" style="21" customWidth="1"/>
    <col min="8445" max="8445" width="9" style="21" customWidth="1"/>
    <col min="8446" max="8447" width="9.88671875" style="21" customWidth="1"/>
    <col min="8448" max="8448" width="11.109375" style="21" customWidth="1"/>
    <col min="8449" max="8449" width="2.88671875" style="21" customWidth="1"/>
    <col min="8450" max="8450" width="3.5546875" style="21" customWidth="1"/>
    <col min="8451" max="8695" width="9.109375" style="21"/>
    <col min="8696" max="8696" width="8.6640625" style="21" customWidth="1"/>
    <col min="8697" max="8697" width="9.88671875" style="21" customWidth="1"/>
    <col min="8698" max="8698" width="14.44140625" style="21" customWidth="1"/>
    <col min="8699" max="8699" width="7.33203125" style="21" customWidth="1"/>
    <col min="8700" max="8700" width="5.5546875" style="21" customWidth="1"/>
    <col min="8701" max="8701" width="9" style="21" customWidth="1"/>
    <col min="8702" max="8703" width="9.88671875" style="21" customWidth="1"/>
    <col min="8704" max="8704" width="11.109375" style="21" customWidth="1"/>
    <col min="8705" max="8705" width="2.88671875" style="21" customWidth="1"/>
    <col min="8706" max="8706" width="3.5546875" style="21" customWidth="1"/>
    <col min="8707" max="8951" width="9.109375" style="21"/>
    <col min="8952" max="8952" width="8.6640625" style="21" customWidth="1"/>
    <col min="8953" max="8953" width="9.88671875" style="21" customWidth="1"/>
    <col min="8954" max="8954" width="14.44140625" style="21" customWidth="1"/>
    <col min="8955" max="8955" width="7.33203125" style="21" customWidth="1"/>
    <col min="8956" max="8956" width="5.5546875" style="21" customWidth="1"/>
    <col min="8957" max="8957" width="9" style="21" customWidth="1"/>
    <col min="8958" max="8959" width="9.88671875" style="21" customWidth="1"/>
    <col min="8960" max="8960" width="11.109375" style="21" customWidth="1"/>
    <col min="8961" max="8961" width="2.88671875" style="21" customWidth="1"/>
    <col min="8962" max="8962" width="3.5546875" style="21" customWidth="1"/>
    <col min="8963" max="9207" width="9.109375" style="21"/>
    <col min="9208" max="9208" width="8.6640625" style="21" customWidth="1"/>
    <col min="9209" max="9209" width="9.88671875" style="21" customWidth="1"/>
    <col min="9210" max="9210" width="14.44140625" style="21" customWidth="1"/>
    <col min="9211" max="9211" width="7.33203125" style="21" customWidth="1"/>
    <col min="9212" max="9212" width="5.5546875" style="21" customWidth="1"/>
    <col min="9213" max="9213" width="9" style="21" customWidth="1"/>
    <col min="9214" max="9215" width="9.88671875" style="21" customWidth="1"/>
    <col min="9216" max="9216" width="11.109375" style="21" customWidth="1"/>
    <col min="9217" max="9217" width="2.88671875" style="21" customWidth="1"/>
    <col min="9218" max="9218" width="3.5546875" style="21" customWidth="1"/>
    <col min="9219" max="9463" width="9.109375" style="21"/>
    <col min="9464" max="9464" width="8.6640625" style="21" customWidth="1"/>
    <col min="9465" max="9465" width="9.88671875" style="21" customWidth="1"/>
    <col min="9466" max="9466" width="14.44140625" style="21" customWidth="1"/>
    <col min="9467" max="9467" width="7.33203125" style="21" customWidth="1"/>
    <col min="9468" max="9468" width="5.5546875" style="21" customWidth="1"/>
    <col min="9469" max="9469" width="9" style="21" customWidth="1"/>
    <col min="9470" max="9471" width="9.88671875" style="21" customWidth="1"/>
    <col min="9472" max="9472" width="11.109375" style="21" customWidth="1"/>
    <col min="9473" max="9473" width="2.88671875" style="21" customWidth="1"/>
    <col min="9474" max="9474" width="3.5546875" style="21" customWidth="1"/>
    <col min="9475" max="9719" width="9.109375" style="21"/>
    <col min="9720" max="9720" width="8.6640625" style="21" customWidth="1"/>
    <col min="9721" max="9721" width="9.88671875" style="21" customWidth="1"/>
    <col min="9722" max="9722" width="14.44140625" style="21" customWidth="1"/>
    <col min="9723" max="9723" width="7.33203125" style="21" customWidth="1"/>
    <col min="9724" max="9724" width="5.5546875" style="21" customWidth="1"/>
    <col min="9725" max="9725" width="9" style="21" customWidth="1"/>
    <col min="9726" max="9727" width="9.88671875" style="21" customWidth="1"/>
    <col min="9728" max="9728" width="11.109375" style="21" customWidth="1"/>
    <col min="9729" max="9729" width="2.88671875" style="21" customWidth="1"/>
    <col min="9730" max="9730" width="3.5546875" style="21" customWidth="1"/>
    <col min="9731" max="9975" width="9.109375" style="21"/>
    <col min="9976" max="9976" width="8.6640625" style="21" customWidth="1"/>
    <col min="9977" max="9977" width="9.88671875" style="21" customWidth="1"/>
    <col min="9978" max="9978" width="14.44140625" style="21" customWidth="1"/>
    <col min="9979" max="9979" width="7.33203125" style="21" customWidth="1"/>
    <col min="9980" max="9980" width="5.5546875" style="21" customWidth="1"/>
    <col min="9981" max="9981" width="9" style="21" customWidth="1"/>
    <col min="9982" max="9983" width="9.88671875" style="21" customWidth="1"/>
    <col min="9984" max="9984" width="11.109375" style="21" customWidth="1"/>
    <col min="9985" max="9985" width="2.88671875" style="21" customWidth="1"/>
    <col min="9986" max="9986" width="3.5546875" style="21" customWidth="1"/>
    <col min="9987" max="10231" width="9.109375" style="21"/>
    <col min="10232" max="10232" width="8.6640625" style="21" customWidth="1"/>
    <col min="10233" max="10233" width="9.88671875" style="21" customWidth="1"/>
    <col min="10234" max="10234" width="14.44140625" style="21" customWidth="1"/>
    <col min="10235" max="10235" width="7.33203125" style="21" customWidth="1"/>
    <col min="10236" max="10236" width="5.5546875" style="21" customWidth="1"/>
    <col min="10237" max="10237" width="9" style="21" customWidth="1"/>
    <col min="10238" max="10239" width="9.88671875" style="21" customWidth="1"/>
    <col min="10240" max="10240" width="11.109375" style="21" customWidth="1"/>
    <col min="10241" max="10241" width="2.88671875" style="21" customWidth="1"/>
    <col min="10242" max="10242" width="3.5546875" style="21" customWidth="1"/>
    <col min="10243" max="10487" width="9.109375" style="21"/>
    <col min="10488" max="10488" width="8.6640625" style="21" customWidth="1"/>
    <col min="10489" max="10489" width="9.88671875" style="21" customWidth="1"/>
    <col min="10490" max="10490" width="14.44140625" style="21" customWidth="1"/>
    <col min="10491" max="10491" width="7.33203125" style="21" customWidth="1"/>
    <col min="10492" max="10492" width="5.5546875" style="21" customWidth="1"/>
    <col min="10493" max="10493" width="9" style="21" customWidth="1"/>
    <col min="10494" max="10495" width="9.88671875" style="21" customWidth="1"/>
    <col min="10496" max="10496" width="11.109375" style="21" customWidth="1"/>
    <col min="10497" max="10497" width="2.88671875" style="21" customWidth="1"/>
    <col min="10498" max="10498" width="3.5546875" style="21" customWidth="1"/>
    <col min="10499" max="10743" width="9.109375" style="21"/>
    <col min="10744" max="10744" width="8.6640625" style="21" customWidth="1"/>
    <col min="10745" max="10745" width="9.88671875" style="21" customWidth="1"/>
    <col min="10746" max="10746" width="14.44140625" style="21" customWidth="1"/>
    <col min="10747" max="10747" width="7.33203125" style="21" customWidth="1"/>
    <col min="10748" max="10748" width="5.5546875" style="21" customWidth="1"/>
    <col min="10749" max="10749" width="9" style="21" customWidth="1"/>
    <col min="10750" max="10751" width="9.88671875" style="21" customWidth="1"/>
    <col min="10752" max="10752" width="11.109375" style="21" customWidth="1"/>
    <col min="10753" max="10753" width="2.88671875" style="21" customWidth="1"/>
    <col min="10754" max="10754" width="3.5546875" style="21" customWidth="1"/>
    <col min="10755" max="10999" width="9.109375" style="21"/>
    <col min="11000" max="11000" width="8.6640625" style="21" customWidth="1"/>
    <col min="11001" max="11001" width="9.88671875" style="21" customWidth="1"/>
    <col min="11002" max="11002" width="14.44140625" style="21" customWidth="1"/>
    <col min="11003" max="11003" width="7.33203125" style="21" customWidth="1"/>
    <col min="11004" max="11004" width="5.5546875" style="21" customWidth="1"/>
    <col min="11005" max="11005" width="9" style="21" customWidth="1"/>
    <col min="11006" max="11007" width="9.88671875" style="21" customWidth="1"/>
    <col min="11008" max="11008" width="11.109375" style="21" customWidth="1"/>
    <col min="11009" max="11009" width="2.88671875" style="21" customWidth="1"/>
    <col min="11010" max="11010" width="3.5546875" style="21" customWidth="1"/>
    <col min="11011" max="11255" width="9.109375" style="21"/>
    <col min="11256" max="11256" width="8.6640625" style="21" customWidth="1"/>
    <col min="11257" max="11257" width="9.88671875" style="21" customWidth="1"/>
    <col min="11258" max="11258" width="14.44140625" style="21" customWidth="1"/>
    <col min="11259" max="11259" width="7.33203125" style="21" customWidth="1"/>
    <col min="11260" max="11260" width="5.5546875" style="21" customWidth="1"/>
    <col min="11261" max="11261" width="9" style="21" customWidth="1"/>
    <col min="11262" max="11263" width="9.88671875" style="21" customWidth="1"/>
    <col min="11264" max="11264" width="11.109375" style="21" customWidth="1"/>
    <col min="11265" max="11265" width="2.88671875" style="21" customWidth="1"/>
    <col min="11266" max="11266" width="3.5546875" style="21" customWidth="1"/>
    <col min="11267" max="11511" width="9.109375" style="21"/>
    <col min="11512" max="11512" width="8.6640625" style="21" customWidth="1"/>
    <col min="11513" max="11513" width="9.88671875" style="21" customWidth="1"/>
    <col min="11514" max="11514" width="14.44140625" style="21" customWidth="1"/>
    <col min="11515" max="11515" width="7.33203125" style="21" customWidth="1"/>
    <col min="11516" max="11516" width="5.5546875" style="21" customWidth="1"/>
    <col min="11517" max="11517" width="9" style="21" customWidth="1"/>
    <col min="11518" max="11519" width="9.88671875" style="21" customWidth="1"/>
    <col min="11520" max="11520" width="11.109375" style="21" customWidth="1"/>
    <col min="11521" max="11521" width="2.88671875" style="21" customWidth="1"/>
    <col min="11522" max="11522" width="3.5546875" style="21" customWidth="1"/>
    <col min="11523" max="11767" width="9.109375" style="21"/>
    <col min="11768" max="11768" width="8.6640625" style="21" customWidth="1"/>
    <col min="11769" max="11769" width="9.88671875" style="21" customWidth="1"/>
    <col min="11770" max="11770" width="14.44140625" style="21" customWidth="1"/>
    <col min="11771" max="11771" width="7.33203125" style="21" customWidth="1"/>
    <col min="11772" max="11772" width="5.5546875" style="21" customWidth="1"/>
    <col min="11773" max="11773" width="9" style="21" customWidth="1"/>
    <col min="11774" max="11775" width="9.88671875" style="21" customWidth="1"/>
    <col min="11776" max="11776" width="11.109375" style="21" customWidth="1"/>
    <col min="11777" max="11777" width="2.88671875" style="21" customWidth="1"/>
    <col min="11778" max="11778" width="3.5546875" style="21" customWidth="1"/>
    <col min="11779" max="12023" width="9.109375" style="21"/>
    <col min="12024" max="12024" width="8.6640625" style="21" customWidth="1"/>
    <col min="12025" max="12025" width="9.88671875" style="21" customWidth="1"/>
    <col min="12026" max="12026" width="14.44140625" style="21" customWidth="1"/>
    <col min="12027" max="12027" width="7.33203125" style="21" customWidth="1"/>
    <col min="12028" max="12028" width="5.5546875" style="21" customWidth="1"/>
    <col min="12029" max="12029" width="9" style="21" customWidth="1"/>
    <col min="12030" max="12031" width="9.88671875" style="21" customWidth="1"/>
    <col min="12032" max="12032" width="11.109375" style="21" customWidth="1"/>
    <col min="12033" max="12033" width="2.88671875" style="21" customWidth="1"/>
    <col min="12034" max="12034" width="3.5546875" style="21" customWidth="1"/>
    <col min="12035" max="12279" width="9.109375" style="21"/>
    <col min="12280" max="12280" width="8.6640625" style="21" customWidth="1"/>
    <col min="12281" max="12281" width="9.88671875" style="21" customWidth="1"/>
    <col min="12282" max="12282" width="14.44140625" style="21" customWidth="1"/>
    <col min="12283" max="12283" width="7.33203125" style="21" customWidth="1"/>
    <col min="12284" max="12284" width="5.5546875" style="21" customWidth="1"/>
    <col min="12285" max="12285" width="9" style="21" customWidth="1"/>
    <col min="12286" max="12287" width="9.88671875" style="21" customWidth="1"/>
    <col min="12288" max="12288" width="11.109375" style="21" customWidth="1"/>
    <col min="12289" max="12289" width="2.88671875" style="21" customWidth="1"/>
    <col min="12290" max="12290" width="3.5546875" style="21" customWidth="1"/>
    <col min="12291" max="12535" width="9.109375" style="21"/>
    <col min="12536" max="12536" width="8.6640625" style="21" customWidth="1"/>
    <col min="12537" max="12537" width="9.88671875" style="21" customWidth="1"/>
    <col min="12538" max="12538" width="14.44140625" style="21" customWidth="1"/>
    <col min="12539" max="12539" width="7.33203125" style="21" customWidth="1"/>
    <col min="12540" max="12540" width="5.5546875" style="21" customWidth="1"/>
    <col min="12541" max="12541" width="9" style="21" customWidth="1"/>
    <col min="12542" max="12543" width="9.88671875" style="21" customWidth="1"/>
    <col min="12544" max="12544" width="11.109375" style="21" customWidth="1"/>
    <col min="12545" max="12545" width="2.88671875" style="21" customWidth="1"/>
    <col min="12546" max="12546" width="3.5546875" style="21" customWidth="1"/>
    <col min="12547" max="12791" width="9.109375" style="21"/>
    <col min="12792" max="12792" width="8.6640625" style="21" customWidth="1"/>
    <col min="12793" max="12793" width="9.88671875" style="21" customWidth="1"/>
    <col min="12794" max="12794" width="14.44140625" style="21" customWidth="1"/>
    <col min="12795" max="12795" width="7.33203125" style="21" customWidth="1"/>
    <col min="12796" max="12796" width="5.5546875" style="21" customWidth="1"/>
    <col min="12797" max="12797" width="9" style="21" customWidth="1"/>
    <col min="12798" max="12799" width="9.88671875" style="21" customWidth="1"/>
    <col min="12800" max="12800" width="11.109375" style="21" customWidth="1"/>
    <col min="12801" max="12801" width="2.88671875" style="21" customWidth="1"/>
    <col min="12802" max="12802" width="3.5546875" style="21" customWidth="1"/>
    <col min="12803" max="13047" width="9.109375" style="21"/>
    <col min="13048" max="13048" width="8.6640625" style="21" customWidth="1"/>
    <col min="13049" max="13049" width="9.88671875" style="21" customWidth="1"/>
    <col min="13050" max="13050" width="14.44140625" style="21" customWidth="1"/>
    <col min="13051" max="13051" width="7.33203125" style="21" customWidth="1"/>
    <col min="13052" max="13052" width="5.5546875" style="21" customWidth="1"/>
    <col min="13053" max="13053" width="9" style="21" customWidth="1"/>
    <col min="13054" max="13055" width="9.88671875" style="21" customWidth="1"/>
    <col min="13056" max="13056" width="11.109375" style="21" customWidth="1"/>
    <col min="13057" max="13057" width="2.88671875" style="21" customWidth="1"/>
    <col min="13058" max="13058" width="3.5546875" style="21" customWidth="1"/>
    <col min="13059" max="13303" width="9.109375" style="21"/>
    <col min="13304" max="13304" width="8.6640625" style="21" customWidth="1"/>
    <col min="13305" max="13305" width="9.88671875" style="21" customWidth="1"/>
    <col min="13306" max="13306" width="14.44140625" style="21" customWidth="1"/>
    <col min="13307" max="13307" width="7.33203125" style="21" customWidth="1"/>
    <col min="13308" max="13308" width="5.5546875" style="21" customWidth="1"/>
    <col min="13309" max="13309" width="9" style="21" customWidth="1"/>
    <col min="13310" max="13311" width="9.88671875" style="21" customWidth="1"/>
    <col min="13312" max="13312" width="11.109375" style="21" customWidth="1"/>
    <col min="13313" max="13313" width="2.88671875" style="21" customWidth="1"/>
    <col min="13314" max="13314" width="3.5546875" style="21" customWidth="1"/>
    <col min="13315" max="13559" width="9.109375" style="21"/>
    <col min="13560" max="13560" width="8.6640625" style="21" customWidth="1"/>
    <col min="13561" max="13561" width="9.88671875" style="21" customWidth="1"/>
    <col min="13562" max="13562" width="14.44140625" style="21" customWidth="1"/>
    <col min="13563" max="13563" width="7.33203125" style="21" customWidth="1"/>
    <col min="13564" max="13564" width="5.5546875" style="21" customWidth="1"/>
    <col min="13565" max="13565" width="9" style="21" customWidth="1"/>
    <col min="13566" max="13567" width="9.88671875" style="21" customWidth="1"/>
    <col min="13568" max="13568" width="11.109375" style="21" customWidth="1"/>
    <col min="13569" max="13569" width="2.88671875" style="21" customWidth="1"/>
    <col min="13570" max="13570" width="3.5546875" style="21" customWidth="1"/>
    <col min="13571" max="13815" width="9.109375" style="21"/>
    <col min="13816" max="13816" width="8.6640625" style="21" customWidth="1"/>
    <col min="13817" max="13817" width="9.88671875" style="21" customWidth="1"/>
    <col min="13818" max="13818" width="14.44140625" style="21" customWidth="1"/>
    <col min="13819" max="13819" width="7.33203125" style="21" customWidth="1"/>
    <col min="13820" max="13820" width="5.5546875" style="21" customWidth="1"/>
    <col min="13821" max="13821" width="9" style="21" customWidth="1"/>
    <col min="13822" max="13823" width="9.88671875" style="21" customWidth="1"/>
    <col min="13824" max="13824" width="11.109375" style="21" customWidth="1"/>
    <col min="13825" max="13825" width="2.88671875" style="21" customWidth="1"/>
    <col min="13826" max="13826" width="3.5546875" style="21" customWidth="1"/>
    <col min="13827" max="14071" width="9.109375" style="21"/>
    <col min="14072" max="14072" width="8.6640625" style="21" customWidth="1"/>
    <col min="14073" max="14073" width="9.88671875" style="21" customWidth="1"/>
    <col min="14074" max="14074" width="14.44140625" style="21" customWidth="1"/>
    <col min="14075" max="14075" width="7.33203125" style="21" customWidth="1"/>
    <col min="14076" max="14076" width="5.5546875" style="21" customWidth="1"/>
    <col min="14077" max="14077" width="9" style="21" customWidth="1"/>
    <col min="14078" max="14079" width="9.88671875" style="21" customWidth="1"/>
    <col min="14080" max="14080" width="11.109375" style="21" customWidth="1"/>
    <col min="14081" max="14081" width="2.88671875" style="21" customWidth="1"/>
    <col min="14082" max="14082" width="3.5546875" style="21" customWidth="1"/>
    <col min="14083" max="14327" width="9.109375" style="21"/>
    <col min="14328" max="14328" width="8.6640625" style="21" customWidth="1"/>
    <col min="14329" max="14329" width="9.88671875" style="21" customWidth="1"/>
    <col min="14330" max="14330" width="14.44140625" style="21" customWidth="1"/>
    <col min="14331" max="14331" width="7.33203125" style="21" customWidth="1"/>
    <col min="14332" max="14332" width="5.5546875" style="21" customWidth="1"/>
    <col min="14333" max="14333" width="9" style="21" customWidth="1"/>
    <col min="14334" max="14335" width="9.88671875" style="21" customWidth="1"/>
    <col min="14336" max="14336" width="11.109375" style="21" customWidth="1"/>
    <col min="14337" max="14337" width="2.88671875" style="21" customWidth="1"/>
    <col min="14338" max="14338" width="3.5546875" style="21" customWidth="1"/>
    <col min="14339" max="14583" width="9.109375" style="21"/>
    <col min="14584" max="14584" width="8.6640625" style="21" customWidth="1"/>
    <col min="14585" max="14585" width="9.88671875" style="21" customWidth="1"/>
    <col min="14586" max="14586" width="14.44140625" style="21" customWidth="1"/>
    <col min="14587" max="14587" width="7.33203125" style="21" customWidth="1"/>
    <col min="14588" max="14588" width="5.5546875" style="21" customWidth="1"/>
    <col min="14589" max="14589" width="9" style="21" customWidth="1"/>
    <col min="14590" max="14591" width="9.88671875" style="21" customWidth="1"/>
    <col min="14592" max="14592" width="11.109375" style="21" customWidth="1"/>
    <col min="14593" max="14593" width="2.88671875" style="21" customWidth="1"/>
    <col min="14594" max="14594" width="3.5546875" style="21" customWidth="1"/>
    <col min="14595" max="14839" width="9.109375" style="21"/>
    <col min="14840" max="14840" width="8.6640625" style="21" customWidth="1"/>
    <col min="14841" max="14841" width="9.88671875" style="21" customWidth="1"/>
    <col min="14842" max="14842" width="14.44140625" style="21" customWidth="1"/>
    <col min="14843" max="14843" width="7.33203125" style="21" customWidth="1"/>
    <col min="14844" max="14844" width="5.5546875" style="21" customWidth="1"/>
    <col min="14845" max="14845" width="9" style="21" customWidth="1"/>
    <col min="14846" max="14847" width="9.88671875" style="21" customWidth="1"/>
    <col min="14848" max="14848" width="11.109375" style="21" customWidth="1"/>
    <col min="14849" max="14849" width="2.88671875" style="21" customWidth="1"/>
    <col min="14850" max="14850" width="3.5546875" style="21" customWidth="1"/>
    <col min="14851" max="15095" width="9.109375" style="21"/>
    <col min="15096" max="15096" width="8.6640625" style="21" customWidth="1"/>
    <col min="15097" max="15097" width="9.88671875" style="21" customWidth="1"/>
    <col min="15098" max="15098" width="14.44140625" style="21" customWidth="1"/>
    <col min="15099" max="15099" width="7.33203125" style="21" customWidth="1"/>
    <col min="15100" max="15100" width="5.5546875" style="21" customWidth="1"/>
    <col min="15101" max="15101" width="9" style="21" customWidth="1"/>
    <col min="15102" max="15103" width="9.88671875" style="21" customWidth="1"/>
    <col min="15104" max="15104" width="11.109375" style="21" customWidth="1"/>
    <col min="15105" max="15105" width="2.88671875" style="21" customWidth="1"/>
    <col min="15106" max="15106" width="3.5546875" style="21" customWidth="1"/>
    <col min="15107" max="15351" width="9.109375" style="21"/>
    <col min="15352" max="15352" width="8.6640625" style="21" customWidth="1"/>
    <col min="15353" max="15353" width="9.88671875" style="21" customWidth="1"/>
    <col min="15354" max="15354" width="14.44140625" style="21" customWidth="1"/>
    <col min="15355" max="15355" width="7.33203125" style="21" customWidth="1"/>
    <col min="15356" max="15356" width="5.5546875" style="21" customWidth="1"/>
    <col min="15357" max="15357" width="9" style="21" customWidth="1"/>
    <col min="15358" max="15359" width="9.88671875" style="21" customWidth="1"/>
    <col min="15360" max="15360" width="11.109375" style="21" customWidth="1"/>
    <col min="15361" max="15361" width="2.88671875" style="21" customWidth="1"/>
    <col min="15362" max="15362" width="3.5546875" style="21" customWidth="1"/>
    <col min="15363" max="15607" width="9.109375" style="21"/>
    <col min="15608" max="15608" width="8.6640625" style="21" customWidth="1"/>
    <col min="15609" max="15609" width="9.88671875" style="21" customWidth="1"/>
    <col min="15610" max="15610" width="14.44140625" style="21" customWidth="1"/>
    <col min="15611" max="15611" width="7.33203125" style="21" customWidth="1"/>
    <col min="15612" max="15612" width="5.5546875" style="21" customWidth="1"/>
    <col min="15613" max="15613" width="9" style="21" customWidth="1"/>
    <col min="15614" max="15615" width="9.88671875" style="21" customWidth="1"/>
    <col min="15616" max="15616" width="11.109375" style="21" customWidth="1"/>
    <col min="15617" max="15617" width="2.88671875" style="21" customWidth="1"/>
    <col min="15618" max="15618" width="3.5546875" style="21" customWidth="1"/>
    <col min="15619" max="15863" width="9.109375" style="21"/>
    <col min="15864" max="15864" width="8.6640625" style="21" customWidth="1"/>
    <col min="15865" max="15865" width="9.88671875" style="21" customWidth="1"/>
    <col min="15866" max="15866" width="14.44140625" style="21" customWidth="1"/>
    <col min="15867" max="15867" width="7.33203125" style="21" customWidth="1"/>
    <col min="15868" max="15868" width="5.5546875" style="21" customWidth="1"/>
    <col min="15869" max="15869" width="9" style="21" customWidth="1"/>
    <col min="15870" max="15871" width="9.88671875" style="21" customWidth="1"/>
    <col min="15872" max="15872" width="11.109375" style="21" customWidth="1"/>
    <col min="15873" max="15873" width="2.88671875" style="21" customWidth="1"/>
    <col min="15874" max="15874" width="3.5546875" style="21" customWidth="1"/>
    <col min="15875" max="16119" width="9.109375" style="21"/>
    <col min="16120" max="16120" width="8.6640625" style="21" customWidth="1"/>
    <col min="16121" max="16121" width="9.88671875" style="21" customWidth="1"/>
    <col min="16122" max="16122" width="14.44140625" style="21" customWidth="1"/>
    <col min="16123" max="16123" width="7.33203125" style="21" customWidth="1"/>
    <col min="16124" max="16124" width="5.5546875" style="21" customWidth="1"/>
    <col min="16125" max="16125" width="9" style="21" customWidth="1"/>
    <col min="16126" max="16127" width="9.88671875" style="21" customWidth="1"/>
    <col min="16128" max="16128" width="11.109375" style="21" customWidth="1"/>
    <col min="16129" max="16129" width="2.88671875" style="21" customWidth="1"/>
    <col min="16130" max="16130" width="3.5546875" style="21" customWidth="1"/>
    <col min="16131" max="16384" width="9.109375" style="21"/>
  </cols>
  <sheetData>
    <row r="1" spans="1:12" ht="46.5" customHeight="1" x14ac:dyDescent="0.3">
      <c r="A1" s="233" t="s">
        <v>247</v>
      </c>
      <c r="B1" s="233"/>
      <c r="C1" s="233"/>
      <c r="D1" s="233"/>
      <c r="E1" s="233"/>
      <c r="F1" s="233"/>
      <c r="G1" s="233"/>
      <c r="H1" s="233"/>
    </row>
    <row r="2" spans="1:12" ht="16.5" customHeight="1" x14ac:dyDescent="0.3">
      <c r="A2" s="128" t="s">
        <v>0</v>
      </c>
      <c r="B2" s="128"/>
      <c r="C2" s="128"/>
      <c r="D2" s="128"/>
      <c r="E2" s="128"/>
      <c r="F2" s="128"/>
      <c r="G2" s="128"/>
      <c r="H2" s="128"/>
    </row>
    <row r="3" spans="1:12" x14ac:dyDescent="0.3">
      <c r="A3" s="108" t="s">
        <v>1</v>
      </c>
      <c r="B3" s="108"/>
      <c r="C3" s="108"/>
      <c r="D3" s="108"/>
      <c r="E3" s="108" t="str">
        <f ca="1">TEXT(TODAY(),"DD/MM/YYYY")</f>
        <v>30/09/2025</v>
      </c>
      <c r="F3" s="108"/>
      <c r="G3" s="108"/>
      <c r="H3" s="108"/>
    </row>
    <row r="4" spans="1:12" ht="15" customHeight="1" x14ac:dyDescent="0.3">
      <c r="A4" s="108" t="s">
        <v>2</v>
      </c>
      <c r="B4" s="108"/>
      <c r="C4" s="108"/>
      <c r="D4" s="108"/>
      <c r="E4" s="108" t="s">
        <v>160</v>
      </c>
      <c r="F4" s="108"/>
      <c r="G4" s="108"/>
      <c r="H4" s="108"/>
    </row>
    <row r="5" spans="1:12" x14ac:dyDescent="0.3">
      <c r="A5" s="108" t="s">
        <v>3</v>
      </c>
      <c r="B5" s="108"/>
      <c r="C5" s="108"/>
      <c r="D5" s="108"/>
      <c r="E5" s="230">
        <v>45927</v>
      </c>
      <c r="F5" s="231"/>
      <c r="G5" s="231"/>
      <c r="H5" s="231"/>
    </row>
    <row r="6" spans="1:12" ht="16.5" customHeight="1" x14ac:dyDescent="0.3">
      <c r="A6" s="108" t="s">
        <v>4</v>
      </c>
      <c r="B6" s="108"/>
      <c r="C6" s="108"/>
      <c r="D6" s="108"/>
      <c r="E6" s="108" t="s">
        <v>161</v>
      </c>
      <c r="F6" s="108"/>
      <c r="G6" s="108"/>
      <c r="H6" s="108"/>
    </row>
    <row r="7" spans="1:12" ht="15" customHeight="1" x14ac:dyDescent="0.3">
      <c r="A7" s="108" t="s">
        <v>5</v>
      </c>
      <c r="B7" s="108"/>
      <c r="C7" s="108"/>
      <c r="D7" s="108"/>
      <c r="E7" s="108" t="str">
        <f>E6</f>
        <v>Macrotech Developers Limited</v>
      </c>
      <c r="F7" s="108"/>
      <c r="G7" s="108"/>
      <c r="H7" s="108"/>
    </row>
    <row r="8" spans="1:12" x14ac:dyDescent="0.3">
      <c r="A8" s="108" t="s">
        <v>6</v>
      </c>
      <c r="B8" s="108"/>
      <c r="C8" s="108"/>
      <c r="D8" s="108"/>
      <c r="E8" s="180" t="s">
        <v>198</v>
      </c>
      <c r="F8" s="180"/>
      <c r="G8" s="180"/>
      <c r="H8" s="180"/>
    </row>
    <row r="9" spans="1:12" x14ac:dyDescent="0.3">
      <c r="A9" s="108" t="s">
        <v>157</v>
      </c>
      <c r="B9" s="108"/>
      <c r="C9" s="108"/>
      <c r="D9" s="108"/>
      <c r="E9" s="108" t="s">
        <v>210</v>
      </c>
      <c r="F9" s="108"/>
      <c r="G9" s="108"/>
      <c r="H9" s="108"/>
    </row>
    <row r="10" spans="1:12" x14ac:dyDescent="0.3">
      <c r="A10" s="108" t="s">
        <v>158</v>
      </c>
      <c r="B10" s="108"/>
      <c r="C10" s="108"/>
      <c r="D10" s="108"/>
      <c r="E10" s="108" t="s">
        <v>210</v>
      </c>
      <c r="F10" s="108"/>
      <c r="G10" s="108"/>
      <c r="H10" s="108"/>
      <c r="I10" s="108" t="s">
        <v>211</v>
      </c>
      <c r="J10" s="108"/>
      <c r="K10" s="108"/>
      <c r="L10" s="108"/>
    </row>
    <row r="11" spans="1:12" x14ac:dyDescent="0.3">
      <c r="A11" s="108" t="s">
        <v>7</v>
      </c>
      <c r="B11" s="108"/>
      <c r="C11" s="108"/>
      <c r="D11" s="108"/>
      <c r="E11" s="108" t="s">
        <v>225</v>
      </c>
      <c r="F11" s="108"/>
      <c r="G11" s="108"/>
      <c r="H11" s="108"/>
    </row>
    <row r="12" spans="1:12" x14ac:dyDescent="0.3">
      <c r="A12" s="108" t="s">
        <v>8</v>
      </c>
      <c r="B12" s="108"/>
      <c r="C12" s="108"/>
      <c r="D12" s="108"/>
      <c r="E12" s="154" t="s">
        <v>162</v>
      </c>
      <c r="F12" s="154"/>
      <c r="G12" s="154"/>
      <c r="H12" s="154"/>
    </row>
    <row r="13" spans="1:12" x14ac:dyDescent="0.3">
      <c r="A13" s="108" t="s">
        <v>9</v>
      </c>
      <c r="B13" s="108"/>
      <c r="C13" s="108"/>
      <c r="D13" s="108"/>
      <c r="E13" s="154" t="s">
        <v>163</v>
      </c>
      <c r="F13" s="108"/>
      <c r="G13" s="108"/>
      <c r="H13" s="108"/>
    </row>
    <row r="14" spans="1:12" ht="48.75" customHeight="1" x14ac:dyDescent="0.3">
      <c r="A14" s="154" t="s">
        <v>10</v>
      </c>
      <c r="B14" s="154"/>
      <c r="C14" s="222" t="str">
        <f>CONCATENATE((IF(OR(E8="",E8="NA"),"",E8)),", ",(IF(OR(A15="",A15="NA"),"",A15)),".",(IF(OR(C15="",C15="NA"),"",C15)),", near ",(IF(OR(C20="",C20="NA"),"",C20)),", ",(IF(OR(C17="",C17="NA"),"",C17)),", ",(IF(OR(C16="",C16="NA"),"",C16)),", ",(IF(OR(G17="",G17="NA"),"",G17)),", ",(IF(OR(C18="",C18="NA"),"",C18)),", ",(IF(OR(C19="",C19="NA"),"",C19)),", ",(IF(OR(G18="",G18="NA"),"",G18))," - ",(IF(OR(G19="",G19="NA"),"",G19)),".")</f>
        <v>Lodha Vikhroli Signet, CTS No.67 (Pt), 67A, 67/1 to 5, 67/9 to 18, near Godrej Infotech Limited, L.B.S. Road, Harishchandra Compound, Vikhroli, Vikhroli (W), Kurla, Mumbai - 400079.</v>
      </c>
      <c r="D14" s="223"/>
      <c r="E14" s="223"/>
      <c r="F14" s="223"/>
      <c r="G14" s="223"/>
      <c r="H14" s="224"/>
    </row>
    <row r="15" spans="1:12" x14ac:dyDescent="0.3">
      <c r="A15" s="154" t="s">
        <v>164</v>
      </c>
      <c r="B15" s="154"/>
      <c r="C15" s="154" t="s">
        <v>215</v>
      </c>
      <c r="D15" s="154"/>
      <c r="E15" s="154"/>
      <c r="F15" s="154"/>
      <c r="G15" s="154"/>
      <c r="H15" s="154"/>
    </row>
    <row r="16" spans="1:12" ht="15.75" customHeight="1" x14ac:dyDescent="0.3">
      <c r="A16" s="154" t="s">
        <v>156</v>
      </c>
      <c r="B16" s="154"/>
      <c r="C16" s="154" t="s">
        <v>180</v>
      </c>
      <c r="D16" s="154"/>
      <c r="E16" s="154"/>
      <c r="F16" s="154"/>
      <c r="G16" s="154"/>
      <c r="H16" s="154"/>
    </row>
    <row r="17" spans="1:8" ht="15.75" customHeight="1" x14ac:dyDescent="0.3">
      <c r="A17" s="153" t="s">
        <v>11</v>
      </c>
      <c r="B17" s="153"/>
      <c r="C17" s="108" t="s">
        <v>181</v>
      </c>
      <c r="D17" s="108"/>
      <c r="E17" s="153" t="s">
        <v>70</v>
      </c>
      <c r="F17" s="153"/>
      <c r="G17" s="154" t="s">
        <v>168</v>
      </c>
      <c r="H17" s="154"/>
    </row>
    <row r="18" spans="1:8" x14ac:dyDescent="0.3">
      <c r="A18" s="138" t="s">
        <v>13</v>
      </c>
      <c r="B18" s="138"/>
      <c r="C18" s="154" t="s">
        <v>166</v>
      </c>
      <c r="D18" s="154"/>
      <c r="E18" s="153" t="s">
        <v>12</v>
      </c>
      <c r="F18" s="153"/>
      <c r="G18" s="228" t="s">
        <v>169</v>
      </c>
      <c r="H18" s="229"/>
    </row>
    <row r="19" spans="1:8" x14ac:dyDescent="0.3">
      <c r="A19" s="138" t="s">
        <v>71</v>
      </c>
      <c r="B19" s="138"/>
      <c r="C19" s="154" t="s">
        <v>167</v>
      </c>
      <c r="D19" s="154"/>
      <c r="E19" s="153" t="s">
        <v>14</v>
      </c>
      <c r="F19" s="153"/>
      <c r="G19" s="154">
        <v>400079</v>
      </c>
      <c r="H19" s="154"/>
    </row>
    <row r="20" spans="1:8" ht="32.25" customHeight="1" x14ac:dyDescent="0.3">
      <c r="A20" s="138" t="s">
        <v>115</v>
      </c>
      <c r="B20" s="138"/>
      <c r="C20" s="154" t="s">
        <v>170</v>
      </c>
      <c r="D20" s="154"/>
      <c r="E20" s="153" t="s">
        <v>15</v>
      </c>
      <c r="F20" s="153"/>
      <c r="G20" s="154" t="s">
        <v>217</v>
      </c>
      <c r="H20" s="154"/>
    </row>
    <row r="21" spans="1:8" ht="15" customHeight="1" x14ac:dyDescent="0.3">
      <c r="A21" s="153" t="s">
        <v>73</v>
      </c>
      <c r="B21" s="153"/>
      <c r="C21" s="153"/>
      <c r="D21" s="153"/>
      <c r="E21" s="108" t="s">
        <v>16</v>
      </c>
      <c r="F21" s="108"/>
      <c r="G21" s="108"/>
      <c r="H21" s="108"/>
    </row>
    <row r="22" spans="1:8" ht="18.75" customHeight="1" x14ac:dyDescent="0.3">
      <c r="A22" s="153"/>
      <c r="B22" s="153"/>
      <c r="C22" s="153"/>
      <c r="D22" s="153"/>
      <c r="E22" s="108"/>
      <c r="F22" s="108"/>
      <c r="G22" s="108"/>
      <c r="H22" s="108"/>
    </row>
    <row r="23" spans="1:8" ht="15" customHeight="1" x14ac:dyDescent="0.3">
      <c r="A23" s="153" t="s">
        <v>17</v>
      </c>
      <c r="B23" s="153"/>
      <c r="C23" s="153"/>
      <c r="D23" s="153"/>
      <c r="E23" s="154" t="s">
        <v>18</v>
      </c>
      <c r="F23" s="154"/>
      <c r="G23" s="154"/>
      <c r="H23" s="154"/>
    </row>
    <row r="24" spans="1:8" ht="15" customHeight="1" x14ac:dyDescent="0.3">
      <c r="A24" s="138" t="s">
        <v>19</v>
      </c>
      <c r="B24" s="138"/>
      <c r="C24" s="138"/>
      <c r="D24" s="138"/>
      <c r="E24" s="154" t="str">
        <f>IF(AND(G18="Mumbai"),"Upper Class","Middle Class")</f>
        <v>Upper Class</v>
      </c>
      <c r="F24" s="154"/>
      <c r="G24" s="154"/>
      <c r="H24" s="154"/>
    </row>
    <row r="25" spans="1:8" x14ac:dyDescent="0.3">
      <c r="A25" s="138" t="s">
        <v>20</v>
      </c>
      <c r="B25" s="138"/>
      <c r="C25" s="138"/>
      <c r="D25" s="138"/>
      <c r="E25" s="154" t="s">
        <v>21</v>
      </c>
      <c r="F25" s="154"/>
      <c r="G25" s="154"/>
      <c r="H25" s="154"/>
    </row>
    <row r="26" spans="1:8" ht="15.75" customHeight="1" x14ac:dyDescent="0.3">
      <c r="A26" s="138" t="s">
        <v>22</v>
      </c>
      <c r="B26" s="138"/>
      <c r="C26" s="138"/>
      <c r="D26" s="138"/>
      <c r="E26" s="154" t="str">
        <f>IF(AND(G18="Mumbai"),"Developed","Developing")</f>
        <v>Developed</v>
      </c>
      <c r="F26" s="154"/>
      <c r="G26" s="154"/>
      <c r="H26" s="154"/>
    </row>
    <row r="27" spans="1:8" x14ac:dyDescent="0.3">
      <c r="A27" s="138" t="s">
        <v>23</v>
      </c>
      <c r="B27" s="138"/>
      <c r="C27" s="138"/>
      <c r="D27" s="138"/>
      <c r="E27" s="154" t="s">
        <v>24</v>
      </c>
      <c r="F27" s="154"/>
      <c r="G27" s="154"/>
      <c r="H27" s="154"/>
    </row>
    <row r="28" spans="1:8" ht="15.75" customHeight="1" x14ac:dyDescent="0.3">
      <c r="A28" s="138" t="s">
        <v>78</v>
      </c>
      <c r="B28" s="138"/>
      <c r="C28" s="138"/>
      <c r="D28" s="138"/>
      <c r="E28" s="154" t="s">
        <v>79</v>
      </c>
      <c r="F28" s="154"/>
      <c r="G28" s="154"/>
      <c r="H28" s="154"/>
    </row>
    <row r="29" spans="1:8" ht="15" customHeight="1" x14ac:dyDescent="0.3">
      <c r="A29" s="138" t="s">
        <v>32</v>
      </c>
      <c r="B29" s="138"/>
      <c r="C29" s="138"/>
      <c r="D29" s="138"/>
      <c r="E29" s="154" t="str">
        <f>IF(AND(ISNUMBER(SEARCH("Flat",D55)),ISNUMBER(SEARCH("Shop",D55)),ISNUMBER(SEARCH("Office",D55))),"Residential + Commercial",IF(AND(ISNUMBER(SEARCH("Flat",D55)),ISNUMBER(SEARCH("Shop",D55))),"Residential + Commercial",IF(AND(ISNUMBER(SEARCH("Flat",D55)),ISNUMBER(SEARCH("Office",D55))),"Residential + Commercial",IF(AND(ISNUMBER(SEARCH("Shop",D55)),ISNUMBER(SEARCH("Office",D55))),"Commercial",IF(ISNUMBER(SEARCH("Shop",D55)),"Commercial",IF(ISNUMBER(SEARCH("Office",D55)),"Commercial",IF(ISNUMBER(SEARCH("Flat",D55)),"Residential")))))))</f>
        <v>Commercial</v>
      </c>
      <c r="F29" s="154"/>
      <c r="G29" s="154"/>
      <c r="H29" s="154"/>
    </row>
    <row r="30" spans="1:8" ht="15.75" customHeight="1" x14ac:dyDescent="0.3">
      <c r="A30" s="138" t="s">
        <v>89</v>
      </c>
      <c r="B30" s="138"/>
      <c r="C30" s="138"/>
      <c r="D30" s="138"/>
      <c r="E30" s="154" t="s">
        <v>33</v>
      </c>
      <c r="F30" s="154"/>
      <c r="G30" s="154"/>
      <c r="H30" s="154"/>
    </row>
    <row r="31" spans="1:8" s="22" customFormat="1" x14ac:dyDescent="0.3">
      <c r="A31" s="227" t="s">
        <v>90</v>
      </c>
      <c r="B31" s="227"/>
      <c r="C31" s="226" t="s">
        <v>216</v>
      </c>
      <c r="D31" s="226"/>
      <c r="E31" s="226"/>
      <c r="F31" s="226" t="s">
        <v>30</v>
      </c>
      <c r="G31" s="226"/>
      <c r="H31" s="226"/>
    </row>
    <row r="32" spans="1:8" s="22" customFormat="1" x14ac:dyDescent="0.3">
      <c r="A32" s="211" t="s">
        <v>25</v>
      </c>
      <c r="B32" s="211" t="s">
        <v>29</v>
      </c>
      <c r="C32" s="212" t="s">
        <v>221</v>
      </c>
      <c r="D32" s="212"/>
      <c r="E32" s="212"/>
      <c r="F32" s="212" t="s">
        <v>171</v>
      </c>
      <c r="G32" s="212"/>
      <c r="H32" s="212"/>
    </row>
    <row r="33" spans="1:13" x14ac:dyDescent="0.3">
      <c r="A33" s="211" t="s">
        <v>26</v>
      </c>
      <c r="B33" s="211" t="s">
        <v>29</v>
      </c>
      <c r="C33" s="212" t="s">
        <v>220</v>
      </c>
      <c r="D33" s="212"/>
      <c r="E33" s="212"/>
      <c r="F33" s="212" t="s">
        <v>165</v>
      </c>
      <c r="G33" s="212"/>
      <c r="H33" s="212"/>
    </row>
    <row r="34" spans="1:13" s="22" customFormat="1" x14ac:dyDescent="0.3">
      <c r="A34" s="211" t="s">
        <v>28</v>
      </c>
      <c r="B34" s="211" t="s">
        <v>29</v>
      </c>
      <c r="C34" s="212" t="s">
        <v>219</v>
      </c>
      <c r="D34" s="212"/>
      <c r="E34" s="212"/>
      <c r="F34" s="212" t="s">
        <v>172</v>
      </c>
      <c r="G34" s="212"/>
      <c r="H34" s="212"/>
    </row>
    <row r="35" spans="1:13" x14ac:dyDescent="0.3">
      <c r="A35" s="211" t="s">
        <v>27</v>
      </c>
      <c r="B35" s="211" t="s">
        <v>29</v>
      </c>
      <c r="C35" s="212" t="s">
        <v>218</v>
      </c>
      <c r="D35" s="212"/>
      <c r="E35" s="212"/>
      <c r="F35" s="212" t="s">
        <v>170</v>
      </c>
      <c r="G35" s="212"/>
      <c r="H35" s="212"/>
    </row>
    <row r="36" spans="1:13" x14ac:dyDescent="0.3">
      <c r="A36" s="138" t="s">
        <v>31</v>
      </c>
      <c r="B36" s="138"/>
      <c r="C36" s="138"/>
      <c r="D36" s="138"/>
      <c r="E36" s="138"/>
      <c r="F36" s="138"/>
      <c r="G36" s="138"/>
      <c r="H36" s="138"/>
    </row>
    <row r="37" spans="1:13" ht="15.75" customHeight="1" x14ac:dyDescent="0.3">
      <c r="A37" s="139" t="s">
        <v>187</v>
      </c>
      <c r="B37" s="139"/>
      <c r="C37" s="150" t="s">
        <v>188</v>
      </c>
      <c r="D37" s="151"/>
      <c r="E37" s="151"/>
      <c r="F37" s="151"/>
      <c r="G37" s="151"/>
      <c r="H37" s="152"/>
    </row>
    <row r="38" spans="1:13" x14ac:dyDescent="0.3">
      <c r="A38" s="139" t="s">
        <v>155</v>
      </c>
      <c r="B38" s="139"/>
      <c r="C38" s="214" t="s">
        <v>173</v>
      </c>
      <c r="D38" s="154"/>
      <c r="E38" s="154"/>
      <c r="F38" s="154"/>
      <c r="G38" s="154"/>
      <c r="H38" s="154"/>
    </row>
    <row r="39" spans="1:13" x14ac:dyDescent="0.3">
      <c r="A39" s="139" t="s">
        <v>34</v>
      </c>
      <c r="B39" s="139"/>
      <c r="C39" s="139"/>
      <c r="D39" s="139"/>
      <c r="E39" s="139"/>
      <c r="F39" s="139"/>
      <c r="G39" s="139"/>
      <c r="H39" s="139"/>
    </row>
    <row r="40" spans="1:13" x14ac:dyDescent="0.3">
      <c r="A40" s="138" t="s">
        <v>35</v>
      </c>
      <c r="B40" s="138"/>
      <c r="C40" s="138"/>
      <c r="D40" s="138"/>
      <c r="E40" s="213">
        <v>32561.78</v>
      </c>
      <c r="F40" s="213"/>
      <c r="G40" s="213"/>
      <c r="H40" s="213"/>
    </row>
    <row r="41" spans="1:13" x14ac:dyDescent="0.3">
      <c r="A41" s="138" t="s">
        <v>36</v>
      </c>
      <c r="B41" s="138"/>
      <c r="C41" s="138"/>
      <c r="D41" s="138"/>
      <c r="E41" s="198">
        <v>4</v>
      </c>
      <c r="F41" s="198"/>
      <c r="G41" s="198"/>
      <c r="H41" s="198"/>
    </row>
    <row r="42" spans="1:13" x14ac:dyDescent="0.3">
      <c r="A42" s="138" t="s">
        <v>37</v>
      </c>
      <c r="B42" s="138"/>
      <c r="C42" s="138"/>
      <c r="D42" s="138"/>
      <c r="E42" s="198">
        <f>E44/E40-E41</f>
        <v>1.396752573108718</v>
      </c>
      <c r="F42" s="198"/>
      <c r="G42" s="198"/>
      <c r="H42" s="198"/>
    </row>
    <row r="43" spans="1:13" x14ac:dyDescent="0.3">
      <c r="A43" s="138" t="s">
        <v>38</v>
      </c>
      <c r="B43" s="138"/>
      <c r="C43" s="138"/>
      <c r="D43" s="138"/>
      <c r="E43" s="198">
        <f>E41+E42</f>
        <v>5.396752573108718</v>
      </c>
      <c r="F43" s="198"/>
      <c r="G43" s="198"/>
      <c r="H43" s="198"/>
    </row>
    <row r="44" spans="1:13" x14ac:dyDescent="0.3">
      <c r="A44" s="138" t="s">
        <v>88</v>
      </c>
      <c r="B44" s="138"/>
      <c r="C44" s="138"/>
      <c r="D44" s="138"/>
      <c r="E44" s="199">
        <v>175727.87</v>
      </c>
      <c r="F44" s="199"/>
      <c r="G44" s="199"/>
      <c r="H44" s="199"/>
    </row>
    <row r="45" spans="1:13" x14ac:dyDescent="0.3">
      <c r="A45" s="108" t="s">
        <v>39</v>
      </c>
      <c r="B45" s="108"/>
      <c r="C45" s="108"/>
      <c r="D45" s="108"/>
      <c r="E45" s="108" t="s">
        <v>222</v>
      </c>
      <c r="F45" s="108"/>
      <c r="G45" s="108"/>
      <c r="H45" s="108"/>
    </row>
    <row r="46" spans="1:13" x14ac:dyDescent="0.3">
      <c r="A46" s="139" t="s">
        <v>40</v>
      </c>
      <c r="B46" s="139"/>
      <c r="C46" s="139"/>
      <c r="D46" s="139"/>
      <c r="E46" s="139"/>
      <c r="F46" s="139"/>
      <c r="G46" s="139"/>
      <c r="H46" s="139"/>
    </row>
    <row r="47" spans="1:13" ht="33.75" customHeight="1" x14ac:dyDescent="0.3">
      <c r="A47" s="159" t="s">
        <v>144</v>
      </c>
      <c r="B47" s="161"/>
      <c r="C47" s="201" t="s">
        <v>174</v>
      </c>
      <c r="D47" s="202"/>
      <c r="E47" s="202"/>
      <c r="F47" s="202"/>
      <c r="G47" s="202"/>
      <c r="H47" s="203"/>
    </row>
    <row r="48" spans="1:13" ht="15.75" customHeight="1" x14ac:dyDescent="0.3">
      <c r="A48" s="159" t="s">
        <v>41</v>
      </c>
      <c r="B48" s="161"/>
      <c r="C48" s="159" t="s">
        <v>175</v>
      </c>
      <c r="D48" s="160"/>
      <c r="E48" s="161"/>
      <c r="F48" s="18" t="s">
        <v>42</v>
      </c>
      <c r="G48" s="162">
        <v>45910</v>
      </c>
      <c r="H48" s="161"/>
      <c r="I48" s="159" t="s">
        <v>175</v>
      </c>
      <c r="J48" s="160"/>
      <c r="K48" s="161"/>
      <c r="L48" s="162">
        <v>45240</v>
      </c>
      <c r="M48" s="161"/>
    </row>
    <row r="49" spans="1:14" x14ac:dyDescent="0.3">
      <c r="A49" s="159" t="s">
        <v>238</v>
      </c>
      <c r="B49" s="161"/>
      <c r="C49" s="159" t="str">
        <f>C48</f>
        <v xml:space="preserve">N/PVT/0106/20220718/AP/C-1
</v>
      </c>
      <c r="D49" s="160"/>
      <c r="E49" s="161"/>
      <c r="F49" s="18" t="s">
        <v>42</v>
      </c>
      <c r="G49" s="162">
        <v>45910</v>
      </c>
      <c r="H49" s="161"/>
    </row>
    <row r="50" spans="1:14" s="23" customFormat="1" x14ac:dyDescent="0.3">
      <c r="A50" s="218" t="s">
        <v>148</v>
      </c>
      <c r="B50" s="219"/>
      <c r="C50" s="159" t="s">
        <v>175</v>
      </c>
      <c r="D50" s="160"/>
      <c r="E50" s="161"/>
      <c r="F50" s="18" t="s">
        <v>42</v>
      </c>
      <c r="G50" s="162">
        <v>45314</v>
      </c>
      <c r="H50" s="225"/>
    </row>
    <row r="51" spans="1:14" s="23" customFormat="1" ht="46.5" customHeight="1" x14ac:dyDescent="0.3">
      <c r="A51" s="220"/>
      <c r="B51" s="221"/>
      <c r="C51" s="159" t="s">
        <v>224</v>
      </c>
      <c r="D51" s="160"/>
      <c r="E51" s="160"/>
      <c r="F51" s="160"/>
      <c r="G51" s="160"/>
      <c r="H51" s="161"/>
    </row>
    <row r="52" spans="1:14" x14ac:dyDescent="0.3">
      <c r="A52" s="204" t="s">
        <v>43</v>
      </c>
      <c r="B52" s="206"/>
      <c r="C52" s="204" t="s">
        <v>99</v>
      </c>
      <c r="D52" s="205"/>
      <c r="E52" s="206"/>
      <c r="F52" s="45" t="s">
        <v>42</v>
      </c>
      <c r="G52" s="209" t="s">
        <v>29</v>
      </c>
      <c r="H52" s="210"/>
    </row>
    <row r="53" spans="1:14" x14ac:dyDescent="0.3">
      <c r="A53" s="207" t="s">
        <v>45</v>
      </c>
      <c r="B53" s="207"/>
      <c r="C53" s="207"/>
      <c r="D53" s="207"/>
      <c r="E53" s="207"/>
      <c r="F53" s="207"/>
      <c r="G53" s="207"/>
      <c r="H53" s="207"/>
    </row>
    <row r="54" spans="1:14" ht="30" customHeight="1" x14ac:dyDescent="0.3">
      <c r="A54" s="153" t="s">
        <v>223</v>
      </c>
      <c r="B54" s="153"/>
      <c r="C54" s="153"/>
      <c r="D54" s="138">
        <v>62786.95</v>
      </c>
      <c r="E54" s="138"/>
      <c r="F54" s="138"/>
      <c r="G54" s="138"/>
      <c r="H54" s="138"/>
      <c r="I54" s="108" t="s">
        <v>246</v>
      </c>
      <c r="J54" s="108"/>
      <c r="K54" s="108"/>
      <c r="L54" s="108"/>
      <c r="M54" s="108"/>
    </row>
    <row r="55" spans="1:14" x14ac:dyDescent="0.3">
      <c r="A55" s="154" t="s">
        <v>46</v>
      </c>
      <c r="B55" s="108"/>
      <c r="C55" s="108"/>
      <c r="D55" s="108" t="s">
        <v>293</v>
      </c>
      <c r="E55" s="108"/>
      <c r="F55" s="108"/>
      <c r="G55" s="108"/>
      <c r="H55" s="108"/>
      <c r="I55" s="24">
        <f>281+296</f>
        <v>577</v>
      </c>
    </row>
    <row r="56" spans="1:14" ht="36" customHeight="1" x14ac:dyDescent="0.3">
      <c r="A56" s="215" t="s">
        <v>47</v>
      </c>
      <c r="B56" s="216"/>
      <c r="C56" s="217"/>
      <c r="D56" s="163" t="s">
        <v>282</v>
      </c>
      <c r="E56" s="164"/>
      <c r="F56" s="164"/>
      <c r="G56" s="164"/>
      <c r="H56" s="164"/>
      <c r="I56" s="163" t="s">
        <v>226</v>
      </c>
      <c r="J56" s="164"/>
      <c r="K56" s="164"/>
      <c r="L56" s="164"/>
      <c r="M56" s="164"/>
    </row>
    <row r="57" spans="1:14" ht="33" customHeight="1" x14ac:dyDescent="0.3">
      <c r="A57" s="215" t="s">
        <v>86</v>
      </c>
      <c r="B57" s="216"/>
      <c r="C57" s="216"/>
      <c r="D57" s="222" t="s">
        <v>296</v>
      </c>
      <c r="E57" s="223"/>
      <c r="F57" s="223"/>
      <c r="G57" s="223"/>
      <c r="H57" s="224"/>
    </row>
    <row r="58" spans="1:14" ht="15.75" customHeight="1" x14ac:dyDescent="0.3">
      <c r="A58" s="138" t="s">
        <v>44</v>
      </c>
      <c r="B58" s="138"/>
      <c r="C58" s="138"/>
      <c r="D58" s="200" t="s">
        <v>280</v>
      </c>
      <c r="E58" s="200"/>
      <c r="F58" s="200"/>
      <c r="G58" s="200"/>
      <c r="H58" s="200"/>
      <c r="J58" s="25"/>
      <c r="K58" s="24"/>
      <c r="L58" s="21">
        <f>262+20</f>
        <v>282</v>
      </c>
      <c r="N58" s="24"/>
    </row>
    <row r="59" spans="1:14" ht="15.75" customHeight="1" x14ac:dyDescent="0.3">
      <c r="A59" s="138" t="s">
        <v>84</v>
      </c>
      <c r="B59" s="138"/>
      <c r="C59" s="138"/>
      <c r="D59" s="208" t="str">
        <f>(IF(G52="NA","60 Years After Completion",IF(G52&lt;&gt;"NA",""&amp;60-ROUNDDOWN((E3-G52)/360,0)&amp;" Years"," ")))</f>
        <v>60 Years After Completion</v>
      </c>
      <c r="E59" s="208"/>
      <c r="F59" s="208"/>
      <c r="G59" s="208"/>
      <c r="H59" s="208"/>
      <c r="N59" s="24"/>
    </row>
    <row r="60" spans="1:14" ht="15.75" customHeight="1" x14ac:dyDescent="0.3">
      <c r="A60" s="138" t="s">
        <v>85</v>
      </c>
      <c r="B60" s="138"/>
      <c r="C60" s="138"/>
      <c r="D60" s="153" t="s">
        <v>24</v>
      </c>
      <c r="E60" s="153"/>
      <c r="F60" s="153"/>
      <c r="G60" s="153"/>
      <c r="H60" s="153"/>
      <c r="J60" s="26"/>
      <c r="K60" s="26"/>
    </row>
    <row r="61" spans="1:14" ht="47.25" customHeight="1" x14ac:dyDescent="0.3">
      <c r="A61" s="108" t="s">
        <v>243</v>
      </c>
      <c r="B61" s="108"/>
      <c r="C61" s="108"/>
      <c r="D61" s="154" t="s">
        <v>242</v>
      </c>
      <c r="E61" s="154"/>
      <c r="F61" s="154"/>
      <c r="G61" s="154"/>
      <c r="H61" s="154"/>
      <c r="I61" s="59" t="s">
        <v>233</v>
      </c>
    </row>
    <row r="62" spans="1:14" x14ac:dyDescent="0.3">
      <c r="A62" s="153" t="s">
        <v>141</v>
      </c>
      <c r="B62" s="153"/>
      <c r="C62" s="153"/>
      <c r="D62" s="153" t="s">
        <v>29</v>
      </c>
      <c r="E62" s="153"/>
      <c r="F62" s="153"/>
      <c r="G62" s="153"/>
      <c r="H62" s="153"/>
      <c r="I62" s="27"/>
      <c r="J62" s="27"/>
      <c r="K62" s="27"/>
      <c r="L62" s="27"/>
      <c r="M62" s="27"/>
      <c r="N62" s="27"/>
    </row>
    <row r="63" spans="1:14" ht="15.75" customHeight="1" x14ac:dyDescent="0.3">
      <c r="A63" s="235" t="s">
        <v>83</v>
      </c>
      <c r="B63" s="235"/>
      <c r="C63" s="235"/>
      <c r="D63" s="163" t="str">
        <f ca="1">(IF(G69&gt;95%,"Nothing",IF(G69&gt;0%,"Cement, Aggregate, Steel, etc",IF(G69=0%,"Work not yet Started"))))</f>
        <v>Cement, Aggregate, Steel, etc</v>
      </c>
      <c r="E63" s="163"/>
      <c r="F63" s="163"/>
      <c r="G63" s="163"/>
      <c r="H63" s="163"/>
      <c r="J63" s="26"/>
    </row>
    <row r="64" spans="1:14" ht="33.75" customHeight="1" thickBot="1" x14ac:dyDescent="0.35">
      <c r="A64" s="234" t="s">
        <v>112</v>
      </c>
      <c r="B64" s="234"/>
      <c r="C64" s="234"/>
      <c r="D64" s="163" t="str">
        <f ca="1">(IF(D63="Nothing","Yes",IF(D63="Cement, Aggregate, Steel, etc","Under Construction",IF(D63="Work not yet Started","Work not yet Started"))))</f>
        <v>Under Construction</v>
      </c>
      <c r="E64" s="163"/>
      <c r="F64" s="163" t="str">
        <f ca="1">(IF(D63="Nothing","Yes",IF(D63="Cement, Aggregate, Steel, etc","Under Construction",IF(D63="Work not yet Started","Work not yet Started"))))</f>
        <v>Under Construction</v>
      </c>
      <c r="G64" s="163"/>
      <c r="H64" s="163"/>
    </row>
    <row r="65" spans="1:12" x14ac:dyDescent="0.3">
      <c r="A65" s="174" t="s">
        <v>133</v>
      </c>
      <c r="B65" s="175"/>
      <c r="C65" s="176" t="s">
        <v>297</v>
      </c>
      <c r="D65" s="177"/>
      <c r="E65" s="177"/>
      <c r="F65" s="177"/>
      <c r="G65" s="177"/>
      <c r="H65" s="178"/>
      <c r="I65" s="47" t="str">
        <f ca="1">IF(D78=100%,"All work Completed. Possession granted to the Building.",IF(D77=100%,"All work Completed, Waiting for OC",I66&amp;""&amp;I67&amp;""&amp;J66&amp;""&amp;J65&amp;" "&amp;J67))</f>
        <v>Excavation, Plinth Completed, RCC upto 12 Slab, Brickwork upto 11 Floor, Internal Plaster upto 8.25 Floor, External Plaster upto 8.25 Floor Completed</v>
      </c>
      <c r="J65" s="48" t="str">
        <f ca="1">(IF(C71=(D66+F66+H66),"",IF(C71&gt;0,", RCC upto "&amp;C71&amp;" Slab","")))&amp;(IF(C72=H66,"",IF(C72&gt;0,", Brickwork upto "&amp;C72&amp;" Floor","")))&amp;(IF(C73=H66,"",IF(C73&gt;0,", Internal Plaster upto "&amp;C73&amp;" Floor","")))&amp;(IF(C74=H66,"",IF(C74&gt;0,", External Plaster upto "&amp;C74&amp;" Floor","")))&amp;(IF(C75=H66,"",IF(C75&gt;0,", Flooring upto "&amp;C75&amp;" Floor","")))&amp;(IF(C76=H66,"",IF(C76&gt;0,", Painting upto "&amp;C76&amp;" Floor","")))&amp;(IF(C77=H66,"",IF(C77&gt;0,", Finishing upto "&amp;C77&amp;" Floor","")))&amp;(IF(C78=H66,"",IF(C78&gt;0,", Possession upto "&amp;C78&amp;" Floor","")))</f>
        <v>, RCC upto 12 Slab, Brickwork upto 11 Floor, Internal Plaster upto 8.25 Floor, External Plaster upto 8.25 Floor</v>
      </c>
    </row>
    <row r="66" spans="1:12" x14ac:dyDescent="0.3">
      <c r="A66" s="16" t="s">
        <v>135</v>
      </c>
      <c r="B66" s="51">
        <v>4</v>
      </c>
      <c r="C66" s="51" t="s">
        <v>69</v>
      </c>
      <c r="D66" s="51">
        <v>1</v>
      </c>
      <c r="E66" s="51" t="s">
        <v>68</v>
      </c>
      <c r="F66" s="51">
        <v>0</v>
      </c>
      <c r="G66" s="51" t="s">
        <v>77</v>
      </c>
      <c r="H66" s="17">
        <f ca="1">--TRIM(RIGHT(SUBSTITUTE(LEFT(C65,_xlfn.AGGREGATE(16,6,FIND({0,1,2,3,4,5,6,7,8,9},C65,ROW(INDIRECT("1:"&amp;LEN(C65)))),1))," ",REPT(" ",LEN(C65))),LEN(C65)))</f>
        <v>33</v>
      </c>
      <c r="I66" s="49" t="str">
        <f ca="1">IF(D69=100%,"Excavation","")&amp;IF(D70=100%,", Plinth","")&amp;IF(D71=100%,", RCC Slab","")&amp;IF(D72=100%,", Brickwork","")&amp;IF(D73=100%,", Internal Plaster","")&amp;IF(D74=100%,", External Plaster","")&amp;IF(D75=100%,", Flooring","")&amp;IF(D76=100%,", Painting","")&amp;IF(D77=100%,", Building common Amenities","")</f>
        <v>Excavation, Plinth</v>
      </c>
      <c r="J66" s="50" t="str">
        <f ca="1">(IF(C69=0,"Work not yet Started.",IF(D69=25%,"Piling work in process",IF(D69=50%,"Excavation work in process",IF(D69=100%,"","0")))))&amp;(IF(C70=0%,"",IF(C70=J71,", Footing work is process",IF(C70=J72,", Footing work Completed",IF(C70=J73,", 1st Basement Completed",IF(C70=J74,", 1st &amp; 2nd Basement Completed",IF(C70=J75,", 1st to 3rd Basement Completed",IF(C70=J76,", 1st to 4th Basement Completed",IF(C70=J77,", Plinth work is process",IF(C70=J78,"","0"))))))))))</f>
        <v/>
      </c>
    </row>
    <row r="67" spans="1:12" ht="34.200000000000003" customHeight="1" x14ac:dyDescent="0.3">
      <c r="A67" s="179" t="s">
        <v>87</v>
      </c>
      <c r="B67" s="180"/>
      <c r="C67" s="181" t="str">
        <f ca="1">I65</f>
        <v>Excavation, Plinth Completed, RCC upto 12 Slab, Brickwork upto 11 Floor, Internal Plaster upto 8.25 Floor, External Plaster upto 8.25 Floor Completed</v>
      </c>
      <c r="D67" s="181"/>
      <c r="E67" s="181"/>
      <c r="F67" s="181"/>
      <c r="G67" s="181"/>
      <c r="H67" s="182"/>
      <c r="I67" s="49" t="str">
        <f ca="1">IF(I66&lt;&gt;""," Completed","")</f>
        <v xml:space="preserve"> Completed</v>
      </c>
      <c r="J67" s="50" t="str">
        <f ca="1">IF(J65&lt;&gt;"","Completed","")</f>
        <v>Completed</v>
      </c>
    </row>
    <row r="68" spans="1:12" ht="15.75" customHeight="1" x14ac:dyDescent="0.3">
      <c r="A68" s="171" t="s">
        <v>48</v>
      </c>
      <c r="B68" s="172"/>
      <c r="C68" s="43" t="s">
        <v>132</v>
      </c>
      <c r="D68" s="43" t="s">
        <v>80</v>
      </c>
      <c r="E68" s="172" t="s">
        <v>82</v>
      </c>
      <c r="F68" s="172"/>
      <c r="G68" s="172" t="s">
        <v>81</v>
      </c>
      <c r="H68" s="188"/>
      <c r="I68" s="14" t="s">
        <v>134</v>
      </c>
      <c r="J68" s="28">
        <f ca="1">H66*25%</f>
        <v>8.25</v>
      </c>
    </row>
    <row r="69" spans="1:12" x14ac:dyDescent="0.3">
      <c r="A69" s="171" t="s">
        <v>121</v>
      </c>
      <c r="B69" s="172"/>
      <c r="C69" s="43">
        <f ca="1">J70</f>
        <v>33</v>
      </c>
      <c r="D69" s="19">
        <f ca="1">((100/H66)*C69)/100</f>
        <v>1</v>
      </c>
      <c r="E69" s="189">
        <f ca="1">(((C70/H66*10)+(40/(D66+F66+H66)*C71)+(7.5/(H66)*C72)+(7.5/(H66)*C73)+(10/H66*C74)+(10/H66*C75)+(5/H66*C76)+(5/H66*C77)+(5/H66*C78))/100)</f>
        <v>0.3099264705882353</v>
      </c>
      <c r="F69" s="190"/>
      <c r="G69" s="189">
        <f ca="1">((((C69/H66)*20)+((C70/H66)*25)+(30/(H66+F66+D66)*C71)+(5/H66*C72)+(5/H66*C73)+(5/H66*C74)+(5/H66*C75)+(0/H66*C76)+(0/H66*C77)+(5/H66*C78))/100)</f>
        <v>0.59754901960784312</v>
      </c>
      <c r="H69" s="195"/>
      <c r="I69" s="14" t="s">
        <v>94</v>
      </c>
      <c r="J69" s="29">
        <f ca="1">H66*50%</f>
        <v>16.5</v>
      </c>
    </row>
    <row r="70" spans="1:12" x14ac:dyDescent="0.3">
      <c r="A70" s="171" t="s">
        <v>49</v>
      </c>
      <c r="B70" s="172"/>
      <c r="C70" s="56">
        <v>33</v>
      </c>
      <c r="D70" s="19">
        <f ca="1">((100/H66)*C70)/100</f>
        <v>1</v>
      </c>
      <c r="E70" s="191"/>
      <c r="F70" s="192"/>
      <c r="G70" s="191"/>
      <c r="H70" s="196"/>
      <c r="I70" s="14" t="s">
        <v>95</v>
      </c>
      <c r="J70" s="29">
        <f ca="1">H66</f>
        <v>33</v>
      </c>
    </row>
    <row r="71" spans="1:12" ht="15.75" customHeight="1" x14ac:dyDescent="0.3">
      <c r="A71" s="171" t="s">
        <v>122</v>
      </c>
      <c r="B71" s="172"/>
      <c r="C71" s="66">
        <v>12</v>
      </c>
      <c r="D71" s="19">
        <f ca="1">((100/(D66+F66+H66))*C71)/100</f>
        <v>0.35294117647058826</v>
      </c>
      <c r="E71" s="191"/>
      <c r="F71" s="192"/>
      <c r="G71" s="191"/>
      <c r="H71" s="196"/>
      <c r="I71" s="14" t="s">
        <v>96</v>
      </c>
      <c r="J71" s="30">
        <f ca="1">(IF(B66&gt;1,(H66/(B66+2)),H66/4))</f>
        <v>5.5</v>
      </c>
    </row>
    <row r="72" spans="1:12" ht="15.75" customHeight="1" x14ac:dyDescent="0.3">
      <c r="A72" s="171" t="s">
        <v>129</v>
      </c>
      <c r="B72" s="172" t="s">
        <v>123</v>
      </c>
      <c r="C72" s="66">
        <f>C71-1</f>
        <v>11</v>
      </c>
      <c r="D72" s="19">
        <f ca="1">((100/H66)*C72)/100</f>
        <v>0.33333333333333337</v>
      </c>
      <c r="E72" s="191"/>
      <c r="F72" s="192"/>
      <c r="G72" s="191"/>
      <c r="H72" s="196"/>
      <c r="I72" s="14" t="s">
        <v>97</v>
      </c>
      <c r="J72" s="30">
        <f ca="1">(IF(B66&gt;1,(H66/(B66+2)+J71),H66/4+J71))</f>
        <v>11</v>
      </c>
    </row>
    <row r="73" spans="1:12" ht="15.75" customHeight="1" x14ac:dyDescent="0.3">
      <c r="A73" s="171" t="s">
        <v>130</v>
      </c>
      <c r="B73" s="172" t="s">
        <v>123</v>
      </c>
      <c r="C73" s="67">
        <f>C72*0.75</f>
        <v>8.25</v>
      </c>
      <c r="D73" s="19">
        <f ca="1">((100/H66)*C73)/100</f>
        <v>0.25</v>
      </c>
      <c r="E73" s="191"/>
      <c r="F73" s="192"/>
      <c r="G73" s="191"/>
      <c r="H73" s="196"/>
      <c r="I73" s="14" t="s">
        <v>139</v>
      </c>
      <c r="J73" s="30">
        <f ca="1">(IF(B66&gt;1,(H66/(B66+2)+J72),0))</f>
        <v>16.5</v>
      </c>
    </row>
    <row r="74" spans="1:12" ht="15" customHeight="1" x14ac:dyDescent="0.3">
      <c r="A74" s="171" t="s">
        <v>128</v>
      </c>
      <c r="B74" s="172" t="s">
        <v>125</v>
      </c>
      <c r="C74" s="67">
        <f>C72*0.75</f>
        <v>8.25</v>
      </c>
      <c r="D74" s="19">
        <f ca="1">((100/(H66))*C74)/100</f>
        <v>0.25</v>
      </c>
      <c r="E74" s="191"/>
      <c r="F74" s="192"/>
      <c r="G74" s="191"/>
      <c r="H74" s="196"/>
      <c r="I74" s="14" t="s">
        <v>136</v>
      </c>
      <c r="J74" s="30">
        <f ca="1">(IF(B66&gt;2,(H66/(B66+2)+J73),0))</f>
        <v>22</v>
      </c>
    </row>
    <row r="75" spans="1:12" ht="15.75" customHeight="1" x14ac:dyDescent="0.3">
      <c r="A75" s="171" t="s">
        <v>124</v>
      </c>
      <c r="B75" s="172" t="s">
        <v>124</v>
      </c>
      <c r="C75" s="66">
        <v>0</v>
      </c>
      <c r="D75" s="19">
        <f ca="1">((100/H66)*C75)/100</f>
        <v>0</v>
      </c>
      <c r="E75" s="191"/>
      <c r="F75" s="192"/>
      <c r="G75" s="191"/>
      <c r="H75" s="196"/>
      <c r="I75" s="14" t="s">
        <v>137</v>
      </c>
      <c r="J75" s="31">
        <f ca="1">(IF(B66&gt;3,(H66/(B66+2)+J74),0))</f>
        <v>27.5</v>
      </c>
    </row>
    <row r="76" spans="1:12" ht="15.75" customHeight="1" x14ac:dyDescent="0.3">
      <c r="A76" s="171" t="s">
        <v>131</v>
      </c>
      <c r="B76" s="172"/>
      <c r="C76" s="43">
        <v>0</v>
      </c>
      <c r="D76" s="19">
        <f ca="1">((100/H66)*C76)/100</f>
        <v>0</v>
      </c>
      <c r="E76" s="191"/>
      <c r="F76" s="192"/>
      <c r="G76" s="191"/>
      <c r="H76" s="196"/>
      <c r="I76" s="14" t="s">
        <v>138</v>
      </c>
      <c r="J76" s="30">
        <f>(IF(B66&gt;4,(H66/(B66+2)+J75),0))</f>
        <v>0</v>
      </c>
      <c r="L76" s="24">
        <f>5200+11226+22500</f>
        <v>38926</v>
      </c>
    </row>
    <row r="77" spans="1:12" ht="15.75" customHeight="1" x14ac:dyDescent="0.3">
      <c r="A77" s="171" t="s">
        <v>126</v>
      </c>
      <c r="B77" s="172" t="s">
        <v>126</v>
      </c>
      <c r="C77" s="43">
        <v>0</v>
      </c>
      <c r="D77" s="19">
        <f ca="1">((100/(H66))*C77)/100</f>
        <v>0</v>
      </c>
      <c r="E77" s="191"/>
      <c r="F77" s="192"/>
      <c r="G77" s="191"/>
      <c r="H77" s="196"/>
      <c r="I77" s="14" t="s">
        <v>140</v>
      </c>
      <c r="J77" s="30">
        <f>(IF(B66=1,(H66/(B66+3)+J72),IF(B66=0,(H66/4+J72),IF(B66&gt;1,0))))</f>
        <v>0</v>
      </c>
    </row>
    <row r="78" spans="1:12" ht="16.2" thickBot="1" x14ac:dyDescent="0.35">
      <c r="A78" s="115" t="s">
        <v>127</v>
      </c>
      <c r="B78" s="116"/>
      <c r="C78" s="44">
        <v>0</v>
      </c>
      <c r="D78" s="20">
        <f ca="1">((100/(H66))*C78)/100</f>
        <v>0</v>
      </c>
      <c r="E78" s="193"/>
      <c r="F78" s="194"/>
      <c r="G78" s="193"/>
      <c r="H78" s="197"/>
      <c r="I78" s="15" t="s">
        <v>98</v>
      </c>
      <c r="J78" s="32">
        <f ca="1">(IF(B66&gt;1.5,(H66/(B66+2)+J72+MAX(0,J73-J72)+MAX(0,J74-J73)+MAX(0,J75-J74)+MAX(0,J76-J75)+MAX(0,J77-J76)),IF(B66=1,(H66/(B66+3)+J77),IF(B66=0,H66/4+J77))))</f>
        <v>33</v>
      </c>
    </row>
    <row r="79" spans="1:12" x14ac:dyDescent="0.3">
      <c r="A79" s="174" t="s">
        <v>133</v>
      </c>
      <c r="B79" s="175"/>
      <c r="C79" s="176" t="s">
        <v>298</v>
      </c>
      <c r="D79" s="177"/>
      <c r="E79" s="177"/>
      <c r="F79" s="177"/>
      <c r="G79" s="177"/>
      <c r="H79" s="178"/>
      <c r="I79" s="47" t="str">
        <f ca="1">IF(D92=100%,"All work Completed. Possession granted to the Building.",IF(D91=100%,"All work Completed, Waiting for OC",I80&amp;""&amp;I81&amp;""&amp;J80&amp;""&amp;J79&amp;" "&amp;J81))</f>
        <v>Excavation, Plinth Completed, RCC upto 13 Slab, Brickwork upto 12 Floor, Internal Plaster upto 9 Floor, External Plaster upto 9 Floor Completed</v>
      </c>
      <c r="J79" s="48" t="str">
        <f ca="1">(IF(C85=(D80+F80+H80),"",IF(C85&gt;0,", RCC upto "&amp;C85&amp;" Slab","")))&amp;(IF(C86=H80,"",IF(C86&gt;0,", Brickwork upto "&amp;C86&amp;" Floor","")))&amp;(IF(C87=H80,"",IF(C87&gt;0,", Internal Plaster upto "&amp;C87&amp;" Floor","")))&amp;(IF(C88=H80,"",IF(C88&gt;0,", External Plaster upto "&amp;C88&amp;" Floor","")))&amp;(IF(C89=H80,"",IF(C89&gt;0,", Flooring upto "&amp;C89&amp;" Floor","")))&amp;(IF(C90=H80,"",IF(C90&gt;0,", Painting upto "&amp;C90&amp;" Floor","")))&amp;(IF(C91=H80,"",IF(C91&gt;0,", Finishing upto "&amp;C91&amp;" Floor","")))&amp;(IF(C92=H80,"",IF(C92&gt;0,", Possession upto "&amp;C92&amp;" Floor","")))</f>
        <v>, RCC upto 13 Slab, Brickwork upto 12 Floor, Internal Plaster upto 9 Floor, External Plaster upto 9 Floor</v>
      </c>
    </row>
    <row r="80" spans="1:12" x14ac:dyDescent="0.3">
      <c r="A80" s="16" t="s">
        <v>135</v>
      </c>
      <c r="B80" s="51">
        <v>4</v>
      </c>
      <c r="C80" s="51" t="s">
        <v>69</v>
      </c>
      <c r="D80" s="51">
        <v>1</v>
      </c>
      <c r="E80" s="51" t="s">
        <v>68</v>
      </c>
      <c r="F80" s="51">
        <v>0</v>
      </c>
      <c r="G80" s="51" t="s">
        <v>77</v>
      </c>
      <c r="H80" s="17">
        <f ca="1">--TRIM(RIGHT(SUBSTITUTE(LEFT(C79,_xlfn.AGGREGATE(16,6,FIND({0,1,2,3,4,5,6,7,8,9},C79,ROW(INDIRECT("1:"&amp;LEN(C79)))),1))," ",REPT(" ",LEN(C79))),LEN(C79)))</f>
        <v>33</v>
      </c>
      <c r="I80" s="49" t="str">
        <f ca="1">IF(D83=100%,"Excavation","")&amp;IF(D84=100%,", Plinth","")&amp;IF(D85=100%,", RCC Slab","")&amp;IF(D86=100%,", Brickwork","")&amp;IF(D87=100%,", Internal Plaster","")&amp;IF(D88=100%,", External Plaster","")&amp;IF(D89=100%,", Flooring","")&amp;IF(D90=100%,", Painting","")&amp;IF(D91=100%,", Building common Amenities","")</f>
        <v>Excavation, Plinth</v>
      </c>
      <c r="J80" s="50" t="str">
        <f ca="1">(IF(C83=0,"Work not yet Started.",IF(D83=25%,"Piling work in process",IF(D83=50%,"Excavation work in process",IF(D83=100%,"","0")))))&amp;(IF(C84=0%,"",IF(C84=J85,", Footing work is process",IF(C84=J86,", Footing work Completed",IF(C84=J87,", 1st Basement Completed",IF(C84=J88,", 1st &amp; 2nd Basement Completed",IF(C84=J89,", 1st to 3rd Basement Completed",IF(C84=J90,", 1st to 4th Basement Completed",IF(C84=J91,", Plinth work is process",IF(C84=J92,"","0"))))))))))</f>
        <v/>
      </c>
      <c r="K80" s="54"/>
      <c r="L80" s="54"/>
    </row>
    <row r="81" spans="1:13" ht="34.5" customHeight="1" x14ac:dyDescent="0.3">
      <c r="A81" s="179" t="s">
        <v>87</v>
      </c>
      <c r="B81" s="180"/>
      <c r="C81" s="181" t="str">
        <f ca="1">I79</f>
        <v>Excavation, Plinth Completed, RCC upto 13 Slab, Brickwork upto 12 Floor, Internal Plaster upto 9 Floor, External Plaster upto 9 Floor Completed</v>
      </c>
      <c r="D81" s="181"/>
      <c r="E81" s="181"/>
      <c r="F81" s="181"/>
      <c r="G81" s="181"/>
      <c r="H81" s="182"/>
      <c r="I81" s="49" t="str">
        <f ca="1">IF(I80&lt;&gt;""," Completed","")</f>
        <v xml:space="preserve"> Completed</v>
      </c>
      <c r="J81" s="50" t="str">
        <f ca="1">IF(J79&lt;&gt;"","Completed","")</f>
        <v>Completed</v>
      </c>
      <c r="K81" s="53">
        <f>9700000/560</f>
        <v>17321.428571428572</v>
      </c>
      <c r="L81" s="53">
        <f>10800000/560</f>
        <v>19285.714285714286</v>
      </c>
      <c r="M81" s="21" t="s">
        <v>183</v>
      </c>
    </row>
    <row r="82" spans="1:13" x14ac:dyDescent="0.3">
      <c r="A82" s="171" t="s">
        <v>48</v>
      </c>
      <c r="B82" s="172"/>
      <c r="C82" s="43" t="s">
        <v>132</v>
      </c>
      <c r="D82" s="43" t="s">
        <v>80</v>
      </c>
      <c r="E82" s="172" t="s">
        <v>82</v>
      </c>
      <c r="F82" s="172"/>
      <c r="G82" s="172" t="s">
        <v>81</v>
      </c>
      <c r="H82" s="188"/>
      <c r="I82" s="14" t="s">
        <v>134</v>
      </c>
      <c r="J82" s="28">
        <f ca="1">H80*25%</f>
        <v>8.25</v>
      </c>
      <c r="K82" s="53"/>
      <c r="L82" s="53"/>
    </row>
    <row r="83" spans="1:13" x14ac:dyDescent="0.3">
      <c r="A83" s="171" t="s">
        <v>121</v>
      </c>
      <c r="B83" s="172"/>
      <c r="C83" s="43">
        <f ca="1">J84</f>
        <v>33</v>
      </c>
      <c r="D83" s="19">
        <f ca="1">((100/H80)*C83)/100</f>
        <v>1</v>
      </c>
      <c r="E83" s="189">
        <f ca="1">(((C84/H80*10)+(40/(D80+F80+H80)*C85)+(7.5/(H80)*C86)+(7.5/(H80)*C87)+(10/H80*C88)+(10/H80*C89)+(5/H80*C90)+(5/H80*C91)+(5/H80*C92))/100)</f>
        <v>0.32794117647058824</v>
      </c>
      <c r="F83" s="190"/>
      <c r="G83" s="189">
        <f ca="1">((((C83/H80)*20)+((C84/H80)*25)+(30/(H80+F80+D80)*C85)+(5/H80*C86)+(5/H80*C87)+(5/H80*C88)+(5/H80*C89)+(0/H80*C90)+(0/H80*C91)+(5/H80*C92))/100)</f>
        <v>0.61016042780748669</v>
      </c>
      <c r="H83" s="195"/>
      <c r="I83" s="14" t="s">
        <v>94</v>
      </c>
      <c r="J83" s="29">
        <f ca="1">H80*50%</f>
        <v>16.5</v>
      </c>
      <c r="K83" s="54" t="s">
        <v>106</v>
      </c>
      <c r="L83" s="54" t="s">
        <v>182</v>
      </c>
    </row>
    <row r="84" spans="1:13" s="33" customFormat="1" x14ac:dyDescent="0.25">
      <c r="A84" s="171" t="s">
        <v>49</v>
      </c>
      <c r="B84" s="172"/>
      <c r="C84" s="56">
        <v>33</v>
      </c>
      <c r="D84" s="19">
        <f ca="1">((100/H80)*C84)/100</f>
        <v>1</v>
      </c>
      <c r="E84" s="191"/>
      <c r="F84" s="192"/>
      <c r="G84" s="191"/>
      <c r="H84" s="196"/>
      <c r="I84" s="14" t="s">
        <v>95</v>
      </c>
      <c r="J84" s="29">
        <f ca="1">H80</f>
        <v>33</v>
      </c>
    </row>
    <row r="85" spans="1:13" s="33" customFormat="1" x14ac:dyDescent="0.3">
      <c r="A85" s="171" t="s">
        <v>122</v>
      </c>
      <c r="B85" s="172"/>
      <c r="C85" s="43">
        <v>13</v>
      </c>
      <c r="D85" s="19">
        <f ca="1">((100/(D80+F80+H80))*C85)/100</f>
        <v>0.38235294117647056</v>
      </c>
      <c r="E85" s="191"/>
      <c r="F85" s="192"/>
      <c r="G85" s="191"/>
      <c r="H85" s="196"/>
      <c r="I85" s="14" t="s">
        <v>96</v>
      </c>
      <c r="J85" s="30">
        <f ca="1">(IF(B80&gt;1,(H80/(B80+2)),H80/4))</f>
        <v>5.5</v>
      </c>
    </row>
    <row r="86" spans="1:13" s="33" customFormat="1" x14ac:dyDescent="0.3">
      <c r="A86" s="171" t="s">
        <v>129</v>
      </c>
      <c r="B86" s="172" t="s">
        <v>123</v>
      </c>
      <c r="C86" s="43">
        <f>C85-F80-D80</f>
        <v>12</v>
      </c>
      <c r="D86" s="19">
        <f ca="1">((100/H80)*C86)/100</f>
        <v>0.36363636363636359</v>
      </c>
      <c r="E86" s="191"/>
      <c r="F86" s="192"/>
      <c r="G86" s="191"/>
      <c r="H86" s="196"/>
      <c r="I86" s="14" t="s">
        <v>97</v>
      </c>
      <c r="J86" s="30">
        <f ca="1">(IF(B80&gt;1,(H80/(B80+2)+J85),H80/4+J85))</f>
        <v>11</v>
      </c>
    </row>
    <row r="87" spans="1:13" s="33" customFormat="1" x14ac:dyDescent="0.3">
      <c r="A87" s="171" t="s">
        <v>130</v>
      </c>
      <c r="B87" s="172" t="s">
        <v>123</v>
      </c>
      <c r="C87" s="43">
        <f>C86*0.75</f>
        <v>9</v>
      </c>
      <c r="D87" s="19">
        <f ca="1">((100/H80)*C87)/100</f>
        <v>0.27272727272727271</v>
      </c>
      <c r="E87" s="191"/>
      <c r="F87" s="192"/>
      <c r="G87" s="191"/>
      <c r="H87" s="196"/>
      <c r="I87" s="14" t="s">
        <v>139</v>
      </c>
      <c r="J87" s="30">
        <f ca="1">(IF(B80&gt;1,(H80/(B80+2)+J86),0))</f>
        <v>16.5</v>
      </c>
    </row>
    <row r="88" spans="1:13" s="33" customFormat="1" x14ac:dyDescent="0.3">
      <c r="A88" s="171" t="s">
        <v>128</v>
      </c>
      <c r="B88" s="172" t="s">
        <v>125</v>
      </c>
      <c r="C88" s="43">
        <f>C87</f>
        <v>9</v>
      </c>
      <c r="D88" s="19">
        <f ca="1">((100/(H80))*C88)/100</f>
        <v>0.27272727272727271</v>
      </c>
      <c r="E88" s="191"/>
      <c r="F88" s="192"/>
      <c r="G88" s="191"/>
      <c r="H88" s="196"/>
      <c r="I88" s="14" t="s">
        <v>136</v>
      </c>
      <c r="J88" s="30">
        <f ca="1">(IF(B80&gt;2,(H80/(B80+2)+J87),0))</f>
        <v>22</v>
      </c>
    </row>
    <row r="89" spans="1:13" s="33" customFormat="1" x14ac:dyDescent="0.3">
      <c r="A89" s="171" t="s">
        <v>124</v>
      </c>
      <c r="B89" s="172" t="s">
        <v>124</v>
      </c>
      <c r="C89" s="43">
        <v>0</v>
      </c>
      <c r="D89" s="19">
        <f ca="1">((100/H80)*C89)/100</f>
        <v>0</v>
      </c>
      <c r="E89" s="191"/>
      <c r="F89" s="192"/>
      <c r="G89" s="191"/>
      <c r="H89" s="196"/>
      <c r="I89" s="14" t="s">
        <v>137</v>
      </c>
      <c r="J89" s="31">
        <f ca="1">(IF(B80&gt;3,(H80/(B80+2)+J88),0))</f>
        <v>27.5</v>
      </c>
    </row>
    <row r="90" spans="1:13" s="33" customFormat="1" x14ac:dyDescent="0.3">
      <c r="A90" s="171" t="s">
        <v>131</v>
      </c>
      <c r="B90" s="172"/>
      <c r="C90" s="43">
        <v>0</v>
      </c>
      <c r="D90" s="19">
        <f ca="1">((100/H80)*C90)/100</f>
        <v>0</v>
      </c>
      <c r="E90" s="191"/>
      <c r="F90" s="192"/>
      <c r="G90" s="191"/>
      <c r="H90" s="196"/>
      <c r="I90" s="14" t="s">
        <v>138</v>
      </c>
      <c r="J90" s="30">
        <f>(IF(B80&gt;4,(H80/(B80+2)+J89),0))</f>
        <v>0</v>
      </c>
    </row>
    <row r="91" spans="1:13" s="33" customFormat="1" x14ac:dyDescent="0.3">
      <c r="A91" s="171" t="s">
        <v>126</v>
      </c>
      <c r="B91" s="172" t="s">
        <v>126</v>
      </c>
      <c r="C91" s="43">
        <v>0</v>
      </c>
      <c r="D91" s="19">
        <f ca="1">((100/(H80))*C91)/100</f>
        <v>0</v>
      </c>
      <c r="E91" s="191"/>
      <c r="F91" s="192"/>
      <c r="G91" s="191"/>
      <c r="H91" s="196"/>
      <c r="I91" s="14" t="s">
        <v>140</v>
      </c>
      <c r="J91" s="30">
        <f>(IF(B80=1,(H80/(B80+3)+J86),IF(B80=0,(H80/4+J86),IF(B80&gt;1,0))))</f>
        <v>0</v>
      </c>
    </row>
    <row r="92" spans="1:13" ht="16.2" thickBot="1" x14ac:dyDescent="0.35">
      <c r="A92" s="115" t="s">
        <v>127</v>
      </c>
      <c r="B92" s="116"/>
      <c r="C92" s="44">
        <v>0</v>
      </c>
      <c r="D92" s="20">
        <f ca="1">((100/(H80))*C92)/100</f>
        <v>0</v>
      </c>
      <c r="E92" s="193"/>
      <c r="F92" s="194"/>
      <c r="G92" s="193"/>
      <c r="H92" s="197"/>
      <c r="I92" s="15" t="s">
        <v>98</v>
      </c>
      <c r="J92" s="32">
        <f ca="1">(IF(B80&gt;1.5,(H80/(B80+2)+J86+MAX(0,J87-J86)+MAX(0,J88-J87)+MAX(0,J89-J88)+MAX(0,J90-J89)+MAX(0,J91-J90)),IF(B80=1,(H80/(B80+3)+J91),IF(B80=0,H80/4+J91))))</f>
        <v>33</v>
      </c>
      <c r="K92" s="53">
        <f>19000000/615</f>
        <v>30894.308943089432</v>
      </c>
      <c r="M92" s="21" t="s">
        <v>179</v>
      </c>
    </row>
    <row r="93" spans="1:13" s="34" customFormat="1" x14ac:dyDescent="0.3">
      <c r="A93" s="158" t="s">
        <v>150</v>
      </c>
      <c r="B93" s="158"/>
      <c r="C93" s="158"/>
      <c r="D93" s="158"/>
      <c r="E93" s="158"/>
      <c r="F93" s="173" t="s">
        <v>153</v>
      </c>
      <c r="G93" s="173"/>
      <c r="H93" s="173"/>
      <c r="I93" s="21"/>
      <c r="J93" s="21"/>
      <c r="K93" s="55">
        <f>17000000/615</f>
        <v>27642.276422764229</v>
      </c>
    </row>
    <row r="94" spans="1:13" s="35" customFormat="1" ht="15.75" hidden="1" customHeight="1" x14ac:dyDescent="0.3">
      <c r="A94" s="138" t="s">
        <v>152</v>
      </c>
      <c r="B94" s="138"/>
      <c r="C94" s="138"/>
      <c r="D94" s="138"/>
      <c r="E94" s="138"/>
      <c r="F94" s="134"/>
      <c r="G94" s="134"/>
      <c r="H94" s="134"/>
      <c r="I94" s="21"/>
      <c r="J94" s="21"/>
    </row>
    <row r="95" spans="1:13" s="35" customFormat="1" ht="15.75" customHeight="1" x14ac:dyDescent="0.3">
      <c r="A95" s="138" t="s">
        <v>185</v>
      </c>
      <c r="B95" s="138"/>
      <c r="C95" s="138"/>
      <c r="D95" s="138"/>
      <c r="E95" s="138"/>
      <c r="F95" s="134">
        <v>35000</v>
      </c>
      <c r="G95" s="134"/>
      <c r="H95" s="134"/>
      <c r="I95" s="21"/>
      <c r="J95" s="53">
        <f>11400000/560</f>
        <v>20357.142857142859</v>
      </c>
    </row>
    <row r="96" spans="1:13" s="35" customFormat="1" ht="15.75" customHeight="1" x14ac:dyDescent="0.3">
      <c r="A96" s="138" t="s">
        <v>186</v>
      </c>
      <c r="B96" s="138"/>
      <c r="C96" s="138"/>
      <c r="D96" s="138"/>
      <c r="E96" s="138"/>
      <c r="F96" s="134">
        <v>27000</v>
      </c>
      <c r="G96" s="134"/>
      <c r="H96" s="134"/>
      <c r="I96" s="21"/>
      <c r="J96" s="53"/>
    </row>
    <row r="97" spans="1:11" s="35" customFormat="1" x14ac:dyDescent="0.3">
      <c r="A97" s="138" t="s">
        <v>184</v>
      </c>
      <c r="B97" s="138"/>
      <c r="C97" s="138"/>
      <c r="D97" s="138"/>
      <c r="E97" s="138"/>
      <c r="F97" s="134">
        <v>23500</v>
      </c>
      <c r="G97" s="134"/>
      <c r="H97" s="134"/>
      <c r="I97" s="21"/>
      <c r="J97" s="21"/>
    </row>
    <row r="98" spans="1:11" s="35" customFormat="1" hidden="1" x14ac:dyDescent="0.25">
      <c r="A98" s="138" t="s">
        <v>151</v>
      </c>
      <c r="B98" s="138"/>
      <c r="C98" s="138"/>
      <c r="D98" s="138"/>
      <c r="E98" s="138"/>
      <c r="F98" s="134"/>
      <c r="G98" s="134"/>
      <c r="H98" s="134"/>
      <c r="I98" s="33"/>
      <c r="J98" s="33"/>
    </row>
    <row r="99" spans="1:11" s="35" customFormat="1" x14ac:dyDescent="0.25">
      <c r="A99" s="153" t="s">
        <v>212</v>
      </c>
      <c r="B99" s="153"/>
      <c r="C99" s="153"/>
      <c r="D99" s="153"/>
      <c r="E99" s="153"/>
      <c r="F99" s="134">
        <v>350000</v>
      </c>
      <c r="G99" s="134"/>
      <c r="H99" s="134"/>
      <c r="I99" s="33"/>
      <c r="J99" s="33"/>
    </row>
    <row r="100" spans="1:11" s="35" customFormat="1" x14ac:dyDescent="0.25">
      <c r="A100" s="138" t="s">
        <v>213</v>
      </c>
      <c r="B100" s="138"/>
      <c r="C100" s="138"/>
      <c r="D100" s="138"/>
      <c r="E100" s="138"/>
      <c r="F100" s="134">
        <v>270000</v>
      </c>
      <c r="G100" s="134"/>
      <c r="H100" s="134"/>
      <c r="I100" s="33"/>
      <c r="J100" s="33"/>
      <c r="K100" s="35">
        <f>308+296+52</f>
        <v>656</v>
      </c>
    </row>
    <row r="101" spans="1:11" s="35" customFormat="1" hidden="1" x14ac:dyDescent="0.25">
      <c r="A101" s="138" t="s">
        <v>154</v>
      </c>
      <c r="B101" s="138"/>
      <c r="C101" s="138"/>
      <c r="D101" s="138"/>
      <c r="E101" s="138"/>
      <c r="F101" s="134"/>
      <c r="G101" s="134"/>
      <c r="H101" s="134"/>
      <c r="I101" s="33"/>
      <c r="J101" s="33"/>
    </row>
    <row r="102" spans="1:11" s="35" customFormat="1" x14ac:dyDescent="0.25">
      <c r="A102" s="138" t="s">
        <v>214</v>
      </c>
      <c r="B102" s="138"/>
      <c r="C102" s="138"/>
      <c r="D102" s="138"/>
      <c r="E102" s="138"/>
      <c r="F102" s="134">
        <v>50000</v>
      </c>
      <c r="G102" s="134"/>
      <c r="H102" s="134"/>
      <c r="I102" s="33"/>
      <c r="J102" s="33"/>
    </row>
    <row r="103" spans="1:11" s="35" customFormat="1" hidden="1" x14ac:dyDescent="0.25">
      <c r="A103" s="138" t="s">
        <v>91</v>
      </c>
      <c r="B103" s="138"/>
      <c r="C103" s="138"/>
      <c r="D103" s="138"/>
      <c r="E103" s="138"/>
      <c r="F103" s="134"/>
      <c r="G103" s="134"/>
      <c r="H103" s="134"/>
      <c r="I103" s="33"/>
      <c r="J103" s="33"/>
    </row>
    <row r="104" spans="1:11" s="35" customFormat="1" hidden="1" x14ac:dyDescent="0.25">
      <c r="A104" s="138" t="s">
        <v>92</v>
      </c>
      <c r="B104" s="138"/>
      <c r="C104" s="138"/>
      <c r="D104" s="138"/>
      <c r="E104" s="138"/>
      <c r="F104" s="134"/>
      <c r="G104" s="134"/>
      <c r="H104" s="134"/>
      <c r="I104" s="33"/>
      <c r="J104" s="33"/>
      <c r="K104" s="58">
        <f>C118+C115</f>
        <v>724</v>
      </c>
    </row>
    <row r="105" spans="1:11" s="35" customFormat="1" hidden="1" x14ac:dyDescent="0.25">
      <c r="A105" s="138" t="s">
        <v>93</v>
      </c>
      <c r="B105" s="138"/>
      <c r="C105" s="138"/>
      <c r="D105" s="138"/>
      <c r="E105" s="138"/>
      <c r="F105" s="134"/>
      <c r="G105" s="134"/>
      <c r="H105" s="134"/>
      <c r="I105" s="33"/>
      <c r="J105" s="33"/>
    </row>
    <row r="106" spans="1:11" s="35" customFormat="1" ht="15.75" customHeight="1" x14ac:dyDescent="0.3">
      <c r="A106" s="138" t="s">
        <v>50</v>
      </c>
      <c r="B106" s="138"/>
      <c r="C106" s="138"/>
      <c r="D106" s="138"/>
      <c r="E106" s="138"/>
      <c r="F106" s="134">
        <v>700000</v>
      </c>
      <c r="G106" s="134"/>
      <c r="H106" s="134"/>
      <c r="I106" s="21"/>
      <c r="J106" s="21"/>
    </row>
    <row r="107" spans="1:11" s="35" customFormat="1" hidden="1" x14ac:dyDescent="0.3">
      <c r="A107" s="139" t="s">
        <v>51</v>
      </c>
      <c r="B107" s="139"/>
      <c r="C107" s="139"/>
      <c r="D107" s="139"/>
      <c r="E107" s="139"/>
      <c r="F107" s="134">
        <f>F97*0.8</f>
        <v>18800</v>
      </c>
      <c r="G107" s="134"/>
      <c r="H107" s="134"/>
      <c r="I107" s="34"/>
      <c r="J107" s="34"/>
    </row>
    <row r="108" spans="1:11" s="35" customFormat="1" hidden="1" x14ac:dyDescent="0.3">
      <c r="A108" s="125" t="s">
        <v>72</v>
      </c>
      <c r="B108" s="125"/>
      <c r="C108" s="125"/>
      <c r="D108" s="125"/>
      <c r="E108" s="125"/>
      <c r="F108" s="125"/>
      <c r="G108" s="125"/>
      <c r="H108" s="125"/>
    </row>
    <row r="109" spans="1:11" s="35" customFormat="1" hidden="1" x14ac:dyDescent="0.3">
      <c r="A109" s="120" t="s">
        <v>219</v>
      </c>
      <c r="B109" s="121"/>
      <c r="C109" s="121"/>
      <c r="D109" s="121"/>
      <c r="E109" s="121"/>
      <c r="F109" s="121"/>
      <c r="G109" s="121"/>
      <c r="H109" s="122"/>
    </row>
    <row r="110" spans="1:11" s="35" customFormat="1" hidden="1" x14ac:dyDescent="0.3">
      <c r="A110" s="109" t="s">
        <v>230</v>
      </c>
      <c r="B110" s="110"/>
      <c r="C110" s="110"/>
      <c r="D110" s="110"/>
      <c r="E110" s="110"/>
      <c r="F110" s="110"/>
      <c r="G110" s="110"/>
      <c r="H110" s="111"/>
    </row>
    <row r="111" spans="1:11" s="34" customFormat="1" hidden="1" x14ac:dyDescent="0.3">
      <c r="A111" s="137" t="s">
        <v>52</v>
      </c>
      <c r="B111" s="137"/>
      <c r="C111" s="124" t="s">
        <v>75</v>
      </c>
      <c r="D111" s="124"/>
      <c r="E111" s="127" t="s">
        <v>53</v>
      </c>
      <c r="F111" s="127"/>
      <c r="G111" s="137" t="s">
        <v>54</v>
      </c>
      <c r="H111" s="137"/>
      <c r="I111" s="35"/>
      <c r="J111" s="35"/>
    </row>
    <row r="112" spans="1:11" s="37" customFormat="1" x14ac:dyDescent="0.3">
      <c r="A112" s="109" t="s">
        <v>249</v>
      </c>
      <c r="B112" s="110"/>
      <c r="C112" s="110"/>
      <c r="D112" s="110"/>
      <c r="E112" s="110"/>
      <c r="F112" s="110"/>
      <c r="G112" s="110"/>
      <c r="H112" s="111"/>
      <c r="I112" s="35">
        <f>327+52+296</f>
        <v>675</v>
      </c>
      <c r="J112" s="58">
        <f>262+19</f>
        <v>281</v>
      </c>
    </row>
    <row r="113" spans="1:14" x14ac:dyDescent="0.3">
      <c r="A113" s="144" t="s">
        <v>179</v>
      </c>
      <c r="B113" s="144"/>
      <c r="C113" s="129">
        <f>COUNT(D135:D144)+COUNT(D146:D154)+COUNT(D156:D164)</f>
        <v>28</v>
      </c>
      <c r="D113" s="130"/>
      <c r="E113" s="129">
        <f>SUM(D135:D144)+SUM(D146:D154)+SUM(D156:D164)</f>
        <v>24498.386078399999</v>
      </c>
      <c r="F113" s="130"/>
      <c r="G113" s="129">
        <f>SUM(F135:F144)+SUM(F146:F154)+SUM(F156:F164)</f>
        <v>39197.417725439998</v>
      </c>
      <c r="H113" s="130"/>
      <c r="I113" s="35">
        <f>27+27+27+8+27+26+24+26+27*2+23+27</f>
        <v>296</v>
      </c>
      <c r="J113" s="35"/>
    </row>
    <row r="114" spans="1:14" x14ac:dyDescent="0.3">
      <c r="A114" s="144" t="s">
        <v>196</v>
      </c>
      <c r="B114" s="144"/>
      <c r="C114" s="129">
        <f>COUNT(D168:D172)+COUNT(D176:D195,D197:D199)+COUNT(D201:D220,D222:D224)</f>
        <v>51</v>
      </c>
      <c r="D114" s="130"/>
      <c r="E114" s="129">
        <f>SUM(D168:D172)+SUM(D176:D195,D197:D199)+SUM(D201:D220,D222:D224)</f>
        <v>16361.280000000006</v>
      </c>
      <c r="F114" s="130"/>
      <c r="G114" s="129">
        <f>SUM(F168:F174)+SUM(F176:F195,F197:F199)+SUM(F201:F220,F222:F224)</f>
        <v>26959.42828800001</v>
      </c>
      <c r="H114" s="130"/>
      <c r="I114" s="35"/>
      <c r="J114" s="58"/>
    </row>
    <row r="115" spans="1:14" s="37" customFormat="1" x14ac:dyDescent="0.3">
      <c r="A115" s="168" t="s">
        <v>195</v>
      </c>
      <c r="B115" s="169"/>
      <c r="C115" s="140">
        <f>COUNT(D173:D174)+COUNT(D196)+COUNT(D221)+COUNT(D226:D247,D249:D250)+COUNT(D252:D276)+COUNT(D278:D303)+COUNT(D305:D325,D327:D329)+COUNT(D332:D339)+COUNT(D341:D365)+COUNT(D367:D385,D387:D389)+COUNT(D391:D415)+COUNT(D417:D442)+COUNT(D444:D463,D465:D467)+COUNT(D469:D494)+COUNT(D497:D507)+COUNT(D509:D529,D531:D533)+COUNT(D535:D560)+COUNT(D563:D576)+COUNT(D578:D588,D590:D592)+COUNT(D594:D608)</f>
        <v>362</v>
      </c>
      <c r="D115" s="141"/>
      <c r="E115" s="142">
        <f>SUM(D173:D174)+SUM(D196)+SUM(D221)+SUM(D226:D247,D249:D250)+SUM(D252:D276)+SUM(D278:D303)+SUM(D305:D325,D327:D329)+SUM(D332:D339)+SUM(D341:D365)+SUM(D367:D385,D387:D389)+SUM(D391:D415)+SUM(D417:D442)+SUM(D444:D463,D465:D467)+SUM(D469:D494)+SUM(D497:D507)+SUM(D509:D529,D531:D533)+SUM(D535:D560)+SUM(D563:D576)+SUM(D578:D588,D590:D592)+SUM(D594:D608)</f>
        <v>122830.29673200002</v>
      </c>
      <c r="F115" s="143"/>
      <c r="G115" s="142">
        <f>SUM(F173:F174)+SUM(F196)+SUM(F221)+SUM(F226:F247,F249:F250)+SUM(F252:F276)+SUM(F278:F303)+SUM(F305:F325,F327:F329)+SUM(F332:F339)+SUM(F341:F365)+SUM(F367:F385,F387:F389)+SUM(F391:F415)+SUM(F417:F442)+SUM(F444:F463,F465:F467)+SUM(F469:F494)+SUM(F497:F507)+SUM(F509:F529,F531:F533)+SUM(F535:F560)+SUM(F563:F576)+SUM(F578:F588,F590:F592)+SUM(F594:F608)</f>
        <v>196528.47477119998</v>
      </c>
      <c r="H115" s="143"/>
      <c r="I115" s="35"/>
      <c r="J115" s="58"/>
    </row>
    <row r="116" spans="1:14" s="37" customFormat="1" x14ac:dyDescent="0.3">
      <c r="A116" s="109" t="s">
        <v>232</v>
      </c>
      <c r="B116" s="110"/>
      <c r="C116" s="110"/>
      <c r="D116" s="110"/>
      <c r="E116" s="110"/>
      <c r="F116" s="110"/>
      <c r="G116" s="110"/>
      <c r="H116" s="111"/>
      <c r="I116" s="35">
        <f>327+52+296</f>
        <v>675</v>
      </c>
      <c r="J116" s="58">
        <f>262+19</f>
        <v>281</v>
      </c>
    </row>
    <row r="117" spans="1:14" s="37" customFormat="1" x14ac:dyDescent="0.3">
      <c r="A117" s="144" t="s">
        <v>179</v>
      </c>
      <c r="B117" s="144"/>
      <c r="C117" s="129">
        <f>COUNT(D612:D619)+COUNT(D621:D635)+COUNT(D637:D652)</f>
        <v>39</v>
      </c>
      <c r="D117" s="130"/>
      <c r="E117" s="129">
        <f>SUM(D612:D619)+SUM(D621:D635)+SUM(D637:D652)</f>
        <v>29862.295023599996</v>
      </c>
      <c r="F117" s="130"/>
      <c r="G117" s="129">
        <f>SUM(F612:F619)+SUM(F621:F635)+SUM(F637:F652)</f>
        <v>47779.67203776</v>
      </c>
      <c r="H117" s="130"/>
      <c r="I117" s="35"/>
      <c r="J117" s="35"/>
    </row>
    <row r="118" spans="1:14" s="37" customFormat="1" x14ac:dyDescent="0.3">
      <c r="A118" s="145" t="s">
        <v>195</v>
      </c>
      <c r="B118" s="145"/>
      <c r="C118" s="140">
        <f>COUNT(D655:D666)+COUNT(D671:D689)+COUNT(D691:D709)+COUNT(D711:D729)+COUNT(D731:D748)+COUNT(D750:D762)+COUNT(D764:D780)+COUNT(D782:D798)+COUNT(D800:D818)+COUNT(D820:D838)+COUNT(D840:D858)+COUNT(D860:D878)+COUNT(D880:D898)+COUNT(D900:D918)+COUNT(D920:D939)+COUNT(D941:D958)+COUNT(D960:D978)+COUNT(D980:D998)+COUNT(D1000:D1018)+COUNT(D1020:D1038)</f>
        <v>362</v>
      </c>
      <c r="D118" s="141"/>
      <c r="E118" s="142">
        <f>SUM(D655:D666)+SUM(D671:D689)+SUM(D691:D709)+SUM(D711:D729)+SUM(D731:D748)+SUM(D750:D762)+SUM(D764:D780)+SUM(D782:D798)+SUM(D800:D818)+SUM(D820:D838)+SUM(D840:D858)+SUM(D860:D878)+SUM(D880:D898)+SUM(D900:D918)+SUM(D920:D939)+SUM(D941:D958)+SUM(D960:D978)+SUM(D980:D998)+SUM(D1000:D1018)+SUM(D1020:D1038)</f>
        <v>217041.26595840004</v>
      </c>
      <c r="F118" s="143"/>
      <c r="G118" s="142">
        <f>SUM(F655:F666)+SUM(F671:F689)+SUM(F691:F709)+SUM(F711:F729)+SUM(F731:F748)+SUM(F750:F762)+SUM(F764:F780)+SUM(F782:F798)+SUM(F800:F818)+SUM(F820:F838)+SUM(F840:F858)+SUM(F860:F878)+SUM(F880:F898)+SUM(F900:F918)+SUM(F920:F939)+SUM(F941:F958)+SUM(F960:F978)+SUM(F980:F998)+SUM(F1000:F1018)+SUM(F1020:F1038)</f>
        <v>347266.02553343994</v>
      </c>
      <c r="H118" s="143"/>
      <c r="I118" s="35">
        <f>12+19*2+19+19+13+17+18+19*4+19*2+19+12</f>
        <v>281</v>
      </c>
      <c r="J118" s="35"/>
    </row>
    <row r="119" spans="1:14" s="37" customFormat="1" ht="15.75" customHeight="1" x14ac:dyDescent="0.3">
      <c r="A119" s="74" t="s">
        <v>291</v>
      </c>
      <c r="B119" s="74"/>
      <c r="C119" s="75">
        <f>C115+C118</f>
        <v>724</v>
      </c>
      <c r="D119" s="76"/>
      <c r="E119" s="75">
        <f>E115+E118</f>
        <v>339871.56269040005</v>
      </c>
      <c r="F119" s="76"/>
      <c r="G119" s="75">
        <f>G115+G118</f>
        <v>543794.50030463992</v>
      </c>
      <c r="H119" s="76"/>
      <c r="I119" s="35"/>
      <c r="J119" s="35">
        <f>262+12+19+19</f>
        <v>312</v>
      </c>
      <c r="L119" s="77"/>
      <c r="M119" s="77"/>
      <c r="N119" s="36"/>
    </row>
    <row r="120" spans="1:14" s="37" customFormat="1" ht="15.75" customHeight="1" thickBot="1" x14ac:dyDescent="0.35">
      <c r="A120" s="74" t="s">
        <v>292</v>
      </c>
      <c r="B120" s="74"/>
      <c r="C120" s="75">
        <f>C113+C117</f>
        <v>67</v>
      </c>
      <c r="D120" s="76"/>
      <c r="E120" s="75">
        <f t="shared" ref="E120" si="0">E113+E117</f>
        <v>54360.681101999995</v>
      </c>
      <c r="F120" s="76"/>
      <c r="G120" s="75">
        <f t="shared" ref="G120" si="1">G113+G117</f>
        <v>86977.089763199998</v>
      </c>
      <c r="H120" s="76"/>
      <c r="I120" s="35"/>
      <c r="J120" s="35">
        <f>262+12+19+19</f>
        <v>312</v>
      </c>
      <c r="L120" s="77"/>
      <c r="M120" s="77"/>
      <c r="N120" s="36"/>
    </row>
    <row r="121" spans="1:14" s="37" customFormat="1" ht="15.75" customHeight="1" thickBot="1" x14ac:dyDescent="0.35">
      <c r="A121" s="146" t="s">
        <v>239</v>
      </c>
      <c r="B121" s="147"/>
      <c r="C121" s="148">
        <f>C114+C119+C120</f>
        <v>842</v>
      </c>
      <c r="D121" s="149"/>
      <c r="E121" s="148">
        <f>E114+E119+E120</f>
        <v>410593.52379240008</v>
      </c>
      <c r="F121" s="149"/>
      <c r="G121" s="148">
        <f t="shared" ref="G121" si="2">G114+G119+G120</f>
        <v>657731.01835584</v>
      </c>
      <c r="H121" s="149"/>
      <c r="I121" s="35"/>
      <c r="J121" s="35">
        <f>728-719</f>
        <v>9</v>
      </c>
      <c r="L121" s="77"/>
      <c r="M121" s="77"/>
      <c r="N121" s="36"/>
    </row>
    <row r="122" spans="1:14" s="37" customFormat="1" ht="15.75" hidden="1" customHeight="1" x14ac:dyDescent="0.3">
      <c r="A122" s="187" t="s">
        <v>67</v>
      </c>
      <c r="B122" s="187"/>
      <c r="C122" s="187"/>
      <c r="D122" s="187"/>
      <c r="E122" s="187"/>
      <c r="F122" s="187"/>
      <c r="G122" s="187"/>
      <c r="H122" s="187"/>
      <c r="I122" s="35"/>
      <c r="J122" s="35"/>
      <c r="L122" s="77"/>
      <c r="M122" s="77"/>
      <c r="N122" s="36"/>
    </row>
    <row r="123" spans="1:14" s="37" customFormat="1" ht="15.75" hidden="1" customHeight="1" x14ac:dyDescent="0.3">
      <c r="A123" s="137" t="s">
        <v>52</v>
      </c>
      <c r="B123" s="137"/>
      <c r="C123" s="124" t="s">
        <v>75</v>
      </c>
      <c r="D123" s="124"/>
      <c r="E123" s="127" t="s">
        <v>53</v>
      </c>
      <c r="F123" s="127"/>
      <c r="G123" s="137" t="s">
        <v>54</v>
      </c>
      <c r="H123" s="137"/>
      <c r="I123" s="35"/>
      <c r="J123" s="35"/>
      <c r="K123" s="37">
        <f>9.85+2.14+0.75+6.4</f>
        <v>19.14</v>
      </c>
      <c r="L123" s="57">
        <f>1.8+2.85+0.45</f>
        <v>5.1000000000000005</v>
      </c>
      <c r="M123" s="57"/>
      <c r="N123" s="36"/>
    </row>
    <row r="124" spans="1:14" s="37" customFormat="1" ht="15.75" hidden="1" customHeight="1" x14ac:dyDescent="0.3">
      <c r="A124" s="144"/>
      <c r="B124" s="144"/>
      <c r="C124" s="130"/>
      <c r="D124" s="130"/>
      <c r="E124" s="170"/>
      <c r="F124" s="170"/>
      <c r="G124" s="133"/>
      <c r="H124" s="133"/>
      <c r="I124" s="35"/>
      <c r="J124" s="35"/>
      <c r="L124" s="77">
        <f>0.44+3.05+1.6</f>
        <v>5.09</v>
      </c>
      <c r="M124" s="77"/>
      <c r="N124" s="36"/>
    </row>
    <row r="125" spans="1:14" s="37" customFormat="1" ht="15.75" hidden="1" customHeight="1" x14ac:dyDescent="0.3">
      <c r="A125" s="144"/>
      <c r="B125" s="144"/>
      <c r="C125" s="130"/>
      <c r="D125" s="130"/>
      <c r="E125" s="170"/>
      <c r="F125" s="170"/>
      <c r="G125" s="133"/>
      <c r="H125" s="133"/>
      <c r="I125" s="35"/>
      <c r="J125" s="35"/>
      <c r="L125" s="77">
        <f>4.65+0.45</f>
        <v>5.1000000000000005</v>
      </c>
      <c r="M125" s="77"/>
      <c r="N125" s="36"/>
    </row>
    <row r="126" spans="1:14" s="37" customFormat="1" ht="15.75" hidden="1" customHeight="1" x14ac:dyDescent="0.3">
      <c r="A126" s="125" t="s">
        <v>143</v>
      </c>
      <c r="B126" s="125"/>
      <c r="C126" s="123"/>
      <c r="D126" s="124"/>
      <c r="E126" s="126"/>
      <c r="F126" s="127"/>
      <c r="G126" s="137"/>
      <c r="H126" s="137"/>
      <c r="I126" s="34"/>
      <c r="J126" s="34"/>
      <c r="L126" s="77">
        <f>2.15+1.8+2.85+5.2</f>
        <v>12</v>
      </c>
      <c r="M126" s="77"/>
      <c r="N126" s="36"/>
    </row>
    <row r="127" spans="1:14" s="37" customFormat="1" ht="15.75" customHeight="1" x14ac:dyDescent="0.3">
      <c r="A127" s="128" t="s">
        <v>228</v>
      </c>
      <c r="B127" s="128"/>
      <c r="C127" s="128"/>
      <c r="D127" s="128"/>
      <c r="E127" s="128"/>
      <c r="F127" s="128"/>
      <c r="G127" s="128"/>
      <c r="H127" s="128"/>
      <c r="I127" s="21"/>
      <c r="J127" s="21"/>
      <c r="L127" s="77">
        <f>8.15+1.8</f>
        <v>9.9500000000000011</v>
      </c>
      <c r="M127" s="77"/>
      <c r="N127" s="36"/>
    </row>
    <row r="128" spans="1:14" s="37" customFormat="1" ht="15.75" customHeight="1" x14ac:dyDescent="0.3">
      <c r="A128" s="128" t="s">
        <v>227</v>
      </c>
      <c r="B128" s="128"/>
      <c r="C128" s="128"/>
      <c r="D128" s="128"/>
      <c r="E128" s="128"/>
      <c r="F128" s="128"/>
      <c r="G128" s="128"/>
      <c r="H128" s="128"/>
      <c r="I128" s="21"/>
      <c r="J128" s="21"/>
      <c r="L128" s="77"/>
      <c r="M128" s="77"/>
      <c r="N128" s="36"/>
    </row>
    <row r="129" spans="1:14" s="37" customFormat="1" ht="15.75" customHeight="1" x14ac:dyDescent="0.3">
      <c r="A129" s="135" t="s">
        <v>114</v>
      </c>
      <c r="B129" s="135" t="s">
        <v>113</v>
      </c>
      <c r="C129" s="135" t="s">
        <v>55</v>
      </c>
      <c r="D129" s="135" t="s">
        <v>56</v>
      </c>
      <c r="E129" s="131" t="s">
        <v>149</v>
      </c>
      <c r="F129" s="42" t="s">
        <v>142</v>
      </c>
      <c r="G129" s="183" t="s">
        <v>57</v>
      </c>
      <c r="H129" s="184"/>
      <c r="L129" s="77">
        <f>1.5+0.8</f>
        <v>2.2999999999999998</v>
      </c>
      <c r="M129" s="77"/>
      <c r="N129" s="36"/>
    </row>
    <row r="130" spans="1:14" s="37" customFormat="1" x14ac:dyDescent="0.3">
      <c r="A130" s="136"/>
      <c r="B130" s="136"/>
      <c r="C130" s="136"/>
      <c r="D130" s="136"/>
      <c r="E130" s="132"/>
      <c r="F130" s="13">
        <v>0.6</v>
      </c>
      <c r="G130" s="185"/>
      <c r="H130" s="186"/>
      <c r="J130" s="36"/>
    </row>
    <row r="131" spans="1:14" s="37" customFormat="1" ht="15.75" customHeight="1" x14ac:dyDescent="0.3">
      <c r="A131" s="117" t="s">
        <v>219</v>
      </c>
      <c r="B131" s="118"/>
      <c r="C131" s="118"/>
      <c r="D131" s="118"/>
      <c r="E131" s="118"/>
      <c r="F131" s="118"/>
      <c r="G131" s="118"/>
      <c r="H131" s="119"/>
      <c r="J131" s="36"/>
      <c r="L131" s="77"/>
      <c r="M131" s="77"/>
      <c r="N131" s="36"/>
    </row>
    <row r="132" spans="1:14" s="37" customFormat="1" ht="15.75" customHeight="1" x14ac:dyDescent="0.3">
      <c r="A132" s="165" t="s">
        <v>230</v>
      </c>
      <c r="B132" s="166"/>
      <c r="C132" s="166"/>
      <c r="D132" s="166"/>
      <c r="E132" s="166"/>
      <c r="F132" s="166"/>
      <c r="G132" s="166"/>
      <c r="H132" s="167"/>
      <c r="J132" s="36"/>
      <c r="L132" s="77"/>
      <c r="M132" s="77"/>
      <c r="N132" s="36"/>
    </row>
    <row r="133" spans="1:14" s="37" customFormat="1" ht="15.75" customHeight="1" x14ac:dyDescent="0.3">
      <c r="A133" s="155" t="s">
        <v>231</v>
      </c>
      <c r="B133" s="156"/>
      <c r="C133" s="156"/>
      <c r="D133" s="156"/>
      <c r="E133" s="156"/>
      <c r="F133" s="156"/>
      <c r="G133" s="156"/>
      <c r="H133" s="157"/>
      <c r="J133" s="52">
        <f>10.764</f>
        <v>10.763999999999999</v>
      </c>
      <c r="L133" s="77"/>
      <c r="M133" s="77"/>
      <c r="N133" s="36"/>
    </row>
    <row r="134" spans="1:14" s="37" customFormat="1" ht="15.75" customHeight="1" x14ac:dyDescent="0.3">
      <c r="A134" s="155" t="s">
        <v>176</v>
      </c>
      <c r="B134" s="156"/>
      <c r="C134" s="156"/>
      <c r="D134" s="156"/>
      <c r="E134" s="156"/>
      <c r="F134" s="156"/>
      <c r="G134" s="156"/>
      <c r="H134" s="157"/>
      <c r="I134" s="36"/>
      <c r="L134" s="77"/>
      <c r="M134" s="77"/>
      <c r="N134" s="36"/>
    </row>
    <row r="135" spans="1:14" s="37" customFormat="1" ht="15.75" customHeight="1" x14ac:dyDescent="0.3">
      <c r="A135" s="78">
        <v>1</v>
      </c>
      <c r="B135" s="79"/>
      <c r="C135" s="68" t="s">
        <v>177</v>
      </c>
      <c r="D135" s="52">
        <f>(19.14*5.1)*(10.764)</f>
        <v>1050.7170959999999</v>
      </c>
      <c r="E135" s="68">
        <v>0</v>
      </c>
      <c r="F135" s="68">
        <f t="shared" ref="F135:F144" si="3">(D135+E135)*(($F$130)+1)</f>
        <v>1681.1473535999999</v>
      </c>
      <c r="G135" s="91" t="str">
        <f>A134</f>
        <v>Ground Floor For Commercial</v>
      </c>
      <c r="H135" s="92"/>
      <c r="I135" s="36"/>
      <c r="L135" s="77"/>
      <c r="M135" s="77"/>
      <c r="N135" s="36"/>
    </row>
    <row r="136" spans="1:14" s="37" customFormat="1" ht="15.75" customHeight="1" x14ac:dyDescent="0.3">
      <c r="A136" s="78">
        <f t="shared" ref="A136:A144" si="4">A135+1</f>
        <v>2</v>
      </c>
      <c r="B136" s="79"/>
      <c r="C136" s="68" t="s">
        <v>177</v>
      </c>
      <c r="D136" s="52">
        <f>(19.14*5.09)*(10.764)</f>
        <v>1048.6568663999999</v>
      </c>
      <c r="E136" s="68">
        <v>0</v>
      </c>
      <c r="F136" s="68">
        <f t="shared" si="3"/>
        <v>1677.8509862399999</v>
      </c>
      <c r="G136" s="86"/>
      <c r="H136" s="87"/>
      <c r="I136" s="36"/>
      <c r="L136" s="77"/>
      <c r="M136" s="77"/>
      <c r="N136" s="36"/>
    </row>
    <row r="137" spans="1:14" s="37" customFormat="1" ht="15.75" customHeight="1" x14ac:dyDescent="0.3">
      <c r="A137" s="78">
        <f t="shared" si="4"/>
        <v>3</v>
      </c>
      <c r="B137" s="79"/>
      <c r="C137" s="68" t="s">
        <v>177</v>
      </c>
      <c r="D137" s="52">
        <f>(19.19*5.1)*(10.764)</f>
        <v>1053.461916</v>
      </c>
      <c r="E137" s="68">
        <v>0</v>
      </c>
      <c r="F137" s="68">
        <f t="shared" si="3"/>
        <v>1685.5390656</v>
      </c>
      <c r="G137" s="86"/>
      <c r="H137" s="87"/>
      <c r="I137" s="36"/>
      <c r="K137" s="37">
        <f>1.65+8.2</f>
        <v>9.85</v>
      </c>
      <c r="L137" s="77"/>
      <c r="M137" s="77"/>
      <c r="N137" s="36"/>
    </row>
    <row r="138" spans="1:14" s="37" customFormat="1" ht="15.75" customHeight="1" x14ac:dyDescent="0.3">
      <c r="A138" s="78">
        <f t="shared" si="4"/>
        <v>4</v>
      </c>
      <c r="B138" s="79"/>
      <c r="C138" s="68" t="s">
        <v>177</v>
      </c>
      <c r="D138" s="52">
        <f>(19.15*5.1)*(10.764)</f>
        <v>1051.2660599999999</v>
      </c>
      <c r="E138" s="68">
        <v>0</v>
      </c>
      <c r="F138" s="68">
        <f t="shared" si="3"/>
        <v>1682.0256959999999</v>
      </c>
      <c r="G138" s="86"/>
      <c r="H138" s="87"/>
      <c r="I138" s="36"/>
      <c r="J138" s="37">
        <f>5.2*4.93+2.85*5.1+1.65*3.3+1.2*0.6+1.65*0.9</f>
        <v>47.820999999999998</v>
      </c>
      <c r="L138" s="77"/>
      <c r="M138" s="77"/>
      <c r="N138" s="36"/>
    </row>
    <row r="139" spans="1:14" s="37" customFormat="1" ht="15.75" customHeight="1" x14ac:dyDescent="0.3">
      <c r="A139" s="78">
        <f t="shared" si="4"/>
        <v>5</v>
      </c>
      <c r="B139" s="79"/>
      <c r="C139" s="68" t="s">
        <v>177</v>
      </c>
      <c r="D139" s="52">
        <f>(61.37)*(10.764)</f>
        <v>660.58667999999989</v>
      </c>
      <c r="E139" s="68">
        <v>0</v>
      </c>
      <c r="F139" s="68">
        <f t="shared" si="3"/>
        <v>1056.938688</v>
      </c>
      <c r="G139" s="86"/>
      <c r="H139" s="87"/>
      <c r="I139" s="36"/>
      <c r="L139" s="77"/>
      <c r="M139" s="77"/>
      <c r="N139" s="36"/>
    </row>
    <row r="140" spans="1:14" s="37" customFormat="1" ht="15.75" customHeight="1" x14ac:dyDescent="0.3">
      <c r="A140" s="78">
        <f t="shared" si="4"/>
        <v>6</v>
      </c>
      <c r="B140" s="79"/>
      <c r="C140" s="68" t="s">
        <v>177</v>
      </c>
      <c r="D140" s="52">
        <f>(12*4.93)*(10.764)</f>
        <v>636.79823999999996</v>
      </c>
      <c r="E140" s="68">
        <v>0</v>
      </c>
      <c r="F140" s="68">
        <f t="shared" si="3"/>
        <v>1018.8771839999999</v>
      </c>
      <c r="G140" s="86"/>
      <c r="H140" s="87"/>
      <c r="I140" s="36"/>
      <c r="L140" s="77"/>
      <c r="M140" s="77"/>
      <c r="N140" s="36"/>
    </row>
    <row r="141" spans="1:14" s="37" customFormat="1" ht="15.75" customHeight="1" x14ac:dyDescent="0.3">
      <c r="A141" s="78">
        <f t="shared" si="4"/>
        <v>7</v>
      </c>
      <c r="B141" s="79"/>
      <c r="C141" s="68" t="s">
        <v>177</v>
      </c>
      <c r="D141" s="52">
        <f>(0.9*0.97+1.5*1.2+1.65*2.78+4.65*5.1+8.35*4.93)*(10.764)</f>
        <v>776.52034200000003</v>
      </c>
      <c r="E141" s="68">
        <v>0</v>
      </c>
      <c r="F141" s="68">
        <f t="shared" si="3"/>
        <v>1242.4325472</v>
      </c>
      <c r="G141" s="86"/>
      <c r="H141" s="87"/>
      <c r="I141" s="36"/>
      <c r="L141" s="77"/>
      <c r="M141" s="77"/>
      <c r="N141" s="36"/>
    </row>
    <row r="142" spans="1:14" s="37" customFormat="1" ht="15.75" customHeight="1" x14ac:dyDescent="0.3">
      <c r="A142" s="78">
        <f t="shared" si="4"/>
        <v>8</v>
      </c>
      <c r="B142" s="79"/>
      <c r="C142" s="68" t="s">
        <v>177</v>
      </c>
      <c r="D142" s="52">
        <f>(1.78*1.2+1*0.45+1.93*2.15+2.97*4.12+2.18*5.1+1.47*8.82+8.35*4*2)*(10.764)</f>
        <v>1182.4824492</v>
      </c>
      <c r="E142" s="68">
        <v>0</v>
      </c>
      <c r="F142" s="68">
        <f t="shared" si="3"/>
        <v>1891.9719187200001</v>
      </c>
      <c r="G142" s="86"/>
      <c r="H142" s="87"/>
      <c r="I142" s="36"/>
      <c r="L142" s="77"/>
      <c r="M142" s="77"/>
      <c r="N142" s="36"/>
    </row>
    <row r="143" spans="1:14" s="37" customFormat="1" ht="15.75" customHeight="1" x14ac:dyDescent="0.3">
      <c r="A143" s="78">
        <f t="shared" si="4"/>
        <v>9</v>
      </c>
      <c r="B143" s="79"/>
      <c r="C143" s="68" t="s">
        <v>177</v>
      </c>
      <c r="D143" s="52">
        <f>(2.18*3.73+1.47*3.4+8.35*3.4+3.6*4.71+1.65*1.2+0.9*0.45+1.8*1.8)*(10.764)</f>
        <v>689.97670559999983</v>
      </c>
      <c r="E143" s="68">
        <v>0</v>
      </c>
      <c r="F143" s="68">
        <f t="shared" si="3"/>
        <v>1103.9627289599998</v>
      </c>
      <c r="G143" s="86"/>
      <c r="H143" s="87"/>
      <c r="I143" s="36"/>
      <c r="L143" s="77"/>
      <c r="M143" s="77"/>
      <c r="N143" s="36"/>
    </row>
    <row r="144" spans="1:14" s="37" customFormat="1" ht="15.75" customHeight="1" x14ac:dyDescent="0.3">
      <c r="A144" s="78">
        <f t="shared" si="4"/>
        <v>10</v>
      </c>
      <c r="B144" s="79"/>
      <c r="C144" s="68" t="s">
        <v>177</v>
      </c>
      <c r="D144" s="52">
        <f>(11.59)*(10.764)</f>
        <v>124.75475999999999</v>
      </c>
      <c r="E144" s="68">
        <v>0</v>
      </c>
      <c r="F144" s="68">
        <f t="shared" si="3"/>
        <v>199.60761600000001</v>
      </c>
      <c r="G144" s="86"/>
      <c r="H144" s="87"/>
      <c r="J144" s="36"/>
      <c r="L144" s="77"/>
      <c r="M144" s="77"/>
      <c r="N144" s="36"/>
    </row>
    <row r="145" spans="1:16" s="37" customFormat="1" ht="15.75" customHeight="1" x14ac:dyDescent="0.3">
      <c r="A145" s="83" t="s">
        <v>234</v>
      </c>
      <c r="B145" s="84"/>
      <c r="C145" s="84"/>
      <c r="D145" s="84"/>
      <c r="E145" s="84"/>
      <c r="F145" s="84"/>
      <c r="G145" s="84"/>
      <c r="H145" s="85"/>
      <c r="I145" s="36" t="s">
        <v>252</v>
      </c>
      <c r="J145" s="107" t="s">
        <v>260</v>
      </c>
      <c r="K145" s="107"/>
      <c r="L145" s="107"/>
      <c r="M145" s="107"/>
      <c r="N145" s="36"/>
    </row>
    <row r="146" spans="1:16" s="37" customFormat="1" ht="15.75" customHeight="1" x14ac:dyDescent="0.3">
      <c r="A146" s="78">
        <v>1</v>
      </c>
      <c r="B146" s="79"/>
      <c r="C146" s="68" t="s">
        <v>177</v>
      </c>
      <c r="D146" s="52">
        <f>((5.05+1.2+0.6)*10.35)*(10.764)</f>
        <v>763.14068999999984</v>
      </c>
      <c r="E146" s="68">
        <v>0</v>
      </c>
      <c r="F146" s="68">
        <f t="shared" ref="F146:F152" si="5">(D146+E146)*(($F$130)+1)</f>
        <v>1221.0251039999998</v>
      </c>
      <c r="G146" s="91" t="str">
        <f>A145</f>
        <v>1st Floor</v>
      </c>
      <c r="H146" s="92"/>
      <c r="I146" s="36" t="s">
        <v>253</v>
      </c>
      <c r="L146" s="77"/>
      <c r="M146" s="77"/>
      <c r="N146" s="36"/>
    </row>
    <row r="147" spans="1:16" s="37" customFormat="1" ht="15.75" customHeight="1" x14ac:dyDescent="0.3">
      <c r="A147" s="78">
        <f t="shared" ref="A147:A154" si="6">A146+1</f>
        <v>2</v>
      </c>
      <c r="B147" s="79"/>
      <c r="C147" s="68" t="s">
        <v>177</v>
      </c>
      <c r="D147" s="52">
        <f>((5.05+1.2+0.6)*10.7)*(10.764)</f>
        <v>788.94737999999984</v>
      </c>
      <c r="E147" s="68">
        <v>0</v>
      </c>
      <c r="F147" s="68">
        <f t="shared" si="5"/>
        <v>1262.3158079999998</v>
      </c>
      <c r="G147" s="86"/>
      <c r="H147" s="87"/>
      <c r="L147" s="77"/>
      <c r="M147" s="77"/>
      <c r="N147" s="36"/>
    </row>
    <row r="148" spans="1:16" s="37" customFormat="1" ht="15.75" customHeight="1" x14ac:dyDescent="0.3">
      <c r="A148" s="78">
        <f t="shared" si="6"/>
        <v>3</v>
      </c>
      <c r="B148" s="79"/>
      <c r="C148" s="68" t="s">
        <v>177</v>
      </c>
      <c r="D148" s="52">
        <f>((8.2+1.05+0.6)*10.17)*(10.764)</f>
        <v>1078.2783179999999</v>
      </c>
      <c r="E148" s="68">
        <v>0</v>
      </c>
      <c r="F148" s="68">
        <f t="shared" si="5"/>
        <v>1725.2453088</v>
      </c>
      <c r="G148" s="86"/>
      <c r="H148" s="87"/>
      <c r="I148" s="36"/>
      <c r="L148" s="77"/>
      <c r="M148" s="77"/>
      <c r="N148" s="36"/>
    </row>
    <row r="149" spans="1:16" s="37" customFormat="1" ht="15.75" customHeight="1" x14ac:dyDescent="0.3">
      <c r="A149" s="78">
        <f t="shared" si="6"/>
        <v>4</v>
      </c>
      <c r="B149" s="79"/>
      <c r="C149" s="68" t="s">
        <v>177</v>
      </c>
      <c r="D149" s="52">
        <f>((8.2+1.05+0.6)*10)*(10.764)</f>
        <v>1060.2539999999999</v>
      </c>
      <c r="E149" s="68">
        <v>0</v>
      </c>
      <c r="F149" s="68">
        <f t="shared" si="5"/>
        <v>1696.4063999999998</v>
      </c>
      <c r="G149" s="86"/>
      <c r="H149" s="87"/>
      <c r="I149" s="36"/>
      <c r="L149" s="77"/>
      <c r="M149" s="77"/>
      <c r="N149" s="36"/>
    </row>
    <row r="150" spans="1:16" s="37" customFormat="1" ht="15.75" customHeight="1" x14ac:dyDescent="0.3">
      <c r="A150" s="78">
        <f t="shared" si="6"/>
        <v>5</v>
      </c>
      <c r="B150" s="79"/>
      <c r="C150" s="68" t="s">
        <v>177</v>
      </c>
      <c r="D150" s="52">
        <f>((8.2+1.05+0.6)*10)*(10.764)</f>
        <v>1060.2539999999999</v>
      </c>
      <c r="E150" s="68">
        <v>0</v>
      </c>
      <c r="F150" s="68">
        <f t="shared" si="5"/>
        <v>1696.4063999999998</v>
      </c>
      <c r="G150" s="86"/>
      <c r="H150" s="87"/>
      <c r="I150" s="36"/>
      <c r="L150" s="77"/>
      <c r="M150" s="77"/>
      <c r="N150" s="36"/>
    </row>
    <row r="151" spans="1:16" s="37" customFormat="1" ht="15.75" customHeight="1" x14ac:dyDescent="0.3">
      <c r="A151" s="78">
        <f t="shared" si="6"/>
        <v>6</v>
      </c>
      <c r="B151" s="79"/>
      <c r="C151" s="68" t="s">
        <v>177</v>
      </c>
      <c r="D151" s="52">
        <f>((8.2+1.05+0.6)*10)*(10.764)</f>
        <v>1060.2539999999999</v>
      </c>
      <c r="E151" s="68">
        <v>0</v>
      </c>
      <c r="F151" s="68">
        <f t="shared" si="5"/>
        <v>1696.4063999999998</v>
      </c>
      <c r="G151" s="86"/>
      <c r="H151" s="87"/>
      <c r="I151" s="36"/>
      <c r="L151" s="77"/>
      <c r="M151" s="77"/>
      <c r="N151" s="36"/>
    </row>
    <row r="152" spans="1:16" s="37" customFormat="1" ht="15.75" customHeight="1" x14ac:dyDescent="0.3">
      <c r="A152" s="78">
        <f t="shared" si="6"/>
        <v>7</v>
      </c>
      <c r="B152" s="79"/>
      <c r="C152" s="68" t="s">
        <v>177</v>
      </c>
      <c r="D152" s="52">
        <f>(3.75*4.6+3.6*0.75+3.75*4.6+1.8*1.39+1.95*3.18+1.2*1.65+0.9*0.45)*(10.764)</f>
        <v>519.77203199999997</v>
      </c>
      <c r="E152" s="68">
        <v>0</v>
      </c>
      <c r="F152" s="68">
        <f t="shared" si="5"/>
        <v>831.63525119999997</v>
      </c>
      <c r="G152" s="86"/>
      <c r="H152" s="87"/>
      <c r="I152" s="36"/>
      <c r="L152" s="77"/>
      <c r="M152" s="77"/>
      <c r="N152" s="36"/>
    </row>
    <row r="153" spans="1:16" s="37" customFormat="1" ht="15.75" customHeight="1" x14ac:dyDescent="0.3">
      <c r="A153" s="78">
        <v>25</v>
      </c>
      <c r="B153" s="79"/>
      <c r="C153" s="68" t="s">
        <v>177</v>
      </c>
      <c r="D153" s="52">
        <f>(2.55*2.8+3.1*2.82+5.47*3+5.19*1.7+5.21*4.93+2.1*1.55)*(10.764)</f>
        <v>754.0752491999998</v>
      </c>
      <c r="E153" s="68">
        <v>0</v>
      </c>
      <c r="F153" s="68">
        <f t="shared" ref="F153:F154" si="7">(D153+E153)*(($F$130)+1)</f>
        <v>1206.5203987199998</v>
      </c>
      <c r="G153" s="86"/>
      <c r="H153" s="87"/>
      <c r="K153" s="64"/>
      <c r="L153" s="77"/>
      <c r="M153" s="77"/>
      <c r="N153" s="36"/>
    </row>
    <row r="154" spans="1:16" s="37" customFormat="1" ht="15.75" customHeight="1" x14ac:dyDescent="0.3">
      <c r="A154" s="78">
        <f t="shared" si="6"/>
        <v>26</v>
      </c>
      <c r="B154" s="79"/>
      <c r="C154" s="68" t="s">
        <v>177</v>
      </c>
      <c r="D154" s="52">
        <f>(12.22*7.28+1.65*1.55+0.6*1.2+1.9*1.65)*(10.764)</f>
        <v>1026.6068124000001</v>
      </c>
      <c r="E154" s="68">
        <v>0</v>
      </c>
      <c r="F154" s="68">
        <f t="shared" si="7"/>
        <v>1642.5708998400003</v>
      </c>
      <c r="G154" s="86"/>
      <c r="H154" s="87"/>
      <c r="K154" s="64"/>
      <c r="L154" s="77"/>
      <c r="M154" s="77"/>
      <c r="N154" s="36"/>
    </row>
    <row r="155" spans="1:16" s="37" customFormat="1" ht="15.75" customHeight="1" x14ac:dyDescent="0.3">
      <c r="A155" s="83" t="s">
        <v>229</v>
      </c>
      <c r="B155" s="84"/>
      <c r="C155" s="84"/>
      <c r="D155" s="84"/>
      <c r="E155" s="84"/>
      <c r="F155" s="84"/>
      <c r="G155" s="84"/>
      <c r="H155" s="85"/>
      <c r="I155" s="36" t="s">
        <v>253</v>
      </c>
      <c r="K155" s="107" t="s">
        <v>259</v>
      </c>
      <c r="L155" s="107"/>
      <c r="M155" s="107"/>
      <c r="N155" s="107"/>
      <c r="O155" s="64">
        <v>19</v>
      </c>
      <c r="P155" s="36">
        <v>20</v>
      </c>
    </row>
    <row r="156" spans="1:16" s="37" customFormat="1" ht="15.75" customHeight="1" x14ac:dyDescent="0.3">
      <c r="A156" s="78">
        <v>1</v>
      </c>
      <c r="B156" s="79"/>
      <c r="C156" s="68" t="s">
        <v>177</v>
      </c>
      <c r="D156" s="52">
        <f>((5.05+1.2+0.6)*10.35)*(10.764)</f>
        <v>763.14068999999984</v>
      </c>
      <c r="E156" s="68">
        <v>0</v>
      </c>
      <c r="F156" s="68">
        <f t="shared" ref="F156:F162" si="8">(D156+E156)*(($F$130)+1)</f>
        <v>1221.0251039999998</v>
      </c>
      <c r="G156" s="91" t="str">
        <f>A155</f>
        <v>2nd Floor</v>
      </c>
      <c r="H156" s="92"/>
      <c r="I156" s="36"/>
      <c r="L156" s="77"/>
      <c r="M156" s="77"/>
      <c r="N156" s="36"/>
      <c r="O156" s="64">
        <f t="shared" ref="O156:O161" si="9">O155+1</f>
        <v>20</v>
      </c>
      <c r="P156" s="36">
        <v>21</v>
      </c>
    </row>
    <row r="157" spans="1:16" s="37" customFormat="1" ht="15.75" customHeight="1" x14ac:dyDescent="0.3">
      <c r="A157" s="78">
        <f t="shared" ref="A157:A164" si="10">A156+1</f>
        <v>2</v>
      </c>
      <c r="B157" s="79"/>
      <c r="C157" s="68" t="s">
        <v>177</v>
      </c>
      <c r="D157" s="52">
        <f>((5.05+1.2+0.6)*10.7)*(10.764)</f>
        <v>788.94737999999984</v>
      </c>
      <c r="E157" s="68">
        <v>0</v>
      </c>
      <c r="F157" s="68">
        <f t="shared" si="8"/>
        <v>1262.3158079999998</v>
      </c>
      <c r="G157" s="86"/>
      <c r="H157" s="87"/>
      <c r="I157" s="36"/>
      <c r="L157" s="77">
        <f>11.1+11.7</f>
        <v>22.799999999999997</v>
      </c>
      <c r="M157" s="77"/>
      <c r="N157" s="36"/>
      <c r="O157" s="64">
        <f t="shared" si="9"/>
        <v>21</v>
      </c>
      <c r="P157" s="36">
        <f>P156+1</f>
        <v>22</v>
      </c>
    </row>
    <row r="158" spans="1:16" s="37" customFormat="1" ht="15.75" customHeight="1" x14ac:dyDescent="0.3">
      <c r="A158" s="78">
        <f t="shared" si="10"/>
        <v>3</v>
      </c>
      <c r="B158" s="79"/>
      <c r="C158" s="68" t="s">
        <v>177</v>
      </c>
      <c r="D158" s="52">
        <f>((8.2+1.05+0.6)*10.17)*(10.764)</f>
        <v>1078.2783179999999</v>
      </c>
      <c r="E158" s="68">
        <v>0</v>
      </c>
      <c r="F158" s="68">
        <f t="shared" si="8"/>
        <v>1725.2453088</v>
      </c>
      <c r="G158" s="86"/>
      <c r="H158" s="87"/>
      <c r="I158" s="36"/>
      <c r="L158" s="77"/>
      <c r="M158" s="77"/>
      <c r="N158" s="36"/>
      <c r="O158" s="64">
        <f t="shared" si="9"/>
        <v>22</v>
      </c>
      <c r="P158" s="36">
        <f t="shared" ref="P158:P161" si="11">P157+1</f>
        <v>23</v>
      </c>
    </row>
    <row r="159" spans="1:16" s="37" customFormat="1" x14ac:dyDescent="0.3">
      <c r="A159" s="78">
        <f t="shared" si="10"/>
        <v>4</v>
      </c>
      <c r="B159" s="79"/>
      <c r="C159" s="68" t="s">
        <v>177</v>
      </c>
      <c r="D159" s="52">
        <f>((8.2+1.05+0.6)*10)*(10.764)</f>
        <v>1060.2539999999999</v>
      </c>
      <c r="E159" s="68">
        <v>0</v>
      </c>
      <c r="F159" s="68">
        <f t="shared" si="8"/>
        <v>1696.4063999999998</v>
      </c>
      <c r="G159" s="86"/>
      <c r="H159" s="87"/>
      <c r="I159" s="36"/>
      <c r="O159" s="65">
        <f t="shared" si="9"/>
        <v>23</v>
      </c>
      <c r="P159" s="63">
        <f t="shared" si="11"/>
        <v>24</v>
      </c>
    </row>
    <row r="160" spans="1:16" s="37" customFormat="1" ht="15.75" customHeight="1" x14ac:dyDescent="0.3">
      <c r="A160" s="78">
        <f t="shared" si="10"/>
        <v>5</v>
      </c>
      <c r="B160" s="79"/>
      <c r="C160" s="68" t="s">
        <v>177</v>
      </c>
      <c r="D160" s="52">
        <f>((8.2+1.05+0.6)*10)*(10.764)</f>
        <v>1060.2539999999999</v>
      </c>
      <c r="E160" s="68">
        <v>0</v>
      </c>
      <c r="F160" s="68">
        <f t="shared" si="8"/>
        <v>1696.4063999999998</v>
      </c>
      <c r="G160" s="86"/>
      <c r="H160" s="87"/>
      <c r="I160" s="36"/>
      <c r="L160" s="77"/>
      <c r="M160" s="77"/>
      <c r="N160" s="36"/>
      <c r="O160" s="64">
        <f t="shared" si="9"/>
        <v>24</v>
      </c>
      <c r="P160" s="36">
        <f t="shared" si="11"/>
        <v>25</v>
      </c>
    </row>
    <row r="161" spans="1:16" s="37" customFormat="1" ht="15.75" customHeight="1" x14ac:dyDescent="0.3">
      <c r="A161" s="78">
        <f t="shared" si="10"/>
        <v>6</v>
      </c>
      <c r="B161" s="79"/>
      <c r="C161" s="68" t="s">
        <v>177</v>
      </c>
      <c r="D161" s="52">
        <f>((8.2+1.05+0.6)*10)*(10.764)</f>
        <v>1060.2539999999999</v>
      </c>
      <c r="E161" s="68">
        <v>0</v>
      </c>
      <c r="F161" s="68">
        <f t="shared" si="8"/>
        <v>1696.4063999999998</v>
      </c>
      <c r="G161" s="86"/>
      <c r="H161" s="87"/>
      <c r="I161" s="36"/>
      <c r="L161" s="77"/>
      <c r="M161" s="77"/>
      <c r="N161" s="36"/>
      <c r="O161" s="64">
        <f t="shared" si="9"/>
        <v>25</v>
      </c>
      <c r="P161" s="36">
        <f t="shared" si="11"/>
        <v>26</v>
      </c>
    </row>
    <row r="162" spans="1:16" s="37" customFormat="1" ht="15.75" customHeight="1" x14ac:dyDescent="0.3">
      <c r="A162" s="78">
        <f t="shared" si="10"/>
        <v>7</v>
      </c>
      <c r="B162" s="79"/>
      <c r="C162" s="68" t="s">
        <v>177</v>
      </c>
      <c r="D162" s="52">
        <f>(3.75*4.6+3.6*0.75+3.75*4.6+1.8*1.39+1.95*3.18+1.2*1.65+0.9*0.45)*(10.764)</f>
        <v>519.77203199999997</v>
      </c>
      <c r="E162" s="68">
        <v>0</v>
      </c>
      <c r="F162" s="68">
        <f t="shared" si="8"/>
        <v>831.63525119999997</v>
      </c>
      <c r="G162" s="86"/>
      <c r="H162" s="87"/>
      <c r="I162" s="36"/>
      <c r="L162" s="77"/>
      <c r="M162" s="77"/>
      <c r="N162" s="36"/>
    </row>
    <row r="163" spans="1:16" s="37" customFormat="1" ht="15.75" customHeight="1" x14ac:dyDescent="0.3">
      <c r="A163" s="78">
        <v>25</v>
      </c>
      <c r="B163" s="79"/>
      <c r="C163" s="68" t="s">
        <v>177</v>
      </c>
      <c r="D163" s="52">
        <f>(2.55*2.8+3.1*2.82+5.47*3+5.19*1.7+5.21*4.93+2.1*1.55)*(10.764)</f>
        <v>754.0752491999998</v>
      </c>
      <c r="E163" s="68">
        <v>0</v>
      </c>
      <c r="F163" s="68">
        <f t="shared" ref="F163:F164" si="12">(D163+E163)*(($F$130)+1)</f>
        <v>1206.5203987199998</v>
      </c>
      <c r="G163" s="86"/>
      <c r="H163" s="87"/>
      <c r="I163" s="36"/>
      <c r="L163" s="77"/>
      <c r="M163" s="77"/>
      <c r="N163" s="36"/>
    </row>
    <row r="164" spans="1:16" s="37" customFormat="1" ht="15.75" customHeight="1" x14ac:dyDescent="0.3">
      <c r="A164" s="78">
        <f t="shared" si="10"/>
        <v>26</v>
      </c>
      <c r="B164" s="79"/>
      <c r="C164" s="68" t="s">
        <v>177</v>
      </c>
      <c r="D164" s="52">
        <f>(12.22*7.28+1.65*1.55+0.6*1.2+1.9*1.65)*(10.764)</f>
        <v>1026.6068124000001</v>
      </c>
      <c r="E164" s="68">
        <v>0</v>
      </c>
      <c r="F164" s="68">
        <f t="shared" si="12"/>
        <v>1642.5708998400003</v>
      </c>
      <c r="G164" s="86"/>
      <c r="H164" s="87"/>
      <c r="I164" s="36"/>
      <c r="L164" s="77"/>
      <c r="M164" s="77"/>
      <c r="N164" s="36"/>
    </row>
    <row r="165" spans="1:16" s="37" customFormat="1" ht="15.75" customHeight="1" x14ac:dyDescent="0.3">
      <c r="A165" s="155" t="s">
        <v>255</v>
      </c>
      <c r="B165" s="156"/>
      <c r="C165" s="156"/>
      <c r="D165" s="156"/>
      <c r="E165" s="156"/>
      <c r="F165" s="156"/>
      <c r="G165" s="156"/>
      <c r="H165" s="157"/>
      <c r="I165" s="36" t="s">
        <v>256</v>
      </c>
      <c r="L165" s="77"/>
      <c r="M165" s="77"/>
      <c r="N165" s="36"/>
    </row>
    <row r="166" spans="1:16" s="37" customFormat="1" ht="15.75" customHeight="1" x14ac:dyDescent="0.3">
      <c r="A166" s="88" t="s">
        <v>244</v>
      </c>
      <c r="B166" s="89"/>
      <c r="C166" s="89"/>
      <c r="D166" s="89"/>
      <c r="E166" s="89"/>
      <c r="F166" s="89"/>
      <c r="G166" s="89"/>
      <c r="H166" s="90"/>
      <c r="I166" s="36" t="s">
        <v>254</v>
      </c>
      <c r="J166" s="37">
        <f>5.2*4.93+2.85*5.1+1.65*3.3+1.2*0.6+1.65*0.9</f>
        <v>47.820999999999998</v>
      </c>
      <c r="L166" s="77"/>
      <c r="M166" s="77"/>
      <c r="N166" s="36"/>
    </row>
    <row r="167" spans="1:16" s="37" customFormat="1" ht="15.75" customHeight="1" x14ac:dyDescent="0.3">
      <c r="A167" s="78" t="s">
        <v>191</v>
      </c>
      <c r="B167" s="79"/>
      <c r="C167" s="78" t="s">
        <v>237</v>
      </c>
      <c r="D167" s="93"/>
      <c r="E167" s="93"/>
      <c r="F167" s="79"/>
      <c r="G167" s="91" t="str">
        <f>A166</f>
        <v xml:space="preserve"> 12th Floor (Part Refuge &amp; Fitness Center Area)</v>
      </c>
      <c r="H167" s="92"/>
      <c r="I167" s="36"/>
      <c r="L167" s="77"/>
      <c r="M167" s="77"/>
      <c r="N167" s="36"/>
    </row>
    <row r="168" spans="1:16" s="37" customFormat="1" ht="15.75" customHeight="1" x14ac:dyDescent="0.3">
      <c r="A168" s="78">
        <v>19</v>
      </c>
      <c r="B168" s="79"/>
      <c r="C168" s="68" t="s">
        <v>178</v>
      </c>
      <c r="D168" s="52">
        <f t="shared" ref="D168:D171" si="13">(8.05*3.35+1.65*1.55+1.5*1.2+0.45*0.9)*(10.764)</f>
        <v>341.54172000000005</v>
      </c>
      <c r="E168" s="68">
        <v>0</v>
      </c>
      <c r="F168" s="68">
        <f t="shared" ref="F168:F174" si="14">(D168+E168)*(($F$130)+1)</f>
        <v>546.46675200000016</v>
      </c>
      <c r="G168" s="86"/>
      <c r="H168" s="87"/>
      <c r="I168" s="36"/>
      <c r="L168" s="77"/>
      <c r="M168" s="77"/>
      <c r="N168" s="36"/>
    </row>
    <row r="169" spans="1:16" s="37" customFormat="1" ht="15.75" customHeight="1" x14ac:dyDescent="0.3">
      <c r="A169" s="78">
        <f t="shared" ref="A169:A174" si="15">A168+1</f>
        <v>20</v>
      </c>
      <c r="B169" s="79"/>
      <c r="C169" s="68" t="s">
        <v>178</v>
      </c>
      <c r="D169" s="52">
        <f t="shared" si="13"/>
        <v>341.54172000000005</v>
      </c>
      <c r="E169" s="68">
        <v>0</v>
      </c>
      <c r="F169" s="68">
        <f t="shared" si="14"/>
        <v>546.46675200000016</v>
      </c>
      <c r="G169" s="86"/>
      <c r="H169" s="87"/>
      <c r="I169" s="36"/>
      <c r="L169" s="77"/>
      <c r="M169" s="77"/>
      <c r="N169" s="36"/>
    </row>
    <row r="170" spans="1:16" s="37" customFormat="1" ht="15.75" customHeight="1" x14ac:dyDescent="0.3">
      <c r="A170" s="78">
        <f t="shared" si="15"/>
        <v>21</v>
      </c>
      <c r="B170" s="79"/>
      <c r="C170" s="68" t="s">
        <v>178</v>
      </c>
      <c r="D170" s="52">
        <f t="shared" si="13"/>
        <v>341.54172000000005</v>
      </c>
      <c r="E170" s="68">
        <v>0</v>
      </c>
      <c r="F170" s="68">
        <f t="shared" si="14"/>
        <v>546.46675200000016</v>
      </c>
      <c r="G170" s="86"/>
      <c r="H170" s="87"/>
      <c r="I170" s="36"/>
      <c r="L170" s="77"/>
      <c r="M170" s="77"/>
      <c r="N170" s="36"/>
    </row>
    <row r="171" spans="1:16" s="37" customFormat="1" ht="15.75" customHeight="1" x14ac:dyDescent="0.3">
      <c r="A171" s="78">
        <f t="shared" si="15"/>
        <v>22</v>
      </c>
      <c r="B171" s="79"/>
      <c r="C171" s="68" t="s">
        <v>178</v>
      </c>
      <c r="D171" s="52">
        <f t="shared" si="13"/>
        <v>341.54172000000005</v>
      </c>
      <c r="E171" s="68">
        <v>0</v>
      </c>
      <c r="F171" s="68">
        <f t="shared" si="14"/>
        <v>546.46675200000016</v>
      </c>
      <c r="G171" s="86"/>
      <c r="H171" s="87"/>
      <c r="I171" s="36"/>
      <c r="L171" s="77"/>
      <c r="M171" s="77"/>
      <c r="N171" s="36"/>
    </row>
    <row r="172" spans="1:16" s="37" customFormat="1" ht="15.75" customHeight="1" x14ac:dyDescent="0.3">
      <c r="A172" s="78">
        <f t="shared" si="15"/>
        <v>23</v>
      </c>
      <c r="B172" s="79"/>
      <c r="C172" s="68" t="s">
        <v>178</v>
      </c>
      <c r="D172" s="52">
        <f>(8.05*3.75+1.65*1.95+1.5*1.2+0.45*0.9)*(10.764)</f>
        <v>383.30604</v>
      </c>
      <c r="E172" s="68">
        <v>0</v>
      </c>
      <c r="F172" s="68">
        <f t="shared" si="14"/>
        <v>613.28966400000002</v>
      </c>
      <c r="G172" s="86"/>
      <c r="H172" s="87"/>
      <c r="I172" s="36"/>
      <c r="L172" s="77"/>
      <c r="M172" s="77"/>
      <c r="N172" s="36"/>
    </row>
    <row r="173" spans="1:16" s="37" customFormat="1" ht="15.75" customHeight="1" x14ac:dyDescent="0.3">
      <c r="A173" s="78">
        <f t="shared" si="15"/>
        <v>24</v>
      </c>
      <c r="B173" s="79"/>
      <c r="C173" s="68" t="s">
        <v>192</v>
      </c>
      <c r="D173" s="52">
        <f t="shared" ref="D173:D174" si="16">((5.35*3.35+1.65*1.55+1.5*1.2+0.45*0.9)*(10.764))</f>
        <v>244.18134000000001</v>
      </c>
      <c r="E173" s="68">
        <v>0</v>
      </c>
      <c r="F173" s="68">
        <f t="shared" si="14"/>
        <v>390.69014400000003</v>
      </c>
      <c r="G173" s="86"/>
      <c r="H173" s="87"/>
      <c r="I173" s="36"/>
      <c r="L173" s="77"/>
      <c r="M173" s="77"/>
      <c r="N173" s="36"/>
    </row>
    <row r="174" spans="1:16" s="37" customFormat="1" ht="15.75" customHeight="1" x14ac:dyDescent="0.3">
      <c r="A174" s="78">
        <f t="shared" si="15"/>
        <v>25</v>
      </c>
      <c r="B174" s="79"/>
      <c r="C174" s="68" t="s">
        <v>192</v>
      </c>
      <c r="D174" s="52">
        <f t="shared" si="16"/>
        <v>244.18134000000001</v>
      </c>
      <c r="E174" s="68">
        <v>0</v>
      </c>
      <c r="F174" s="68">
        <f t="shared" si="14"/>
        <v>390.69014400000003</v>
      </c>
      <c r="G174" s="101"/>
      <c r="H174" s="102"/>
      <c r="I174" s="36"/>
      <c r="L174" s="77"/>
      <c r="M174" s="77"/>
      <c r="N174" s="36"/>
    </row>
    <row r="175" spans="1:16" s="37" customFormat="1" ht="15.75" customHeight="1" x14ac:dyDescent="0.3">
      <c r="A175" s="88" t="s">
        <v>284</v>
      </c>
      <c r="B175" s="89"/>
      <c r="C175" s="89"/>
      <c r="D175" s="89"/>
      <c r="E175" s="89"/>
      <c r="F175" s="89"/>
      <c r="G175" s="89"/>
      <c r="H175" s="90"/>
      <c r="I175" s="36" t="s">
        <v>261</v>
      </c>
      <c r="L175" s="77"/>
      <c r="M175" s="77"/>
      <c r="N175" s="36"/>
    </row>
    <row r="176" spans="1:16" s="37" customFormat="1" ht="15.75" customHeight="1" x14ac:dyDescent="0.3">
      <c r="A176" s="78">
        <v>1</v>
      </c>
      <c r="B176" s="79"/>
      <c r="C176" s="68" t="s">
        <v>178</v>
      </c>
      <c r="D176" s="52">
        <f t="shared" ref="D176:D180" si="17">((5.35*3.35+1.65*1.55+1.5*1.2+0.45*0.9)*(10.764))</f>
        <v>244.18134000000001</v>
      </c>
      <c r="E176" s="68">
        <v>0</v>
      </c>
      <c r="F176" s="68">
        <f t="shared" ref="F176:F199" si="18">(D176+E176)*(($F$130)+1)</f>
        <v>390.69014400000003</v>
      </c>
      <c r="G176" s="91" t="str">
        <f>A175</f>
        <v>13th Floor (14th Floor as per Builder) For Commercial</v>
      </c>
      <c r="H176" s="92"/>
      <c r="I176" s="36"/>
      <c r="L176" s="77"/>
      <c r="M176" s="77"/>
      <c r="N176" s="36"/>
    </row>
    <row r="177" spans="1:14" s="37" customFormat="1" ht="15.75" customHeight="1" x14ac:dyDescent="0.3">
      <c r="A177" s="78">
        <f t="shared" ref="A177:A199" si="19">A176+1</f>
        <v>2</v>
      </c>
      <c r="B177" s="79"/>
      <c r="C177" s="68" t="s">
        <v>178</v>
      </c>
      <c r="D177" s="52">
        <f t="shared" si="17"/>
        <v>244.18134000000001</v>
      </c>
      <c r="E177" s="68">
        <v>0</v>
      </c>
      <c r="F177" s="68">
        <f t="shared" si="18"/>
        <v>390.69014400000003</v>
      </c>
      <c r="G177" s="86"/>
      <c r="H177" s="87"/>
      <c r="I177" s="36"/>
      <c r="L177" s="77"/>
      <c r="M177" s="77"/>
      <c r="N177" s="36"/>
    </row>
    <row r="178" spans="1:14" s="37" customFormat="1" ht="15.75" customHeight="1" x14ac:dyDescent="0.3">
      <c r="A178" s="78">
        <f t="shared" si="19"/>
        <v>3</v>
      </c>
      <c r="B178" s="79"/>
      <c r="C178" s="68" t="s">
        <v>178</v>
      </c>
      <c r="D178" s="52">
        <f t="shared" si="17"/>
        <v>244.18134000000001</v>
      </c>
      <c r="E178" s="68">
        <v>0</v>
      </c>
      <c r="F178" s="68">
        <f t="shared" si="18"/>
        <v>390.69014400000003</v>
      </c>
      <c r="G178" s="86"/>
      <c r="H178" s="87"/>
      <c r="I178" s="36"/>
      <c r="L178" s="77"/>
      <c r="M178" s="77"/>
      <c r="N178" s="36"/>
    </row>
    <row r="179" spans="1:14" s="37" customFormat="1" ht="15.75" customHeight="1" x14ac:dyDescent="0.3">
      <c r="A179" s="78">
        <f t="shared" si="19"/>
        <v>4</v>
      </c>
      <c r="B179" s="79"/>
      <c r="C179" s="68" t="s">
        <v>178</v>
      </c>
      <c r="D179" s="52">
        <f t="shared" si="17"/>
        <v>244.18134000000001</v>
      </c>
      <c r="E179" s="68">
        <v>0</v>
      </c>
      <c r="F179" s="68">
        <f t="shared" si="18"/>
        <v>390.69014400000003</v>
      </c>
      <c r="G179" s="86"/>
      <c r="H179" s="87"/>
      <c r="I179" s="36"/>
      <c r="L179" s="77"/>
      <c r="M179" s="77"/>
      <c r="N179" s="36"/>
    </row>
    <row r="180" spans="1:14" s="37" customFormat="1" ht="15.75" customHeight="1" x14ac:dyDescent="0.3">
      <c r="A180" s="78">
        <f t="shared" si="19"/>
        <v>5</v>
      </c>
      <c r="B180" s="79"/>
      <c r="C180" s="68" t="s">
        <v>178</v>
      </c>
      <c r="D180" s="52">
        <f t="shared" si="17"/>
        <v>244.18134000000001</v>
      </c>
      <c r="E180" s="68">
        <v>0</v>
      </c>
      <c r="F180" s="68">
        <f t="shared" si="18"/>
        <v>390.69014400000003</v>
      </c>
      <c r="G180" s="86"/>
      <c r="H180" s="87"/>
      <c r="I180" s="36"/>
      <c r="L180" s="77"/>
      <c r="M180" s="77"/>
      <c r="N180" s="36"/>
    </row>
    <row r="181" spans="1:14" s="37" customFormat="1" ht="15.75" customHeight="1" x14ac:dyDescent="0.3">
      <c r="A181" s="78">
        <f t="shared" si="19"/>
        <v>6</v>
      </c>
      <c r="B181" s="79"/>
      <c r="C181" s="68" t="s">
        <v>178</v>
      </c>
      <c r="D181" s="52">
        <f>((5.35+1.65)*3.7)*(10.764)</f>
        <v>278.7876</v>
      </c>
      <c r="E181" s="68">
        <v>0</v>
      </c>
      <c r="F181" s="68">
        <f t="shared" si="18"/>
        <v>446.06016</v>
      </c>
      <c r="G181" s="86"/>
      <c r="H181" s="87"/>
      <c r="I181" s="36"/>
      <c r="L181" s="77"/>
      <c r="M181" s="77"/>
      <c r="N181" s="36"/>
    </row>
    <row r="182" spans="1:14" s="37" customFormat="1" ht="15.75" customHeight="1" x14ac:dyDescent="0.3">
      <c r="A182" s="78">
        <f t="shared" si="19"/>
        <v>7</v>
      </c>
      <c r="B182" s="79"/>
      <c r="C182" s="68" t="s">
        <v>178</v>
      </c>
      <c r="D182" s="52">
        <f t="shared" ref="D182:D199" si="20">(8.05*3.35+1.65*1.55+1.5*1.2+0.45*0.9)*(10.764)</f>
        <v>341.54172000000005</v>
      </c>
      <c r="E182" s="68">
        <v>0</v>
      </c>
      <c r="F182" s="68">
        <f t="shared" si="18"/>
        <v>546.46675200000016</v>
      </c>
      <c r="G182" s="86"/>
      <c r="H182" s="87"/>
      <c r="I182" s="36"/>
      <c r="L182" s="77"/>
      <c r="M182" s="77"/>
      <c r="N182" s="36"/>
    </row>
    <row r="183" spans="1:14" s="37" customFormat="1" ht="15.75" customHeight="1" x14ac:dyDescent="0.3">
      <c r="A183" s="78">
        <f t="shared" si="19"/>
        <v>8</v>
      </c>
      <c r="B183" s="79"/>
      <c r="C183" s="68" t="s">
        <v>178</v>
      </c>
      <c r="D183" s="52">
        <f t="shared" si="20"/>
        <v>341.54172000000005</v>
      </c>
      <c r="E183" s="68">
        <v>0</v>
      </c>
      <c r="F183" s="68">
        <f t="shared" si="18"/>
        <v>546.46675200000016</v>
      </c>
      <c r="G183" s="86"/>
      <c r="H183" s="87"/>
      <c r="I183" s="36"/>
      <c r="L183" s="77"/>
      <c r="M183" s="77"/>
      <c r="N183" s="36"/>
    </row>
    <row r="184" spans="1:14" s="37" customFormat="1" ht="15.75" customHeight="1" x14ac:dyDescent="0.3">
      <c r="A184" s="78">
        <f t="shared" si="19"/>
        <v>9</v>
      </c>
      <c r="B184" s="79"/>
      <c r="C184" s="68" t="s">
        <v>178</v>
      </c>
      <c r="D184" s="52">
        <f t="shared" si="20"/>
        <v>341.54172000000005</v>
      </c>
      <c r="E184" s="68">
        <v>0</v>
      </c>
      <c r="F184" s="68">
        <f t="shared" si="18"/>
        <v>546.46675200000016</v>
      </c>
      <c r="G184" s="86"/>
      <c r="H184" s="87"/>
      <c r="I184" s="36"/>
      <c r="L184" s="77"/>
      <c r="M184" s="77"/>
      <c r="N184" s="36"/>
    </row>
    <row r="185" spans="1:14" s="37" customFormat="1" ht="15.75" customHeight="1" x14ac:dyDescent="0.3">
      <c r="A185" s="78">
        <f t="shared" si="19"/>
        <v>10</v>
      </c>
      <c r="B185" s="79"/>
      <c r="C185" s="68" t="s">
        <v>178</v>
      </c>
      <c r="D185" s="52">
        <f t="shared" si="20"/>
        <v>341.54172000000005</v>
      </c>
      <c r="E185" s="68">
        <v>0</v>
      </c>
      <c r="F185" s="68">
        <f t="shared" si="18"/>
        <v>546.46675200000016</v>
      </c>
      <c r="G185" s="86"/>
      <c r="H185" s="87"/>
      <c r="I185" s="36"/>
      <c r="L185" s="77"/>
      <c r="M185" s="77"/>
      <c r="N185" s="36"/>
    </row>
    <row r="186" spans="1:14" s="37" customFormat="1" ht="15.75" customHeight="1" x14ac:dyDescent="0.3">
      <c r="A186" s="78">
        <f t="shared" si="19"/>
        <v>11</v>
      </c>
      <c r="B186" s="79"/>
      <c r="C186" s="68" t="s">
        <v>178</v>
      </c>
      <c r="D186" s="52">
        <f t="shared" si="20"/>
        <v>341.54172000000005</v>
      </c>
      <c r="E186" s="68">
        <v>0</v>
      </c>
      <c r="F186" s="68">
        <f t="shared" si="18"/>
        <v>546.46675200000016</v>
      </c>
      <c r="G186" s="86"/>
      <c r="H186" s="87"/>
      <c r="I186" s="36"/>
      <c r="L186" s="77"/>
      <c r="M186" s="77"/>
      <c r="N186" s="36"/>
    </row>
    <row r="187" spans="1:14" s="37" customFormat="1" ht="15.75" customHeight="1" x14ac:dyDescent="0.3">
      <c r="A187" s="78">
        <f t="shared" si="19"/>
        <v>12</v>
      </c>
      <c r="B187" s="79"/>
      <c r="C187" s="68" t="s">
        <v>178</v>
      </c>
      <c r="D187" s="52">
        <f t="shared" si="20"/>
        <v>341.54172000000005</v>
      </c>
      <c r="E187" s="68">
        <v>0</v>
      </c>
      <c r="F187" s="68">
        <f t="shared" si="18"/>
        <v>546.46675200000016</v>
      </c>
      <c r="G187" s="86"/>
      <c r="H187" s="87"/>
      <c r="I187" s="36"/>
      <c r="L187" s="77"/>
      <c r="M187" s="77"/>
      <c r="N187" s="36"/>
    </row>
    <row r="188" spans="1:14" s="37" customFormat="1" ht="15.75" customHeight="1" x14ac:dyDescent="0.3">
      <c r="A188" s="78">
        <v>14</v>
      </c>
      <c r="B188" s="79"/>
      <c r="C188" s="68" t="s">
        <v>178</v>
      </c>
      <c r="D188" s="52">
        <f t="shared" si="20"/>
        <v>341.54172000000005</v>
      </c>
      <c r="E188" s="68">
        <v>0</v>
      </c>
      <c r="F188" s="68">
        <f t="shared" si="18"/>
        <v>546.46675200000016</v>
      </c>
      <c r="G188" s="86"/>
      <c r="H188" s="87"/>
      <c r="I188" s="36"/>
      <c r="L188" s="77"/>
      <c r="M188" s="77"/>
      <c r="N188" s="36"/>
    </row>
    <row r="189" spans="1:14" s="37" customFormat="1" ht="15.75" customHeight="1" x14ac:dyDescent="0.3">
      <c r="A189" s="78">
        <f t="shared" si="19"/>
        <v>15</v>
      </c>
      <c r="B189" s="79"/>
      <c r="C189" s="68" t="s">
        <v>178</v>
      </c>
      <c r="D189" s="52">
        <f t="shared" si="20"/>
        <v>341.54172000000005</v>
      </c>
      <c r="E189" s="68">
        <v>0</v>
      </c>
      <c r="F189" s="68">
        <f t="shared" si="18"/>
        <v>546.46675200000016</v>
      </c>
      <c r="G189" s="86"/>
      <c r="H189" s="87"/>
      <c r="I189" s="36"/>
      <c r="L189" s="77"/>
      <c r="M189" s="77"/>
      <c r="N189" s="36"/>
    </row>
    <row r="190" spans="1:14" s="37" customFormat="1" ht="15.75" customHeight="1" x14ac:dyDescent="0.3">
      <c r="A190" s="78">
        <f t="shared" si="19"/>
        <v>16</v>
      </c>
      <c r="B190" s="79"/>
      <c r="C190" s="68" t="s">
        <v>178</v>
      </c>
      <c r="D190" s="52">
        <f t="shared" si="20"/>
        <v>341.54172000000005</v>
      </c>
      <c r="E190" s="68">
        <v>0</v>
      </c>
      <c r="F190" s="68">
        <f t="shared" si="18"/>
        <v>546.46675200000016</v>
      </c>
      <c r="G190" s="86"/>
      <c r="H190" s="87"/>
      <c r="I190" s="36"/>
      <c r="L190" s="77"/>
      <c r="M190" s="77"/>
      <c r="N190" s="36"/>
    </row>
    <row r="191" spans="1:14" s="37" customFormat="1" x14ac:dyDescent="0.3">
      <c r="A191" s="78">
        <f t="shared" si="19"/>
        <v>17</v>
      </c>
      <c r="B191" s="79"/>
      <c r="C191" s="68" t="s">
        <v>178</v>
      </c>
      <c r="D191" s="52">
        <f t="shared" si="20"/>
        <v>341.54172000000005</v>
      </c>
      <c r="E191" s="68">
        <v>0</v>
      </c>
      <c r="F191" s="68">
        <f t="shared" si="18"/>
        <v>546.46675200000016</v>
      </c>
      <c r="G191" s="86"/>
      <c r="H191" s="87"/>
      <c r="I191" s="36"/>
      <c r="K191" s="36"/>
    </row>
    <row r="192" spans="1:14" s="37" customFormat="1" ht="15.75" customHeight="1" x14ac:dyDescent="0.3">
      <c r="A192" s="78">
        <f t="shared" si="19"/>
        <v>18</v>
      </c>
      <c r="B192" s="79"/>
      <c r="C192" s="68" t="s">
        <v>178</v>
      </c>
      <c r="D192" s="52">
        <f t="shared" si="20"/>
        <v>341.54172000000005</v>
      </c>
      <c r="E192" s="68">
        <v>0</v>
      </c>
      <c r="F192" s="68">
        <f t="shared" si="18"/>
        <v>546.46675200000016</v>
      </c>
      <c r="G192" s="86"/>
      <c r="H192" s="87"/>
      <c r="I192" s="36"/>
      <c r="L192" s="77"/>
      <c r="M192" s="77"/>
      <c r="N192" s="36"/>
    </row>
    <row r="193" spans="1:14" s="37" customFormat="1" ht="15.75" customHeight="1" x14ac:dyDescent="0.3">
      <c r="A193" s="78">
        <f t="shared" si="19"/>
        <v>19</v>
      </c>
      <c r="B193" s="79"/>
      <c r="C193" s="68" t="s">
        <v>178</v>
      </c>
      <c r="D193" s="52">
        <f t="shared" si="20"/>
        <v>341.54172000000005</v>
      </c>
      <c r="E193" s="68">
        <v>0</v>
      </c>
      <c r="F193" s="68">
        <f t="shared" si="18"/>
        <v>546.46675200000016</v>
      </c>
      <c r="G193" s="86"/>
      <c r="H193" s="87"/>
      <c r="I193" s="36"/>
      <c r="L193" s="77"/>
      <c r="M193" s="77"/>
      <c r="N193" s="36"/>
    </row>
    <row r="194" spans="1:14" s="37" customFormat="1" ht="15.75" customHeight="1" x14ac:dyDescent="0.3">
      <c r="A194" s="78">
        <f t="shared" si="19"/>
        <v>20</v>
      </c>
      <c r="B194" s="79"/>
      <c r="C194" s="68" t="s">
        <v>178</v>
      </c>
      <c r="D194" s="52">
        <f t="shared" si="20"/>
        <v>341.54172000000005</v>
      </c>
      <c r="E194" s="68">
        <v>0</v>
      </c>
      <c r="F194" s="68">
        <f t="shared" si="18"/>
        <v>546.46675200000016</v>
      </c>
      <c r="G194" s="86"/>
      <c r="H194" s="87"/>
      <c r="I194" s="36"/>
      <c r="L194" s="77"/>
      <c r="M194" s="77"/>
      <c r="N194" s="36"/>
    </row>
    <row r="195" spans="1:14" s="37" customFormat="1" ht="15.75" customHeight="1" x14ac:dyDescent="0.3">
      <c r="A195" s="78">
        <f t="shared" si="19"/>
        <v>21</v>
      </c>
      <c r="B195" s="79"/>
      <c r="C195" s="68" t="s">
        <v>178</v>
      </c>
      <c r="D195" s="52">
        <f t="shared" si="20"/>
        <v>341.54172000000005</v>
      </c>
      <c r="E195" s="68">
        <v>0</v>
      </c>
      <c r="F195" s="68">
        <f t="shared" si="18"/>
        <v>546.46675200000016</v>
      </c>
      <c r="G195" s="86"/>
      <c r="H195" s="87"/>
      <c r="I195" s="36"/>
      <c r="J195" s="37">
        <f>4.93*6+5.1*3.85+3.3*1.65+1.2*0.6+1.3*0.9</f>
        <v>56.55</v>
      </c>
      <c r="L195" s="77"/>
      <c r="M195" s="77"/>
      <c r="N195" s="36"/>
    </row>
    <row r="196" spans="1:14" s="37" customFormat="1" ht="15.75" customHeight="1" x14ac:dyDescent="0.3">
      <c r="A196" s="78">
        <f t="shared" si="19"/>
        <v>22</v>
      </c>
      <c r="B196" s="79"/>
      <c r="C196" s="70" t="s">
        <v>192</v>
      </c>
      <c r="D196" s="52">
        <f t="shared" si="20"/>
        <v>341.54172000000005</v>
      </c>
      <c r="E196" s="70">
        <v>0</v>
      </c>
      <c r="F196" s="68">
        <f t="shared" si="18"/>
        <v>546.46675200000016</v>
      </c>
      <c r="G196" s="86"/>
      <c r="H196" s="87"/>
      <c r="I196" s="36"/>
      <c r="L196" s="77"/>
      <c r="M196" s="77"/>
      <c r="N196" s="36"/>
    </row>
    <row r="197" spans="1:14" s="37" customFormat="1" ht="15.75" customHeight="1" x14ac:dyDescent="0.3">
      <c r="A197" s="78">
        <f t="shared" si="19"/>
        <v>23</v>
      </c>
      <c r="B197" s="79"/>
      <c r="C197" s="68" t="s">
        <v>178</v>
      </c>
      <c r="D197" s="52">
        <f t="shared" si="20"/>
        <v>341.54172000000005</v>
      </c>
      <c r="E197" s="68">
        <v>0</v>
      </c>
      <c r="F197" s="68">
        <f t="shared" si="18"/>
        <v>546.46675200000016</v>
      </c>
      <c r="G197" s="86"/>
      <c r="H197" s="87"/>
      <c r="I197" s="36"/>
      <c r="L197" s="77"/>
      <c r="M197" s="77"/>
      <c r="N197" s="36"/>
    </row>
    <row r="198" spans="1:14" s="37" customFormat="1" x14ac:dyDescent="0.3">
      <c r="A198" s="78">
        <f t="shared" si="19"/>
        <v>24</v>
      </c>
      <c r="B198" s="79"/>
      <c r="C198" s="68" t="s">
        <v>178</v>
      </c>
      <c r="D198" s="52">
        <f t="shared" si="20"/>
        <v>341.54172000000005</v>
      </c>
      <c r="E198" s="68">
        <v>0</v>
      </c>
      <c r="F198" s="68">
        <f t="shared" si="18"/>
        <v>546.46675200000016</v>
      </c>
      <c r="G198" s="86"/>
      <c r="H198" s="87"/>
      <c r="I198" s="36"/>
      <c r="K198" s="36"/>
    </row>
    <row r="199" spans="1:14" s="37" customFormat="1" ht="15.75" customHeight="1" x14ac:dyDescent="0.3">
      <c r="A199" s="78">
        <f t="shared" si="19"/>
        <v>25</v>
      </c>
      <c r="B199" s="79"/>
      <c r="C199" s="68" t="s">
        <v>178</v>
      </c>
      <c r="D199" s="52">
        <f t="shared" si="20"/>
        <v>341.54172000000005</v>
      </c>
      <c r="E199" s="68">
        <v>0</v>
      </c>
      <c r="F199" s="68">
        <f t="shared" si="18"/>
        <v>546.46675200000016</v>
      </c>
      <c r="G199" s="101"/>
      <c r="H199" s="102"/>
      <c r="I199" s="36"/>
      <c r="L199" s="77"/>
      <c r="M199" s="77"/>
      <c r="N199" s="36"/>
    </row>
    <row r="200" spans="1:14" s="37" customFormat="1" ht="15.75" customHeight="1" x14ac:dyDescent="0.3">
      <c r="A200" s="88" t="s">
        <v>285</v>
      </c>
      <c r="B200" s="89"/>
      <c r="C200" s="89"/>
      <c r="D200" s="89"/>
      <c r="E200" s="89"/>
      <c r="F200" s="89"/>
      <c r="G200" s="89"/>
      <c r="H200" s="90"/>
      <c r="I200" s="36" t="s">
        <v>261</v>
      </c>
      <c r="L200" s="77"/>
      <c r="M200" s="77"/>
      <c r="N200" s="36"/>
    </row>
    <row r="201" spans="1:14" s="37" customFormat="1" ht="15.75" customHeight="1" x14ac:dyDescent="0.3">
      <c r="A201" s="78">
        <v>1</v>
      </c>
      <c r="B201" s="79"/>
      <c r="C201" s="68" t="s">
        <v>178</v>
      </c>
      <c r="D201" s="52">
        <f t="shared" ref="D201:D205" si="21">((5.35*3.35+1.65*1.55+1.5*1.2+0.45*0.9)*(10.764))</f>
        <v>244.18134000000001</v>
      </c>
      <c r="E201" s="68">
        <v>0</v>
      </c>
      <c r="F201" s="68">
        <f t="shared" ref="F201:F224" si="22">(D201+E201)*(($F$130)+1)</f>
        <v>390.69014400000003</v>
      </c>
      <c r="G201" s="91" t="str">
        <f>A200</f>
        <v>14th Floor (15th Floor as per Builder)</v>
      </c>
      <c r="H201" s="92"/>
      <c r="I201" s="36"/>
      <c r="L201" s="77"/>
      <c r="M201" s="77"/>
      <c r="N201" s="36"/>
    </row>
    <row r="202" spans="1:14" s="37" customFormat="1" ht="15.75" customHeight="1" x14ac:dyDescent="0.3">
      <c r="A202" s="78">
        <f t="shared" ref="A202:A224" si="23">A201+1</f>
        <v>2</v>
      </c>
      <c r="B202" s="79"/>
      <c r="C202" s="68" t="s">
        <v>178</v>
      </c>
      <c r="D202" s="52">
        <f t="shared" si="21"/>
        <v>244.18134000000001</v>
      </c>
      <c r="E202" s="68">
        <v>0</v>
      </c>
      <c r="F202" s="68">
        <f t="shared" si="22"/>
        <v>390.69014400000003</v>
      </c>
      <c r="G202" s="86"/>
      <c r="H202" s="87"/>
      <c r="I202" s="36"/>
      <c r="L202" s="77"/>
      <c r="M202" s="77"/>
      <c r="N202" s="36"/>
    </row>
    <row r="203" spans="1:14" s="37" customFormat="1" ht="15.75" customHeight="1" x14ac:dyDescent="0.3">
      <c r="A203" s="78">
        <f t="shared" si="23"/>
        <v>3</v>
      </c>
      <c r="B203" s="79"/>
      <c r="C203" s="68" t="s">
        <v>178</v>
      </c>
      <c r="D203" s="52">
        <f t="shared" si="21"/>
        <v>244.18134000000001</v>
      </c>
      <c r="E203" s="68">
        <v>0</v>
      </c>
      <c r="F203" s="68">
        <f t="shared" si="22"/>
        <v>390.69014400000003</v>
      </c>
      <c r="G203" s="86"/>
      <c r="H203" s="87"/>
      <c r="I203" s="36"/>
      <c r="L203" s="77"/>
      <c r="M203" s="77"/>
      <c r="N203" s="36"/>
    </row>
    <row r="204" spans="1:14" s="37" customFormat="1" ht="15.75" customHeight="1" x14ac:dyDescent="0.3">
      <c r="A204" s="78">
        <f t="shared" si="23"/>
        <v>4</v>
      </c>
      <c r="B204" s="79"/>
      <c r="C204" s="68" t="s">
        <v>178</v>
      </c>
      <c r="D204" s="52">
        <f t="shared" si="21"/>
        <v>244.18134000000001</v>
      </c>
      <c r="E204" s="68">
        <v>0</v>
      </c>
      <c r="F204" s="68">
        <f t="shared" si="22"/>
        <v>390.69014400000003</v>
      </c>
      <c r="G204" s="86"/>
      <c r="H204" s="87"/>
      <c r="I204" s="36"/>
      <c r="L204" s="77"/>
      <c r="M204" s="77"/>
      <c r="N204" s="36"/>
    </row>
    <row r="205" spans="1:14" s="37" customFormat="1" ht="15.75" customHeight="1" x14ac:dyDescent="0.3">
      <c r="A205" s="78">
        <f t="shared" si="23"/>
        <v>5</v>
      </c>
      <c r="B205" s="79"/>
      <c r="C205" s="68" t="s">
        <v>178</v>
      </c>
      <c r="D205" s="52">
        <f t="shared" si="21"/>
        <v>244.18134000000001</v>
      </c>
      <c r="E205" s="68">
        <v>0</v>
      </c>
      <c r="F205" s="68">
        <f t="shared" si="22"/>
        <v>390.69014400000003</v>
      </c>
      <c r="G205" s="86"/>
      <c r="H205" s="87"/>
      <c r="I205" s="36"/>
      <c r="L205" s="77"/>
      <c r="M205" s="77"/>
      <c r="N205" s="36"/>
    </row>
    <row r="206" spans="1:14" s="37" customFormat="1" ht="15.75" customHeight="1" x14ac:dyDescent="0.3">
      <c r="A206" s="78">
        <f t="shared" si="23"/>
        <v>6</v>
      </c>
      <c r="B206" s="79"/>
      <c r="C206" s="68" t="s">
        <v>178</v>
      </c>
      <c r="D206" s="52">
        <f>((5.35+1.65)*3.7)*(10.764)</f>
        <v>278.7876</v>
      </c>
      <c r="E206" s="68">
        <v>0</v>
      </c>
      <c r="F206" s="68">
        <f t="shared" si="22"/>
        <v>446.06016</v>
      </c>
      <c r="G206" s="86"/>
      <c r="H206" s="87"/>
      <c r="I206" s="36"/>
      <c r="L206" s="77"/>
      <c r="M206" s="77"/>
      <c r="N206" s="36"/>
    </row>
    <row r="207" spans="1:14" s="37" customFormat="1" ht="15.75" customHeight="1" x14ac:dyDescent="0.3">
      <c r="A207" s="78">
        <f t="shared" si="23"/>
        <v>7</v>
      </c>
      <c r="B207" s="79"/>
      <c r="C207" s="68" t="s">
        <v>178</v>
      </c>
      <c r="D207" s="52">
        <f t="shared" ref="D207:D224" si="24">(8.05*3.35+1.65*1.55+1.5*1.2+0.45*0.9)*(10.764)</f>
        <v>341.54172000000005</v>
      </c>
      <c r="E207" s="68">
        <v>0</v>
      </c>
      <c r="F207" s="68">
        <f t="shared" si="22"/>
        <v>546.46675200000016</v>
      </c>
      <c r="G207" s="86"/>
      <c r="H207" s="87"/>
      <c r="I207" s="36"/>
      <c r="L207" s="77"/>
      <c r="M207" s="77"/>
      <c r="N207" s="36"/>
    </row>
    <row r="208" spans="1:14" s="37" customFormat="1" ht="15.75" customHeight="1" x14ac:dyDescent="0.3">
      <c r="A208" s="78">
        <f t="shared" si="23"/>
        <v>8</v>
      </c>
      <c r="B208" s="79"/>
      <c r="C208" s="68" t="s">
        <v>178</v>
      </c>
      <c r="D208" s="52">
        <f t="shared" si="24"/>
        <v>341.54172000000005</v>
      </c>
      <c r="E208" s="68">
        <v>0</v>
      </c>
      <c r="F208" s="68">
        <f t="shared" si="22"/>
        <v>546.46675200000016</v>
      </c>
      <c r="G208" s="86"/>
      <c r="H208" s="87"/>
      <c r="I208" s="36"/>
      <c r="L208" s="77"/>
      <c r="M208" s="77"/>
      <c r="N208" s="36"/>
    </row>
    <row r="209" spans="1:14" s="37" customFormat="1" ht="15.75" customHeight="1" x14ac:dyDescent="0.3">
      <c r="A209" s="78">
        <f t="shared" si="23"/>
        <v>9</v>
      </c>
      <c r="B209" s="79"/>
      <c r="C209" s="68" t="s">
        <v>178</v>
      </c>
      <c r="D209" s="52">
        <f t="shared" si="24"/>
        <v>341.54172000000005</v>
      </c>
      <c r="E209" s="68">
        <v>0</v>
      </c>
      <c r="F209" s="68">
        <f t="shared" si="22"/>
        <v>546.46675200000016</v>
      </c>
      <c r="G209" s="86"/>
      <c r="H209" s="87"/>
      <c r="I209" s="36"/>
      <c r="L209" s="77"/>
      <c r="M209" s="77"/>
      <c r="N209" s="36"/>
    </row>
    <row r="210" spans="1:14" s="37" customFormat="1" ht="15.75" customHeight="1" x14ac:dyDescent="0.3">
      <c r="A210" s="78">
        <f t="shared" si="23"/>
        <v>10</v>
      </c>
      <c r="B210" s="79"/>
      <c r="C210" s="68" t="s">
        <v>178</v>
      </c>
      <c r="D210" s="52">
        <f t="shared" si="24"/>
        <v>341.54172000000005</v>
      </c>
      <c r="E210" s="68">
        <v>0</v>
      </c>
      <c r="F210" s="68">
        <f t="shared" si="22"/>
        <v>546.46675200000016</v>
      </c>
      <c r="G210" s="86"/>
      <c r="H210" s="87"/>
      <c r="I210" s="36"/>
      <c r="L210" s="77"/>
      <c r="M210" s="77"/>
      <c r="N210" s="36"/>
    </row>
    <row r="211" spans="1:14" s="37" customFormat="1" ht="15.75" customHeight="1" x14ac:dyDescent="0.3">
      <c r="A211" s="78">
        <f t="shared" si="23"/>
        <v>11</v>
      </c>
      <c r="B211" s="79"/>
      <c r="C211" s="68" t="s">
        <v>178</v>
      </c>
      <c r="D211" s="52">
        <f t="shared" si="24"/>
        <v>341.54172000000005</v>
      </c>
      <c r="E211" s="68">
        <v>0</v>
      </c>
      <c r="F211" s="68">
        <f t="shared" si="22"/>
        <v>546.46675200000016</v>
      </c>
      <c r="G211" s="86"/>
      <c r="H211" s="87"/>
      <c r="I211" s="36"/>
      <c r="L211" s="77"/>
      <c r="M211" s="77"/>
      <c r="N211" s="36"/>
    </row>
    <row r="212" spans="1:14" s="37" customFormat="1" ht="15.75" customHeight="1" x14ac:dyDescent="0.3">
      <c r="A212" s="78">
        <f t="shared" si="23"/>
        <v>12</v>
      </c>
      <c r="B212" s="79"/>
      <c r="C212" s="68" t="s">
        <v>178</v>
      </c>
      <c r="D212" s="52">
        <f t="shared" si="24"/>
        <v>341.54172000000005</v>
      </c>
      <c r="E212" s="68">
        <v>0</v>
      </c>
      <c r="F212" s="68">
        <f t="shared" si="22"/>
        <v>546.46675200000016</v>
      </c>
      <c r="G212" s="86"/>
      <c r="H212" s="87"/>
      <c r="I212" s="36"/>
      <c r="L212" s="77"/>
      <c r="M212" s="77"/>
      <c r="N212" s="36"/>
    </row>
    <row r="213" spans="1:14" s="37" customFormat="1" ht="15.75" customHeight="1" x14ac:dyDescent="0.3">
      <c r="A213" s="78">
        <v>14</v>
      </c>
      <c r="B213" s="79"/>
      <c r="C213" s="68" t="s">
        <v>178</v>
      </c>
      <c r="D213" s="52">
        <f t="shared" si="24"/>
        <v>341.54172000000005</v>
      </c>
      <c r="E213" s="68">
        <v>0</v>
      </c>
      <c r="F213" s="68">
        <f t="shared" si="22"/>
        <v>546.46675200000016</v>
      </c>
      <c r="G213" s="86"/>
      <c r="H213" s="87"/>
      <c r="I213" s="36"/>
      <c r="L213" s="77"/>
      <c r="M213" s="77"/>
      <c r="N213" s="36"/>
    </row>
    <row r="214" spans="1:14" s="37" customFormat="1" ht="15.75" customHeight="1" x14ac:dyDescent="0.3">
      <c r="A214" s="78">
        <f t="shared" si="23"/>
        <v>15</v>
      </c>
      <c r="B214" s="79"/>
      <c r="C214" s="68" t="s">
        <v>178</v>
      </c>
      <c r="D214" s="52">
        <f t="shared" si="24"/>
        <v>341.54172000000005</v>
      </c>
      <c r="E214" s="68">
        <v>0</v>
      </c>
      <c r="F214" s="68">
        <f t="shared" si="22"/>
        <v>546.46675200000016</v>
      </c>
      <c r="G214" s="86"/>
      <c r="H214" s="87"/>
      <c r="I214" s="36"/>
      <c r="L214" s="77"/>
      <c r="M214" s="77"/>
      <c r="N214" s="36"/>
    </row>
    <row r="215" spans="1:14" s="37" customFormat="1" ht="15.75" customHeight="1" x14ac:dyDescent="0.3">
      <c r="A215" s="78">
        <f t="shared" si="23"/>
        <v>16</v>
      </c>
      <c r="B215" s="79"/>
      <c r="C215" s="68" t="s">
        <v>178</v>
      </c>
      <c r="D215" s="52">
        <f t="shared" si="24"/>
        <v>341.54172000000005</v>
      </c>
      <c r="E215" s="68">
        <v>0</v>
      </c>
      <c r="F215" s="68">
        <f t="shared" si="22"/>
        <v>546.46675200000016</v>
      </c>
      <c r="G215" s="86"/>
      <c r="H215" s="87"/>
      <c r="I215" s="36"/>
      <c r="L215" s="77"/>
      <c r="M215" s="77"/>
      <c r="N215" s="36"/>
    </row>
    <row r="216" spans="1:14" s="37" customFormat="1" x14ac:dyDescent="0.3">
      <c r="A216" s="78">
        <f t="shared" si="23"/>
        <v>17</v>
      </c>
      <c r="B216" s="79"/>
      <c r="C216" s="68" t="s">
        <v>178</v>
      </c>
      <c r="D216" s="52">
        <f t="shared" si="24"/>
        <v>341.54172000000005</v>
      </c>
      <c r="E216" s="68">
        <v>0</v>
      </c>
      <c r="F216" s="68">
        <f t="shared" si="22"/>
        <v>546.46675200000016</v>
      </c>
      <c r="G216" s="86"/>
      <c r="H216" s="87"/>
      <c r="I216" s="36"/>
      <c r="K216" s="36"/>
    </row>
    <row r="217" spans="1:14" s="37" customFormat="1" ht="15.75" customHeight="1" x14ac:dyDescent="0.3">
      <c r="A217" s="78">
        <f t="shared" si="23"/>
        <v>18</v>
      </c>
      <c r="B217" s="79"/>
      <c r="C217" s="68" t="s">
        <v>178</v>
      </c>
      <c r="D217" s="52">
        <f t="shared" si="24"/>
        <v>341.54172000000005</v>
      </c>
      <c r="E217" s="68">
        <v>0</v>
      </c>
      <c r="F217" s="68">
        <f t="shared" si="22"/>
        <v>546.46675200000016</v>
      </c>
      <c r="G217" s="86"/>
      <c r="H217" s="87"/>
      <c r="I217" s="36"/>
      <c r="L217" s="77"/>
      <c r="M217" s="77"/>
      <c r="N217" s="36"/>
    </row>
    <row r="218" spans="1:14" s="37" customFormat="1" ht="15.75" customHeight="1" x14ac:dyDescent="0.3">
      <c r="A218" s="78">
        <f t="shared" si="23"/>
        <v>19</v>
      </c>
      <c r="B218" s="79"/>
      <c r="C218" s="68" t="s">
        <v>178</v>
      </c>
      <c r="D218" s="52">
        <f t="shared" si="24"/>
        <v>341.54172000000005</v>
      </c>
      <c r="E218" s="68">
        <v>0</v>
      </c>
      <c r="F218" s="68">
        <f t="shared" si="22"/>
        <v>546.46675200000016</v>
      </c>
      <c r="G218" s="86"/>
      <c r="H218" s="87"/>
      <c r="I218" s="36"/>
      <c r="L218" s="77"/>
      <c r="M218" s="77"/>
      <c r="N218" s="36"/>
    </row>
    <row r="219" spans="1:14" s="37" customFormat="1" ht="15.75" customHeight="1" x14ac:dyDescent="0.3">
      <c r="A219" s="78">
        <f t="shared" si="23"/>
        <v>20</v>
      </c>
      <c r="B219" s="79"/>
      <c r="C219" s="68" t="s">
        <v>178</v>
      </c>
      <c r="D219" s="52">
        <f t="shared" si="24"/>
        <v>341.54172000000005</v>
      </c>
      <c r="E219" s="68">
        <v>0</v>
      </c>
      <c r="F219" s="68">
        <f t="shared" si="22"/>
        <v>546.46675200000016</v>
      </c>
      <c r="G219" s="86"/>
      <c r="H219" s="87"/>
      <c r="I219" s="36"/>
      <c r="L219" s="77"/>
      <c r="M219" s="77"/>
      <c r="N219" s="36"/>
    </row>
    <row r="220" spans="1:14" s="37" customFormat="1" ht="15.75" customHeight="1" x14ac:dyDescent="0.3">
      <c r="A220" s="78">
        <f t="shared" si="23"/>
        <v>21</v>
      </c>
      <c r="B220" s="79"/>
      <c r="C220" s="68" t="s">
        <v>178</v>
      </c>
      <c r="D220" s="52">
        <f t="shared" si="24"/>
        <v>341.54172000000005</v>
      </c>
      <c r="E220" s="68">
        <v>0</v>
      </c>
      <c r="F220" s="68">
        <f t="shared" si="22"/>
        <v>546.46675200000016</v>
      </c>
      <c r="G220" s="86"/>
      <c r="H220" s="87"/>
      <c r="I220" s="36"/>
      <c r="J220" s="37">
        <f>4.93*6+5.1*3.85+3.3*1.65+1.2*0.6+1.3*0.9</f>
        <v>56.55</v>
      </c>
      <c r="L220" s="77"/>
      <c r="M220" s="77"/>
      <c r="N220" s="36"/>
    </row>
    <row r="221" spans="1:14" s="37" customFormat="1" ht="15.75" customHeight="1" x14ac:dyDescent="0.3">
      <c r="A221" s="78">
        <f t="shared" si="23"/>
        <v>22</v>
      </c>
      <c r="B221" s="79"/>
      <c r="C221" s="70" t="s">
        <v>192</v>
      </c>
      <c r="D221" s="52">
        <f t="shared" si="24"/>
        <v>341.54172000000005</v>
      </c>
      <c r="E221" s="70">
        <v>0</v>
      </c>
      <c r="F221" s="68">
        <f t="shared" si="22"/>
        <v>546.46675200000016</v>
      </c>
      <c r="G221" s="86"/>
      <c r="H221" s="87"/>
      <c r="I221" s="36"/>
      <c r="L221" s="77"/>
      <c r="M221" s="77"/>
      <c r="N221" s="36"/>
    </row>
    <row r="222" spans="1:14" s="37" customFormat="1" ht="15.75" customHeight="1" x14ac:dyDescent="0.3">
      <c r="A222" s="78">
        <f t="shared" si="23"/>
        <v>23</v>
      </c>
      <c r="B222" s="79"/>
      <c r="C222" s="68" t="s">
        <v>178</v>
      </c>
      <c r="D222" s="52">
        <f t="shared" si="24"/>
        <v>341.54172000000005</v>
      </c>
      <c r="E222" s="68">
        <v>0</v>
      </c>
      <c r="F222" s="68">
        <f t="shared" si="22"/>
        <v>546.46675200000016</v>
      </c>
      <c r="G222" s="86"/>
      <c r="H222" s="87"/>
      <c r="I222" s="36"/>
      <c r="L222" s="77"/>
      <c r="M222" s="77"/>
      <c r="N222" s="36"/>
    </row>
    <row r="223" spans="1:14" s="37" customFormat="1" x14ac:dyDescent="0.3">
      <c r="A223" s="78">
        <f t="shared" si="23"/>
        <v>24</v>
      </c>
      <c r="B223" s="79"/>
      <c r="C223" s="68" t="s">
        <v>178</v>
      </c>
      <c r="D223" s="52">
        <f t="shared" si="24"/>
        <v>341.54172000000005</v>
      </c>
      <c r="E223" s="68">
        <v>0</v>
      </c>
      <c r="F223" s="68">
        <f t="shared" si="22"/>
        <v>546.46675200000016</v>
      </c>
      <c r="G223" s="86"/>
      <c r="H223" s="87"/>
      <c r="I223" s="36"/>
      <c r="K223" s="36"/>
    </row>
    <row r="224" spans="1:14" s="37" customFormat="1" ht="15.75" customHeight="1" x14ac:dyDescent="0.3">
      <c r="A224" s="78">
        <f t="shared" si="23"/>
        <v>25</v>
      </c>
      <c r="B224" s="79"/>
      <c r="C224" s="68" t="s">
        <v>178</v>
      </c>
      <c r="D224" s="52">
        <f t="shared" si="24"/>
        <v>341.54172000000005</v>
      </c>
      <c r="E224" s="68">
        <v>0</v>
      </c>
      <c r="F224" s="68">
        <f t="shared" si="22"/>
        <v>546.46675200000016</v>
      </c>
      <c r="G224" s="101"/>
      <c r="H224" s="102"/>
      <c r="I224" s="36"/>
      <c r="L224" s="77"/>
      <c r="M224" s="77"/>
      <c r="N224" s="36"/>
    </row>
    <row r="225" spans="1:14" s="37" customFormat="1" ht="15.75" customHeight="1" x14ac:dyDescent="0.3">
      <c r="A225" s="88" t="s">
        <v>199</v>
      </c>
      <c r="B225" s="89"/>
      <c r="C225" s="89"/>
      <c r="D225" s="89"/>
      <c r="E225" s="89"/>
      <c r="F225" s="89"/>
      <c r="G225" s="89"/>
      <c r="H225" s="90"/>
      <c r="I225" s="36"/>
      <c r="L225" s="77"/>
      <c r="M225" s="77"/>
      <c r="N225" s="36"/>
    </row>
    <row r="226" spans="1:14" s="37" customFormat="1" ht="15.75" customHeight="1" x14ac:dyDescent="0.3">
      <c r="A226" s="78">
        <v>1</v>
      </c>
      <c r="B226" s="79"/>
      <c r="C226" s="68" t="s">
        <v>192</v>
      </c>
      <c r="D226" s="52">
        <f>((5.35*3.35+1.65*1.55+1.5*1.2+0.45*0.9))*(10.764)</f>
        <v>244.18134000000001</v>
      </c>
      <c r="E226" s="68">
        <v>0</v>
      </c>
      <c r="F226" s="68">
        <f t="shared" ref="F226:F250" si="25">(D226+E226)*(($F$130)+1)</f>
        <v>390.69014400000003</v>
      </c>
      <c r="G226" s="91" t="str">
        <f>A225</f>
        <v>15th Floor (16th Floor as per Builder)</v>
      </c>
      <c r="H226" s="92"/>
      <c r="I226" s="36"/>
      <c r="L226" s="77"/>
      <c r="M226" s="77"/>
      <c r="N226" s="36"/>
    </row>
    <row r="227" spans="1:14" s="37" customFormat="1" ht="15.75" customHeight="1" x14ac:dyDescent="0.3">
      <c r="A227" s="78">
        <v>3</v>
      </c>
      <c r="B227" s="79"/>
      <c r="C227" s="68" t="s">
        <v>192</v>
      </c>
      <c r="D227" s="52">
        <f>(5.35*4.55+1.65*1.55+1.5*1.2+0.45*0.9+1.65*1.05+4.15*2.13)*(10.764)</f>
        <v>427.08322799999996</v>
      </c>
      <c r="E227" s="68">
        <v>0</v>
      </c>
      <c r="F227" s="68">
        <f t="shared" si="25"/>
        <v>683.33316479999996</v>
      </c>
      <c r="G227" s="86"/>
      <c r="H227" s="87"/>
      <c r="I227" s="36"/>
      <c r="L227" s="77"/>
      <c r="M227" s="77"/>
      <c r="N227" s="36"/>
    </row>
    <row r="228" spans="1:14" s="37" customFormat="1" ht="15.75" customHeight="1" x14ac:dyDescent="0.3">
      <c r="A228" s="78">
        <f t="shared" ref="A228:A250" si="26">A227+1</f>
        <v>4</v>
      </c>
      <c r="B228" s="79"/>
      <c r="C228" s="68" t="s">
        <v>192</v>
      </c>
      <c r="D228" s="52">
        <f>(5.35*3.35+1.5*1.2+0.45*1.2+1.65*1.55+2.1*0.6+2.7*1.71)*(10.764)</f>
        <v>308.89450800000003</v>
      </c>
      <c r="E228" s="68">
        <v>0</v>
      </c>
      <c r="F228" s="68">
        <f t="shared" si="25"/>
        <v>494.23121280000009</v>
      </c>
      <c r="G228" s="86"/>
      <c r="H228" s="87"/>
      <c r="I228" s="36"/>
      <c r="L228" s="77"/>
      <c r="M228" s="77"/>
      <c r="N228" s="36"/>
    </row>
    <row r="229" spans="1:14" s="37" customFormat="1" ht="15.75" customHeight="1" x14ac:dyDescent="0.3">
      <c r="A229" s="78">
        <f t="shared" si="26"/>
        <v>5</v>
      </c>
      <c r="B229" s="79"/>
      <c r="C229" s="68" t="s">
        <v>192</v>
      </c>
      <c r="D229" s="52">
        <f>((5.35+1.65)*3.35+2.87*3.5)*(10.764)</f>
        <v>360.54017999999996</v>
      </c>
      <c r="E229" s="68">
        <v>0</v>
      </c>
      <c r="F229" s="68">
        <f t="shared" si="25"/>
        <v>576.86428799999999</v>
      </c>
      <c r="G229" s="86"/>
      <c r="H229" s="87"/>
      <c r="I229" s="36"/>
      <c r="L229" s="77"/>
      <c r="M229" s="77"/>
      <c r="N229" s="36"/>
    </row>
    <row r="230" spans="1:14" s="37" customFormat="1" ht="15.75" customHeight="1" x14ac:dyDescent="0.3">
      <c r="A230" s="78">
        <f t="shared" si="26"/>
        <v>6</v>
      </c>
      <c r="B230" s="79"/>
      <c r="C230" s="68" t="s">
        <v>192</v>
      </c>
      <c r="D230" s="52">
        <f>(2.33*3.7+1.65*1.75+1.5*1.2*0.45*0.9)*(10.764)</f>
        <v>131.72444999999999</v>
      </c>
      <c r="E230" s="68">
        <v>0</v>
      </c>
      <c r="F230" s="68">
        <f t="shared" si="25"/>
        <v>210.75912</v>
      </c>
      <c r="G230" s="86"/>
      <c r="H230" s="87"/>
      <c r="J230" s="36"/>
      <c r="K230" s="37">
        <f>8.2+1.65</f>
        <v>9.85</v>
      </c>
      <c r="L230" s="77"/>
      <c r="M230" s="77"/>
      <c r="N230" s="36"/>
    </row>
    <row r="231" spans="1:14" s="37" customFormat="1" ht="15.75" customHeight="1" x14ac:dyDescent="0.3">
      <c r="A231" s="78">
        <f t="shared" si="26"/>
        <v>7</v>
      </c>
      <c r="B231" s="79"/>
      <c r="C231" s="68" t="s">
        <v>192</v>
      </c>
      <c r="D231" s="52">
        <f>(3.35*1.77+1.65*1.75+1.5*1.2*0.45*0.9)*(10.764)</f>
        <v>102.75314399999999</v>
      </c>
      <c r="E231" s="68">
        <v>0</v>
      </c>
      <c r="F231" s="68">
        <f t="shared" si="25"/>
        <v>164.40503039999999</v>
      </c>
      <c r="G231" s="86"/>
      <c r="H231" s="87"/>
      <c r="I231" s="36"/>
      <c r="L231" s="77"/>
      <c r="M231" s="77"/>
      <c r="N231" s="36"/>
    </row>
    <row r="232" spans="1:14" s="37" customFormat="1" ht="15.75" customHeight="1" x14ac:dyDescent="0.3">
      <c r="A232" s="78">
        <f t="shared" si="26"/>
        <v>8</v>
      </c>
      <c r="B232" s="79"/>
      <c r="C232" s="68" t="s">
        <v>192</v>
      </c>
      <c r="D232" s="52">
        <f>((8.05+1.65)*3.4+6.13*3.5)*(10.764)</f>
        <v>585.93834000000004</v>
      </c>
      <c r="E232" s="68">
        <v>0</v>
      </c>
      <c r="F232" s="68">
        <f t="shared" si="25"/>
        <v>937.50134400000013</v>
      </c>
      <c r="G232" s="86"/>
      <c r="H232" s="87"/>
      <c r="I232" s="36"/>
      <c r="L232" s="77"/>
      <c r="M232" s="77"/>
      <c r="N232" s="36"/>
    </row>
    <row r="233" spans="1:14" s="37" customFormat="1" ht="15.75" customHeight="1" x14ac:dyDescent="0.3">
      <c r="A233" s="78">
        <f t="shared" si="26"/>
        <v>9</v>
      </c>
      <c r="B233" s="79"/>
      <c r="C233" s="68" t="s">
        <v>192</v>
      </c>
      <c r="D233" s="52">
        <f>((8.05+1.65)*3.3)*(10.764)</f>
        <v>344.55564000000004</v>
      </c>
      <c r="E233" s="68">
        <v>0</v>
      </c>
      <c r="F233" s="68">
        <f t="shared" si="25"/>
        <v>551.28902400000004</v>
      </c>
      <c r="G233" s="86"/>
      <c r="H233" s="87"/>
      <c r="I233" s="36"/>
      <c r="L233" s="77"/>
      <c r="M233" s="77"/>
      <c r="N233" s="36"/>
    </row>
    <row r="234" spans="1:14" s="37" customFormat="1" ht="15.75" customHeight="1" x14ac:dyDescent="0.3">
      <c r="A234" s="78">
        <f t="shared" si="26"/>
        <v>10</v>
      </c>
      <c r="B234" s="79"/>
      <c r="C234" s="68" t="s">
        <v>192</v>
      </c>
      <c r="D234" s="52">
        <f t="shared" ref="D234:D245" si="27">(8.05*3.35+1.65*1.55+1.5*1.2+0.45*0.9)*(10.764)</f>
        <v>341.54172000000005</v>
      </c>
      <c r="E234" s="68">
        <v>0</v>
      </c>
      <c r="F234" s="68">
        <f t="shared" si="25"/>
        <v>546.46675200000016</v>
      </c>
      <c r="G234" s="86"/>
      <c r="H234" s="87"/>
      <c r="I234" s="36"/>
      <c r="L234" s="77"/>
      <c r="M234" s="77"/>
      <c r="N234" s="36"/>
    </row>
    <row r="235" spans="1:14" s="37" customFormat="1" ht="15.75" customHeight="1" x14ac:dyDescent="0.3">
      <c r="A235" s="78">
        <f t="shared" si="26"/>
        <v>11</v>
      </c>
      <c r="B235" s="79"/>
      <c r="C235" s="68" t="s">
        <v>192</v>
      </c>
      <c r="D235" s="52">
        <f t="shared" si="27"/>
        <v>341.54172000000005</v>
      </c>
      <c r="E235" s="68">
        <v>0</v>
      </c>
      <c r="F235" s="68">
        <f t="shared" si="25"/>
        <v>546.46675200000016</v>
      </c>
      <c r="G235" s="86"/>
      <c r="H235" s="87"/>
      <c r="I235" s="36"/>
      <c r="L235" s="77"/>
      <c r="M235" s="77"/>
      <c r="N235" s="36"/>
    </row>
    <row r="236" spans="1:14" s="37" customFormat="1" ht="15.75" customHeight="1" x14ac:dyDescent="0.3">
      <c r="A236" s="78">
        <f t="shared" si="26"/>
        <v>12</v>
      </c>
      <c r="B236" s="79"/>
      <c r="C236" s="68" t="s">
        <v>192</v>
      </c>
      <c r="D236" s="52">
        <f t="shared" si="27"/>
        <v>341.54172000000005</v>
      </c>
      <c r="E236" s="68">
        <v>0</v>
      </c>
      <c r="F236" s="68">
        <f t="shared" si="25"/>
        <v>546.46675200000016</v>
      </c>
      <c r="G236" s="86"/>
      <c r="H236" s="87"/>
      <c r="I236" s="36"/>
      <c r="L236" s="77"/>
      <c r="M236" s="77"/>
      <c r="N236" s="36"/>
    </row>
    <row r="237" spans="1:14" s="37" customFormat="1" ht="15.75" customHeight="1" x14ac:dyDescent="0.3">
      <c r="A237" s="78">
        <f t="shared" si="26"/>
        <v>13</v>
      </c>
      <c r="B237" s="79"/>
      <c r="C237" s="68" t="s">
        <v>192</v>
      </c>
      <c r="D237" s="52">
        <f t="shared" si="27"/>
        <v>341.54172000000005</v>
      </c>
      <c r="E237" s="68">
        <v>0</v>
      </c>
      <c r="F237" s="68">
        <f t="shared" si="25"/>
        <v>546.46675200000016</v>
      </c>
      <c r="G237" s="86"/>
      <c r="H237" s="87"/>
      <c r="J237" s="36"/>
      <c r="L237" s="77"/>
      <c r="M237" s="77"/>
      <c r="N237" s="36"/>
    </row>
    <row r="238" spans="1:14" s="37" customFormat="1" ht="15.75" customHeight="1" x14ac:dyDescent="0.3">
      <c r="A238" s="78">
        <v>14</v>
      </c>
      <c r="B238" s="79"/>
      <c r="C238" s="68" t="s">
        <v>192</v>
      </c>
      <c r="D238" s="52">
        <f t="shared" si="27"/>
        <v>341.54172000000005</v>
      </c>
      <c r="E238" s="68">
        <v>0</v>
      </c>
      <c r="F238" s="68">
        <f t="shared" si="25"/>
        <v>546.46675200000016</v>
      </c>
      <c r="G238" s="86"/>
      <c r="H238" s="87"/>
      <c r="I238" s="36"/>
      <c r="L238" s="77"/>
      <c r="M238" s="77"/>
      <c r="N238" s="36"/>
    </row>
    <row r="239" spans="1:14" s="37" customFormat="1" ht="15.75" customHeight="1" x14ac:dyDescent="0.3">
      <c r="A239" s="78">
        <f t="shared" si="26"/>
        <v>15</v>
      </c>
      <c r="B239" s="79"/>
      <c r="C239" s="68" t="s">
        <v>192</v>
      </c>
      <c r="D239" s="52">
        <f t="shared" si="27"/>
        <v>341.54172000000005</v>
      </c>
      <c r="E239" s="68">
        <v>0</v>
      </c>
      <c r="F239" s="68">
        <f t="shared" si="25"/>
        <v>546.46675200000016</v>
      </c>
      <c r="G239" s="86"/>
      <c r="H239" s="87"/>
      <c r="I239" s="36"/>
      <c r="L239" s="77"/>
      <c r="M239" s="77"/>
      <c r="N239" s="36"/>
    </row>
    <row r="240" spans="1:14" s="37" customFormat="1" ht="15.75" customHeight="1" x14ac:dyDescent="0.3">
      <c r="A240" s="78">
        <f t="shared" si="26"/>
        <v>16</v>
      </c>
      <c r="B240" s="79"/>
      <c r="C240" s="68" t="s">
        <v>192</v>
      </c>
      <c r="D240" s="52">
        <f t="shared" si="27"/>
        <v>341.54172000000005</v>
      </c>
      <c r="E240" s="68">
        <v>0</v>
      </c>
      <c r="F240" s="68">
        <f t="shared" si="25"/>
        <v>546.46675200000016</v>
      </c>
      <c r="G240" s="86"/>
      <c r="H240" s="87"/>
      <c r="I240" s="36"/>
      <c r="L240" s="77"/>
      <c r="M240" s="77"/>
      <c r="N240" s="36"/>
    </row>
    <row r="241" spans="1:14" s="37" customFormat="1" ht="15.75" customHeight="1" x14ac:dyDescent="0.3">
      <c r="A241" s="78">
        <f t="shared" si="26"/>
        <v>17</v>
      </c>
      <c r="B241" s="79"/>
      <c r="C241" s="68" t="s">
        <v>192</v>
      </c>
      <c r="D241" s="52">
        <f t="shared" si="27"/>
        <v>341.54172000000005</v>
      </c>
      <c r="E241" s="68">
        <v>0</v>
      </c>
      <c r="F241" s="68">
        <f t="shared" si="25"/>
        <v>546.46675200000016</v>
      </c>
      <c r="G241" s="86"/>
      <c r="H241" s="87"/>
      <c r="I241" s="36"/>
      <c r="L241" s="77"/>
      <c r="M241" s="77"/>
      <c r="N241" s="36"/>
    </row>
    <row r="242" spans="1:14" s="37" customFormat="1" ht="15.75" customHeight="1" x14ac:dyDescent="0.3">
      <c r="A242" s="78">
        <f t="shared" si="26"/>
        <v>18</v>
      </c>
      <c r="B242" s="79"/>
      <c r="C242" s="68" t="s">
        <v>192</v>
      </c>
      <c r="D242" s="52">
        <f t="shared" si="27"/>
        <v>341.54172000000005</v>
      </c>
      <c r="E242" s="68">
        <v>0</v>
      </c>
      <c r="F242" s="68">
        <f t="shared" si="25"/>
        <v>546.46675200000016</v>
      </c>
      <c r="G242" s="86"/>
      <c r="H242" s="87"/>
      <c r="I242" s="36"/>
      <c r="L242" s="77"/>
      <c r="M242" s="77"/>
      <c r="N242" s="36"/>
    </row>
    <row r="243" spans="1:14" s="37" customFormat="1" ht="15.75" customHeight="1" x14ac:dyDescent="0.3">
      <c r="A243" s="78">
        <f t="shared" si="26"/>
        <v>19</v>
      </c>
      <c r="B243" s="79"/>
      <c r="C243" s="68" t="s">
        <v>192</v>
      </c>
      <c r="D243" s="52">
        <f t="shared" si="27"/>
        <v>341.54172000000005</v>
      </c>
      <c r="E243" s="68">
        <v>0</v>
      </c>
      <c r="F243" s="68">
        <f t="shared" si="25"/>
        <v>546.46675200000016</v>
      </c>
      <c r="G243" s="86"/>
      <c r="H243" s="87"/>
      <c r="I243" s="36"/>
      <c r="L243" s="77"/>
      <c r="M243" s="77"/>
      <c r="N243" s="36"/>
    </row>
    <row r="244" spans="1:14" s="37" customFormat="1" ht="15.75" customHeight="1" x14ac:dyDescent="0.3">
      <c r="A244" s="78">
        <f t="shared" si="26"/>
        <v>20</v>
      </c>
      <c r="B244" s="79"/>
      <c r="C244" s="68" t="s">
        <v>192</v>
      </c>
      <c r="D244" s="52">
        <f t="shared" si="27"/>
        <v>341.54172000000005</v>
      </c>
      <c r="E244" s="68">
        <v>0</v>
      </c>
      <c r="F244" s="68">
        <f t="shared" si="25"/>
        <v>546.46675200000016</v>
      </c>
      <c r="G244" s="86"/>
      <c r="H244" s="87"/>
      <c r="I244" s="36"/>
      <c r="L244" s="77"/>
      <c r="M244" s="77"/>
      <c r="N244" s="36"/>
    </row>
    <row r="245" spans="1:14" s="37" customFormat="1" ht="15.75" customHeight="1" x14ac:dyDescent="0.3">
      <c r="A245" s="78">
        <f t="shared" si="26"/>
        <v>21</v>
      </c>
      <c r="B245" s="79"/>
      <c r="C245" s="68" t="s">
        <v>192</v>
      </c>
      <c r="D245" s="52">
        <f t="shared" si="27"/>
        <v>341.54172000000005</v>
      </c>
      <c r="E245" s="68">
        <v>0</v>
      </c>
      <c r="F245" s="68">
        <f t="shared" si="25"/>
        <v>546.46675200000016</v>
      </c>
      <c r="G245" s="86"/>
      <c r="H245" s="87"/>
      <c r="I245" s="36"/>
      <c r="L245" s="77"/>
      <c r="M245" s="77"/>
      <c r="N245" s="36"/>
    </row>
    <row r="246" spans="1:14" s="37" customFormat="1" ht="15.75" customHeight="1" x14ac:dyDescent="0.3">
      <c r="A246" s="78">
        <f t="shared" si="26"/>
        <v>22</v>
      </c>
      <c r="B246" s="79"/>
      <c r="C246" s="68" t="s">
        <v>192</v>
      </c>
      <c r="D246" s="52">
        <f>(8.05*3.35+1.65*1.55+1.5*1.2+0.45*0.9)*(10.764)</f>
        <v>341.54172000000005</v>
      </c>
      <c r="E246" s="68">
        <v>0</v>
      </c>
      <c r="F246" s="68">
        <f t="shared" si="25"/>
        <v>546.46675200000016</v>
      </c>
      <c r="G246" s="86"/>
      <c r="H246" s="87"/>
      <c r="I246" s="36"/>
      <c r="L246" s="77"/>
      <c r="M246" s="77"/>
      <c r="N246" s="36"/>
    </row>
    <row r="247" spans="1:14" s="37" customFormat="1" ht="15.75" customHeight="1" x14ac:dyDescent="0.3">
      <c r="A247" s="78">
        <f t="shared" si="26"/>
        <v>23</v>
      </c>
      <c r="B247" s="79"/>
      <c r="C247" s="68" t="s">
        <v>192</v>
      </c>
      <c r="D247" s="52">
        <f>(8.05*3.75+1.65*1.95+1.5*1.2+0.45*0.9)*(10.764)</f>
        <v>383.30604</v>
      </c>
      <c r="E247" s="68">
        <v>0</v>
      </c>
      <c r="F247" s="68">
        <f t="shared" si="25"/>
        <v>613.28966400000002</v>
      </c>
      <c r="G247" s="86"/>
      <c r="H247" s="87"/>
      <c r="I247" s="36"/>
      <c r="L247" s="77"/>
      <c r="M247" s="77"/>
      <c r="N247" s="36"/>
    </row>
    <row r="248" spans="1:14" s="37" customFormat="1" ht="15.75" customHeight="1" x14ac:dyDescent="0.3">
      <c r="A248" s="78">
        <f>A247+1</f>
        <v>24</v>
      </c>
      <c r="B248" s="79"/>
      <c r="C248" s="78" t="s">
        <v>262</v>
      </c>
      <c r="D248" s="93"/>
      <c r="E248" s="93"/>
      <c r="F248" s="79"/>
      <c r="G248" s="86"/>
      <c r="H248" s="87"/>
      <c r="I248" s="36"/>
      <c r="N248" s="36"/>
    </row>
    <row r="249" spans="1:14" s="37" customFormat="1" x14ac:dyDescent="0.3">
      <c r="A249" s="78">
        <v>25</v>
      </c>
      <c r="B249" s="79"/>
      <c r="C249" s="68" t="s">
        <v>192</v>
      </c>
      <c r="D249" s="52">
        <f t="shared" ref="D249:D250" si="28">((5.35*3.35+1.65*1.55+1.5*1.2+0.45*0.9)*(10.764))</f>
        <v>244.18134000000001</v>
      </c>
      <c r="E249" s="68">
        <v>0</v>
      </c>
      <c r="F249" s="68">
        <f t="shared" si="25"/>
        <v>390.69014400000003</v>
      </c>
      <c r="G249" s="86"/>
      <c r="H249" s="87"/>
      <c r="I249" s="36"/>
      <c r="K249" s="36"/>
    </row>
    <row r="250" spans="1:14" s="37" customFormat="1" ht="15.75" customHeight="1" x14ac:dyDescent="0.3">
      <c r="A250" s="78">
        <f t="shared" si="26"/>
        <v>26</v>
      </c>
      <c r="B250" s="79"/>
      <c r="C250" s="68" t="s">
        <v>192</v>
      </c>
      <c r="D250" s="52">
        <f t="shared" si="28"/>
        <v>244.18134000000001</v>
      </c>
      <c r="E250" s="68">
        <v>0</v>
      </c>
      <c r="F250" s="68">
        <f t="shared" si="25"/>
        <v>390.69014400000003</v>
      </c>
      <c r="G250" s="86"/>
      <c r="H250" s="87"/>
      <c r="I250" s="36"/>
      <c r="L250" s="77"/>
      <c r="M250" s="77"/>
      <c r="N250" s="36"/>
    </row>
    <row r="251" spans="1:14" s="37" customFormat="1" ht="15.75" customHeight="1" x14ac:dyDescent="0.3">
      <c r="A251" s="88" t="s">
        <v>200</v>
      </c>
      <c r="B251" s="89"/>
      <c r="C251" s="89"/>
      <c r="D251" s="89"/>
      <c r="E251" s="89"/>
      <c r="F251" s="89"/>
      <c r="G251" s="89"/>
      <c r="H251" s="90"/>
      <c r="I251" s="36"/>
      <c r="L251" s="77"/>
      <c r="M251" s="77"/>
      <c r="N251" s="36"/>
    </row>
    <row r="252" spans="1:14" s="37" customFormat="1" ht="15.75" customHeight="1" x14ac:dyDescent="0.3">
      <c r="A252" s="78">
        <v>1</v>
      </c>
      <c r="B252" s="79"/>
      <c r="C252" s="68" t="s">
        <v>192</v>
      </c>
      <c r="D252" s="52">
        <f t="shared" ref="D252:D255" si="29">((5.35*3.35+1.65*1.55+1.5*1.2+0.45*0.9)*(10.764))</f>
        <v>244.18134000000001</v>
      </c>
      <c r="E252" s="68">
        <v>0</v>
      </c>
      <c r="F252" s="68">
        <f t="shared" ref="F252:F276" si="30">(D252+E252)*(($F$130)+1)</f>
        <v>390.69014400000003</v>
      </c>
      <c r="G252" s="91" t="str">
        <f>A251</f>
        <v>16th Floor (17th Floor as per Builder)</v>
      </c>
      <c r="H252" s="92"/>
      <c r="I252" s="36"/>
      <c r="L252" s="77"/>
      <c r="M252" s="77"/>
      <c r="N252" s="36"/>
    </row>
    <row r="253" spans="1:14" s="37" customFormat="1" ht="15.75" customHeight="1" x14ac:dyDescent="0.3">
      <c r="A253" s="78">
        <v>2</v>
      </c>
      <c r="B253" s="79"/>
      <c r="C253" s="68" t="s">
        <v>192</v>
      </c>
      <c r="D253" s="52">
        <f t="shared" si="29"/>
        <v>244.18134000000001</v>
      </c>
      <c r="E253" s="68">
        <v>0</v>
      </c>
      <c r="F253" s="68">
        <f t="shared" si="30"/>
        <v>390.69014400000003</v>
      </c>
      <c r="G253" s="86"/>
      <c r="H253" s="87"/>
      <c r="I253" s="36"/>
      <c r="L253" s="77"/>
      <c r="M253" s="77"/>
      <c r="N253" s="36"/>
    </row>
    <row r="254" spans="1:14" s="37" customFormat="1" ht="15.75" customHeight="1" x14ac:dyDescent="0.3">
      <c r="A254" s="78">
        <v>3</v>
      </c>
      <c r="B254" s="79"/>
      <c r="C254" s="68" t="s">
        <v>192</v>
      </c>
      <c r="D254" s="52">
        <f t="shared" si="29"/>
        <v>244.18134000000001</v>
      </c>
      <c r="E254" s="68">
        <v>0</v>
      </c>
      <c r="F254" s="68">
        <f t="shared" si="30"/>
        <v>390.69014400000003</v>
      </c>
      <c r="G254" s="86"/>
      <c r="H254" s="87"/>
      <c r="I254" s="36"/>
      <c r="L254" s="77"/>
      <c r="M254" s="77"/>
      <c r="N254" s="36"/>
    </row>
    <row r="255" spans="1:14" s="37" customFormat="1" ht="15.75" customHeight="1" x14ac:dyDescent="0.3">
      <c r="A255" s="78">
        <v>4</v>
      </c>
      <c r="B255" s="79"/>
      <c r="C255" s="68" t="s">
        <v>192</v>
      </c>
      <c r="D255" s="52">
        <f t="shared" si="29"/>
        <v>244.18134000000001</v>
      </c>
      <c r="E255" s="68">
        <v>0</v>
      </c>
      <c r="F255" s="68">
        <f t="shared" si="30"/>
        <v>390.69014400000003</v>
      </c>
      <c r="G255" s="86"/>
      <c r="H255" s="87"/>
      <c r="I255" s="36"/>
      <c r="J255" s="37">
        <f>4.93*6+5.1*3.85+3.3*1.65+1.2*0.6+1.3*0.9</f>
        <v>56.55</v>
      </c>
      <c r="L255" s="77"/>
      <c r="M255" s="77"/>
      <c r="N255" s="36"/>
    </row>
    <row r="256" spans="1:14" s="37" customFormat="1" ht="15.75" customHeight="1" x14ac:dyDescent="0.3">
      <c r="A256" s="78">
        <v>5</v>
      </c>
      <c r="B256" s="79"/>
      <c r="C256" s="68" t="s">
        <v>192</v>
      </c>
      <c r="D256" s="52">
        <f>((5.35+1.65)*3.35+2.87*3.5)*(10.764)</f>
        <v>360.54017999999996</v>
      </c>
      <c r="E256" s="68">
        <v>0</v>
      </c>
      <c r="F256" s="68">
        <f t="shared" si="30"/>
        <v>576.86428799999999</v>
      </c>
      <c r="G256" s="86"/>
      <c r="H256" s="87"/>
      <c r="I256" s="36"/>
      <c r="K256" s="37">
        <f>8.2+1.65</f>
        <v>9.85</v>
      </c>
      <c r="L256" s="77"/>
      <c r="M256" s="77"/>
      <c r="N256" s="36"/>
    </row>
    <row r="257" spans="1:14" s="37" customFormat="1" ht="15.75" customHeight="1" x14ac:dyDescent="0.3">
      <c r="A257" s="78">
        <f t="shared" ref="A257:A274" si="31">A256+1</f>
        <v>6</v>
      </c>
      <c r="B257" s="79"/>
      <c r="C257" s="68" t="s">
        <v>192</v>
      </c>
      <c r="D257" s="52">
        <f>(2.33*3.7+1.65*1.75+1.5*1.2*0.45*0.9)*(10.764)</f>
        <v>131.72444999999999</v>
      </c>
      <c r="E257" s="68">
        <v>0</v>
      </c>
      <c r="F257" s="68">
        <f t="shared" si="30"/>
        <v>210.75912</v>
      </c>
      <c r="G257" s="86"/>
      <c r="H257" s="87"/>
      <c r="I257" s="36"/>
      <c r="L257" s="77"/>
      <c r="M257" s="77"/>
      <c r="N257" s="36"/>
    </row>
    <row r="258" spans="1:14" s="37" customFormat="1" ht="15.75" customHeight="1" x14ac:dyDescent="0.3">
      <c r="A258" s="78">
        <f t="shared" si="31"/>
        <v>7</v>
      </c>
      <c r="B258" s="79"/>
      <c r="C258" s="68" t="s">
        <v>192</v>
      </c>
      <c r="D258" s="52">
        <f>(8.05*6.85+1.65*3.45+1.5*1.2+0.45*0.9+1.5*1.2*0.45*0.9)*(10.764)</f>
        <v>686.40951600000005</v>
      </c>
      <c r="E258" s="68">
        <v>0</v>
      </c>
      <c r="F258" s="68">
        <f t="shared" si="30"/>
        <v>1098.2552256000001</v>
      </c>
      <c r="G258" s="86"/>
      <c r="H258" s="87"/>
      <c r="I258" s="36"/>
      <c r="L258" s="77"/>
      <c r="M258" s="77"/>
      <c r="N258" s="36"/>
    </row>
    <row r="259" spans="1:14" s="37" customFormat="1" ht="15.75" customHeight="1" x14ac:dyDescent="0.3">
      <c r="A259" s="78">
        <v>9</v>
      </c>
      <c r="B259" s="79"/>
      <c r="C259" s="68" t="s">
        <v>192</v>
      </c>
      <c r="D259" s="52">
        <f>(8.05*3.35+1.65*1.55+1.5*1.2+0.45*0.9)*(10.764)</f>
        <v>341.54172000000005</v>
      </c>
      <c r="E259" s="68">
        <v>0</v>
      </c>
      <c r="F259" s="68">
        <f t="shared" si="30"/>
        <v>546.46675200000016</v>
      </c>
      <c r="G259" s="86"/>
      <c r="H259" s="87"/>
      <c r="I259" s="36"/>
      <c r="L259" s="77"/>
      <c r="M259" s="77"/>
      <c r="N259" s="36"/>
    </row>
    <row r="260" spans="1:14" s="37" customFormat="1" ht="15.75" customHeight="1" x14ac:dyDescent="0.3">
      <c r="A260" s="78">
        <f t="shared" si="31"/>
        <v>10</v>
      </c>
      <c r="B260" s="79"/>
      <c r="C260" s="68" t="s">
        <v>192</v>
      </c>
      <c r="D260" s="52">
        <f t="shared" ref="D260:D271" si="32">(8.05*3.35+1.65*1.55+1.5*1.2+0.45*0.9)*(10.764)</f>
        <v>341.54172000000005</v>
      </c>
      <c r="E260" s="68">
        <v>0</v>
      </c>
      <c r="F260" s="68">
        <f t="shared" si="30"/>
        <v>546.46675200000016</v>
      </c>
      <c r="G260" s="86"/>
      <c r="H260" s="87"/>
      <c r="I260" s="36"/>
      <c r="L260" s="77"/>
      <c r="M260" s="77"/>
      <c r="N260" s="36"/>
    </row>
    <row r="261" spans="1:14" s="37" customFormat="1" ht="15.75" customHeight="1" x14ac:dyDescent="0.3">
      <c r="A261" s="78">
        <f t="shared" si="31"/>
        <v>11</v>
      </c>
      <c r="B261" s="79"/>
      <c r="C261" s="68" t="s">
        <v>192</v>
      </c>
      <c r="D261" s="52">
        <f t="shared" si="32"/>
        <v>341.54172000000005</v>
      </c>
      <c r="E261" s="68">
        <v>0</v>
      </c>
      <c r="F261" s="68">
        <f t="shared" si="30"/>
        <v>546.46675200000016</v>
      </c>
      <c r="G261" s="86"/>
      <c r="H261" s="87"/>
      <c r="I261" s="36"/>
      <c r="L261" s="77"/>
      <c r="M261" s="77"/>
      <c r="N261" s="36"/>
    </row>
    <row r="262" spans="1:14" s="37" customFormat="1" ht="15.75" customHeight="1" x14ac:dyDescent="0.3">
      <c r="A262" s="78">
        <f t="shared" si="31"/>
        <v>12</v>
      </c>
      <c r="B262" s="79"/>
      <c r="C262" s="68" t="s">
        <v>192</v>
      </c>
      <c r="D262" s="52">
        <f t="shared" si="32"/>
        <v>341.54172000000005</v>
      </c>
      <c r="E262" s="68">
        <v>0</v>
      </c>
      <c r="F262" s="68">
        <f t="shared" si="30"/>
        <v>546.46675200000016</v>
      </c>
      <c r="G262" s="86"/>
      <c r="H262" s="87"/>
      <c r="I262" s="36"/>
      <c r="L262" s="77"/>
      <c r="M262" s="77"/>
      <c r="N262" s="36"/>
    </row>
    <row r="263" spans="1:14" s="37" customFormat="1" ht="15.75" customHeight="1" x14ac:dyDescent="0.3">
      <c r="A263" s="78">
        <v>14</v>
      </c>
      <c r="B263" s="79"/>
      <c r="C263" s="68" t="s">
        <v>192</v>
      </c>
      <c r="D263" s="52">
        <f t="shared" si="32"/>
        <v>341.54172000000005</v>
      </c>
      <c r="E263" s="68">
        <v>0</v>
      </c>
      <c r="F263" s="68">
        <f t="shared" si="30"/>
        <v>546.46675200000016</v>
      </c>
      <c r="G263" s="86"/>
      <c r="H263" s="87"/>
      <c r="J263" s="36"/>
      <c r="L263" s="77"/>
      <c r="M263" s="77"/>
      <c r="N263" s="36"/>
    </row>
    <row r="264" spans="1:14" s="37" customFormat="1" ht="15.75" customHeight="1" x14ac:dyDescent="0.3">
      <c r="A264" s="78">
        <f t="shared" si="31"/>
        <v>15</v>
      </c>
      <c r="B264" s="79"/>
      <c r="C264" s="68" t="s">
        <v>192</v>
      </c>
      <c r="D264" s="52">
        <f t="shared" si="32"/>
        <v>341.54172000000005</v>
      </c>
      <c r="E264" s="68">
        <v>0</v>
      </c>
      <c r="F264" s="68">
        <f t="shared" si="30"/>
        <v>546.46675200000016</v>
      </c>
      <c r="G264" s="86"/>
      <c r="H264" s="87"/>
      <c r="I264" s="36"/>
      <c r="L264" s="77"/>
      <c r="M264" s="77"/>
      <c r="N264" s="36"/>
    </row>
    <row r="265" spans="1:14" s="37" customFormat="1" ht="15.75" customHeight="1" x14ac:dyDescent="0.3">
      <c r="A265" s="78">
        <f t="shared" si="31"/>
        <v>16</v>
      </c>
      <c r="B265" s="79"/>
      <c r="C265" s="68" t="s">
        <v>192</v>
      </c>
      <c r="D265" s="52">
        <f t="shared" si="32"/>
        <v>341.54172000000005</v>
      </c>
      <c r="E265" s="68">
        <v>0</v>
      </c>
      <c r="F265" s="68">
        <f t="shared" si="30"/>
        <v>546.46675200000016</v>
      </c>
      <c r="G265" s="86"/>
      <c r="H265" s="87"/>
      <c r="I265" s="36"/>
      <c r="L265" s="77"/>
      <c r="M265" s="77"/>
      <c r="N265" s="36"/>
    </row>
    <row r="266" spans="1:14" s="37" customFormat="1" ht="15.75" customHeight="1" x14ac:dyDescent="0.3">
      <c r="A266" s="78">
        <f t="shared" si="31"/>
        <v>17</v>
      </c>
      <c r="B266" s="79"/>
      <c r="C266" s="68" t="s">
        <v>192</v>
      </c>
      <c r="D266" s="52">
        <f t="shared" si="32"/>
        <v>341.54172000000005</v>
      </c>
      <c r="E266" s="68">
        <v>0</v>
      </c>
      <c r="F266" s="68">
        <f t="shared" si="30"/>
        <v>546.46675200000016</v>
      </c>
      <c r="G266" s="86"/>
      <c r="H266" s="87"/>
      <c r="I266" s="36"/>
      <c r="L266" s="77"/>
      <c r="M266" s="77"/>
      <c r="N266" s="36"/>
    </row>
    <row r="267" spans="1:14" s="37" customFormat="1" ht="15.75" customHeight="1" x14ac:dyDescent="0.3">
      <c r="A267" s="78">
        <f t="shared" si="31"/>
        <v>18</v>
      </c>
      <c r="B267" s="79"/>
      <c r="C267" s="68" t="s">
        <v>192</v>
      </c>
      <c r="D267" s="52">
        <f t="shared" si="32"/>
        <v>341.54172000000005</v>
      </c>
      <c r="E267" s="68">
        <v>0</v>
      </c>
      <c r="F267" s="68">
        <f t="shared" si="30"/>
        <v>546.46675200000016</v>
      </c>
      <c r="G267" s="86"/>
      <c r="H267" s="87"/>
      <c r="I267" s="36"/>
      <c r="L267" s="77"/>
      <c r="M267" s="77"/>
      <c r="N267" s="36"/>
    </row>
    <row r="268" spans="1:14" s="37" customFormat="1" ht="15.75" customHeight="1" x14ac:dyDescent="0.3">
      <c r="A268" s="78">
        <f t="shared" si="31"/>
        <v>19</v>
      </c>
      <c r="B268" s="79"/>
      <c r="C268" s="68" t="s">
        <v>192</v>
      </c>
      <c r="D268" s="52">
        <f t="shared" si="32"/>
        <v>341.54172000000005</v>
      </c>
      <c r="E268" s="68">
        <v>0</v>
      </c>
      <c r="F268" s="68">
        <f t="shared" si="30"/>
        <v>546.46675200000016</v>
      </c>
      <c r="G268" s="86"/>
      <c r="H268" s="87"/>
      <c r="I268" s="36"/>
      <c r="L268" s="77"/>
      <c r="M268" s="77"/>
      <c r="N268" s="36"/>
    </row>
    <row r="269" spans="1:14" s="37" customFormat="1" ht="15.75" customHeight="1" x14ac:dyDescent="0.3">
      <c r="A269" s="78">
        <f t="shared" si="31"/>
        <v>20</v>
      </c>
      <c r="B269" s="79"/>
      <c r="C269" s="68" t="s">
        <v>192</v>
      </c>
      <c r="D269" s="52">
        <f t="shared" si="32"/>
        <v>341.54172000000005</v>
      </c>
      <c r="E269" s="68">
        <v>0</v>
      </c>
      <c r="F269" s="68">
        <f t="shared" si="30"/>
        <v>546.46675200000016</v>
      </c>
      <c r="G269" s="86"/>
      <c r="H269" s="87"/>
      <c r="I269" s="36"/>
      <c r="L269" s="77"/>
      <c r="M269" s="77"/>
      <c r="N269" s="36"/>
    </row>
    <row r="270" spans="1:14" s="37" customFormat="1" ht="15.75" customHeight="1" x14ac:dyDescent="0.3">
      <c r="A270" s="78">
        <f t="shared" si="31"/>
        <v>21</v>
      </c>
      <c r="B270" s="79"/>
      <c r="C270" s="68" t="s">
        <v>192</v>
      </c>
      <c r="D270" s="52">
        <f t="shared" si="32"/>
        <v>341.54172000000005</v>
      </c>
      <c r="E270" s="68">
        <v>0</v>
      </c>
      <c r="F270" s="68">
        <f t="shared" si="30"/>
        <v>546.46675200000016</v>
      </c>
      <c r="G270" s="86"/>
      <c r="H270" s="87"/>
      <c r="I270" s="36"/>
      <c r="L270" s="77"/>
      <c r="M270" s="77"/>
      <c r="N270" s="36"/>
    </row>
    <row r="271" spans="1:14" s="37" customFormat="1" ht="15.75" customHeight="1" x14ac:dyDescent="0.3">
      <c r="A271" s="78">
        <f t="shared" si="31"/>
        <v>22</v>
      </c>
      <c r="B271" s="79"/>
      <c r="C271" s="68" t="s">
        <v>192</v>
      </c>
      <c r="D271" s="52">
        <f t="shared" si="32"/>
        <v>341.54172000000005</v>
      </c>
      <c r="E271" s="68">
        <v>0</v>
      </c>
      <c r="F271" s="68">
        <f t="shared" si="30"/>
        <v>546.46675200000016</v>
      </c>
      <c r="G271" s="86"/>
      <c r="H271" s="87"/>
      <c r="I271" s="36"/>
      <c r="L271" s="77"/>
      <c r="M271" s="77"/>
      <c r="N271" s="36"/>
    </row>
    <row r="272" spans="1:14" s="37" customFormat="1" ht="15.75" customHeight="1" x14ac:dyDescent="0.3">
      <c r="A272" s="78">
        <f t="shared" si="31"/>
        <v>23</v>
      </c>
      <c r="B272" s="79"/>
      <c r="C272" s="68" t="s">
        <v>192</v>
      </c>
      <c r="D272" s="52">
        <f>(8.05*3.75+1.65*1.95+1.5*1.2+0.45*0.9)*(10.764)</f>
        <v>383.30604</v>
      </c>
      <c r="E272" s="68">
        <v>0</v>
      </c>
      <c r="F272" s="68">
        <f t="shared" si="30"/>
        <v>613.28966400000002</v>
      </c>
      <c r="G272" s="86"/>
      <c r="H272" s="87"/>
      <c r="I272" s="36"/>
      <c r="L272" s="77"/>
      <c r="M272" s="77"/>
      <c r="N272" s="36"/>
    </row>
    <row r="273" spans="1:14" s="37" customFormat="1" ht="15.75" customHeight="1" x14ac:dyDescent="0.3">
      <c r="A273" s="78">
        <v>24</v>
      </c>
      <c r="B273" s="79"/>
      <c r="C273" s="68" t="s">
        <v>192</v>
      </c>
      <c r="D273" s="52">
        <f t="shared" ref="D273:D276" si="33">((5.35*3.35+1.65*1.55+1.5*1.2+0.45*0.9)*(10.764))</f>
        <v>244.18134000000001</v>
      </c>
      <c r="E273" s="68">
        <v>0</v>
      </c>
      <c r="F273" s="68">
        <f t="shared" si="30"/>
        <v>390.69014400000003</v>
      </c>
      <c r="G273" s="86"/>
      <c r="H273" s="87"/>
      <c r="I273" s="36"/>
      <c r="L273" s="77"/>
      <c r="M273" s="77"/>
      <c r="N273" s="36"/>
    </row>
    <row r="274" spans="1:14" s="37" customFormat="1" x14ac:dyDescent="0.3">
      <c r="A274" s="78">
        <f t="shared" si="31"/>
        <v>25</v>
      </c>
      <c r="B274" s="79"/>
      <c r="C274" s="68" t="s">
        <v>192</v>
      </c>
      <c r="D274" s="52">
        <f t="shared" si="33"/>
        <v>244.18134000000001</v>
      </c>
      <c r="E274" s="68">
        <v>0</v>
      </c>
      <c r="F274" s="68">
        <f t="shared" si="30"/>
        <v>390.69014400000003</v>
      </c>
      <c r="G274" s="86"/>
      <c r="H274" s="87"/>
      <c r="I274" s="36"/>
      <c r="K274" s="36"/>
    </row>
    <row r="275" spans="1:14" s="37" customFormat="1" ht="15.75" customHeight="1" x14ac:dyDescent="0.3">
      <c r="A275" s="78">
        <v>26</v>
      </c>
      <c r="B275" s="79"/>
      <c r="C275" s="68" t="s">
        <v>192</v>
      </c>
      <c r="D275" s="52">
        <f t="shared" si="33"/>
        <v>244.18134000000001</v>
      </c>
      <c r="E275" s="68">
        <v>0</v>
      </c>
      <c r="F275" s="68">
        <f t="shared" si="30"/>
        <v>390.69014400000003</v>
      </c>
      <c r="G275" s="86"/>
      <c r="H275" s="87"/>
      <c r="I275" s="36"/>
      <c r="L275" s="77"/>
      <c r="M275" s="77"/>
      <c r="N275" s="36"/>
    </row>
    <row r="276" spans="1:14" s="37" customFormat="1" ht="15.75" customHeight="1" x14ac:dyDescent="0.3">
      <c r="A276" s="78">
        <v>27</v>
      </c>
      <c r="B276" s="79"/>
      <c r="C276" s="68" t="s">
        <v>192</v>
      </c>
      <c r="D276" s="52">
        <f t="shared" si="33"/>
        <v>244.18134000000001</v>
      </c>
      <c r="E276" s="68">
        <v>0</v>
      </c>
      <c r="F276" s="68">
        <f t="shared" si="30"/>
        <v>390.69014400000003</v>
      </c>
      <c r="G276" s="86"/>
      <c r="H276" s="87"/>
      <c r="I276" s="36"/>
      <c r="L276" s="77"/>
      <c r="M276" s="77"/>
      <c r="N276" s="36"/>
    </row>
    <row r="277" spans="1:14" s="37" customFormat="1" ht="15.75" customHeight="1" x14ac:dyDescent="0.3">
      <c r="A277" s="88" t="s">
        <v>201</v>
      </c>
      <c r="B277" s="89"/>
      <c r="C277" s="89"/>
      <c r="D277" s="89"/>
      <c r="E277" s="89"/>
      <c r="F277" s="89"/>
      <c r="G277" s="89"/>
      <c r="H277" s="90"/>
      <c r="I277" s="36"/>
      <c r="L277" s="77"/>
      <c r="M277" s="77"/>
      <c r="N277" s="36"/>
    </row>
    <row r="278" spans="1:14" s="37" customFormat="1" ht="15.75" customHeight="1" x14ac:dyDescent="0.3">
      <c r="A278" s="78">
        <v>1</v>
      </c>
      <c r="B278" s="79"/>
      <c r="C278" s="68" t="s">
        <v>192</v>
      </c>
      <c r="D278" s="52">
        <f>((5.35*3.35+1.65*1.55+1.5*1.2+0.45*0.9)*(10.764))</f>
        <v>244.18134000000001</v>
      </c>
      <c r="E278" s="68">
        <v>0</v>
      </c>
      <c r="F278" s="68">
        <f t="shared" ref="F278:F303" si="34">(D278+E278)*(($F$130)+1)</f>
        <v>390.69014400000003</v>
      </c>
      <c r="G278" s="91" t="str">
        <f>A277</f>
        <v>17th Floor (18th Floor as per Builder)</v>
      </c>
      <c r="H278" s="92"/>
      <c r="I278" s="36"/>
      <c r="L278" s="77"/>
      <c r="M278" s="77"/>
      <c r="N278" s="36"/>
    </row>
    <row r="279" spans="1:14" s="37" customFormat="1" ht="15.75" customHeight="1" x14ac:dyDescent="0.3">
      <c r="A279" s="78">
        <v>2</v>
      </c>
      <c r="B279" s="79"/>
      <c r="C279" s="68" t="s">
        <v>192</v>
      </c>
      <c r="D279" s="52">
        <f>((5.35*3.35+1.65*1.55+1.5*1.2+0.45*0.9)*(10.764))</f>
        <v>244.18134000000001</v>
      </c>
      <c r="E279" s="68">
        <v>0</v>
      </c>
      <c r="F279" s="68">
        <f t="shared" si="34"/>
        <v>390.69014400000003</v>
      </c>
      <c r="G279" s="86"/>
      <c r="H279" s="87"/>
      <c r="I279" s="36"/>
      <c r="L279" s="77"/>
      <c r="M279" s="77"/>
      <c r="N279" s="36"/>
    </row>
    <row r="280" spans="1:14" s="37" customFormat="1" ht="15.75" customHeight="1" x14ac:dyDescent="0.3">
      <c r="A280" s="78">
        <v>3</v>
      </c>
      <c r="B280" s="79"/>
      <c r="C280" s="68" t="s">
        <v>192</v>
      </c>
      <c r="D280" s="52">
        <f t="shared" ref="D280:D281" si="35">((5.35*3.35+1.65*1.55+1.5*1.2+0.45*0.9)*(10.764))</f>
        <v>244.18134000000001</v>
      </c>
      <c r="E280" s="68">
        <v>0</v>
      </c>
      <c r="F280" s="68">
        <f t="shared" si="34"/>
        <v>390.69014400000003</v>
      </c>
      <c r="G280" s="86"/>
      <c r="H280" s="87"/>
      <c r="I280" s="36"/>
      <c r="J280" s="37">
        <f>4.93*6+5.1*3.85+3.3*1.65+1.2*0.6+1.3*0.9</f>
        <v>56.55</v>
      </c>
      <c r="L280" s="77"/>
      <c r="M280" s="77"/>
      <c r="N280" s="36"/>
    </row>
    <row r="281" spans="1:14" s="37" customFormat="1" ht="15.75" customHeight="1" x14ac:dyDescent="0.3">
      <c r="A281" s="78">
        <v>4</v>
      </c>
      <c r="B281" s="79"/>
      <c r="C281" s="68" t="s">
        <v>192</v>
      </c>
      <c r="D281" s="52">
        <f t="shared" si="35"/>
        <v>244.18134000000001</v>
      </c>
      <c r="E281" s="68">
        <v>0</v>
      </c>
      <c r="F281" s="68">
        <f t="shared" si="34"/>
        <v>390.69014400000003</v>
      </c>
      <c r="G281" s="86"/>
      <c r="H281" s="87"/>
      <c r="I281" s="36"/>
      <c r="L281" s="77"/>
      <c r="M281" s="77"/>
      <c r="N281" s="36"/>
    </row>
    <row r="282" spans="1:14" s="60" customFormat="1" ht="15.75" customHeight="1" x14ac:dyDescent="0.3">
      <c r="A282" s="240">
        <v>5</v>
      </c>
      <c r="B282" s="241"/>
      <c r="C282" s="70" t="s">
        <v>192</v>
      </c>
      <c r="D282" s="52">
        <f>((5.35*3.35+1.65*1.55+1.6*1.2+0.45*0.9)*(10.764))</f>
        <v>245.47301999999999</v>
      </c>
      <c r="E282" s="70">
        <v>0</v>
      </c>
      <c r="F282" s="70">
        <f t="shared" si="34"/>
        <v>392.75683200000003</v>
      </c>
      <c r="G282" s="86"/>
      <c r="H282" s="87"/>
      <c r="I282" s="62">
        <f>(7.2*6.85)*(10.764)</f>
        <v>530.88047999999992</v>
      </c>
      <c r="L282" s="107"/>
      <c r="M282" s="107"/>
      <c r="N282" s="63"/>
    </row>
    <row r="283" spans="1:14" s="37" customFormat="1" ht="15.75" customHeight="1" x14ac:dyDescent="0.3">
      <c r="A283" s="78">
        <f t="shared" ref="A283:A301" si="36">A282+1</f>
        <v>6</v>
      </c>
      <c r="B283" s="79"/>
      <c r="C283" s="68" t="s">
        <v>192</v>
      </c>
      <c r="D283" s="52">
        <f>(5.35*3.7+1.65*1.75+1.5*1.2+0.45*0.9)*(10.764)</f>
        <v>267.88905</v>
      </c>
      <c r="E283" s="68">
        <v>0</v>
      </c>
      <c r="F283" s="68">
        <f t="shared" si="34"/>
        <v>428.62248</v>
      </c>
      <c r="G283" s="86"/>
      <c r="H283" s="87"/>
      <c r="I283" s="36"/>
      <c r="L283" s="77"/>
      <c r="M283" s="77"/>
      <c r="N283" s="36"/>
    </row>
    <row r="284" spans="1:14" s="37" customFormat="1" ht="15.75" customHeight="1" x14ac:dyDescent="0.3">
      <c r="A284" s="78">
        <v>7</v>
      </c>
      <c r="B284" s="79"/>
      <c r="C284" s="68" t="s">
        <v>192</v>
      </c>
      <c r="D284" s="52">
        <f>(8.05*3.35+1.65*1.75+1.5*1.2+0.45*0.9)*(10.764)</f>
        <v>345.09384</v>
      </c>
      <c r="E284" s="68">
        <v>0</v>
      </c>
      <c r="F284" s="68">
        <f t="shared" si="34"/>
        <v>552.15014400000007</v>
      </c>
      <c r="G284" s="86"/>
      <c r="H284" s="87"/>
      <c r="I284" s="36"/>
      <c r="L284" s="77"/>
      <c r="M284" s="77"/>
      <c r="N284" s="36"/>
    </row>
    <row r="285" spans="1:14" s="37" customFormat="1" ht="15.75" customHeight="1" x14ac:dyDescent="0.3">
      <c r="A285" s="78">
        <v>8</v>
      </c>
      <c r="B285" s="79"/>
      <c r="C285" s="68" t="s">
        <v>192</v>
      </c>
      <c r="D285" s="52">
        <f>(8.05*3.35+1.65*1.55+1.5*1.2+0.45*0.9)*(10.764)</f>
        <v>341.54172000000005</v>
      </c>
      <c r="E285" s="68">
        <v>0</v>
      </c>
      <c r="F285" s="68">
        <f t="shared" si="34"/>
        <v>546.46675200000016</v>
      </c>
      <c r="G285" s="86"/>
      <c r="H285" s="87"/>
      <c r="I285" s="36"/>
      <c r="L285" s="77"/>
      <c r="M285" s="77"/>
      <c r="N285" s="36"/>
    </row>
    <row r="286" spans="1:14" s="37" customFormat="1" ht="15.75" customHeight="1" x14ac:dyDescent="0.3">
      <c r="A286" s="78">
        <v>9</v>
      </c>
      <c r="B286" s="79"/>
      <c r="C286" s="68" t="s">
        <v>192</v>
      </c>
      <c r="D286" s="52">
        <f t="shared" ref="D286:D298" si="37">(8.05*3.35+1.65*1.55+1.5*1.2+0.45*0.9)*(10.764)</f>
        <v>341.54172000000005</v>
      </c>
      <c r="E286" s="68">
        <v>0</v>
      </c>
      <c r="F286" s="68">
        <f t="shared" si="34"/>
        <v>546.46675200000016</v>
      </c>
      <c r="G286" s="86"/>
      <c r="H286" s="87"/>
      <c r="I286" s="36"/>
      <c r="L286" s="77"/>
      <c r="M286" s="77"/>
      <c r="N286" s="36"/>
    </row>
    <row r="287" spans="1:14" s="37" customFormat="1" ht="15.75" customHeight="1" x14ac:dyDescent="0.3">
      <c r="A287" s="78">
        <f t="shared" si="36"/>
        <v>10</v>
      </c>
      <c r="B287" s="79"/>
      <c r="C287" s="68" t="s">
        <v>192</v>
      </c>
      <c r="D287" s="52">
        <f t="shared" si="37"/>
        <v>341.54172000000005</v>
      </c>
      <c r="E287" s="68">
        <v>0</v>
      </c>
      <c r="F287" s="68">
        <f t="shared" si="34"/>
        <v>546.46675200000016</v>
      </c>
      <c r="G287" s="86"/>
      <c r="H287" s="87"/>
      <c r="I287" s="36"/>
      <c r="L287" s="77"/>
      <c r="M287" s="77"/>
      <c r="N287" s="36"/>
    </row>
    <row r="288" spans="1:14" s="37" customFormat="1" ht="15.75" customHeight="1" x14ac:dyDescent="0.3">
      <c r="A288" s="78">
        <f t="shared" si="36"/>
        <v>11</v>
      </c>
      <c r="B288" s="79"/>
      <c r="C288" s="68" t="s">
        <v>192</v>
      </c>
      <c r="D288" s="52">
        <f t="shared" si="37"/>
        <v>341.54172000000005</v>
      </c>
      <c r="E288" s="68">
        <v>0</v>
      </c>
      <c r="F288" s="68">
        <f t="shared" si="34"/>
        <v>546.46675200000016</v>
      </c>
      <c r="G288" s="86"/>
      <c r="H288" s="87"/>
      <c r="J288" s="36"/>
      <c r="L288" s="77"/>
      <c r="M288" s="77"/>
      <c r="N288" s="36"/>
    </row>
    <row r="289" spans="1:14" s="37" customFormat="1" ht="15.75" customHeight="1" x14ac:dyDescent="0.3">
      <c r="A289" s="78">
        <f t="shared" si="36"/>
        <v>12</v>
      </c>
      <c r="B289" s="79"/>
      <c r="C289" s="68" t="s">
        <v>192</v>
      </c>
      <c r="D289" s="52">
        <f t="shared" si="37"/>
        <v>341.54172000000005</v>
      </c>
      <c r="E289" s="68">
        <v>0</v>
      </c>
      <c r="F289" s="68">
        <f t="shared" si="34"/>
        <v>546.46675200000016</v>
      </c>
      <c r="G289" s="86"/>
      <c r="H289" s="87"/>
      <c r="I289" s="36"/>
      <c r="L289" s="77"/>
      <c r="M289" s="77"/>
      <c r="N289" s="36"/>
    </row>
    <row r="290" spans="1:14" s="37" customFormat="1" ht="15.75" customHeight="1" x14ac:dyDescent="0.3">
      <c r="A290" s="78">
        <v>14</v>
      </c>
      <c r="B290" s="79"/>
      <c r="C290" s="68" t="s">
        <v>192</v>
      </c>
      <c r="D290" s="52">
        <f t="shared" si="37"/>
        <v>341.54172000000005</v>
      </c>
      <c r="E290" s="68">
        <v>0</v>
      </c>
      <c r="F290" s="68">
        <f t="shared" si="34"/>
        <v>546.46675200000016</v>
      </c>
      <c r="G290" s="86"/>
      <c r="H290" s="87"/>
      <c r="I290" s="36"/>
      <c r="L290" s="77"/>
      <c r="M290" s="77"/>
      <c r="N290" s="36"/>
    </row>
    <row r="291" spans="1:14" s="37" customFormat="1" ht="15.75" customHeight="1" x14ac:dyDescent="0.3">
      <c r="A291" s="78">
        <f t="shared" si="36"/>
        <v>15</v>
      </c>
      <c r="B291" s="79"/>
      <c r="C291" s="68" t="s">
        <v>192</v>
      </c>
      <c r="D291" s="52">
        <f t="shared" si="37"/>
        <v>341.54172000000005</v>
      </c>
      <c r="E291" s="68">
        <v>0</v>
      </c>
      <c r="F291" s="68">
        <f t="shared" si="34"/>
        <v>546.46675200000016</v>
      </c>
      <c r="G291" s="86"/>
      <c r="H291" s="87"/>
      <c r="I291" s="36"/>
      <c r="L291" s="77"/>
      <c r="M291" s="77"/>
      <c r="N291" s="36"/>
    </row>
    <row r="292" spans="1:14" s="37" customFormat="1" ht="15.75" customHeight="1" x14ac:dyDescent="0.3">
      <c r="A292" s="78">
        <f t="shared" si="36"/>
        <v>16</v>
      </c>
      <c r="B292" s="79"/>
      <c r="C292" s="68" t="s">
        <v>192</v>
      </c>
      <c r="D292" s="52">
        <f t="shared" si="37"/>
        <v>341.54172000000005</v>
      </c>
      <c r="E292" s="68">
        <v>0</v>
      </c>
      <c r="F292" s="68">
        <f t="shared" si="34"/>
        <v>546.46675200000016</v>
      </c>
      <c r="G292" s="86"/>
      <c r="H292" s="87"/>
      <c r="I292" s="36"/>
      <c r="L292" s="77"/>
      <c r="M292" s="77"/>
      <c r="N292" s="36"/>
    </row>
    <row r="293" spans="1:14" s="37" customFormat="1" ht="15.75" customHeight="1" x14ac:dyDescent="0.3">
      <c r="A293" s="78">
        <f t="shared" si="36"/>
        <v>17</v>
      </c>
      <c r="B293" s="79"/>
      <c r="C293" s="68" t="s">
        <v>192</v>
      </c>
      <c r="D293" s="52">
        <f t="shared" si="37"/>
        <v>341.54172000000005</v>
      </c>
      <c r="E293" s="68">
        <v>0</v>
      </c>
      <c r="F293" s="68">
        <f t="shared" si="34"/>
        <v>546.46675200000016</v>
      </c>
      <c r="G293" s="86"/>
      <c r="H293" s="87"/>
      <c r="I293" s="36"/>
      <c r="L293" s="77"/>
      <c r="M293" s="77"/>
      <c r="N293" s="36"/>
    </row>
    <row r="294" spans="1:14" s="37" customFormat="1" ht="15.75" customHeight="1" x14ac:dyDescent="0.3">
      <c r="A294" s="78">
        <f t="shared" si="36"/>
        <v>18</v>
      </c>
      <c r="B294" s="79"/>
      <c r="C294" s="68" t="s">
        <v>192</v>
      </c>
      <c r="D294" s="52">
        <f t="shared" si="37"/>
        <v>341.54172000000005</v>
      </c>
      <c r="E294" s="68">
        <v>0</v>
      </c>
      <c r="F294" s="68">
        <f t="shared" si="34"/>
        <v>546.46675200000016</v>
      </c>
      <c r="G294" s="86"/>
      <c r="H294" s="87"/>
      <c r="I294" s="36"/>
      <c r="L294" s="77"/>
      <c r="M294" s="77"/>
      <c r="N294" s="36"/>
    </row>
    <row r="295" spans="1:14" s="37" customFormat="1" ht="15.75" customHeight="1" x14ac:dyDescent="0.3">
      <c r="A295" s="78">
        <f t="shared" si="36"/>
        <v>19</v>
      </c>
      <c r="B295" s="79"/>
      <c r="C295" s="68" t="s">
        <v>192</v>
      </c>
      <c r="D295" s="52">
        <f t="shared" si="37"/>
        <v>341.54172000000005</v>
      </c>
      <c r="E295" s="68">
        <v>0</v>
      </c>
      <c r="F295" s="68">
        <f t="shared" si="34"/>
        <v>546.46675200000016</v>
      </c>
      <c r="G295" s="86"/>
      <c r="H295" s="87"/>
      <c r="I295" s="36"/>
      <c r="L295" s="77"/>
      <c r="M295" s="77"/>
      <c r="N295" s="36"/>
    </row>
    <row r="296" spans="1:14" s="37" customFormat="1" ht="15.75" customHeight="1" x14ac:dyDescent="0.3">
      <c r="A296" s="78">
        <f t="shared" si="36"/>
        <v>20</v>
      </c>
      <c r="B296" s="79"/>
      <c r="C296" s="68" t="s">
        <v>192</v>
      </c>
      <c r="D296" s="52">
        <f t="shared" si="37"/>
        <v>341.54172000000005</v>
      </c>
      <c r="E296" s="68">
        <v>0</v>
      </c>
      <c r="F296" s="68">
        <f t="shared" si="34"/>
        <v>546.46675200000016</v>
      </c>
      <c r="G296" s="86"/>
      <c r="H296" s="87"/>
      <c r="I296" s="36"/>
      <c r="L296" s="77"/>
      <c r="M296" s="77"/>
      <c r="N296" s="36"/>
    </row>
    <row r="297" spans="1:14" s="37" customFormat="1" ht="15.75" customHeight="1" x14ac:dyDescent="0.3">
      <c r="A297" s="78">
        <f>A296+1</f>
        <v>21</v>
      </c>
      <c r="B297" s="79"/>
      <c r="C297" s="68" t="s">
        <v>192</v>
      </c>
      <c r="D297" s="52">
        <f t="shared" si="37"/>
        <v>341.54172000000005</v>
      </c>
      <c r="E297" s="68">
        <v>0</v>
      </c>
      <c r="F297" s="68">
        <f t="shared" si="34"/>
        <v>546.46675200000016</v>
      </c>
      <c r="G297" s="86"/>
      <c r="H297" s="87"/>
      <c r="I297" s="36"/>
      <c r="L297" s="77"/>
      <c r="M297" s="77"/>
      <c r="N297" s="36"/>
    </row>
    <row r="298" spans="1:14" s="37" customFormat="1" ht="15.75" customHeight="1" x14ac:dyDescent="0.3">
      <c r="A298" s="78">
        <f t="shared" si="36"/>
        <v>22</v>
      </c>
      <c r="B298" s="79"/>
      <c r="C298" s="68" t="s">
        <v>192</v>
      </c>
      <c r="D298" s="52">
        <f t="shared" si="37"/>
        <v>341.54172000000005</v>
      </c>
      <c r="E298" s="68">
        <v>0</v>
      </c>
      <c r="F298" s="68">
        <f t="shared" si="34"/>
        <v>546.46675200000016</v>
      </c>
      <c r="G298" s="86"/>
      <c r="H298" s="87"/>
      <c r="I298" s="36"/>
      <c r="L298" s="77"/>
      <c r="M298" s="77"/>
      <c r="N298" s="36"/>
    </row>
    <row r="299" spans="1:14" s="37" customFormat="1" ht="15.75" customHeight="1" x14ac:dyDescent="0.3">
      <c r="A299" s="78">
        <f t="shared" si="36"/>
        <v>23</v>
      </c>
      <c r="B299" s="79"/>
      <c r="C299" s="68" t="s">
        <v>192</v>
      </c>
      <c r="D299" s="52">
        <f>(8.05*3.75+1.65*1.95+1.5*1.2+0.45*0.9)*(10.764)</f>
        <v>383.30604</v>
      </c>
      <c r="E299" s="68">
        <v>0</v>
      </c>
      <c r="F299" s="68">
        <f t="shared" si="34"/>
        <v>613.28966400000002</v>
      </c>
      <c r="G299" s="86"/>
      <c r="H299" s="87"/>
      <c r="I299" s="36"/>
      <c r="L299" s="77"/>
      <c r="M299" s="77"/>
      <c r="N299" s="36"/>
    </row>
    <row r="300" spans="1:14" s="37" customFormat="1" x14ac:dyDescent="0.3">
      <c r="A300" s="78">
        <v>24</v>
      </c>
      <c r="B300" s="79"/>
      <c r="C300" s="68" t="s">
        <v>192</v>
      </c>
      <c r="D300" s="52">
        <f>(5.35*3.35+1.65*1.55+1.5*1.2+0.45*0.9)*(10.764)</f>
        <v>244.18134000000001</v>
      </c>
      <c r="E300" s="68">
        <v>0</v>
      </c>
      <c r="F300" s="68">
        <f t="shared" si="34"/>
        <v>390.69014400000003</v>
      </c>
      <c r="G300" s="86"/>
      <c r="H300" s="87"/>
      <c r="I300" s="36"/>
      <c r="K300" s="36"/>
    </row>
    <row r="301" spans="1:14" s="37" customFormat="1" ht="15.75" customHeight="1" x14ac:dyDescent="0.3">
      <c r="A301" s="78">
        <f t="shared" si="36"/>
        <v>25</v>
      </c>
      <c r="B301" s="79"/>
      <c r="C301" s="68" t="s">
        <v>192</v>
      </c>
      <c r="D301" s="52">
        <f t="shared" ref="D301:D309" si="38">(5.35*3.35+1.65*1.55+1.5*1.2+0.45*0.9)*(10.764)</f>
        <v>244.18134000000001</v>
      </c>
      <c r="E301" s="68">
        <v>0</v>
      </c>
      <c r="F301" s="68">
        <f t="shared" si="34"/>
        <v>390.69014400000003</v>
      </c>
      <c r="G301" s="86"/>
      <c r="H301" s="87"/>
      <c r="I301" s="36"/>
      <c r="L301" s="77"/>
      <c r="M301" s="77"/>
      <c r="N301" s="36"/>
    </row>
    <row r="302" spans="1:14" s="37" customFormat="1" ht="15.75" customHeight="1" x14ac:dyDescent="0.3">
      <c r="A302" s="78">
        <v>26</v>
      </c>
      <c r="B302" s="79"/>
      <c r="C302" s="68" t="s">
        <v>192</v>
      </c>
      <c r="D302" s="52">
        <f t="shared" si="38"/>
        <v>244.18134000000001</v>
      </c>
      <c r="E302" s="68">
        <v>0</v>
      </c>
      <c r="F302" s="68">
        <f t="shared" si="34"/>
        <v>390.69014400000003</v>
      </c>
      <c r="G302" s="86"/>
      <c r="H302" s="87"/>
      <c r="I302" s="36"/>
      <c r="L302" s="77"/>
      <c r="M302" s="77"/>
      <c r="N302" s="36"/>
    </row>
    <row r="303" spans="1:14" s="37" customFormat="1" ht="15.75" customHeight="1" x14ac:dyDescent="0.3">
      <c r="A303" s="78">
        <v>27</v>
      </c>
      <c r="B303" s="79"/>
      <c r="C303" s="68" t="s">
        <v>192</v>
      </c>
      <c r="D303" s="52">
        <f t="shared" si="38"/>
        <v>244.18134000000001</v>
      </c>
      <c r="E303" s="68">
        <v>0</v>
      </c>
      <c r="F303" s="68">
        <f t="shared" si="34"/>
        <v>390.69014400000003</v>
      </c>
      <c r="G303" s="86"/>
      <c r="H303" s="87"/>
      <c r="I303" s="36"/>
      <c r="L303" s="77"/>
      <c r="M303" s="77"/>
      <c r="N303" s="36"/>
    </row>
    <row r="304" spans="1:14" s="37" customFormat="1" ht="15.75" customHeight="1" x14ac:dyDescent="0.3">
      <c r="A304" s="88" t="s">
        <v>202</v>
      </c>
      <c r="B304" s="89"/>
      <c r="C304" s="89"/>
      <c r="D304" s="89"/>
      <c r="E304" s="89"/>
      <c r="F304" s="89"/>
      <c r="G304" s="89"/>
      <c r="H304" s="90"/>
      <c r="I304" s="36"/>
      <c r="J304" s="37">
        <f>4.93*6+5.1*3.85+3.3*1.65+1.2*0.6+1.3*0.9</f>
        <v>56.55</v>
      </c>
      <c r="L304" s="77"/>
      <c r="M304" s="77"/>
      <c r="N304" s="36"/>
    </row>
    <row r="305" spans="1:14" s="37" customFormat="1" ht="15.75" customHeight="1" x14ac:dyDescent="0.3">
      <c r="A305" s="78">
        <v>1</v>
      </c>
      <c r="B305" s="79"/>
      <c r="C305" s="68" t="s">
        <v>192</v>
      </c>
      <c r="D305" s="52">
        <f t="shared" si="38"/>
        <v>244.18134000000001</v>
      </c>
      <c r="E305" s="68">
        <v>0</v>
      </c>
      <c r="F305" s="68">
        <f t="shared" ref="F305:F325" si="39">(D305+E305)*(($F$130)+1)</f>
        <v>390.69014400000003</v>
      </c>
      <c r="G305" s="91" t="str">
        <f>A304</f>
        <v>18th Floor (19th Floor as per Builder)</v>
      </c>
      <c r="H305" s="92"/>
      <c r="I305" s="36"/>
      <c r="L305" s="77"/>
      <c r="M305" s="77"/>
      <c r="N305" s="36"/>
    </row>
    <row r="306" spans="1:14" s="37" customFormat="1" ht="15.75" customHeight="1" x14ac:dyDescent="0.3">
      <c r="A306" s="78">
        <v>2</v>
      </c>
      <c r="B306" s="79"/>
      <c r="C306" s="68" t="s">
        <v>192</v>
      </c>
      <c r="D306" s="52">
        <f t="shared" si="38"/>
        <v>244.18134000000001</v>
      </c>
      <c r="E306" s="68">
        <v>0</v>
      </c>
      <c r="F306" s="68">
        <f t="shared" si="39"/>
        <v>390.69014400000003</v>
      </c>
      <c r="G306" s="86"/>
      <c r="H306" s="87"/>
      <c r="I306" s="36"/>
      <c r="L306" s="77"/>
      <c r="M306" s="77"/>
      <c r="N306" s="36"/>
    </row>
    <row r="307" spans="1:14" s="37" customFormat="1" ht="15.75" customHeight="1" x14ac:dyDescent="0.3">
      <c r="A307" s="78">
        <v>3</v>
      </c>
      <c r="B307" s="79"/>
      <c r="C307" s="68" t="s">
        <v>192</v>
      </c>
      <c r="D307" s="52">
        <f t="shared" si="38"/>
        <v>244.18134000000001</v>
      </c>
      <c r="E307" s="68">
        <v>0</v>
      </c>
      <c r="F307" s="68">
        <f t="shared" si="39"/>
        <v>390.69014400000003</v>
      </c>
      <c r="G307" s="86"/>
      <c r="H307" s="87"/>
      <c r="I307" s="36"/>
      <c r="L307" s="77"/>
      <c r="M307" s="77"/>
      <c r="N307" s="36"/>
    </row>
    <row r="308" spans="1:14" s="37" customFormat="1" ht="15.75" customHeight="1" x14ac:dyDescent="0.3">
      <c r="A308" s="78">
        <v>4</v>
      </c>
      <c r="B308" s="79"/>
      <c r="C308" s="68" t="s">
        <v>192</v>
      </c>
      <c r="D308" s="52">
        <f t="shared" si="38"/>
        <v>244.18134000000001</v>
      </c>
      <c r="E308" s="68">
        <v>0</v>
      </c>
      <c r="F308" s="68">
        <f t="shared" si="39"/>
        <v>390.69014400000003</v>
      </c>
      <c r="G308" s="86"/>
      <c r="H308" s="87"/>
      <c r="I308" s="36"/>
      <c r="L308" s="77"/>
      <c r="M308" s="77"/>
      <c r="N308" s="36"/>
    </row>
    <row r="309" spans="1:14" s="37" customFormat="1" ht="15.75" customHeight="1" x14ac:dyDescent="0.3">
      <c r="A309" s="78">
        <v>5</v>
      </c>
      <c r="B309" s="79"/>
      <c r="C309" s="68" t="s">
        <v>192</v>
      </c>
      <c r="D309" s="52">
        <f t="shared" si="38"/>
        <v>244.18134000000001</v>
      </c>
      <c r="E309" s="68">
        <v>0</v>
      </c>
      <c r="F309" s="68">
        <f t="shared" si="39"/>
        <v>390.69014400000003</v>
      </c>
      <c r="G309" s="86"/>
      <c r="H309" s="87"/>
      <c r="I309" s="36"/>
      <c r="L309" s="77"/>
      <c r="M309" s="77"/>
      <c r="N309" s="36"/>
    </row>
    <row r="310" spans="1:14" s="37" customFormat="1" ht="15.75" customHeight="1" x14ac:dyDescent="0.3">
      <c r="A310" s="78">
        <f t="shared" ref="A310:A327" si="40">A309+1</f>
        <v>6</v>
      </c>
      <c r="B310" s="79"/>
      <c r="C310" s="68" t="s">
        <v>192</v>
      </c>
      <c r="D310" s="52">
        <f>(5.35*3.7+1.65*1.75+1.5*1.2+0.45*0.9)*(10.764)</f>
        <v>267.88905</v>
      </c>
      <c r="E310" s="68">
        <v>0</v>
      </c>
      <c r="F310" s="68">
        <f t="shared" si="39"/>
        <v>428.62248</v>
      </c>
      <c r="G310" s="86"/>
      <c r="H310" s="87"/>
      <c r="I310" s="36"/>
      <c r="L310" s="77"/>
      <c r="M310" s="77"/>
      <c r="N310" s="36"/>
    </row>
    <row r="311" spans="1:14" s="37" customFormat="1" ht="15.75" customHeight="1" x14ac:dyDescent="0.3">
      <c r="A311" s="78">
        <v>7</v>
      </c>
      <c r="B311" s="79"/>
      <c r="C311" s="68" t="s">
        <v>192</v>
      </c>
      <c r="D311" s="52">
        <f>(8.05*3.35+1.65*1.75+1.5*1.2+0.45*0.9)*(10.764)</f>
        <v>345.09384</v>
      </c>
      <c r="E311" s="68">
        <v>0</v>
      </c>
      <c r="F311" s="68">
        <f t="shared" si="39"/>
        <v>552.15014400000007</v>
      </c>
      <c r="G311" s="86"/>
      <c r="H311" s="87"/>
      <c r="I311" s="36"/>
      <c r="L311" s="77"/>
      <c r="M311" s="77"/>
      <c r="N311" s="36"/>
    </row>
    <row r="312" spans="1:14" s="37" customFormat="1" ht="15.75" customHeight="1" x14ac:dyDescent="0.3">
      <c r="A312" s="78">
        <v>8</v>
      </c>
      <c r="B312" s="79"/>
      <c r="C312" s="68" t="s">
        <v>192</v>
      </c>
      <c r="D312" s="52">
        <f>(8.05*3.35+1.65*1.55+1.5*1.2+0.45*0.9)*(10.764)</f>
        <v>341.54172000000005</v>
      </c>
      <c r="E312" s="68">
        <v>0</v>
      </c>
      <c r="F312" s="68">
        <f t="shared" si="39"/>
        <v>546.46675200000016</v>
      </c>
      <c r="G312" s="86"/>
      <c r="H312" s="87"/>
      <c r="I312" s="36"/>
      <c r="L312" s="77"/>
      <c r="M312" s="77"/>
      <c r="N312" s="36"/>
    </row>
    <row r="313" spans="1:14" s="37" customFormat="1" ht="15.75" customHeight="1" x14ac:dyDescent="0.3">
      <c r="A313" s="78">
        <v>9</v>
      </c>
      <c r="B313" s="79"/>
      <c r="C313" s="68" t="s">
        <v>192</v>
      </c>
      <c r="D313" s="52">
        <f t="shared" ref="D313:D324" si="41">(8.05*3.35+1.65*1.55+1.5*1.2+0.45*0.9)*(10.764)</f>
        <v>341.54172000000005</v>
      </c>
      <c r="E313" s="68">
        <v>0</v>
      </c>
      <c r="F313" s="68">
        <f t="shared" si="39"/>
        <v>546.46675200000016</v>
      </c>
      <c r="G313" s="86"/>
      <c r="H313" s="87"/>
      <c r="I313" s="36"/>
      <c r="L313" s="77"/>
      <c r="M313" s="77"/>
      <c r="N313" s="36"/>
    </row>
    <row r="314" spans="1:14" s="37" customFormat="1" ht="15.75" customHeight="1" x14ac:dyDescent="0.3">
      <c r="A314" s="78">
        <f t="shared" si="40"/>
        <v>10</v>
      </c>
      <c r="B314" s="79"/>
      <c r="C314" s="68" t="s">
        <v>192</v>
      </c>
      <c r="D314" s="52">
        <f>(8.05*6.85+1.05*5.05+1.55*6.8+2*0.6+1.5*1.2+0.45*0.9)*(10.764)</f>
        <v>800.73396000000014</v>
      </c>
      <c r="E314" s="68">
        <v>0</v>
      </c>
      <c r="F314" s="68">
        <f t="shared" si="39"/>
        <v>1281.1743360000003</v>
      </c>
      <c r="G314" s="86"/>
      <c r="H314" s="87"/>
      <c r="J314" s="36"/>
      <c r="L314" s="77"/>
      <c r="M314" s="77"/>
      <c r="N314" s="36"/>
    </row>
    <row r="315" spans="1:14" s="37" customFormat="1" ht="15.75" customHeight="1" x14ac:dyDescent="0.3">
      <c r="A315" s="78">
        <v>12</v>
      </c>
      <c r="B315" s="79"/>
      <c r="C315" s="68" t="s">
        <v>192</v>
      </c>
      <c r="D315" s="52">
        <f t="shared" si="41"/>
        <v>341.54172000000005</v>
      </c>
      <c r="E315" s="68">
        <v>0</v>
      </c>
      <c r="F315" s="68">
        <f t="shared" si="39"/>
        <v>546.46675200000016</v>
      </c>
      <c r="G315" s="86"/>
      <c r="H315" s="87"/>
      <c r="I315" s="36"/>
      <c r="L315" s="77"/>
      <c r="M315" s="77"/>
      <c r="N315" s="36"/>
    </row>
    <row r="316" spans="1:14" s="37" customFormat="1" ht="15.75" customHeight="1" x14ac:dyDescent="0.3">
      <c r="A316" s="78">
        <v>14</v>
      </c>
      <c r="B316" s="79"/>
      <c r="C316" s="68" t="s">
        <v>192</v>
      </c>
      <c r="D316" s="52">
        <f t="shared" si="41"/>
        <v>341.54172000000005</v>
      </c>
      <c r="E316" s="68">
        <v>0</v>
      </c>
      <c r="F316" s="68">
        <f t="shared" si="39"/>
        <v>546.46675200000016</v>
      </c>
      <c r="G316" s="86"/>
      <c r="H316" s="87"/>
      <c r="I316" s="36"/>
      <c r="L316" s="77"/>
      <c r="M316" s="77"/>
      <c r="N316" s="36"/>
    </row>
    <row r="317" spans="1:14" s="37" customFormat="1" ht="15.75" customHeight="1" x14ac:dyDescent="0.3">
      <c r="A317" s="78">
        <f t="shared" si="40"/>
        <v>15</v>
      </c>
      <c r="B317" s="79"/>
      <c r="C317" s="68" t="s">
        <v>192</v>
      </c>
      <c r="D317" s="52">
        <f t="shared" si="41"/>
        <v>341.54172000000005</v>
      </c>
      <c r="E317" s="68">
        <v>0</v>
      </c>
      <c r="F317" s="68">
        <f t="shared" si="39"/>
        <v>546.46675200000016</v>
      </c>
      <c r="G317" s="86"/>
      <c r="H317" s="87"/>
      <c r="I317" s="36"/>
      <c r="L317" s="77"/>
      <c r="M317" s="77"/>
      <c r="N317" s="36"/>
    </row>
    <row r="318" spans="1:14" s="37" customFormat="1" ht="15.75" customHeight="1" x14ac:dyDescent="0.3">
      <c r="A318" s="78">
        <f t="shared" si="40"/>
        <v>16</v>
      </c>
      <c r="B318" s="79"/>
      <c r="C318" s="68" t="s">
        <v>192</v>
      </c>
      <c r="D318" s="52">
        <f t="shared" si="41"/>
        <v>341.54172000000005</v>
      </c>
      <c r="E318" s="68">
        <v>0</v>
      </c>
      <c r="F318" s="68">
        <f t="shared" si="39"/>
        <v>546.46675200000016</v>
      </c>
      <c r="G318" s="86"/>
      <c r="H318" s="87"/>
      <c r="I318" s="36"/>
      <c r="L318" s="77"/>
      <c r="M318" s="77"/>
      <c r="N318" s="36"/>
    </row>
    <row r="319" spans="1:14" s="37" customFormat="1" ht="15.75" customHeight="1" x14ac:dyDescent="0.3">
      <c r="A319" s="78">
        <f t="shared" si="40"/>
        <v>17</v>
      </c>
      <c r="B319" s="79"/>
      <c r="C319" s="68" t="s">
        <v>192</v>
      </c>
      <c r="D319" s="52">
        <f t="shared" si="41"/>
        <v>341.54172000000005</v>
      </c>
      <c r="E319" s="68">
        <v>0</v>
      </c>
      <c r="F319" s="68">
        <f t="shared" si="39"/>
        <v>546.46675200000016</v>
      </c>
      <c r="G319" s="86"/>
      <c r="H319" s="87"/>
      <c r="I319" s="36"/>
      <c r="L319" s="77"/>
      <c r="M319" s="77"/>
      <c r="N319" s="36"/>
    </row>
    <row r="320" spans="1:14" s="37" customFormat="1" ht="15.75" customHeight="1" x14ac:dyDescent="0.3">
      <c r="A320" s="78">
        <f t="shared" si="40"/>
        <v>18</v>
      </c>
      <c r="B320" s="79"/>
      <c r="C320" s="68" t="s">
        <v>192</v>
      </c>
      <c r="D320" s="52">
        <f t="shared" si="41"/>
        <v>341.54172000000005</v>
      </c>
      <c r="E320" s="68">
        <v>0</v>
      </c>
      <c r="F320" s="68">
        <f t="shared" si="39"/>
        <v>546.46675200000016</v>
      </c>
      <c r="G320" s="86"/>
      <c r="H320" s="87"/>
      <c r="I320" s="36"/>
      <c r="L320" s="77"/>
      <c r="M320" s="77"/>
      <c r="N320" s="36"/>
    </row>
    <row r="321" spans="1:14" s="37" customFormat="1" ht="15.75" customHeight="1" x14ac:dyDescent="0.3">
      <c r="A321" s="78">
        <f t="shared" si="40"/>
        <v>19</v>
      </c>
      <c r="B321" s="79"/>
      <c r="C321" s="68" t="s">
        <v>192</v>
      </c>
      <c r="D321" s="52">
        <f t="shared" si="41"/>
        <v>341.54172000000005</v>
      </c>
      <c r="E321" s="68">
        <v>0</v>
      </c>
      <c r="F321" s="68">
        <f t="shared" si="39"/>
        <v>546.46675200000016</v>
      </c>
      <c r="G321" s="86"/>
      <c r="H321" s="87"/>
      <c r="I321" s="36"/>
      <c r="L321" s="77"/>
      <c r="M321" s="77"/>
      <c r="N321" s="36"/>
    </row>
    <row r="322" spans="1:14" s="37" customFormat="1" ht="15.75" customHeight="1" x14ac:dyDescent="0.3">
      <c r="A322" s="78">
        <f t="shared" si="40"/>
        <v>20</v>
      </c>
      <c r="B322" s="79"/>
      <c r="C322" s="68" t="s">
        <v>192</v>
      </c>
      <c r="D322" s="52">
        <f t="shared" si="41"/>
        <v>341.54172000000005</v>
      </c>
      <c r="E322" s="68">
        <v>0</v>
      </c>
      <c r="F322" s="68">
        <f t="shared" si="39"/>
        <v>546.46675200000016</v>
      </c>
      <c r="G322" s="86"/>
      <c r="H322" s="87"/>
      <c r="I322" s="36"/>
      <c r="L322" s="77"/>
      <c r="M322" s="77"/>
      <c r="N322" s="36"/>
    </row>
    <row r="323" spans="1:14" s="37" customFormat="1" ht="15.75" customHeight="1" x14ac:dyDescent="0.3">
      <c r="A323" s="78">
        <f t="shared" si="40"/>
        <v>21</v>
      </c>
      <c r="B323" s="79"/>
      <c r="C323" s="68" t="s">
        <v>192</v>
      </c>
      <c r="D323" s="52">
        <f t="shared" si="41"/>
        <v>341.54172000000005</v>
      </c>
      <c r="E323" s="68">
        <v>0</v>
      </c>
      <c r="F323" s="68">
        <f t="shared" si="39"/>
        <v>546.46675200000016</v>
      </c>
      <c r="G323" s="86"/>
      <c r="H323" s="87"/>
      <c r="I323" s="36"/>
      <c r="L323" s="77"/>
      <c r="M323" s="77"/>
      <c r="N323" s="36"/>
    </row>
    <row r="324" spans="1:14" s="37" customFormat="1" ht="15.75" customHeight="1" x14ac:dyDescent="0.3">
      <c r="A324" s="78">
        <f t="shared" si="40"/>
        <v>22</v>
      </c>
      <c r="B324" s="79"/>
      <c r="C324" s="68" t="s">
        <v>192</v>
      </c>
      <c r="D324" s="52">
        <f t="shared" si="41"/>
        <v>341.54172000000005</v>
      </c>
      <c r="E324" s="68">
        <v>0</v>
      </c>
      <c r="F324" s="68">
        <f t="shared" si="39"/>
        <v>546.46675200000016</v>
      </c>
      <c r="G324" s="86"/>
      <c r="H324" s="87"/>
      <c r="I324" s="36"/>
      <c r="L324" s="77"/>
      <c r="M324" s="77"/>
      <c r="N324" s="36"/>
    </row>
    <row r="325" spans="1:14" s="37" customFormat="1" ht="15.75" customHeight="1" x14ac:dyDescent="0.3">
      <c r="A325" s="78">
        <f t="shared" si="40"/>
        <v>23</v>
      </c>
      <c r="B325" s="79"/>
      <c r="C325" s="68" t="s">
        <v>192</v>
      </c>
      <c r="D325" s="52">
        <f>(8.05*3.75+1.65*1.95+1.5*1.2+0.45*0.9)*(10.764)</f>
        <v>383.30604</v>
      </c>
      <c r="E325" s="68">
        <v>0</v>
      </c>
      <c r="F325" s="68">
        <f t="shared" si="39"/>
        <v>613.28966400000002</v>
      </c>
      <c r="G325" s="86"/>
      <c r="H325" s="87"/>
      <c r="I325" s="36"/>
      <c r="L325" s="77"/>
      <c r="M325" s="77"/>
      <c r="N325" s="36"/>
    </row>
    <row r="326" spans="1:14" s="37" customFormat="1" ht="15.75" customHeight="1" x14ac:dyDescent="0.3">
      <c r="A326" s="78">
        <v>24</v>
      </c>
      <c r="B326" s="79"/>
      <c r="C326" s="78" t="s">
        <v>263</v>
      </c>
      <c r="D326" s="93"/>
      <c r="E326" s="93"/>
      <c r="F326" s="79"/>
      <c r="G326" s="86"/>
      <c r="H326" s="87"/>
      <c r="I326" s="36"/>
      <c r="L326" s="77"/>
      <c r="M326" s="77"/>
      <c r="N326" s="36"/>
    </row>
    <row r="327" spans="1:14" s="37" customFormat="1" x14ac:dyDescent="0.3">
      <c r="A327" s="78">
        <f t="shared" si="40"/>
        <v>25</v>
      </c>
      <c r="B327" s="79"/>
      <c r="C327" s="68" t="s">
        <v>192</v>
      </c>
      <c r="D327" s="52">
        <f t="shared" ref="D327:D329" si="42">(5.35*3.35+1.65*1.55+1.5*1.2+0.45*0.9)*(10.764)</f>
        <v>244.18134000000001</v>
      </c>
      <c r="E327" s="68">
        <v>0</v>
      </c>
      <c r="F327" s="68">
        <f>(D327+E327)*(($F$130)+1)</f>
        <v>390.69014400000003</v>
      </c>
      <c r="G327" s="86"/>
      <c r="H327" s="87"/>
      <c r="I327" s="36"/>
      <c r="K327" s="36"/>
    </row>
    <row r="328" spans="1:14" s="37" customFormat="1" ht="15.75" customHeight="1" x14ac:dyDescent="0.3">
      <c r="A328" s="78">
        <v>26</v>
      </c>
      <c r="B328" s="79"/>
      <c r="C328" s="68" t="s">
        <v>192</v>
      </c>
      <c r="D328" s="52">
        <f t="shared" si="42"/>
        <v>244.18134000000001</v>
      </c>
      <c r="E328" s="68">
        <v>0</v>
      </c>
      <c r="F328" s="68">
        <f>(D328+E328)*(($F$130)+1)</f>
        <v>390.69014400000003</v>
      </c>
      <c r="G328" s="86"/>
      <c r="H328" s="87"/>
      <c r="I328" s="36"/>
      <c r="L328" s="77"/>
      <c r="M328" s="77"/>
      <c r="N328" s="36"/>
    </row>
    <row r="329" spans="1:14" s="37" customFormat="1" ht="15.75" customHeight="1" x14ac:dyDescent="0.3">
      <c r="A329" s="78">
        <v>27</v>
      </c>
      <c r="B329" s="79"/>
      <c r="C329" s="68" t="s">
        <v>192</v>
      </c>
      <c r="D329" s="52">
        <f t="shared" si="42"/>
        <v>244.18134000000001</v>
      </c>
      <c r="E329" s="68">
        <v>0</v>
      </c>
      <c r="F329" s="68">
        <f>(D329+E329)*(($F$130)+1)</f>
        <v>390.69014400000003</v>
      </c>
      <c r="G329" s="86"/>
      <c r="H329" s="87"/>
      <c r="I329" s="36"/>
      <c r="L329" s="77"/>
      <c r="M329" s="77"/>
      <c r="N329" s="36"/>
    </row>
    <row r="330" spans="1:14" s="37" customFormat="1" ht="15.75" customHeight="1" x14ac:dyDescent="0.3">
      <c r="A330" s="88" t="s">
        <v>203</v>
      </c>
      <c r="B330" s="89"/>
      <c r="C330" s="89"/>
      <c r="D330" s="89"/>
      <c r="E330" s="89"/>
      <c r="F330" s="89"/>
      <c r="G330" s="89"/>
      <c r="H330" s="90"/>
      <c r="I330" s="36"/>
      <c r="L330" s="77"/>
      <c r="M330" s="77"/>
      <c r="N330" s="36"/>
    </row>
    <row r="331" spans="1:14" s="37" customFormat="1" ht="15.75" customHeight="1" x14ac:dyDescent="0.3">
      <c r="A331" s="78" t="s">
        <v>191</v>
      </c>
      <c r="B331" s="79"/>
      <c r="C331" s="91" t="s">
        <v>193</v>
      </c>
      <c r="D331" s="244"/>
      <c r="E331" s="244"/>
      <c r="F331" s="92"/>
      <c r="G331" s="91" t="str">
        <f>A330</f>
        <v>19th Floor (20th Floor as per Builder) (Part Refuge Area)</v>
      </c>
      <c r="H331" s="92"/>
      <c r="J331" s="37">
        <f>4.93*6+5.1*3.85+3.3*1.65+1.2*0.6+1.3*0.9</f>
        <v>56.55</v>
      </c>
      <c r="L331" s="77"/>
      <c r="M331" s="77"/>
      <c r="N331" s="36"/>
    </row>
    <row r="332" spans="1:14" s="37" customFormat="1" ht="15.75" customHeight="1" x14ac:dyDescent="0.3">
      <c r="A332" s="78">
        <v>20</v>
      </c>
      <c r="B332" s="79"/>
      <c r="C332" s="68" t="s">
        <v>192</v>
      </c>
      <c r="D332" s="52">
        <f>(8.05*8.2+1.05*4.4+0.6*(1.55+2.25)+1.5*1.2+0.45*0.9)*(10.764)</f>
        <v>808.53786000000002</v>
      </c>
      <c r="E332" s="68">
        <v>0</v>
      </c>
      <c r="F332" s="68">
        <f t="shared" ref="F332:F339" si="43">(D332+E332)*(($F$130)+1)</f>
        <v>1293.6605760000002</v>
      </c>
      <c r="G332" s="86"/>
      <c r="H332" s="87"/>
      <c r="I332" s="36">
        <f>8.05+1.05+0.6</f>
        <v>9.7000000000000011</v>
      </c>
      <c r="L332" s="77"/>
      <c r="M332" s="77"/>
      <c r="N332" s="36"/>
    </row>
    <row r="333" spans="1:14" s="37" customFormat="1" ht="15.75" customHeight="1" x14ac:dyDescent="0.3">
      <c r="A333" s="78">
        <f t="shared" ref="A333:A335" si="44">A332+1</f>
        <v>21</v>
      </c>
      <c r="B333" s="79"/>
      <c r="C333" s="68" t="s">
        <v>192</v>
      </c>
      <c r="D333" s="52">
        <f>(8.05*3.35+1.65*1.55+1.5*1.2+0.45*0.9)*(10.764)</f>
        <v>341.54172000000005</v>
      </c>
      <c r="E333" s="68">
        <v>0</v>
      </c>
      <c r="F333" s="68">
        <f t="shared" si="43"/>
        <v>546.46675200000016</v>
      </c>
      <c r="G333" s="86"/>
      <c r="H333" s="87"/>
      <c r="I333" s="36"/>
      <c r="L333" s="77"/>
      <c r="M333" s="77"/>
      <c r="N333" s="36"/>
    </row>
    <row r="334" spans="1:14" s="37" customFormat="1" ht="15.75" customHeight="1" x14ac:dyDescent="0.3">
      <c r="A334" s="78">
        <f t="shared" si="44"/>
        <v>22</v>
      </c>
      <c r="B334" s="79"/>
      <c r="C334" s="68" t="s">
        <v>192</v>
      </c>
      <c r="D334" s="52">
        <f>(8.05*3.35+1.65*1.55+1.5*1.2+0.45*0.9)*(10.764)</f>
        <v>341.54172000000005</v>
      </c>
      <c r="E334" s="68">
        <v>0</v>
      </c>
      <c r="F334" s="68">
        <f t="shared" si="43"/>
        <v>546.46675200000016</v>
      </c>
      <c r="G334" s="86"/>
      <c r="H334" s="87"/>
      <c r="I334" s="36"/>
      <c r="L334" s="77"/>
      <c r="M334" s="77"/>
      <c r="N334" s="36"/>
    </row>
    <row r="335" spans="1:14" s="37" customFormat="1" ht="15.75" customHeight="1" x14ac:dyDescent="0.3">
      <c r="A335" s="78">
        <f t="shared" si="44"/>
        <v>23</v>
      </c>
      <c r="B335" s="79"/>
      <c r="C335" s="68" t="s">
        <v>192</v>
      </c>
      <c r="D335" s="52">
        <f>(8.05*3.75+1.65*1.95+1.5*1.2+0.45*0.9)*(10.764)</f>
        <v>383.30604</v>
      </c>
      <c r="E335" s="68">
        <v>0</v>
      </c>
      <c r="F335" s="68">
        <f t="shared" si="43"/>
        <v>613.28966400000002</v>
      </c>
      <c r="G335" s="86"/>
      <c r="H335" s="87"/>
      <c r="I335" s="36"/>
      <c r="L335" s="77"/>
      <c r="M335" s="77"/>
      <c r="N335" s="36"/>
    </row>
    <row r="336" spans="1:14" s="37" customFormat="1" ht="15.75" customHeight="1" x14ac:dyDescent="0.3">
      <c r="A336" s="78">
        <f>A335+1</f>
        <v>24</v>
      </c>
      <c r="B336" s="79"/>
      <c r="C336" s="68" t="s">
        <v>192</v>
      </c>
      <c r="D336" s="52">
        <f>(5.35*3.35+1.65*1.55+1.5*1.2+0.45*0.9)*(10.764)</f>
        <v>244.18134000000001</v>
      </c>
      <c r="E336" s="68">
        <v>0</v>
      </c>
      <c r="F336" s="68">
        <f t="shared" si="43"/>
        <v>390.69014400000003</v>
      </c>
      <c r="G336" s="86"/>
      <c r="H336" s="87"/>
      <c r="I336" s="36"/>
      <c r="L336" s="77"/>
      <c r="M336" s="77"/>
      <c r="N336" s="36"/>
    </row>
    <row r="337" spans="1:14" s="37" customFormat="1" ht="15.75" customHeight="1" x14ac:dyDescent="0.3">
      <c r="A337" s="78">
        <v>25</v>
      </c>
      <c r="B337" s="79"/>
      <c r="C337" s="68" t="s">
        <v>192</v>
      </c>
      <c r="D337" s="52">
        <f t="shared" ref="D337:D345" si="45">(5.35*3.35+1.65*1.55+1.5*1.2+0.45*0.9)*(10.764)</f>
        <v>244.18134000000001</v>
      </c>
      <c r="E337" s="68">
        <v>0</v>
      </c>
      <c r="F337" s="68">
        <f t="shared" si="43"/>
        <v>390.69014400000003</v>
      </c>
      <c r="G337" s="86"/>
      <c r="H337" s="87"/>
      <c r="I337" s="36"/>
      <c r="L337" s="77"/>
      <c r="M337" s="77"/>
      <c r="N337" s="36"/>
    </row>
    <row r="338" spans="1:14" s="37" customFormat="1" ht="15.75" customHeight="1" x14ac:dyDescent="0.3">
      <c r="A338" s="78">
        <v>26</v>
      </c>
      <c r="B338" s="79"/>
      <c r="C338" s="68" t="s">
        <v>192</v>
      </c>
      <c r="D338" s="52">
        <f t="shared" si="45"/>
        <v>244.18134000000001</v>
      </c>
      <c r="E338" s="68">
        <v>0</v>
      </c>
      <c r="F338" s="68">
        <f t="shared" si="43"/>
        <v>390.69014400000003</v>
      </c>
      <c r="G338" s="86"/>
      <c r="H338" s="87"/>
      <c r="I338" s="36"/>
      <c r="L338" s="77"/>
      <c r="M338" s="77"/>
      <c r="N338" s="36"/>
    </row>
    <row r="339" spans="1:14" s="37" customFormat="1" ht="15.75" customHeight="1" x14ac:dyDescent="0.3">
      <c r="A339" s="78">
        <v>27</v>
      </c>
      <c r="B339" s="79"/>
      <c r="C339" s="68" t="s">
        <v>192</v>
      </c>
      <c r="D339" s="52">
        <f t="shared" si="45"/>
        <v>244.18134000000001</v>
      </c>
      <c r="E339" s="68">
        <v>0</v>
      </c>
      <c r="F339" s="68">
        <f t="shared" si="43"/>
        <v>390.69014400000003</v>
      </c>
      <c r="G339" s="86"/>
      <c r="H339" s="87"/>
      <c r="I339" s="36"/>
      <c r="L339" s="77"/>
      <c r="M339" s="77"/>
      <c r="N339" s="36"/>
    </row>
    <row r="340" spans="1:14" s="37" customFormat="1" ht="15.75" customHeight="1" x14ac:dyDescent="0.3">
      <c r="A340" s="88" t="s">
        <v>204</v>
      </c>
      <c r="B340" s="89"/>
      <c r="C340" s="89"/>
      <c r="D340" s="89"/>
      <c r="E340" s="89"/>
      <c r="F340" s="89"/>
      <c r="G340" s="89"/>
      <c r="H340" s="90"/>
      <c r="I340" s="36"/>
      <c r="L340" s="77"/>
      <c r="M340" s="77"/>
      <c r="N340" s="36"/>
    </row>
    <row r="341" spans="1:14" s="37" customFormat="1" ht="15.75" customHeight="1" x14ac:dyDescent="0.3">
      <c r="A341" s="78">
        <v>1</v>
      </c>
      <c r="B341" s="79"/>
      <c r="C341" s="68" t="s">
        <v>192</v>
      </c>
      <c r="D341" s="52">
        <f t="shared" si="45"/>
        <v>244.18134000000001</v>
      </c>
      <c r="E341" s="68">
        <v>0</v>
      </c>
      <c r="F341" s="68">
        <f t="shared" ref="F341:F365" si="46">(D341+E341)*(($F$130)+1)</f>
        <v>390.69014400000003</v>
      </c>
      <c r="G341" s="91" t="str">
        <f>A340</f>
        <v>20th Floor (21th Floor as per Builder)</v>
      </c>
      <c r="H341" s="92"/>
      <c r="J341" s="36"/>
      <c r="L341" s="77"/>
      <c r="M341" s="77"/>
      <c r="N341" s="36"/>
    </row>
    <row r="342" spans="1:14" s="37" customFormat="1" ht="15.75" customHeight="1" x14ac:dyDescent="0.3">
      <c r="A342" s="78">
        <v>2</v>
      </c>
      <c r="B342" s="79"/>
      <c r="C342" s="68" t="s">
        <v>192</v>
      </c>
      <c r="D342" s="52">
        <f t="shared" si="45"/>
        <v>244.18134000000001</v>
      </c>
      <c r="E342" s="68">
        <v>0</v>
      </c>
      <c r="F342" s="68">
        <f t="shared" si="46"/>
        <v>390.69014400000003</v>
      </c>
      <c r="G342" s="86"/>
      <c r="H342" s="87"/>
      <c r="I342" s="36"/>
      <c r="L342" s="77"/>
      <c r="M342" s="77"/>
      <c r="N342" s="36"/>
    </row>
    <row r="343" spans="1:14" s="37" customFormat="1" ht="15.75" customHeight="1" x14ac:dyDescent="0.3">
      <c r="A343" s="78">
        <v>3</v>
      </c>
      <c r="B343" s="79"/>
      <c r="C343" s="68" t="s">
        <v>192</v>
      </c>
      <c r="D343" s="52">
        <f t="shared" si="45"/>
        <v>244.18134000000001</v>
      </c>
      <c r="E343" s="68">
        <v>0</v>
      </c>
      <c r="F343" s="68">
        <f t="shared" si="46"/>
        <v>390.69014400000003</v>
      </c>
      <c r="G343" s="86"/>
      <c r="H343" s="87"/>
      <c r="I343" s="36"/>
      <c r="L343" s="77"/>
      <c r="M343" s="77"/>
      <c r="N343" s="36"/>
    </row>
    <row r="344" spans="1:14" s="37" customFormat="1" ht="15.75" customHeight="1" x14ac:dyDescent="0.3">
      <c r="A344" s="78">
        <v>4</v>
      </c>
      <c r="B344" s="79"/>
      <c r="C344" s="68" t="s">
        <v>192</v>
      </c>
      <c r="D344" s="52">
        <f t="shared" si="45"/>
        <v>244.18134000000001</v>
      </c>
      <c r="E344" s="68">
        <v>0</v>
      </c>
      <c r="F344" s="68">
        <f t="shared" si="46"/>
        <v>390.69014400000003</v>
      </c>
      <c r="G344" s="86"/>
      <c r="H344" s="87"/>
      <c r="I344" s="36"/>
      <c r="L344" s="77"/>
      <c r="M344" s="77"/>
      <c r="N344" s="36"/>
    </row>
    <row r="345" spans="1:14" s="37" customFormat="1" ht="15.75" customHeight="1" x14ac:dyDescent="0.3">
      <c r="A345" s="78">
        <v>5</v>
      </c>
      <c r="B345" s="79"/>
      <c r="C345" s="68" t="s">
        <v>192</v>
      </c>
      <c r="D345" s="52">
        <f t="shared" si="45"/>
        <v>244.18134000000001</v>
      </c>
      <c r="E345" s="68">
        <v>0</v>
      </c>
      <c r="F345" s="68">
        <f t="shared" si="46"/>
        <v>390.69014400000003</v>
      </c>
      <c r="G345" s="86"/>
      <c r="H345" s="87"/>
      <c r="I345" s="36"/>
      <c r="L345" s="77"/>
      <c r="M345" s="77"/>
      <c r="N345" s="36"/>
    </row>
    <row r="346" spans="1:14" s="37" customFormat="1" ht="15.75" customHeight="1" x14ac:dyDescent="0.3">
      <c r="A346" s="78">
        <f t="shared" ref="A346:A361" si="47">A345+1</f>
        <v>6</v>
      </c>
      <c r="B346" s="79"/>
      <c r="C346" s="68" t="s">
        <v>192</v>
      </c>
      <c r="D346" s="52">
        <f>(5.35*3.7+1.65*1.75+1.5*1.2+0.45*0.9)*(10.764)</f>
        <v>267.88905</v>
      </c>
      <c r="E346" s="68">
        <v>0</v>
      </c>
      <c r="F346" s="68">
        <f t="shared" si="46"/>
        <v>428.62248</v>
      </c>
      <c r="G346" s="86"/>
      <c r="H346" s="87"/>
      <c r="I346" s="36"/>
      <c r="L346" s="77"/>
      <c r="M346" s="77"/>
      <c r="N346" s="36"/>
    </row>
    <row r="347" spans="1:14" s="37" customFormat="1" ht="15.75" customHeight="1" x14ac:dyDescent="0.3">
      <c r="A347" s="78">
        <v>7</v>
      </c>
      <c r="B347" s="79"/>
      <c r="C347" s="68" t="s">
        <v>192</v>
      </c>
      <c r="D347" s="52">
        <f>(8.05*3.35+1.65*1.75+1.5*1.2+0.45*0.9)*(10.764)</f>
        <v>345.09384</v>
      </c>
      <c r="E347" s="68">
        <v>0</v>
      </c>
      <c r="F347" s="68">
        <f t="shared" si="46"/>
        <v>552.15014400000007</v>
      </c>
      <c r="G347" s="86"/>
      <c r="H347" s="87"/>
      <c r="I347" s="36"/>
      <c r="L347" s="77"/>
      <c r="M347" s="77"/>
      <c r="N347" s="36"/>
    </row>
    <row r="348" spans="1:14" s="37" customFormat="1" ht="15.75" customHeight="1" x14ac:dyDescent="0.3">
      <c r="A348" s="78">
        <v>8</v>
      </c>
      <c r="B348" s="79"/>
      <c r="C348" s="68" t="s">
        <v>192</v>
      </c>
      <c r="D348" s="52">
        <f t="shared" ref="D348:D360" si="48">(8.05*3.35+1.65*1.75+1.5*1.2+0.45*0.9)*(10.764)</f>
        <v>345.09384</v>
      </c>
      <c r="E348" s="68">
        <v>0</v>
      </c>
      <c r="F348" s="68">
        <f t="shared" si="46"/>
        <v>552.15014400000007</v>
      </c>
      <c r="G348" s="86"/>
      <c r="H348" s="87"/>
      <c r="I348" s="36"/>
      <c r="L348" s="77"/>
      <c r="M348" s="77"/>
      <c r="N348" s="36"/>
    </row>
    <row r="349" spans="1:14" s="37" customFormat="1" ht="15.75" customHeight="1" x14ac:dyDescent="0.3">
      <c r="A349" s="78">
        <v>9</v>
      </c>
      <c r="B349" s="79"/>
      <c r="C349" s="68" t="s">
        <v>192</v>
      </c>
      <c r="D349" s="52">
        <f t="shared" si="48"/>
        <v>345.09384</v>
      </c>
      <c r="E349" s="68">
        <v>0</v>
      </c>
      <c r="F349" s="68">
        <f t="shared" si="46"/>
        <v>552.15014400000007</v>
      </c>
      <c r="G349" s="86"/>
      <c r="H349" s="87"/>
      <c r="I349" s="36"/>
      <c r="L349" s="77"/>
      <c r="M349" s="77"/>
      <c r="N349" s="36"/>
    </row>
    <row r="350" spans="1:14" s="37" customFormat="1" ht="15.75" customHeight="1" x14ac:dyDescent="0.3">
      <c r="A350" s="78">
        <f t="shared" si="47"/>
        <v>10</v>
      </c>
      <c r="B350" s="79"/>
      <c r="C350" s="68" t="s">
        <v>192</v>
      </c>
      <c r="D350" s="52">
        <f t="shared" si="48"/>
        <v>345.09384</v>
      </c>
      <c r="E350" s="68">
        <v>0</v>
      </c>
      <c r="F350" s="68">
        <f t="shared" si="46"/>
        <v>552.15014400000007</v>
      </c>
      <c r="G350" s="86"/>
      <c r="H350" s="87"/>
      <c r="I350" s="36"/>
      <c r="L350" s="77"/>
      <c r="M350" s="77"/>
      <c r="N350" s="36"/>
    </row>
    <row r="351" spans="1:14" s="37" customFormat="1" ht="15.75" customHeight="1" x14ac:dyDescent="0.3">
      <c r="A351" s="78">
        <v>12</v>
      </c>
      <c r="B351" s="79"/>
      <c r="C351" s="68" t="s">
        <v>192</v>
      </c>
      <c r="D351" s="52">
        <f t="shared" si="48"/>
        <v>345.09384</v>
      </c>
      <c r="E351" s="68">
        <v>0</v>
      </c>
      <c r="F351" s="68">
        <f t="shared" si="46"/>
        <v>552.15014400000007</v>
      </c>
      <c r="G351" s="86"/>
      <c r="H351" s="87"/>
      <c r="I351" s="36"/>
      <c r="L351" s="77"/>
      <c r="M351" s="77"/>
      <c r="N351" s="36"/>
    </row>
    <row r="352" spans="1:14" s="37" customFormat="1" ht="15.75" customHeight="1" x14ac:dyDescent="0.3">
      <c r="A352" s="78">
        <v>14</v>
      </c>
      <c r="B352" s="79"/>
      <c r="C352" s="68" t="s">
        <v>192</v>
      </c>
      <c r="D352" s="52">
        <f t="shared" si="48"/>
        <v>345.09384</v>
      </c>
      <c r="E352" s="68">
        <v>0</v>
      </c>
      <c r="F352" s="68">
        <f t="shared" si="46"/>
        <v>552.15014400000007</v>
      </c>
      <c r="G352" s="86"/>
      <c r="H352" s="87"/>
      <c r="I352" s="36"/>
      <c r="L352" s="77"/>
      <c r="M352" s="77"/>
      <c r="N352" s="36"/>
    </row>
    <row r="353" spans="1:14" s="37" customFormat="1" x14ac:dyDescent="0.3">
      <c r="A353" s="78">
        <f t="shared" si="47"/>
        <v>15</v>
      </c>
      <c r="B353" s="79"/>
      <c r="C353" s="68" t="s">
        <v>192</v>
      </c>
      <c r="D353" s="52">
        <f t="shared" si="48"/>
        <v>345.09384</v>
      </c>
      <c r="E353" s="68">
        <v>0</v>
      </c>
      <c r="F353" s="68">
        <f t="shared" si="46"/>
        <v>552.15014400000007</v>
      </c>
      <c r="G353" s="86"/>
      <c r="H353" s="87"/>
      <c r="I353" s="36"/>
      <c r="K353" s="36"/>
    </row>
    <row r="354" spans="1:14" s="37" customFormat="1" ht="15.75" customHeight="1" x14ac:dyDescent="0.3">
      <c r="A354" s="78">
        <f t="shared" si="47"/>
        <v>16</v>
      </c>
      <c r="B354" s="79"/>
      <c r="C354" s="68" t="s">
        <v>192</v>
      </c>
      <c r="D354" s="52">
        <f t="shared" si="48"/>
        <v>345.09384</v>
      </c>
      <c r="E354" s="68">
        <v>0</v>
      </c>
      <c r="F354" s="68">
        <f t="shared" si="46"/>
        <v>552.15014400000007</v>
      </c>
      <c r="G354" s="86"/>
      <c r="H354" s="87"/>
      <c r="I354" s="36"/>
      <c r="L354" s="77"/>
      <c r="M354" s="77"/>
      <c r="N354" s="36"/>
    </row>
    <row r="355" spans="1:14" s="37" customFormat="1" ht="15.75" customHeight="1" x14ac:dyDescent="0.3">
      <c r="A355" s="78">
        <f t="shared" si="47"/>
        <v>17</v>
      </c>
      <c r="B355" s="79"/>
      <c r="C355" s="68" t="s">
        <v>192</v>
      </c>
      <c r="D355" s="52">
        <f t="shared" si="48"/>
        <v>345.09384</v>
      </c>
      <c r="E355" s="68">
        <v>0</v>
      </c>
      <c r="F355" s="68">
        <f t="shared" si="46"/>
        <v>552.15014400000007</v>
      </c>
      <c r="G355" s="86"/>
      <c r="H355" s="87"/>
      <c r="I355" s="36"/>
      <c r="L355" s="77"/>
      <c r="M355" s="77"/>
      <c r="N355" s="36"/>
    </row>
    <row r="356" spans="1:14" s="37" customFormat="1" ht="15.75" customHeight="1" x14ac:dyDescent="0.3">
      <c r="A356" s="78">
        <f t="shared" si="47"/>
        <v>18</v>
      </c>
      <c r="B356" s="79"/>
      <c r="C356" s="68" t="s">
        <v>192</v>
      </c>
      <c r="D356" s="52">
        <f t="shared" si="48"/>
        <v>345.09384</v>
      </c>
      <c r="E356" s="68">
        <v>0</v>
      </c>
      <c r="F356" s="68">
        <f t="shared" si="46"/>
        <v>552.15014400000007</v>
      </c>
      <c r="G356" s="86"/>
      <c r="H356" s="87"/>
      <c r="I356" s="36"/>
      <c r="L356" s="77"/>
      <c r="M356" s="77"/>
      <c r="N356" s="36"/>
    </row>
    <row r="357" spans="1:14" s="37" customFormat="1" ht="15.75" customHeight="1" x14ac:dyDescent="0.3">
      <c r="A357" s="78">
        <f t="shared" si="47"/>
        <v>19</v>
      </c>
      <c r="B357" s="79"/>
      <c r="C357" s="68" t="s">
        <v>192</v>
      </c>
      <c r="D357" s="52">
        <f t="shared" si="48"/>
        <v>345.09384</v>
      </c>
      <c r="E357" s="68">
        <v>0</v>
      </c>
      <c r="F357" s="68">
        <f t="shared" si="46"/>
        <v>552.15014400000007</v>
      </c>
      <c r="G357" s="86"/>
      <c r="H357" s="87"/>
      <c r="I357" s="36"/>
      <c r="J357" s="37">
        <f>4.93*6+5.1*3.85+3.3*1.65+1.2*0.6+1.3*0.9</f>
        <v>56.55</v>
      </c>
      <c r="L357" s="77"/>
      <c r="M357" s="77"/>
      <c r="N357" s="36"/>
    </row>
    <row r="358" spans="1:14" s="37" customFormat="1" ht="15.75" customHeight="1" x14ac:dyDescent="0.3">
      <c r="A358" s="78">
        <f t="shared" si="47"/>
        <v>20</v>
      </c>
      <c r="B358" s="79"/>
      <c r="C358" s="68" t="s">
        <v>192</v>
      </c>
      <c r="D358" s="52">
        <f t="shared" si="48"/>
        <v>345.09384</v>
      </c>
      <c r="E358" s="68">
        <v>0</v>
      </c>
      <c r="F358" s="68">
        <f t="shared" si="46"/>
        <v>552.15014400000007</v>
      </c>
      <c r="G358" s="86"/>
      <c r="H358" s="87"/>
      <c r="I358" s="36"/>
      <c r="L358" s="77"/>
      <c r="M358" s="77"/>
      <c r="N358" s="36"/>
    </row>
    <row r="359" spans="1:14" s="37" customFormat="1" ht="15.75" customHeight="1" x14ac:dyDescent="0.3">
      <c r="A359" s="78">
        <f t="shared" si="47"/>
        <v>21</v>
      </c>
      <c r="B359" s="79"/>
      <c r="C359" s="68" t="s">
        <v>192</v>
      </c>
      <c r="D359" s="52">
        <f t="shared" si="48"/>
        <v>345.09384</v>
      </c>
      <c r="E359" s="68">
        <v>0</v>
      </c>
      <c r="F359" s="68">
        <f t="shared" si="46"/>
        <v>552.15014400000007</v>
      </c>
      <c r="G359" s="86"/>
      <c r="H359" s="87"/>
      <c r="I359" s="36"/>
      <c r="L359" s="77"/>
      <c r="M359" s="77"/>
      <c r="N359" s="36"/>
    </row>
    <row r="360" spans="1:14" s="37" customFormat="1" ht="15.75" customHeight="1" x14ac:dyDescent="0.3">
      <c r="A360" s="78">
        <f t="shared" si="47"/>
        <v>22</v>
      </c>
      <c r="B360" s="79"/>
      <c r="C360" s="68" t="s">
        <v>192</v>
      </c>
      <c r="D360" s="52">
        <f t="shared" si="48"/>
        <v>345.09384</v>
      </c>
      <c r="E360" s="68">
        <v>0</v>
      </c>
      <c r="F360" s="68">
        <f t="shared" si="46"/>
        <v>552.15014400000007</v>
      </c>
      <c r="G360" s="86"/>
      <c r="H360" s="87"/>
      <c r="I360" s="36"/>
      <c r="N360" s="36"/>
    </row>
    <row r="361" spans="1:14" s="37" customFormat="1" ht="15.75" customHeight="1" x14ac:dyDescent="0.3">
      <c r="A361" s="78">
        <f t="shared" si="47"/>
        <v>23</v>
      </c>
      <c r="B361" s="79"/>
      <c r="C361" s="68" t="s">
        <v>192</v>
      </c>
      <c r="D361" s="52">
        <f>(8.05*3.75+1.65*1.95+1.5*1.2+0.45*0.9)*(10.764)</f>
        <v>383.30604</v>
      </c>
      <c r="E361" s="68">
        <v>0</v>
      </c>
      <c r="F361" s="68">
        <f t="shared" ref="F361" si="49">(D361+E361)*(($F$130)+1)</f>
        <v>613.28966400000002</v>
      </c>
      <c r="G361" s="86"/>
      <c r="H361" s="87"/>
      <c r="I361" s="36"/>
      <c r="N361" s="36"/>
    </row>
    <row r="362" spans="1:14" s="37" customFormat="1" ht="15.75" customHeight="1" x14ac:dyDescent="0.3">
      <c r="A362" s="78">
        <v>24</v>
      </c>
      <c r="B362" s="79"/>
      <c r="C362" s="68" t="s">
        <v>192</v>
      </c>
      <c r="D362" s="52">
        <f t="shared" ref="D362:D367" si="50">(5.35*3.35+1.65*1.55+1.5*1.2+0.45*0.9)*(10.764)</f>
        <v>244.18134000000001</v>
      </c>
      <c r="E362" s="68">
        <v>0</v>
      </c>
      <c r="F362" s="68">
        <f t="shared" si="46"/>
        <v>390.69014400000003</v>
      </c>
      <c r="G362" s="86"/>
      <c r="H362" s="87"/>
      <c r="I362" s="36"/>
      <c r="L362" s="77"/>
      <c r="M362" s="77"/>
      <c r="N362" s="36"/>
    </row>
    <row r="363" spans="1:14" s="37" customFormat="1" ht="15.75" customHeight="1" x14ac:dyDescent="0.3">
      <c r="A363" s="78">
        <v>25</v>
      </c>
      <c r="B363" s="79"/>
      <c r="C363" s="68" t="s">
        <v>192</v>
      </c>
      <c r="D363" s="52">
        <f t="shared" si="50"/>
        <v>244.18134000000001</v>
      </c>
      <c r="E363" s="68">
        <v>0</v>
      </c>
      <c r="F363" s="68">
        <f t="shared" si="46"/>
        <v>390.69014400000003</v>
      </c>
      <c r="G363" s="86"/>
      <c r="H363" s="87"/>
      <c r="I363" s="36"/>
      <c r="L363" s="77"/>
      <c r="M363" s="77"/>
      <c r="N363" s="36"/>
    </row>
    <row r="364" spans="1:14" s="37" customFormat="1" ht="15.75" customHeight="1" x14ac:dyDescent="0.3">
      <c r="A364" s="78">
        <v>26</v>
      </c>
      <c r="B364" s="79"/>
      <c r="C364" s="68" t="s">
        <v>192</v>
      </c>
      <c r="D364" s="52">
        <f t="shared" si="50"/>
        <v>244.18134000000001</v>
      </c>
      <c r="E364" s="68">
        <v>0</v>
      </c>
      <c r="F364" s="68">
        <f t="shared" si="46"/>
        <v>390.69014400000003</v>
      </c>
      <c r="G364" s="86"/>
      <c r="H364" s="87"/>
      <c r="I364" s="36"/>
      <c r="L364" s="77"/>
      <c r="M364" s="77"/>
      <c r="N364" s="36"/>
    </row>
    <row r="365" spans="1:14" s="37" customFormat="1" x14ac:dyDescent="0.3">
      <c r="A365" s="78">
        <v>27</v>
      </c>
      <c r="B365" s="79"/>
      <c r="C365" s="68" t="s">
        <v>192</v>
      </c>
      <c r="D365" s="52">
        <f t="shared" si="50"/>
        <v>244.18134000000001</v>
      </c>
      <c r="E365" s="68">
        <v>0</v>
      </c>
      <c r="F365" s="68">
        <f t="shared" si="46"/>
        <v>390.69014400000003</v>
      </c>
      <c r="G365" s="86"/>
      <c r="H365" s="87"/>
      <c r="I365" s="36">
        <f>5.35+1.65</f>
        <v>7</v>
      </c>
      <c r="K365" s="36"/>
    </row>
    <row r="366" spans="1:14" s="37" customFormat="1" ht="15.75" customHeight="1" x14ac:dyDescent="0.3">
      <c r="A366" s="88" t="s">
        <v>205</v>
      </c>
      <c r="B366" s="89"/>
      <c r="C366" s="89"/>
      <c r="D366" s="89"/>
      <c r="E366" s="89"/>
      <c r="F366" s="89"/>
      <c r="G366" s="89"/>
      <c r="H366" s="90"/>
      <c r="I366" s="36"/>
      <c r="L366" s="77"/>
      <c r="M366" s="77"/>
      <c r="N366" s="36"/>
    </row>
    <row r="367" spans="1:14" s="37" customFormat="1" ht="15.75" customHeight="1" x14ac:dyDescent="0.3">
      <c r="A367" s="78">
        <v>1</v>
      </c>
      <c r="B367" s="79"/>
      <c r="C367" s="68" t="s">
        <v>192</v>
      </c>
      <c r="D367" s="52">
        <f t="shared" si="50"/>
        <v>244.18134000000001</v>
      </c>
      <c r="E367" s="68">
        <v>0</v>
      </c>
      <c r="F367" s="68">
        <f t="shared" ref="F367:F385" si="51">(D367+E367)*(($F$130)+1)</f>
        <v>390.69014400000003</v>
      </c>
      <c r="G367" s="91" t="str">
        <f>A366</f>
        <v>21th Floor (22nd Floor as per Builder)</v>
      </c>
      <c r="H367" s="92"/>
      <c r="I367" s="36"/>
      <c r="L367" s="77"/>
      <c r="M367" s="77"/>
      <c r="N367" s="36"/>
    </row>
    <row r="368" spans="1:14" s="37" customFormat="1" ht="15.75" customHeight="1" x14ac:dyDescent="0.3">
      <c r="A368" s="78">
        <v>2</v>
      </c>
      <c r="B368" s="79"/>
      <c r="C368" s="68" t="s">
        <v>192</v>
      </c>
      <c r="D368" s="52">
        <f>(5.85*6.85+1.55*0.6+2.9*0.6+1.5*1.2+0.45*0.9)*(10.764)</f>
        <v>483.81488999999993</v>
      </c>
      <c r="E368" s="68">
        <v>0</v>
      </c>
      <c r="F368" s="68">
        <f t="shared" si="51"/>
        <v>774.10382399999992</v>
      </c>
      <c r="G368" s="86"/>
      <c r="H368" s="87"/>
      <c r="I368" s="36"/>
      <c r="L368" s="77"/>
      <c r="M368" s="77"/>
      <c r="N368" s="36"/>
    </row>
    <row r="369" spans="1:14" s="37" customFormat="1" ht="15.75" customHeight="1" x14ac:dyDescent="0.3">
      <c r="A369" s="78">
        <v>4</v>
      </c>
      <c r="B369" s="79"/>
      <c r="C369" s="68" t="s">
        <v>192</v>
      </c>
      <c r="D369" s="52">
        <f>(5.82*10.7+1.05*8.75+0.6*(2.9+2.9)+1.5*1.2+0.45*0.9)*(10.764)</f>
        <v>830.40492599999993</v>
      </c>
      <c r="E369" s="68">
        <v>0</v>
      </c>
      <c r="F369" s="68">
        <f t="shared" si="51"/>
        <v>1328.6478815999999</v>
      </c>
      <c r="G369" s="86"/>
      <c r="H369" s="87"/>
      <c r="J369" s="36"/>
      <c r="L369" s="77"/>
      <c r="M369" s="77"/>
      <c r="N369" s="36"/>
    </row>
    <row r="370" spans="1:14" s="37" customFormat="1" ht="15.75" customHeight="1" x14ac:dyDescent="0.3">
      <c r="A370" s="78">
        <v>7</v>
      </c>
      <c r="B370" s="79"/>
      <c r="C370" s="68" t="s">
        <v>192</v>
      </c>
      <c r="D370" s="52">
        <f>(8.05*3.35+1.65*1.75+1.5*1.2+0.45*0.9)*(10.764)</f>
        <v>345.09384</v>
      </c>
      <c r="E370" s="68">
        <v>0</v>
      </c>
      <c r="F370" s="68">
        <f t="shared" si="51"/>
        <v>552.15014400000007</v>
      </c>
      <c r="G370" s="86"/>
      <c r="H370" s="87"/>
      <c r="I370" s="36"/>
      <c r="L370" s="77"/>
      <c r="M370" s="77"/>
      <c r="N370" s="36"/>
    </row>
    <row r="371" spans="1:14" s="37" customFormat="1" ht="15.75" customHeight="1" x14ac:dyDescent="0.3">
      <c r="A371" s="78">
        <v>8</v>
      </c>
      <c r="B371" s="79"/>
      <c r="C371" s="68" t="s">
        <v>192</v>
      </c>
      <c r="D371" s="52">
        <f t="shared" ref="D371:D384" si="52">(8.05*3.35+1.65*1.75+1.5*1.2+0.45*0.9)*(10.764)</f>
        <v>345.09384</v>
      </c>
      <c r="E371" s="68">
        <v>0</v>
      </c>
      <c r="F371" s="68">
        <f t="shared" si="51"/>
        <v>552.15014400000007</v>
      </c>
      <c r="G371" s="86"/>
      <c r="H371" s="87"/>
      <c r="I371" s="36"/>
      <c r="L371" s="77"/>
      <c r="M371" s="77"/>
      <c r="N371" s="36"/>
    </row>
    <row r="372" spans="1:14" s="37" customFormat="1" ht="15.75" customHeight="1" x14ac:dyDescent="0.3">
      <c r="A372" s="78">
        <v>9</v>
      </c>
      <c r="B372" s="79"/>
      <c r="C372" s="68" t="s">
        <v>192</v>
      </c>
      <c r="D372" s="52">
        <f t="shared" si="52"/>
        <v>345.09384</v>
      </c>
      <c r="E372" s="68">
        <v>0</v>
      </c>
      <c r="F372" s="68">
        <f t="shared" si="51"/>
        <v>552.15014400000007</v>
      </c>
      <c r="G372" s="86"/>
      <c r="H372" s="87"/>
      <c r="I372" s="36"/>
      <c r="L372" s="77"/>
      <c r="M372" s="77"/>
      <c r="N372" s="36"/>
    </row>
    <row r="373" spans="1:14" s="37" customFormat="1" ht="15.75" customHeight="1" x14ac:dyDescent="0.3">
      <c r="A373" s="78">
        <v>10</v>
      </c>
      <c r="B373" s="79"/>
      <c r="C373" s="68" t="s">
        <v>192</v>
      </c>
      <c r="D373" s="52">
        <f t="shared" si="52"/>
        <v>345.09384</v>
      </c>
      <c r="E373" s="68">
        <v>0</v>
      </c>
      <c r="F373" s="68">
        <f t="shared" si="51"/>
        <v>552.15014400000007</v>
      </c>
      <c r="G373" s="86"/>
      <c r="H373" s="87"/>
      <c r="I373" s="36"/>
      <c r="L373" s="77"/>
      <c r="M373" s="77"/>
      <c r="N373" s="36"/>
    </row>
    <row r="374" spans="1:14" s="37" customFormat="1" ht="15.75" customHeight="1" x14ac:dyDescent="0.3">
      <c r="A374" s="78">
        <v>11</v>
      </c>
      <c r="B374" s="79"/>
      <c r="C374" s="68" t="s">
        <v>192</v>
      </c>
      <c r="D374" s="52">
        <f t="shared" si="52"/>
        <v>345.09384</v>
      </c>
      <c r="E374" s="68">
        <v>0</v>
      </c>
      <c r="F374" s="68">
        <f t="shared" si="51"/>
        <v>552.15014400000007</v>
      </c>
      <c r="G374" s="86"/>
      <c r="H374" s="87"/>
      <c r="I374" s="36"/>
      <c r="L374" s="77"/>
      <c r="M374" s="77"/>
      <c r="N374" s="36"/>
    </row>
    <row r="375" spans="1:14" s="37" customFormat="1" ht="15.75" customHeight="1" x14ac:dyDescent="0.3">
      <c r="A375" s="78">
        <v>12</v>
      </c>
      <c r="B375" s="79"/>
      <c r="C375" s="68" t="s">
        <v>192</v>
      </c>
      <c r="D375" s="52">
        <f t="shared" si="52"/>
        <v>345.09384</v>
      </c>
      <c r="E375" s="68">
        <v>0</v>
      </c>
      <c r="F375" s="68">
        <f t="shared" si="51"/>
        <v>552.15014400000007</v>
      </c>
      <c r="G375" s="86"/>
      <c r="H375" s="87"/>
      <c r="I375" s="36"/>
      <c r="L375" s="77"/>
      <c r="M375" s="77"/>
      <c r="N375" s="36"/>
    </row>
    <row r="376" spans="1:14" s="37" customFormat="1" ht="15.75" customHeight="1" x14ac:dyDescent="0.3">
      <c r="A376" s="78">
        <v>14</v>
      </c>
      <c r="B376" s="79"/>
      <c r="C376" s="68" t="s">
        <v>192</v>
      </c>
      <c r="D376" s="52">
        <f t="shared" si="52"/>
        <v>345.09384</v>
      </c>
      <c r="E376" s="68">
        <v>0</v>
      </c>
      <c r="F376" s="68">
        <f t="shared" si="51"/>
        <v>552.15014400000007</v>
      </c>
      <c r="G376" s="86"/>
      <c r="H376" s="87"/>
      <c r="I376" s="36"/>
      <c r="L376" s="77"/>
      <c r="M376" s="77"/>
      <c r="N376" s="36"/>
    </row>
    <row r="377" spans="1:14" s="37" customFormat="1" ht="15.75" customHeight="1" x14ac:dyDescent="0.3">
      <c r="A377" s="78">
        <f t="shared" ref="A377:A385" si="53">A376+1</f>
        <v>15</v>
      </c>
      <c r="B377" s="79"/>
      <c r="C377" s="68" t="s">
        <v>192</v>
      </c>
      <c r="D377" s="52">
        <f t="shared" si="52"/>
        <v>345.09384</v>
      </c>
      <c r="E377" s="68">
        <v>0</v>
      </c>
      <c r="F377" s="68">
        <f t="shared" si="51"/>
        <v>552.15014400000007</v>
      </c>
      <c r="G377" s="86"/>
      <c r="H377" s="87"/>
      <c r="I377" s="36"/>
      <c r="L377" s="77"/>
      <c r="M377" s="77"/>
      <c r="N377" s="36"/>
    </row>
    <row r="378" spans="1:14" s="37" customFormat="1" ht="15.75" customHeight="1" x14ac:dyDescent="0.3">
      <c r="A378" s="78">
        <f t="shared" si="53"/>
        <v>16</v>
      </c>
      <c r="B378" s="79"/>
      <c r="C378" s="68" t="s">
        <v>192</v>
      </c>
      <c r="D378" s="52">
        <f t="shared" si="52"/>
        <v>345.09384</v>
      </c>
      <c r="E378" s="68">
        <v>0</v>
      </c>
      <c r="F378" s="68">
        <f t="shared" si="51"/>
        <v>552.15014400000007</v>
      </c>
      <c r="G378" s="86"/>
      <c r="H378" s="87"/>
      <c r="I378" s="36"/>
      <c r="L378" s="77"/>
      <c r="M378" s="77"/>
      <c r="N378" s="36"/>
    </row>
    <row r="379" spans="1:14" s="37" customFormat="1" ht="15.75" customHeight="1" x14ac:dyDescent="0.3">
      <c r="A379" s="78">
        <f t="shared" si="53"/>
        <v>17</v>
      </c>
      <c r="B379" s="79"/>
      <c r="C379" s="68" t="s">
        <v>192</v>
      </c>
      <c r="D379" s="52">
        <f t="shared" si="52"/>
        <v>345.09384</v>
      </c>
      <c r="E379" s="68">
        <v>0</v>
      </c>
      <c r="F379" s="68">
        <f t="shared" si="51"/>
        <v>552.15014400000007</v>
      </c>
      <c r="G379" s="86"/>
      <c r="H379" s="87"/>
      <c r="J379" s="36"/>
      <c r="L379" s="77"/>
      <c r="M379" s="77"/>
      <c r="N379" s="36"/>
    </row>
    <row r="380" spans="1:14" s="37" customFormat="1" ht="15.75" customHeight="1" x14ac:dyDescent="0.3">
      <c r="A380" s="78">
        <f t="shared" si="53"/>
        <v>18</v>
      </c>
      <c r="B380" s="79"/>
      <c r="C380" s="68" t="s">
        <v>192</v>
      </c>
      <c r="D380" s="52">
        <f t="shared" si="52"/>
        <v>345.09384</v>
      </c>
      <c r="E380" s="68">
        <v>0</v>
      </c>
      <c r="F380" s="68">
        <f t="shared" si="51"/>
        <v>552.15014400000007</v>
      </c>
      <c r="G380" s="86"/>
      <c r="H380" s="87"/>
      <c r="I380" s="36"/>
      <c r="L380" s="77"/>
      <c r="M380" s="77"/>
      <c r="N380" s="36"/>
    </row>
    <row r="381" spans="1:14" s="37" customFormat="1" ht="15.75" customHeight="1" x14ac:dyDescent="0.3">
      <c r="A381" s="78">
        <f t="shared" si="53"/>
        <v>19</v>
      </c>
      <c r="B381" s="79"/>
      <c r="C381" s="68" t="s">
        <v>192</v>
      </c>
      <c r="D381" s="52">
        <f t="shared" si="52"/>
        <v>345.09384</v>
      </c>
      <c r="E381" s="68">
        <v>0</v>
      </c>
      <c r="F381" s="68">
        <f t="shared" si="51"/>
        <v>552.15014400000007</v>
      </c>
      <c r="G381" s="86"/>
      <c r="H381" s="87"/>
      <c r="I381" s="36"/>
      <c r="L381" s="77"/>
      <c r="M381" s="77"/>
      <c r="N381" s="36"/>
    </row>
    <row r="382" spans="1:14" s="37" customFormat="1" ht="15.75" customHeight="1" x14ac:dyDescent="0.3">
      <c r="A382" s="78">
        <f t="shared" si="53"/>
        <v>20</v>
      </c>
      <c r="B382" s="79"/>
      <c r="C382" s="68" t="s">
        <v>192</v>
      </c>
      <c r="D382" s="52">
        <f>(8.05*3.35+1.65*1.75+1.5*1.2+0.45*0.9)*(10.764)</f>
        <v>345.09384</v>
      </c>
      <c r="E382" s="68">
        <v>0</v>
      </c>
      <c r="F382" s="68">
        <f t="shared" si="51"/>
        <v>552.15014400000007</v>
      </c>
      <c r="G382" s="86"/>
      <c r="H382" s="87"/>
      <c r="I382" s="36"/>
      <c r="L382" s="77"/>
      <c r="M382" s="77"/>
      <c r="N382" s="36"/>
    </row>
    <row r="383" spans="1:14" s="37" customFormat="1" ht="15.75" customHeight="1" x14ac:dyDescent="0.3">
      <c r="A383" s="78">
        <f t="shared" si="53"/>
        <v>21</v>
      </c>
      <c r="B383" s="79"/>
      <c r="C383" s="68" t="s">
        <v>192</v>
      </c>
      <c r="D383" s="52">
        <f t="shared" si="52"/>
        <v>345.09384</v>
      </c>
      <c r="E383" s="68">
        <v>0</v>
      </c>
      <c r="F383" s="68">
        <f t="shared" si="51"/>
        <v>552.15014400000007</v>
      </c>
      <c r="G383" s="86"/>
      <c r="H383" s="87"/>
      <c r="I383" s="36"/>
      <c r="L383" s="77"/>
      <c r="M383" s="77"/>
      <c r="N383" s="36"/>
    </row>
    <row r="384" spans="1:14" s="37" customFormat="1" ht="15.75" customHeight="1" x14ac:dyDescent="0.3">
      <c r="A384" s="78">
        <f t="shared" si="53"/>
        <v>22</v>
      </c>
      <c r="B384" s="79"/>
      <c r="C384" s="68" t="s">
        <v>192</v>
      </c>
      <c r="D384" s="52">
        <f t="shared" si="52"/>
        <v>345.09384</v>
      </c>
      <c r="E384" s="68">
        <v>0</v>
      </c>
      <c r="F384" s="68">
        <f t="shared" si="51"/>
        <v>552.15014400000007</v>
      </c>
      <c r="G384" s="86"/>
      <c r="H384" s="87"/>
      <c r="I384" s="36"/>
      <c r="L384" s="77"/>
      <c r="M384" s="77"/>
      <c r="N384" s="36"/>
    </row>
    <row r="385" spans="1:14" s="37" customFormat="1" ht="15.75" customHeight="1" x14ac:dyDescent="0.3">
      <c r="A385" s="78">
        <f t="shared" si="53"/>
        <v>23</v>
      </c>
      <c r="B385" s="79"/>
      <c r="C385" s="68" t="s">
        <v>192</v>
      </c>
      <c r="D385" s="52">
        <f>(8.05*3.75+1.65*1.95+1.5*1.2+0.45*0.9)*(10.764)</f>
        <v>383.30604</v>
      </c>
      <c r="E385" s="68">
        <v>0</v>
      </c>
      <c r="F385" s="68">
        <f t="shared" si="51"/>
        <v>613.28966400000002</v>
      </c>
      <c r="G385" s="86"/>
      <c r="H385" s="87"/>
      <c r="I385" s="36"/>
      <c r="L385" s="77"/>
      <c r="M385" s="77"/>
      <c r="N385" s="36"/>
    </row>
    <row r="386" spans="1:14" s="37" customFormat="1" ht="15.75" customHeight="1" x14ac:dyDescent="0.3">
      <c r="A386" s="78">
        <v>24</v>
      </c>
      <c r="B386" s="79"/>
      <c r="C386" s="78" t="s">
        <v>264</v>
      </c>
      <c r="D386" s="93"/>
      <c r="E386" s="93"/>
      <c r="F386" s="79"/>
      <c r="G386" s="86"/>
      <c r="H386" s="87"/>
      <c r="I386" s="36"/>
      <c r="L386" s="77"/>
      <c r="M386" s="77"/>
      <c r="N386" s="36"/>
    </row>
    <row r="387" spans="1:14" s="37" customFormat="1" ht="15.75" customHeight="1" x14ac:dyDescent="0.3">
      <c r="A387" s="78">
        <v>25</v>
      </c>
      <c r="B387" s="79"/>
      <c r="C387" s="68" t="s">
        <v>192</v>
      </c>
      <c r="D387" s="52">
        <f t="shared" ref="D387:D394" si="54">(5.35*3.35+1.65*1.55+1.5*1.2+0.45*0.9)*(10.764)</f>
        <v>244.18134000000001</v>
      </c>
      <c r="E387" s="68">
        <v>0</v>
      </c>
      <c r="F387" s="68">
        <f>(D387+E387)*(($F$130)+1)</f>
        <v>390.69014400000003</v>
      </c>
      <c r="G387" s="86"/>
      <c r="H387" s="87"/>
      <c r="I387" s="36"/>
      <c r="L387" s="77"/>
      <c r="M387" s="77"/>
      <c r="N387" s="36"/>
    </row>
    <row r="388" spans="1:14" s="37" customFormat="1" ht="15.75" customHeight="1" x14ac:dyDescent="0.3">
      <c r="A388" s="78">
        <v>26</v>
      </c>
      <c r="B388" s="79"/>
      <c r="C388" s="68" t="s">
        <v>192</v>
      </c>
      <c r="D388" s="52">
        <f t="shared" si="54"/>
        <v>244.18134000000001</v>
      </c>
      <c r="E388" s="68">
        <v>0</v>
      </c>
      <c r="F388" s="68">
        <f>(D388+E388)*(($F$130)+1)</f>
        <v>390.69014400000003</v>
      </c>
      <c r="G388" s="86"/>
      <c r="H388" s="87"/>
      <c r="I388" s="36"/>
      <c r="L388" s="77"/>
      <c r="M388" s="77"/>
      <c r="N388" s="36"/>
    </row>
    <row r="389" spans="1:14" s="37" customFormat="1" x14ac:dyDescent="0.3">
      <c r="A389" s="78">
        <v>27</v>
      </c>
      <c r="B389" s="79"/>
      <c r="C389" s="68" t="s">
        <v>192</v>
      </c>
      <c r="D389" s="52">
        <f t="shared" si="54"/>
        <v>244.18134000000001</v>
      </c>
      <c r="E389" s="68">
        <v>0</v>
      </c>
      <c r="F389" s="68">
        <f>(D389+E389)*(($F$130)+1)</f>
        <v>390.69014400000003</v>
      </c>
      <c r="G389" s="86"/>
      <c r="H389" s="87"/>
      <c r="I389" s="36"/>
      <c r="K389" s="36"/>
    </row>
    <row r="390" spans="1:14" s="37" customFormat="1" ht="15.75" customHeight="1" x14ac:dyDescent="0.3">
      <c r="A390" s="83" t="s">
        <v>206</v>
      </c>
      <c r="B390" s="84"/>
      <c r="C390" s="84"/>
      <c r="D390" s="84"/>
      <c r="E390" s="84"/>
      <c r="F390" s="84"/>
      <c r="G390" s="84"/>
      <c r="H390" s="85"/>
      <c r="I390" s="36" t="s">
        <v>258</v>
      </c>
      <c r="L390" s="77"/>
      <c r="M390" s="77"/>
      <c r="N390" s="36"/>
    </row>
    <row r="391" spans="1:14" s="37" customFormat="1" ht="15.75" customHeight="1" x14ac:dyDescent="0.3">
      <c r="A391" s="78">
        <v>1</v>
      </c>
      <c r="B391" s="79"/>
      <c r="C391" s="68" t="s">
        <v>192</v>
      </c>
      <c r="D391" s="52">
        <f t="shared" si="54"/>
        <v>244.18134000000001</v>
      </c>
      <c r="E391" s="68">
        <v>0</v>
      </c>
      <c r="F391" s="68">
        <f t="shared" ref="F391:F415" si="55">(D391+E391)*(($F$130)+1)</f>
        <v>390.69014400000003</v>
      </c>
      <c r="G391" s="91" t="str">
        <f>A390</f>
        <v>22nd Floor (23rd Floor as per Builder)</v>
      </c>
      <c r="H391" s="92"/>
      <c r="I391" s="36"/>
      <c r="L391" s="77"/>
      <c r="M391" s="77"/>
      <c r="N391" s="36"/>
    </row>
    <row r="392" spans="1:14" s="37" customFormat="1" ht="15.75" customHeight="1" x14ac:dyDescent="0.3">
      <c r="A392" s="78">
        <v>2</v>
      </c>
      <c r="B392" s="79"/>
      <c r="C392" s="68" t="s">
        <v>192</v>
      </c>
      <c r="D392" s="52">
        <f t="shared" si="54"/>
        <v>244.18134000000001</v>
      </c>
      <c r="E392" s="68">
        <v>0</v>
      </c>
      <c r="F392" s="68">
        <f t="shared" si="55"/>
        <v>390.69014400000003</v>
      </c>
      <c r="G392" s="86"/>
      <c r="H392" s="87"/>
      <c r="I392" s="36"/>
      <c r="L392" s="77"/>
      <c r="M392" s="77"/>
      <c r="N392" s="36"/>
    </row>
    <row r="393" spans="1:14" s="37" customFormat="1" ht="15.75" customHeight="1" x14ac:dyDescent="0.3">
      <c r="A393" s="78">
        <v>3</v>
      </c>
      <c r="B393" s="79"/>
      <c r="C393" s="68" t="s">
        <v>192</v>
      </c>
      <c r="D393" s="52">
        <f t="shared" si="54"/>
        <v>244.18134000000001</v>
      </c>
      <c r="E393" s="68">
        <v>0</v>
      </c>
      <c r="F393" s="68">
        <f t="shared" si="55"/>
        <v>390.69014400000003</v>
      </c>
      <c r="G393" s="86"/>
      <c r="H393" s="87"/>
      <c r="I393" s="36"/>
      <c r="L393" s="77"/>
      <c r="M393" s="77"/>
      <c r="N393" s="36"/>
    </row>
    <row r="394" spans="1:14" s="37" customFormat="1" ht="15.75" customHeight="1" x14ac:dyDescent="0.3">
      <c r="A394" s="78">
        <v>4</v>
      </c>
      <c r="B394" s="79"/>
      <c r="C394" s="68" t="s">
        <v>192</v>
      </c>
      <c r="D394" s="52">
        <f t="shared" si="54"/>
        <v>244.18134000000001</v>
      </c>
      <c r="E394" s="68">
        <v>0</v>
      </c>
      <c r="F394" s="68">
        <f t="shared" si="55"/>
        <v>390.69014400000003</v>
      </c>
      <c r="G394" s="86"/>
      <c r="H394" s="87"/>
      <c r="I394" s="36"/>
      <c r="L394" s="77"/>
      <c r="M394" s="77"/>
      <c r="N394" s="36"/>
    </row>
    <row r="395" spans="1:14" s="37" customFormat="1" ht="15.75" customHeight="1" x14ac:dyDescent="0.3">
      <c r="A395" s="78">
        <v>5</v>
      </c>
      <c r="B395" s="79"/>
      <c r="C395" s="68" t="s">
        <v>192</v>
      </c>
      <c r="D395" s="52">
        <f>(5.35*7.2+1.05*5.25+1.5*1.2+0.45*0.9+0.6*(2.9+1.75))*(10.764)</f>
        <v>527.73200999999995</v>
      </c>
      <c r="E395" s="68">
        <v>0</v>
      </c>
      <c r="F395" s="68">
        <f t="shared" si="55"/>
        <v>844.371216</v>
      </c>
      <c r="G395" s="86"/>
      <c r="H395" s="87"/>
      <c r="I395" s="36"/>
      <c r="J395" s="37">
        <f>4.93*6+5.1*3.85+3.3*1.65+1.2*0.6+1.3*0.9</f>
        <v>56.55</v>
      </c>
      <c r="L395" s="77"/>
      <c r="M395" s="77"/>
      <c r="N395" s="36"/>
    </row>
    <row r="396" spans="1:14" s="37" customFormat="1" ht="15.75" customHeight="1" x14ac:dyDescent="0.3">
      <c r="A396" s="78">
        <v>7</v>
      </c>
      <c r="B396" s="79"/>
      <c r="C396" s="68" t="s">
        <v>192</v>
      </c>
      <c r="D396" s="52">
        <f>(8.05*3.35+1.65*1.75+1.5*1.2+0.45*0.9)*(10.764)</f>
        <v>345.09384</v>
      </c>
      <c r="E396" s="68">
        <v>0</v>
      </c>
      <c r="F396" s="68">
        <f t="shared" si="55"/>
        <v>552.15014400000007</v>
      </c>
      <c r="G396" s="86"/>
      <c r="H396" s="87"/>
      <c r="I396" s="36"/>
      <c r="L396" s="77"/>
      <c r="M396" s="77"/>
      <c r="N396" s="36"/>
    </row>
    <row r="397" spans="1:14" s="37" customFormat="1" ht="15.75" customHeight="1" x14ac:dyDescent="0.3">
      <c r="A397" s="78">
        <v>8</v>
      </c>
      <c r="B397" s="79"/>
      <c r="C397" s="68" t="s">
        <v>192</v>
      </c>
      <c r="D397" s="52">
        <f>(8.05*3.35+1.65*1.55+1.5*1.2+0.45*0.9)*(10.764)</f>
        <v>341.54172000000005</v>
      </c>
      <c r="E397" s="68">
        <v>0</v>
      </c>
      <c r="F397" s="68">
        <f t="shared" si="55"/>
        <v>546.46675200000016</v>
      </c>
      <c r="G397" s="86"/>
      <c r="H397" s="87"/>
      <c r="I397" s="36"/>
      <c r="L397" s="77"/>
      <c r="M397" s="77"/>
      <c r="N397" s="36"/>
    </row>
    <row r="398" spans="1:14" s="37" customFormat="1" ht="15.75" customHeight="1" x14ac:dyDescent="0.3">
      <c r="A398" s="78">
        <v>9</v>
      </c>
      <c r="B398" s="79"/>
      <c r="C398" s="68" t="s">
        <v>192</v>
      </c>
      <c r="D398" s="52">
        <f t="shared" ref="D398:D410" si="56">(8.05*3.35+1.65*1.55+1.5*1.2+0.45*0.9)*(10.764)</f>
        <v>341.54172000000005</v>
      </c>
      <c r="E398" s="68">
        <v>0</v>
      </c>
      <c r="F398" s="68">
        <f t="shared" si="55"/>
        <v>546.46675200000016</v>
      </c>
      <c r="G398" s="86"/>
      <c r="H398" s="87"/>
      <c r="I398" s="36"/>
      <c r="L398" s="77"/>
      <c r="M398" s="77"/>
      <c r="N398" s="36"/>
    </row>
    <row r="399" spans="1:14" s="37" customFormat="1" ht="15.75" customHeight="1" x14ac:dyDescent="0.3">
      <c r="A399" s="78">
        <v>10</v>
      </c>
      <c r="B399" s="79"/>
      <c r="C399" s="68" t="s">
        <v>192</v>
      </c>
      <c r="D399" s="52">
        <f t="shared" si="56"/>
        <v>341.54172000000005</v>
      </c>
      <c r="E399" s="68">
        <v>0</v>
      </c>
      <c r="F399" s="68">
        <f t="shared" si="55"/>
        <v>546.46675200000016</v>
      </c>
      <c r="G399" s="86"/>
      <c r="H399" s="87"/>
      <c r="I399" s="36"/>
      <c r="L399" s="77"/>
      <c r="M399" s="77"/>
      <c r="N399" s="36"/>
    </row>
    <row r="400" spans="1:14" s="37" customFormat="1" ht="15.75" customHeight="1" x14ac:dyDescent="0.3">
      <c r="A400" s="78">
        <v>11</v>
      </c>
      <c r="B400" s="79"/>
      <c r="C400" s="68" t="s">
        <v>192</v>
      </c>
      <c r="D400" s="52">
        <f t="shared" si="56"/>
        <v>341.54172000000005</v>
      </c>
      <c r="E400" s="68">
        <v>0</v>
      </c>
      <c r="F400" s="68">
        <f t="shared" si="55"/>
        <v>546.46675200000016</v>
      </c>
      <c r="G400" s="86"/>
      <c r="H400" s="87"/>
      <c r="I400" s="36"/>
      <c r="L400" s="77"/>
      <c r="M400" s="77"/>
      <c r="N400" s="36"/>
    </row>
    <row r="401" spans="1:14" s="37" customFormat="1" ht="15.75" customHeight="1" x14ac:dyDescent="0.3">
      <c r="A401" s="78">
        <v>12</v>
      </c>
      <c r="B401" s="79"/>
      <c r="C401" s="68" t="s">
        <v>192</v>
      </c>
      <c r="D401" s="52">
        <f t="shared" si="56"/>
        <v>341.54172000000005</v>
      </c>
      <c r="E401" s="68">
        <v>0</v>
      </c>
      <c r="F401" s="68">
        <f t="shared" si="55"/>
        <v>546.46675200000016</v>
      </c>
      <c r="G401" s="86"/>
      <c r="H401" s="87"/>
      <c r="I401" s="36"/>
      <c r="L401" s="77"/>
      <c r="M401" s="77"/>
      <c r="N401" s="36"/>
    </row>
    <row r="402" spans="1:14" s="37" customFormat="1" ht="15.75" customHeight="1" x14ac:dyDescent="0.3">
      <c r="A402" s="78">
        <v>14</v>
      </c>
      <c r="B402" s="79"/>
      <c r="C402" s="68" t="s">
        <v>192</v>
      </c>
      <c r="D402" s="52">
        <f t="shared" si="56"/>
        <v>341.54172000000005</v>
      </c>
      <c r="E402" s="68">
        <v>0</v>
      </c>
      <c r="F402" s="68">
        <f t="shared" si="55"/>
        <v>546.46675200000016</v>
      </c>
      <c r="G402" s="86"/>
      <c r="H402" s="87"/>
      <c r="I402" s="36"/>
      <c r="L402" s="77"/>
      <c r="M402" s="77"/>
      <c r="N402" s="36"/>
    </row>
    <row r="403" spans="1:14" s="37" customFormat="1" ht="15.75" customHeight="1" x14ac:dyDescent="0.3">
      <c r="A403" s="78">
        <f t="shared" ref="A403:A415" si="57">A402+1</f>
        <v>15</v>
      </c>
      <c r="B403" s="79"/>
      <c r="C403" s="68" t="s">
        <v>192</v>
      </c>
      <c r="D403" s="52">
        <f t="shared" si="56"/>
        <v>341.54172000000005</v>
      </c>
      <c r="E403" s="68">
        <v>0</v>
      </c>
      <c r="F403" s="68">
        <f t="shared" si="55"/>
        <v>546.46675200000016</v>
      </c>
      <c r="G403" s="86"/>
      <c r="H403" s="87"/>
      <c r="J403" s="36"/>
      <c r="L403" s="77"/>
      <c r="M403" s="77"/>
      <c r="N403" s="36"/>
    </row>
    <row r="404" spans="1:14" s="37" customFormat="1" ht="15.75" customHeight="1" x14ac:dyDescent="0.3">
      <c r="A404" s="78">
        <f t="shared" si="57"/>
        <v>16</v>
      </c>
      <c r="B404" s="79"/>
      <c r="C404" s="68" t="s">
        <v>192</v>
      </c>
      <c r="D404" s="52">
        <f t="shared" si="56"/>
        <v>341.54172000000005</v>
      </c>
      <c r="E404" s="68">
        <v>0</v>
      </c>
      <c r="F404" s="68">
        <f t="shared" si="55"/>
        <v>546.46675200000016</v>
      </c>
      <c r="G404" s="86"/>
      <c r="H404" s="87"/>
      <c r="I404" s="36"/>
      <c r="L404" s="77"/>
      <c r="M404" s="77"/>
      <c r="N404" s="36"/>
    </row>
    <row r="405" spans="1:14" s="37" customFormat="1" ht="15.75" customHeight="1" x14ac:dyDescent="0.3">
      <c r="A405" s="78">
        <f t="shared" si="57"/>
        <v>17</v>
      </c>
      <c r="B405" s="79"/>
      <c r="C405" s="68" t="s">
        <v>192</v>
      </c>
      <c r="D405" s="52">
        <f t="shared" si="56"/>
        <v>341.54172000000005</v>
      </c>
      <c r="E405" s="68">
        <v>0</v>
      </c>
      <c r="F405" s="68">
        <f t="shared" si="55"/>
        <v>546.46675200000016</v>
      </c>
      <c r="G405" s="86"/>
      <c r="H405" s="87"/>
      <c r="I405" s="36"/>
      <c r="L405" s="77"/>
      <c r="M405" s="77"/>
      <c r="N405" s="36"/>
    </row>
    <row r="406" spans="1:14" s="37" customFormat="1" ht="15.75" customHeight="1" x14ac:dyDescent="0.3">
      <c r="A406" s="78">
        <f t="shared" si="57"/>
        <v>18</v>
      </c>
      <c r="B406" s="79"/>
      <c r="C406" s="68" t="s">
        <v>192</v>
      </c>
      <c r="D406" s="52">
        <f t="shared" si="56"/>
        <v>341.54172000000005</v>
      </c>
      <c r="E406" s="68">
        <v>0</v>
      </c>
      <c r="F406" s="68">
        <f t="shared" si="55"/>
        <v>546.46675200000016</v>
      </c>
      <c r="G406" s="86"/>
      <c r="H406" s="87"/>
      <c r="I406" s="36"/>
      <c r="L406" s="77"/>
      <c r="M406" s="77"/>
      <c r="N406" s="36"/>
    </row>
    <row r="407" spans="1:14" s="37" customFormat="1" ht="15.75" customHeight="1" x14ac:dyDescent="0.3">
      <c r="A407" s="78">
        <f t="shared" si="57"/>
        <v>19</v>
      </c>
      <c r="B407" s="79"/>
      <c r="C407" s="68" t="s">
        <v>192</v>
      </c>
      <c r="D407" s="52">
        <f t="shared" si="56"/>
        <v>341.54172000000005</v>
      </c>
      <c r="E407" s="68">
        <v>0</v>
      </c>
      <c r="F407" s="68">
        <f t="shared" si="55"/>
        <v>546.46675200000016</v>
      </c>
      <c r="G407" s="86"/>
      <c r="H407" s="87"/>
      <c r="I407" s="36"/>
      <c r="L407" s="77"/>
      <c r="M407" s="77"/>
      <c r="N407" s="36"/>
    </row>
    <row r="408" spans="1:14" s="37" customFormat="1" ht="15.75" customHeight="1" x14ac:dyDescent="0.3">
      <c r="A408" s="78">
        <f t="shared" si="57"/>
        <v>20</v>
      </c>
      <c r="B408" s="79"/>
      <c r="C408" s="68" t="s">
        <v>192</v>
      </c>
      <c r="D408" s="52">
        <f t="shared" si="56"/>
        <v>341.54172000000005</v>
      </c>
      <c r="E408" s="68">
        <v>0</v>
      </c>
      <c r="F408" s="68">
        <f t="shared" si="55"/>
        <v>546.46675200000016</v>
      </c>
      <c r="G408" s="86"/>
      <c r="H408" s="87"/>
      <c r="I408" s="36"/>
      <c r="L408" s="77"/>
      <c r="M408" s="77"/>
      <c r="N408" s="36"/>
    </row>
    <row r="409" spans="1:14" s="37" customFormat="1" ht="15.75" customHeight="1" x14ac:dyDescent="0.3">
      <c r="A409" s="78">
        <f t="shared" si="57"/>
        <v>21</v>
      </c>
      <c r="B409" s="79"/>
      <c r="C409" s="68" t="s">
        <v>192</v>
      </c>
      <c r="D409" s="52">
        <f t="shared" si="56"/>
        <v>341.54172000000005</v>
      </c>
      <c r="E409" s="68">
        <v>0</v>
      </c>
      <c r="F409" s="68">
        <f t="shared" si="55"/>
        <v>546.46675200000016</v>
      </c>
      <c r="G409" s="86"/>
      <c r="H409" s="87"/>
      <c r="I409" s="36"/>
      <c r="L409" s="77"/>
      <c r="M409" s="77"/>
      <c r="N409" s="36"/>
    </row>
    <row r="410" spans="1:14" s="37" customFormat="1" ht="15.75" customHeight="1" x14ac:dyDescent="0.3">
      <c r="A410" s="78">
        <f t="shared" si="57"/>
        <v>22</v>
      </c>
      <c r="B410" s="79"/>
      <c r="C410" s="68" t="s">
        <v>192</v>
      </c>
      <c r="D410" s="52">
        <f t="shared" si="56"/>
        <v>341.54172000000005</v>
      </c>
      <c r="E410" s="68">
        <v>0</v>
      </c>
      <c r="F410" s="68">
        <f t="shared" si="55"/>
        <v>546.46675200000016</v>
      </c>
      <c r="G410" s="86"/>
      <c r="H410" s="87"/>
      <c r="I410" s="36"/>
      <c r="L410" s="77"/>
      <c r="M410" s="77"/>
      <c r="N410" s="36"/>
    </row>
    <row r="411" spans="1:14" s="37" customFormat="1" ht="15.75" customHeight="1" x14ac:dyDescent="0.3">
      <c r="A411" s="78">
        <f t="shared" si="57"/>
        <v>23</v>
      </c>
      <c r="B411" s="79"/>
      <c r="C411" s="68" t="s">
        <v>192</v>
      </c>
      <c r="D411" s="52">
        <f>(8.05*3.75+1.65*1.95+1.5*1.2+0.45*0.9)*(10.764)</f>
        <v>383.30604</v>
      </c>
      <c r="E411" s="68">
        <v>0</v>
      </c>
      <c r="F411" s="68">
        <f t="shared" si="55"/>
        <v>613.28966400000002</v>
      </c>
      <c r="G411" s="86"/>
      <c r="H411" s="87"/>
      <c r="I411" s="36"/>
      <c r="L411" s="77"/>
      <c r="M411" s="77"/>
      <c r="N411" s="36"/>
    </row>
    <row r="412" spans="1:14" s="37" customFormat="1" ht="15.75" customHeight="1" x14ac:dyDescent="0.3">
      <c r="A412" s="78">
        <f t="shared" si="57"/>
        <v>24</v>
      </c>
      <c r="B412" s="79"/>
      <c r="C412" s="68" t="s">
        <v>192</v>
      </c>
      <c r="D412" s="52">
        <f>((5.35+1.65)*3.35)*10.764</f>
        <v>252.41579999999999</v>
      </c>
      <c r="E412" s="68">
        <v>0</v>
      </c>
      <c r="F412" s="68">
        <f t="shared" ref="F412:F414" si="58">(D412+E412)*(($F$130)+1)</f>
        <v>403.86527999999998</v>
      </c>
      <c r="G412" s="86"/>
      <c r="H412" s="87"/>
      <c r="I412" s="36"/>
      <c r="N412" s="36"/>
    </row>
    <row r="413" spans="1:14" s="37" customFormat="1" ht="15.75" customHeight="1" x14ac:dyDescent="0.3">
      <c r="A413" s="78">
        <f t="shared" si="57"/>
        <v>25</v>
      </c>
      <c r="B413" s="79"/>
      <c r="C413" s="68" t="s">
        <v>192</v>
      </c>
      <c r="D413" s="52">
        <f t="shared" ref="D413:D414" si="59">((5.35+1.65)*3.35)*10.764</f>
        <v>252.41579999999999</v>
      </c>
      <c r="E413" s="68">
        <v>0</v>
      </c>
      <c r="F413" s="68">
        <f t="shared" si="58"/>
        <v>403.86527999999998</v>
      </c>
      <c r="G413" s="86"/>
      <c r="H413" s="87"/>
      <c r="I413" s="36"/>
      <c r="N413" s="36"/>
    </row>
    <row r="414" spans="1:14" s="37" customFormat="1" ht="15.75" customHeight="1" x14ac:dyDescent="0.3">
      <c r="A414" s="78">
        <f t="shared" si="57"/>
        <v>26</v>
      </c>
      <c r="B414" s="79"/>
      <c r="C414" s="68" t="s">
        <v>192</v>
      </c>
      <c r="D414" s="52">
        <f t="shared" si="59"/>
        <v>252.41579999999999</v>
      </c>
      <c r="E414" s="68">
        <v>0</v>
      </c>
      <c r="F414" s="68">
        <f t="shared" si="58"/>
        <v>403.86527999999998</v>
      </c>
      <c r="G414" s="86"/>
      <c r="H414" s="87"/>
      <c r="I414" s="36"/>
      <c r="N414" s="36"/>
    </row>
    <row r="415" spans="1:14" s="37" customFormat="1" ht="15.75" customHeight="1" x14ac:dyDescent="0.3">
      <c r="A415" s="78">
        <f t="shared" si="57"/>
        <v>27</v>
      </c>
      <c r="B415" s="79"/>
      <c r="C415" s="68" t="s">
        <v>192</v>
      </c>
      <c r="D415" s="52">
        <f>((5.35*3.35+1.5*1.2+0.45*0.9+1.65*1.55)*10.764)</f>
        <v>244.18134000000001</v>
      </c>
      <c r="E415" s="68">
        <v>0</v>
      </c>
      <c r="F415" s="68">
        <f t="shared" si="55"/>
        <v>390.69014400000003</v>
      </c>
      <c r="G415" s="86"/>
      <c r="H415" s="87"/>
      <c r="I415" s="36"/>
      <c r="N415" s="36"/>
    </row>
    <row r="416" spans="1:14" s="37" customFormat="1" ht="15.75" customHeight="1" x14ac:dyDescent="0.3">
      <c r="A416" s="88" t="s">
        <v>287</v>
      </c>
      <c r="B416" s="89"/>
      <c r="C416" s="89"/>
      <c r="D416" s="89"/>
      <c r="E416" s="89"/>
      <c r="F416" s="89"/>
      <c r="G416" s="89"/>
      <c r="H416" s="90"/>
      <c r="I416" s="36"/>
      <c r="L416" s="77"/>
      <c r="M416" s="77"/>
      <c r="N416" s="36"/>
    </row>
    <row r="417" spans="1:14" s="37" customFormat="1" ht="15.75" customHeight="1" x14ac:dyDescent="0.3">
      <c r="A417" s="78">
        <v>1</v>
      </c>
      <c r="B417" s="79"/>
      <c r="C417" s="68" t="s">
        <v>192</v>
      </c>
      <c r="D417" s="52">
        <f t="shared" ref="D417:D421" si="60">((5.35*3.35+1.5*1.2+0.45*0.9+1.65*1.55)*10.764)</f>
        <v>244.18134000000001</v>
      </c>
      <c r="E417" s="68">
        <v>0</v>
      </c>
      <c r="F417" s="68">
        <f t="shared" ref="F417:F442" si="61">(D417+E417)*(($F$130)+1)</f>
        <v>390.69014400000003</v>
      </c>
      <c r="G417" s="91" t="str">
        <f>A416</f>
        <v>23rd Floor (24th Floor as per Builder)</v>
      </c>
      <c r="H417" s="92"/>
      <c r="I417" s="36"/>
      <c r="L417" s="77"/>
      <c r="M417" s="77"/>
      <c r="N417" s="36"/>
    </row>
    <row r="418" spans="1:14" s="37" customFormat="1" ht="15.75" customHeight="1" x14ac:dyDescent="0.3">
      <c r="A418" s="78">
        <v>2</v>
      </c>
      <c r="B418" s="79"/>
      <c r="C418" s="68" t="s">
        <v>192</v>
      </c>
      <c r="D418" s="52">
        <f t="shared" si="60"/>
        <v>244.18134000000001</v>
      </c>
      <c r="E418" s="68">
        <v>0</v>
      </c>
      <c r="F418" s="68">
        <f t="shared" si="61"/>
        <v>390.69014400000003</v>
      </c>
      <c r="G418" s="86"/>
      <c r="H418" s="87"/>
      <c r="I418" s="36"/>
      <c r="L418" s="77"/>
      <c r="M418" s="77"/>
      <c r="N418" s="36"/>
    </row>
    <row r="419" spans="1:14" s="37" customFormat="1" ht="15.75" customHeight="1" x14ac:dyDescent="0.3">
      <c r="A419" s="78">
        <v>3</v>
      </c>
      <c r="B419" s="79"/>
      <c r="C419" s="68" t="s">
        <v>192</v>
      </c>
      <c r="D419" s="52">
        <f t="shared" si="60"/>
        <v>244.18134000000001</v>
      </c>
      <c r="E419" s="68">
        <v>0</v>
      </c>
      <c r="F419" s="68">
        <f t="shared" si="61"/>
        <v>390.69014400000003</v>
      </c>
      <c r="G419" s="86"/>
      <c r="H419" s="87"/>
      <c r="I419" s="36"/>
      <c r="L419" s="77"/>
      <c r="M419" s="77"/>
      <c r="N419" s="36"/>
    </row>
    <row r="420" spans="1:14" s="37" customFormat="1" ht="15.75" customHeight="1" x14ac:dyDescent="0.3">
      <c r="A420" s="78">
        <v>4</v>
      </c>
      <c r="B420" s="79"/>
      <c r="C420" s="68" t="s">
        <v>192</v>
      </c>
      <c r="D420" s="52">
        <f t="shared" si="60"/>
        <v>244.18134000000001</v>
      </c>
      <c r="E420" s="68">
        <v>0</v>
      </c>
      <c r="F420" s="68">
        <f t="shared" si="61"/>
        <v>390.69014400000003</v>
      </c>
      <c r="G420" s="86"/>
      <c r="H420" s="87"/>
      <c r="I420" s="36"/>
      <c r="L420" s="77"/>
      <c r="M420" s="77"/>
      <c r="N420" s="36"/>
    </row>
    <row r="421" spans="1:14" s="37" customFormat="1" ht="15.75" customHeight="1" x14ac:dyDescent="0.3">
      <c r="A421" s="78">
        <v>5</v>
      </c>
      <c r="B421" s="79"/>
      <c r="C421" s="68" t="s">
        <v>192</v>
      </c>
      <c r="D421" s="52">
        <f t="shared" si="60"/>
        <v>244.18134000000001</v>
      </c>
      <c r="E421" s="68">
        <v>0</v>
      </c>
      <c r="F421" s="68">
        <f t="shared" si="61"/>
        <v>390.69014400000003</v>
      </c>
      <c r="G421" s="86"/>
      <c r="H421" s="87"/>
      <c r="I421" s="36"/>
      <c r="L421" s="77"/>
      <c r="M421" s="77"/>
      <c r="N421" s="36"/>
    </row>
    <row r="422" spans="1:14" s="37" customFormat="1" ht="15.75" customHeight="1" x14ac:dyDescent="0.3">
      <c r="A422" s="78">
        <v>6</v>
      </c>
      <c r="B422" s="79"/>
      <c r="C422" s="68" t="s">
        <v>192</v>
      </c>
      <c r="D422" s="52">
        <f>(5.35*3.35+1.65*1.75+1.5*1.2+0.45*0.9)*(10.764)</f>
        <v>247.73345999999998</v>
      </c>
      <c r="E422" s="68">
        <v>0</v>
      </c>
      <c r="F422" s="68">
        <f t="shared" si="61"/>
        <v>396.373536</v>
      </c>
      <c r="G422" s="86"/>
      <c r="H422" s="87"/>
      <c r="I422" s="36"/>
      <c r="J422" s="37">
        <f>4.93*6+5.1*3.85+3.3*1.65+1.2*0.6+1.3*0.9</f>
        <v>56.55</v>
      </c>
      <c r="L422" s="77"/>
      <c r="M422" s="77"/>
      <c r="N422" s="36"/>
    </row>
    <row r="423" spans="1:14" s="37" customFormat="1" ht="15.75" customHeight="1" x14ac:dyDescent="0.3">
      <c r="A423" s="78">
        <v>7</v>
      </c>
      <c r="B423" s="79"/>
      <c r="C423" s="68" t="s">
        <v>192</v>
      </c>
      <c r="D423" s="52">
        <f>(8.05*3.35+1.65*1.75+1.5*1.2+0.45*0.9)*(10.764)</f>
        <v>345.09384</v>
      </c>
      <c r="E423" s="68">
        <v>0</v>
      </c>
      <c r="F423" s="68">
        <f t="shared" si="61"/>
        <v>552.15014400000007</v>
      </c>
      <c r="G423" s="86"/>
      <c r="H423" s="87"/>
      <c r="I423" s="36"/>
      <c r="L423" s="77"/>
      <c r="M423" s="77"/>
      <c r="N423" s="36"/>
    </row>
    <row r="424" spans="1:14" s="37" customFormat="1" ht="15.75" customHeight="1" x14ac:dyDescent="0.3">
      <c r="A424" s="78">
        <v>8</v>
      </c>
      <c r="B424" s="79"/>
      <c r="C424" s="68" t="s">
        <v>192</v>
      </c>
      <c r="D424" s="52">
        <f>(8.05*3.35+1.65*1.55+1.5*1.2+0.45*0.9)*(10.764)</f>
        <v>341.54172000000005</v>
      </c>
      <c r="E424" s="68">
        <v>0</v>
      </c>
      <c r="F424" s="68">
        <f t="shared" si="61"/>
        <v>546.46675200000016</v>
      </c>
      <c r="G424" s="86"/>
      <c r="H424" s="87"/>
      <c r="I424" s="36"/>
      <c r="L424" s="77"/>
      <c r="M424" s="77"/>
      <c r="N424" s="36"/>
    </row>
    <row r="425" spans="1:14" s="37" customFormat="1" ht="15.75" customHeight="1" x14ac:dyDescent="0.3">
      <c r="A425" s="78">
        <v>9</v>
      </c>
      <c r="B425" s="79"/>
      <c r="C425" s="68" t="s">
        <v>192</v>
      </c>
      <c r="D425" s="52">
        <f t="shared" ref="D425:D437" si="62">(8.05*3.35+1.65*1.55+1.5*1.2+0.45*0.9)*(10.764)</f>
        <v>341.54172000000005</v>
      </c>
      <c r="E425" s="68">
        <v>0</v>
      </c>
      <c r="F425" s="68">
        <f t="shared" si="61"/>
        <v>546.46675200000016</v>
      </c>
      <c r="G425" s="86"/>
      <c r="H425" s="87"/>
      <c r="I425" s="36"/>
      <c r="L425" s="77"/>
      <c r="M425" s="77"/>
      <c r="N425" s="36"/>
    </row>
    <row r="426" spans="1:14" s="37" customFormat="1" ht="15.75" customHeight="1" x14ac:dyDescent="0.3">
      <c r="A426" s="78">
        <v>10</v>
      </c>
      <c r="B426" s="79"/>
      <c r="C426" s="68" t="s">
        <v>192</v>
      </c>
      <c r="D426" s="52">
        <f t="shared" si="62"/>
        <v>341.54172000000005</v>
      </c>
      <c r="E426" s="68">
        <v>0</v>
      </c>
      <c r="F426" s="68">
        <f t="shared" si="61"/>
        <v>546.46675200000016</v>
      </c>
      <c r="G426" s="86"/>
      <c r="H426" s="87"/>
      <c r="I426" s="36"/>
      <c r="L426" s="77"/>
      <c r="M426" s="77"/>
      <c r="N426" s="36"/>
    </row>
    <row r="427" spans="1:14" s="37" customFormat="1" ht="15.75" customHeight="1" x14ac:dyDescent="0.3">
      <c r="A427" s="78">
        <v>11</v>
      </c>
      <c r="B427" s="79"/>
      <c r="C427" s="68" t="s">
        <v>192</v>
      </c>
      <c r="D427" s="52">
        <f t="shared" si="62"/>
        <v>341.54172000000005</v>
      </c>
      <c r="E427" s="68">
        <v>0</v>
      </c>
      <c r="F427" s="68">
        <f t="shared" si="61"/>
        <v>546.46675200000016</v>
      </c>
      <c r="G427" s="86"/>
      <c r="H427" s="87"/>
      <c r="I427" s="36"/>
      <c r="L427" s="77"/>
      <c r="M427" s="77"/>
      <c r="N427" s="36"/>
    </row>
    <row r="428" spans="1:14" s="37" customFormat="1" ht="15.75" customHeight="1" x14ac:dyDescent="0.3">
      <c r="A428" s="78">
        <v>12</v>
      </c>
      <c r="B428" s="79"/>
      <c r="C428" s="68" t="s">
        <v>192</v>
      </c>
      <c r="D428" s="52">
        <f t="shared" si="62"/>
        <v>341.54172000000005</v>
      </c>
      <c r="E428" s="68">
        <v>0</v>
      </c>
      <c r="F428" s="68">
        <f t="shared" si="61"/>
        <v>546.46675200000016</v>
      </c>
      <c r="G428" s="86"/>
      <c r="H428" s="87"/>
      <c r="I428" s="36"/>
      <c r="L428" s="77"/>
      <c r="M428" s="77"/>
      <c r="N428" s="36"/>
    </row>
    <row r="429" spans="1:14" s="37" customFormat="1" ht="15.75" customHeight="1" x14ac:dyDescent="0.3">
      <c r="A429" s="78">
        <v>14</v>
      </c>
      <c r="B429" s="79"/>
      <c r="C429" s="68" t="s">
        <v>192</v>
      </c>
      <c r="D429" s="52">
        <f t="shared" si="62"/>
        <v>341.54172000000005</v>
      </c>
      <c r="E429" s="68">
        <v>0</v>
      </c>
      <c r="F429" s="68">
        <f t="shared" si="61"/>
        <v>546.46675200000016</v>
      </c>
      <c r="G429" s="86"/>
      <c r="H429" s="87"/>
      <c r="J429" s="36"/>
      <c r="L429" s="77"/>
      <c r="M429" s="77"/>
      <c r="N429" s="36"/>
    </row>
    <row r="430" spans="1:14" s="37" customFormat="1" ht="15.75" customHeight="1" x14ac:dyDescent="0.3">
      <c r="A430" s="78">
        <f t="shared" ref="A430:A438" si="63">A429+1</f>
        <v>15</v>
      </c>
      <c r="B430" s="79"/>
      <c r="C430" s="68" t="s">
        <v>192</v>
      </c>
      <c r="D430" s="52">
        <f t="shared" si="62"/>
        <v>341.54172000000005</v>
      </c>
      <c r="E430" s="68">
        <v>0</v>
      </c>
      <c r="F430" s="68">
        <f t="shared" si="61"/>
        <v>546.46675200000016</v>
      </c>
      <c r="G430" s="86"/>
      <c r="H430" s="87"/>
      <c r="I430" s="36"/>
      <c r="L430" s="77"/>
      <c r="M430" s="77"/>
      <c r="N430" s="36"/>
    </row>
    <row r="431" spans="1:14" s="37" customFormat="1" ht="15.75" customHeight="1" x14ac:dyDescent="0.3">
      <c r="A431" s="78">
        <f t="shared" si="63"/>
        <v>16</v>
      </c>
      <c r="B431" s="79"/>
      <c r="C431" s="68" t="s">
        <v>192</v>
      </c>
      <c r="D431" s="52">
        <f t="shared" si="62"/>
        <v>341.54172000000005</v>
      </c>
      <c r="E431" s="68">
        <v>0</v>
      </c>
      <c r="F431" s="68">
        <f t="shared" si="61"/>
        <v>546.46675200000016</v>
      </c>
      <c r="G431" s="86"/>
      <c r="H431" s="87"/>
      <c r="I431" s="36"/>
      <c r="L431" s="77"/>
      <c r="M431" s="77"/>
      <c r="N431" s="36"/>
    </row>
    <row r="432" spans="1:14" s="37" customFormat="1" ht="15.75" customHeight="1" x14ac:dyDescent="0.3">
      <c r="A432" s="78">
        <f t="shared" si="63"/>
        <v>17</v>
      </c>
      <c r="B432" s="79"/>
      <c r="C432" s="68" t="s">
        <v>192</v>
      </c>
      <c r="D432" s="52">
        <f t="shared" si="62"/>
        <v>341.54172000000005</v>
      </c>
      <c r="E432" s="68">
        <v>0</v>
      </c>
      <c r="F432" s="68">
        <f t="shared" si="61"/>
        <v>546.46675200000016</v>
      </c>
      <c r="G432" s="86"/>
      <c r="H432" s="87"/>
      <c r="I432" s="36"/>
      <c r="L432" s="77"/>
      <c r="M432" s="77"/>
      <c r="N432" s="36"/>
    </row>
    <row r="433" spans="1:14" s="37" customFormat="1" ht="15.75" customHeight="1" x14ac:dyDescent="0.3">
      <c r="A433" s="78">
        <f t="shared" si="63"/>
        <v>18</v>
      </c>
      <c r="B433" s="79"/>
      <c r="C433" s="68" t="s">
        <v>192</v>
      </c>
      <c r="D433" s="52">
        <f t="shared" si="62"/>
        <v>341.54172000000005</v>
      </c>
      <c r="E433" s="68">
        <v>0</v>
      </c>
      <c r="F433" s="68">
        <f t="shared" si="61"/>
        <v>546.46675200000016</v>
      </c>
      <c r="G433" s="86"/>
      <c r="H433" s="87"/>
      <c r="I433" s="36"/>
      <c r="L433" s="77"/>
      <c r="M433" s="77"/>
      <c r="N433" s="36"/>
    </row>
    <row r="434" spans="1:14" s="37" customFormat="1" ht="15.75" customHeight="1" x14ac:dyDescent="0.3">
      <c r="A434" s="78">
        <f t="shared" si="63"/>
        <v>19</v>
      </c>
      <c r="B434" s="79"/>
      <c r="C434" s="68" t="s">
        <v>192</v>
      </c>
      <c r="D434" s="52">
        <f t="shared" si="62"/>
        <v>341.54172000000005</v>
      </c>
      <c r="E434" s="68">
        <v>0</v>
      </c>
      <c r="F434" s="68">
        <f t="shared" si="61"/>
        <v>546.46675200000016</v>
      </c>
      <c r="G434" s="86"/>
      <c r="H434" s="87"/>
      <c r="I434" s="36"/>
      <c r="L434" s="77"/>
      <c r="M434" s="77"/>
      <c r="N434" s="36"/>
    </row>
    <row r="435" spans="1:14" s="37" customFormat="1" ht="15.75" customHeight="1" x14ac:dyDescent="0.3">
      <c r="A435" s="78">
        <f t="shared" si="63"/>
        <v>20</v>
      </c>
      <c r="B435" s="79"/>
      <c r="C435" s="68" t="s">
        <v>192</v>
      </c>
      <c r="D435" s="52">
        <f t="shared" si="62"/>
        <v>341.54172000000005</v>
      </c>
      <c r="E435" s="68">
        <v>0</v>
      </c>
      <c r="F435" s="68">
        <f t="shared" si="61"/>
        <v>546.46675200000016</v>
      </c>
      <c r="G435" s="86"/>
      <c r="H435" s="87"/>
      <c r="I435" s="36"/>
      <c r="L435" s="77"/>
      <c r="M435" s="77"/>
      <c r="N435" s="36"/>
    </row>
    <row r="436" spans="1:14" s="37" customFormat="1" ht="15.75" customHeight="1" x14ac:dyDescent="0.3">
      <c r="A436" s="78">
        <f t="shared" si="63"/>
        <v>21</v>
      </c>
      <c r="B436" s="79"/>
      <c r="C436" s="68" t="s">
        <v>192</v>
      </c>
      <c r="D436" s="52">
        <f t="shared" si="62"/>
        <v>341.54172000000005</v>
      </c>
      <c r="E436" s="68">
        <v>0</v>
      </c>
      <c r="F436" s="68">
        <f t="shared" si="61"/>
        <v>546.46675200000016</v>
      </c>
      <c r="G436" s="86"/>
      <c r="H436" s="87"/>
      <c r="I436" s="36"/>
      <c r="L436" s="77"/>
      <c r="M436" s="77"/>
      <c r="N436" s="36"/>
    </row>
    <row r="437" spans="1:14" s="37" customFormat="1" ht="15.75" customHeight="1" x14ac:dyDescent="0.3">
      <c r="A437" s="78">
        <f t="shared" si="63"/>
        <v>22</v>
      </c>
      <c r="B437" s="79"/>
      <c r="C437" s="68" t="s">
        <v>192</v>
      </c>
      <c r="D437" s="52">
        <f t="shared" si="62"/>
        <v>341.54172000000005</v>
      </c>
      <c r="E437" s="68">
        <v>0</v>
      </c>
      <c r="F437" s="68">
        <f t="shared" si="61"/>
        <v>546.46675200000016</v>
      </c>
      <c r="G437" s="86"/>
      <c r="H437" s="87"/>
      <c r="I437" s="36"/>
      <c r="L437" s="77"/>
      <c r="M437" s="77"/>
      <c r="N437" s="36"/>
    </row>
    <row r="438" spans="1:14" s="37" customFormat="1" ht="15.75" customHeight="1" x14ac:dyDescent="0.3">
      <c r="A438" s="78">
        <f t="shared" si="63"/>
        <v>23</v>
      </c>
      <c r="B438" s="79"/>
      <c r="C438" s="68" t="s">
        <v>192</v>
      </c>
      <c r="D438" s="52">
        <f>(8.05*3.75+1.65*1.95+1.5*1.2+0.45*0.9)*(10.764)</f>
        <v>383.30604</v>
      </c>
      <c r="E438" s="68">
        <v>0</v>
      </c>
      <c r="F438" s="68">
        <f t="shared" si="61"/>
        <v>613.28966400000002</v>
      </c>
      <c r="G438" s="86"/>
      <c r="H438" s="87"/>
      <c r="I438" s="36"/>
      <c r="L438" s="77"/>
      <c r="M438" s="77"/>
      <c r="N438" s="36"/>
    </row>
    <row r="439" spans="1:14" s="37" customFormat="1" x14ac:dyDescent="0.3">
      <c r="A439" s="78">
        <v>24</v>
      </c>
      <c r="B439" s="79"/>
      <c r="C439" s="68" t="s">
        <v>192</v>
      </c>
      <c r="D439" s="52">
        <f t="shared" ref="D439:D442" si="64">((5.35*3.35+1.5*1.2+0.45*0.9+1.65*1.55)*10.764)</f>
        <v>244.18134000000001</v>
      </c>
      <c r="E439" s="68">
        <v>0</v>
      </c>
      <c r="F439" s="68">
        <f t="shared" si="61"/>
        <v>390.69014400000003</v>
      </c>
      <c r="G439" s="86"/>
      <c r="H439" s="87"/>
      <c r="I439" s="36"/>
      <c r="K439" s="36"/>
    </row>
    <row r="440" spans="1:14" s="37" customFormat="1" ht="15.75" customHeight="1" x14ac:dyDescent="0.3">
      <c r="A440" s="78">
        <v>25</v>
      </c>
      <c r="B440" s="79"/>
      <c r="C440" s="68" t="s">
        <v>192</v>
      </c>
      <c r="D440" s="52">
        <f t="shared" si="64"/>
        <v>244.18134000000001</v>
      </c>
      <c r="E440" s="68">
        <v>0</v>
      </c>
      <c r="F440" s="68">
        <f t="shared" si="61"/>
        <v>390.69014400000003</v>
      </c>
      <c r="G440" s="86"/>
      <c r="H440" s="87"/>
      <c r="I440" s="36"/>
      <c r="L440" s="77"/>
      <c r="M440" s="77"/>
      <c r="N440" s="36"/>
    </row>
    <row r="441" spans="1:14" s="37" customFormat="1" ht="15.75" customHeight="1" x14ac:dyDescent="0.3">
      <c r="A441" s="78">
        <v>26</v>
      </c>
      <c r="B441" s="79"/>
      <c r="C441" s="68" t="s">
        <v>192</v>
      </c>
      <c r="D441" s="52">
        <f t="shared" si="64"/>
        <v>244.18134000000001</v>
      </c>
      <c r="E441" s="68">
        <v>0</v>
      </c>
      <c r="F441" s="68">
        <f t="shared" si="61"/>
        <v>390.69014400000003</v>
      </c>
      <c r="G441" s="86"/>
      <c r="H441" s="87"/>
      <c r="I441" s="36"/>
      <c r="L441" s="77"/>
      <c r="M441" s="77"/>
      <c r="N441" s="36"/>
    </row>
    <row r="442" spans="1:14" s="37" customFormat="1" ht="15.75" customHeight="1" x14ac:dyDescent="0.3">
      <c r="A442" s="78">
        <v>27</v>
      </c>
      <c r="B442" s="79"/>
      <c r="C442" s="68" t="s">
        <v>192</v>
      </c>
      <c r="D442" s="52">
        <f t="shared" si="64"/>
        <v>244.18134000000001</v>
      </c>
      <c r="E442" s="68">
        <v>0</v>
      </c>
      <c r="F442" s="68">
        <f t="shared" si="61"/>
        <v>390.69014400000003</v>
      </c>
      <c r="G442" s="86"/>
      <c r="H442" s="87"/>
      <c r="I442" s="36"/>
      <c r="L442" s="77"/>
      <c r="M442" s="77"/>
      <c r="N442" s="36"/>
    </row>
    <row r="443" spans="1:14" s="37" customFormat="1" x14ac:dyDescent="0.3">
      <c r="A443" s="88" t="s">
        <v>240</v>
      </c>
      <c r="B443" s="89"/>
      <c r="C443" s="89"/>
      <c r="D443" s="89"/>
      <c r="E443" s="89"/>
      <c r="F443" s="89"/>
      <c r="G443" s="89"/>
      <c r="H443" s="90"/>
      <c r="I443" s="36"/>
      <c r="K443" s="36"/>
    </row>
    <row r="444" spans="1:14" s="37" customFormat="1" ht="15.75" customHeight="1" x14ac:dyDescent="0.3">
      <c r="A444" s="78">
        <v>1</v>
      </c>
      <c r="B444" s="79"/>
      <c r="C444" s="68" t="s">
        <v>192</v>
      </c>
      <c r="D444" s="52">
        <f t="shared" ref="D444:D448" si="65">((5.35*3.35+1.5*1.2+0.45*0.9+1.65*1.55)*10.764)</f>
        <v>244.18134000000001</v>
      </c>
      <c r="E444" s="68">
        <v>0</v>
      </c>
      <c r="F444" s="68">
        <f t="shared" ref="F444:F463" si="66">(D444+E444)*(($F$130)+1)</f>
        <v>390.69014400000003</v>
      </c>
      <c r="G444" s="91" t="str">
        <f>A443</f>
        <v>24th Floor (25th Floor as per Builder)</v>
      </c>
      <c r="H444" s="92"/>
      <c r="I444" s="36"/>
      <c r="L444" s="77"/>
      <c r="M444" s="77"/>
      <c r="N444" s="36"/>
    </row>
    <row r="445" spans="1:14" s="37" customFormat="1" ht="15.75" customHeight="1" x14ac:dyDescent="0.3">
      <c r="A445" s="78">
        <v>2</v>
      </c>
      <c r="B445" s="79"/>
      <c r="C445" s="68" t="s">
        <v>192</v>
      </c>
      <c r="D445" s="52">
        <f t="shared" si="65"/>
        <v>244.18134000000001</v>
      </c>
      <c r="E445" s="68">
        <v>0</v>
      </c>
      <c r="F445" s="68">
        <f t="shared" si="66"/>
        <v>390.69014400000003</v>
      </c>
      <c r="G445" s="86"/>
      <c r="H445" s="87"/>
      <c r="I445" s="36"/>
      <c r="L445" s="77"/>
      <c r="M445" s="77"/>
      <c r="N445" s="36"/>
    </row>
    <row r="446" spans="1:14" s="37" customFormat="1" ht="15.75" customHeight="1" x14ac:dyDescent="0.3">
      <c r="A446" s="78">
        <v>3</v>
      </c>
      <c r="B446" s="79"/>
      <c r="C446" s="68" t="s">
        <v>192</v>
      </c>
      <c r="D446" s="52">
        <f t="shared" si="65"/>
        <v>244.18134000000001</v>
      </c>
      <c r="E446" s="68">
        <v>0</v>
      </c>
      <c r="F446" s="68">
        <f t="shared" si="66"/>
        <v>390.69014400000003</v>
      </c>
      <c r="G446" s="86"/>
      <c r="H446" s="87"/>
      <c r="I446" s="36"/>
      <c r="L446" s="77"/>
      <c r="M446" s="77"/>
      <c r="N446" s="36"/>
    </row>
    <row r="447" spans="1:14" s="37" customFormat="1" ht="15.75" customHeight="1" x14ac:dyDescent="0.3">
      <c r="A447" s="78">
        <v>4</v>
      </c>
      <c r="B447" s="79"/>
      <c r="C447" s="68" t="s">
        <v>192</v>
      </c>
      <c r="D447" s="52">
        <f t="shared" si="65"/>
        <v>244.18134000000001</v>
      </c>
      <c r="E447" s="68">
        <v>0</v>
      </c>
      <c r="F447" s="68">
        <f t="shared" si="66"/>
        <v>390.69014400000003</v>
      </c>
      <c r="G447" s="86"/>
      <c r="H447" s="87"/>
      <c r="I447" s="36"/>
      <c r="J447" s="37">
        <f>4.93*6+5.1*3.85+3.3*1.65+1.2*0.6+1.3*0.9</f>
        <v>56.55</v>
      </c>
      <c r="L447" s="77"/>
      <c r="M447" s="77"/>
      <c r="N447" s="36"/>
    </row>
    <row r="448" spans="1:14" s="37" customFormat="1" ht="15.75" customHeight="1" x14ac:dyDescent="0.3">
      <c r="A448" s="78">
        <v>5</v>
      </c>
      <c r="B448" s="79"/>
      <c r="C448" s="68" t="s">
        <v>192</v>
      </c>
      <c r="D448" s="52">
        <f t="shared" si="65"/>
        <v>244.18134000000001</v>
      </c>
      <c r="E448" s="68">
        <v>0</v>
      </c>
      <c r="F448" s="68">
        <f t="shared" si="66"/>
        <v>390.69014400000003</v>
      </c>
      <c r="G448" s="86"/>
      <c r="H448" s="87"/>
      <c r="I448" s="36"/>
      <c r="L448" s="77"/>
      <c r="M448" s="77"/>
      <c r="N448" s="36"/>
    </row>
    <row r="449" spans="1:14" s="37" customFormat="1" ht="15.75" customHeight="1" x14ac:dyDescent="0.3">
      <c r="A449" s="78">
        <v>6</v>
      </c>
      <c r="B449" s="79"/>
      <c r="C449" s="68" t="s">
        <v>192</v>
      </c>
      <c r="D449" s="52">
        <f>(5.35*3.35+1.65*1.75+1.5*1.2+0.45*0.9)*10.764</f>
        <v>247.73345999999998</v>
      </c>
      <c r="E449" s="68">
        <v>0</v>
      </c>
      <c r="F449" s="68">
        <f t="shared" si="66"/>
        <v>396.373536</v>
      </c>
      <c r="G449" s="86"/>
      <c r="H449" s="87"/>
      <c r="I449" s="36"/>
      <c r="N449" s="36"/>
    </row>
    <row r="450" spans="1:14" s="37" customFormat="1" ht="15.75" customHeight="1" x14ac:dyDescent="0.3">
      <c r="A450" s="78">
        <v>7</v>
      </c>
      <c r="B450" s="79"/>
      <c r="C450" s="68" t="s">
        <v>192</v>
      </c>
      <c r="D450" s="52">
        <f>(8.05*6.85+1.05*3.45+(1.5*1.2+0.45*0.9)*2)*(10.764)</f>
        <v>680.01570000000004</v>
      </c>
      <c r="E450" s="68">
        <v>0</v>
      </c>
      <c r="F450" s="68">
        <f t="shared" si="66"/>
        <v>1088.02512</v>
      </c>
      <c r="G450" s="86"/>
      <c r="H450" s="87"/>
      <c r="I450" s="36"/>
      <c r="L450" s="77"/>
      <c r="M450" s="77"/>
      <c r="N450" s="36"/>
    </row>
    <row r="451" spans="1:14" s="37" customFormat="1" ht="15.75" customHeight="1" x14ac:dyDescent="0.3">
      <c r="A451" s="78">
        <v>9</v>
      </c>
      <c r="B451" s="79"/>
      <c r="C451" s="68" t="s">
        <v>192</v>
      </c>
      <c r="D451" s="52">
        <f>(8.05*6.85+1.05*5.05+1.5*1.2+0.45*0.9+0.6*(1.55+2.9))*(10.764)</f>
        <v>703.10448000000008</v>
      </c>
      <c r="E451" s="68">
        <v>0</v>
      </c>
      <c r="F451" s="68">
        <f t="shared" si="66"/>
        <v>1124.9671680000001</v>
      </c>
      <c r="G451" s="86"/>
      <c r="H451" s="87"/>
      <c r="I451" s="36"/>
      <c r="L451" s="77"/>
      <c r="M451" s="77"/>
      <c r="N451" s="36"/>
    </row>
    <row r="452" spans="1:14" s="37" customFormat="1" ht="15.75" customHeight="1" x14ac:dyDescent="0.3">
      <c r="A452" s="78">
        <v>11</v>
      </c>
      <c r="B452" s="79"/>
      <c r="C452" s="68" t="s">
        <v>192</v>
      </c>
      <c r="D452" s="52">
        <f>(8.05*3.35+1.65*1.55+1.5*1.2+0.45*0.9)*(10.764)</f>
        <v>341.54172000000005</v>
      </c>
      <c r="E452" s="68">
        <v>0</v>
      </c>
      <c r="F452" s="68">
        <f t="shared" si="66"/>
        <v>546.46675200000016</v>
      </c>
      <c r="G452" s="86"/>
      <c r="H452" s="87"/>
      <c r="I452" s="36"/>
      <c r="L452" s="77"/>
      <c r="M452" s="77"/>
      <c r="N452" s="36"/>
    </row>
    <row r="453" spans="1:14" s="37" customFormat="1" ht="15.75" customHeight="1" x14ac:dyDescent="0.3">
      <c r="A453" s="78">
        <v>12</v>
      </c>
      <c r="B453" s="79"/>
      <c r="C453" s="68" t="s">
        <v>192</v>
      </c>
      <c r="D453" s="52">
        <f t="shared" ref="D453:D462" si="67">(8.05*3.35+1.65*1.55+1.5*1.2+0.45*0.9)*(10.764)</f>
        <v>341.54172000000005</v>
      </c>
      <c r="E453" s="68">
        <v>0</v>
      </c>
      <c r="F453" s="68">
        <f t="shared" si="66"/>
        <v>546.46675200000016</v>
      </c>
      <c r="G453" s="86"/>
      <c r="H453" s="87"/>
      <c r="I453" s="36"/>
      <c r="L453" s="77"/>
      <c r="M453" s="77"/>
      <c r="N453" s="36"/>
    </row>
    <row r="454" spans="1:14" s="37" customFormat="1" ht="15.75" customHeight="1" x14ac:dyDescent="0.3">
      <c r="A454" s="78">
        <v>14</v>
      </c>
      <c r="B454" s="79"/>
      <c r="C454" s="68" t="s">
        <v>192</v>
      </c>
      <c r="D454" s="52">
        <f t="shared" si="67"/>
        <v>341.54172000000005</v>
      </c>
      <c r="E454" s="68">
        <v>0</v>
      </c>
      <c r="F454" s="68">
        <f t="shared" si="66"/>
        <v>546.46675200000016</v>
      </c>
      <c r="G454" s="86"/>
      <c r="H454" s="87"/>
      <c r="I454" s="36"/>
      <c r="L454" s="77"/>
      <c r="M454" s="77"/>
      <c r="N454" s="36"/>
    </row>
    <row r="455" spans="1:14" s="37" customFormat="1" ht="15.75" customHeight="1" x14ac:dyDescent="0.3">
      <c r="A455" s="78">
        <f t="shared" ref="A455:A463" si="68">A454+1</f>
        <v>15</v>
      </c>
      <c r="B455" s="79"/>
      <c r="C455" s="68" t="s">
        <v>192</v>
      </c>
      <c r="D455" s="52">
        <f t="shared" si="67"/>
        <v>341.54172000000005</v>
      </c>
      <c r="E455" s="68">
        <v>0</v>
      </c>
      <c r="F455" s="68">
        <f t="shared" si="66"/>
        <v>546.46675200000016</v>
      </c>
      <c r="G455" s="86"/>
      <c r="H455" s="87"/>
      <c r="I455" s="36"/>
      <c r="L455" s="77"/>
      <c r="M455" s="77"/>
      <c r="N455" s="36"/>
    </row>
    <row r="456" spans="1:14" s="37" customFormat="1" ht="15.75" customHeight="1" x14ac:dyDescent="0.3">
      <c r="A456" s="78">
        <f t="shared" si="68"/>
        <v>16</v>
      </c>
      <c r="B456" s="79"/>
      <c r="C456" s="68" t="s">
        <v>192</v>
      </c>
      <c r="D456" s="52">
        <f t="shared" si="67"/>
        <v>341.54172000000005</v>
      </c>
      <c r="E456" s="68">
        <v>0</v>
      </c>
      <c r="F456" s="68">
        <f t="shared" si="66"/>
        <v>546.46675200000016</v>
      </c>
      <c r="G456" s="86"/>
      <c r="H456" s="87"/>
      <c r="I456" s="36"/>
      <c r="L456" s="77"/>
      <c r="M456" s="77"/>
      <c r="N456" s="36"/>
    </row>
    <row r="457" spans="1:14" s="37" customFormat="1" ht="15.75" customHeight="1" x14ac:dyDescent="0.3">
      <c r="A457" s="78">
        <f t="shared" si="68"/>
        <v>17</v>
      </c>
      <c r="B457" s="79"/>
      <c r="C457" s="68" t="s">
        <v>192</v>
      </c>
      <c r="D457" s="52">
        <f t="shared" si="67"/>
        <v>341.54172000000005</v>
      </c>
      <c r="E457" s="68">
        <v>0</v>
      </c>
      <c r="F457" s="68">
        <f t="shared" si="66"/>
        <v>546.46675200000016</v>
      </c>
      <c r="G457" s="86"/>
      <c r="H457" s="87"/>
      <c r="I457" s="36"/>
      <c r="L457" s="77"/>
      <c r="M457" s="77"/>
      <c r="N457" s="36"/>
    </row>
    <row r="458" spans="1:14" s="37" customFormat="1" ht="15.75" customHeight="1" x14ac:dyDescent="0.3">
      <c r="A458" s="78">
        <f t="shared" si="68"/>
        <v>18</v>
      </c>
      <c r="B458" s="79"/>
      <c r="C458" s="68" t="s">
        <v>192</v>
      </c>
      <c r="D458" s="52">
        <f t="shared" si="67"/>
        <v>341.54172000000005</v>
      </c>
      <c r="E458" s="68">
        <v>0</v>
      </c>
      <c r="F458" s="68">
        <f t="shared" si="66"/>
        <v>546.46675200000016</v>
      </c>
      <c r="G458" s="86"/>
      <c r="H458" s="87"/>
      <c r="J458" s="36"/>
      <c r="L458" s="77"/>
      <c r="M458" s="77"/>
      <c r="N458" s="36"/>
    </row>
    <row r="459" spans="1:14" s="37" customFormat="1" ht="15.75" customHeight="1" x14ac:dyDescent="0.3">
      <c r="A459" s="78">
        <f t="shared" si="68"/>
        <v>19</v>
      </c>
      <c r="B459" s="79"/>
      <c r="C459" s="68" t="s">
        <v>192</v>
      </c>
      <c r="D459" s="52">
        <f t="shared" si="67"/>
        <v>341.54172000000005</v>
      </c>
      <c r="E459" s="68">
        <v>0</v>
      </c>
      <c r="F459" s="68">
        <f t="shared" si="66"/>
        <v>546.46675200000016</v>
      </c>
      <c r="G459" s="86"/>
      <c r="H459" s="87"/>
      <c r="I459" s="36"/>
      <c r="L459" s="77"/>
      <c r="M459" s="77"/>
      <c r="N459" s="36"/>
    </row>
    <row r="460" spans="1:14" s="37" customFormat="1" ht="15.75" customHeight="1" x14ac:dyDescent="0.3">
      <c r="A460" s="78">
        <f t="shared" si="68"/>
        <v>20</v>
      </c>
      <c r="B460" s="79"/>
      <c r="C460" s="68" t="s">
        <v>192</v>
      </c>
      <c r="D460" s="52">
        <f t="shared" si="67"/>
        <v>341.54172000000005</v>
      </c>
      <c r="E460" s="68">
        <v>0</v>
      </c>
      <c r="F460" s="68">
        <f t="shared" si="66"/>
        <v>546.46675200000016</v>
      </c>
      <c r="G460" s="86"/>
      <c r="H460" s="87"/>
      <c r="I460" s="36"/>
      <c r="L460" s="77"/>
      <c r="M460" s="77"/>
      <c r="N460" s="36"/>
    </row>
    <row r="461" spans="1:14" s="37" customFormat="1" ht="15.75" customHeight="1" x14ac:dyDescent="0.3">
      <c r="A461" s="78">
        <f t="shared" si="68"/>
        <v>21</v>
      </c>
      <c r="B461" s="79"/>
      <c r="C461" s="68" t="s">
        <v>192</v>
      </c>
      <c r="D461" s="52">
        <f t="shared" si="67"/>
        <v>341.54172000000005</v>
      </c>
      <c r="E461" s="68">
        <v>0</v>
      </c>
      <c r="F461" s="68">
        <f t="shared" si="66"/>
        <v>546.46675200000016</v>
      </c>
      <c r="G461" s="86"/>
      <c r="H461" s="87"/>
      <c r="I461" s="36"/>
      <c r="L461" s="77"/>
      <c r="M461" s="77"/>
      <c r="N461" s="36"/>
    </row>
    <row r="462" spans="1:14" s="37" customFormat="1" ht="15.75" customHeight="1" x14ac:dyDescent="0.3">
      <c r="A462" s="78">
        <f t="shared" si="68"/>
        <v>22</v>
      </c>
      <c r="B462" s="79"/>
      <c r="C462" s="68" t="s">
        <v>192</v>
      </c>
      <c r="D462" s="52">
        <f t="shared" si="67"/>
        <v>341.54172000000005</v>
      </c>
      <c r="E462" s="68">
        <v>0</v>
      </c>
      <c r="F462" s="68">
        <f t="shared" si="66"/>
        <v>546.46675200000016</v>
      </c>
      <c r="G462" s="86"/>
      <c r="H462" s="87"/>
      <c r="I462" s="36"/>
      <c r="L462" s="77"/>
      <c r="M462" s="77"/>
      <c r="N462" s="36"/>
    </row>
    <row r="463" spans="1:14" s="37" customFormat="1" ht="15.75" customHeight="1" x14ac:dyDescent="0.3">
      <c r="A463" s="78">
        <f t="shared" si="68"/>
        <v>23</v>
      </c>
      <c r="B463" s="79"/>
      <c r="C463" s="68" t="s">
        <v>192</v>
      </c>
      <c r="D463" s="52">
        <f>(8.05*3.75+1.65*1.95+1.5*1.2+0.45*0.9)*(10.764)</f>
        <v>383.30604</v>
      </c>
      <c r="E463" s="68">
        <v>0</v>
      </c>
      <c r="F463" s="68">
        <f t="shared" si="66"/>
        <v>613.28966400000002</v>
      </c>
      <c r="G463" s="86"/>
      <c r="H463" s="87"/>
      <c r="I463" s="36"/>
      <c r="L463" s="77"/>
      <c r="M463" s="77"/>
      <c r="N463" s="36"/>
    </row>
    <row r="464" spans="1:14" s="37" customFormat="1" ht="15.75" customHeight="1" x14ac:dyDescent="0.3">
      <c r="A464" s="78">
        <v>24</v>
      </c>
      <c r="B464" s="79"/>
      <c r="C464" s="78" t="s">
        <v>264</v>
      </c>
      <c r="D464" s="93"/>
      <c r="E464" s="93"/>
      <c r="F464" s="79"/>
      <c r="G464" s="86"/>
      <c r="H464" s="87"/>
      <c r="I464" s="36"/>
      <c r="L464" s="77"/>
      <c r="M464" s="77"/>
      <c r="N464" s="36"/>
    </row>
    <row r="465" spans="1:14" s="37" customFormat="1" ht="15.75" customHeight="1" x14ac:dyDescent="0.3">
      <c r="A465" s="78">
        <v>25</v>
      </c>
      <c r="B465" s="79"/>
      <c r="C465" s="68" t="s">
        <v>192</v>
      </c>
      <c r="D465" s="52">
        <f t="shared" ref="D465:D467" si="69">((5.35*3.35+1.5*1.2+0.45*0.9+1.65*1.55)*10.764)</f>
        <v>244.18134000000001</v>
      </c>
      <c r="E465" s="68">
        <v>0</v>
      </c>
      <c r="F465" s="68">
        <f>(D465+E465)*(($F$130)+1)</f>
        <v>390.69014400000003</v>
      </c>
      <c r="G465" s="86"/>
      <c r="H465" s="87"/>
      <c r="I465" s="36"/>
      <c r="L465" s="77"/>
      <c r="M465" s="77"/>
      <c r="N465" s="36"/>
    </row>
    <row r="466" spans="1:14" s="37" customFormat="1" ht="15.75" customHeight="1" x14ac:dyDescent="0.3">
      <c r="A466" s="78">
        <v>26</v>
      </c>
      <c r="B466" s="79"/>
      <c r="C466" s="68" t="s">
        <v>192</v>
      </c>
      <c r="D466" s="52">
        <f t="shared" si="69"/>
        <v>244.18134000000001</v>
      </c>
      <c r="E466" s="68">
        <v>0</v>
      </c>
      <c r="F466" s="68">
        <f>(D466+E466)*(($F$130)+1)</f>
        <v>390.69014400000003</v>
      </c>
      <c r="G466" s="86"/>
      <c r="H466" s="87"/>
      <c r="I466" s="36"/>
      <c r="L466" s="77"/>
      <c r="M466" s="77"/>
      <c r="N466" s="36"/>
    </row>
    <row r="467" spans="1:14" s="37" customFormat="1" x14ac:dyDescent="0.3">
      <c r="A467" s="78">
        <v>27</v>
      </c>
      <c r="B467" s="79"/>
      <c r="C467" s="68" t="s">
        <v>192</v>
      </c>
      <c r="D467" s="52">
        <f t="shared" si="69"/>
        <v>244.18134000000001</v>
      </c>
      <c r="E467" s="68">
        <v>0</v>
      </c>
      <c r="F467" s="68">
        <f>(D467+E467)*(($F$130)+1)</f>
        <v>390.69014400000003</v>
      </c>
      <c r="G467" s="86"/>
      <c r="H467" s="87"/>
      <c r="I467" s="36"/>
      <c r="K467" s="36"/>
    </row>
    <row r="468" spans="1:14" s="37" customFormat="1" ht="15.75" customHeight="1" x14ac:dyDescent="0.3">
      <c r="A468" s="88" t="s">
        <v>288</v>
      </c>
      <c r="B468" s="89"/>
      <c r="C468" s="89"/>
      <c r="D468" s="89"/>
      <c r="E468" s="89"/>
      <c r="F468" s="89"/>
      <c r="G468" s="89"/>
      <c r="H468" s="90"/>
      <c r="I468" s="36"/>
      <c r="L468" s="77"/>
      <c r="M468" s="77"/>
      <c r="N468" s="36"/>
    </row>
    <row r="469" spans="1:14" s="37" customFormat="1" ht="15.75" customHeight="1" x14ac:dyDescent="0.3">
      <c r="A469" s="78">
        <v>1</v>
      </c>
      <c r="B469" s="79"/>
      <c r="C469" s="68" t="s">
        <v>192</v>
      </c>
      <c r="D469" s="52">
        <f t="shared" ref="D469:D473" si="70">((5.35*3.35+1.5*1.2+0.45*0.9+1.65*1.55)*10.764)</f>
        <v>244.18134000000001</v>
      </c>
      <c r="E469" s="68">
        <v>0</v>
      </c>
      <c r="F469" s="68">
        <f t="shared" ref="F469:F494" si="71">(D469+E469)*(($F$130)+1)</f>
        <v>390.69014400000003</v>
      </c>
      <c r="G469" s="91" t="str">
        <f>A468</f>
        <v>25th Floor (26th Floor as per Builder)</v>
      </c>
      <c r="H469" s="92"/>
      <c r="I469" s="36"/>
      <c r="L469" s="77"/>
      <c r="M469" s="77"/>
      <c r="N469" s="36"/>
    </row>
    <row r="470" spans="1:14" s="37" customFormat="1" ht="15.75" customHeight="1" x14ac:dyDescent="0.3">
      <c r="A470" s="78">
        <v>2</v>
      </c>
      <c r="B470" s="79"/>
      <c r="C470" s="68" t="s">
        <v>192</v>
      </c>
      <c r="D470" s="52">
        <f t="shared" si="70"/>
        <v>244.18134000000001</v>
      </c>
      <c r="E470" s="68">
        <v>0</v>
      </c>
      <c r="F470" s="68">
        <f t="shared" si="71"/>
        <v>390.69014400000003</v>
      </c>
      <c r="G470" s="86"/>
      <c r="H470" s="87"/>
      <c r="I470" s="36"/>
      <c r="L470" s="77"/>
      <c r="M470" s="77"/>
      <c r="N470" s="36"/>
    </row>
    <row r="471" spans="1:14" s="37" customFormat="1" ht="15.75" customHeight="1" x14ac:dyDescent="0.3">
      <c r="A471" s="78">
        <v>3</v>
      </c>
      <c r="B471" s="79"/>
      <c r="C471" s="68" t="s">
        <v>192</v>
      </c>
      <c r="D471" s="52">
        <f t="shared" si="70"/>
        <v>244.18134000000001</v>
      </c>
      <c r="E471" s="68">
        <v>0</v>
      </c>
      <c r="F471" s="68">
        <f t="shared" si="71"/>
        <v>390.69014400000003</v>
      </c>
      <c r="G471" s="86"/>
      <c r="H471" s="87"/>
      <c r="I471" s="36"/>
      <c r="L471" s="77"/>
      <c r="M471" s="77"/>
      <c r="N471" s="36"/>
    </row>
    <row r="472" spans="1:14" s="37" customFormat="1" ht="15.75" customHeight="1" x14ac:dyDescent="0.3">
      <c r="A472" s="78">
        <v>4</v>
      </c>
      <c r="B472" s="79"/>
      <c r="C472" s="68" t="s">
        <v>192</v>
      </c>
      <c r="D472" s="52">
        <f t="shared" si="70"/>
        <v>244.18134000000001</v>
      </c>
      <c r="E472" s="68">
        <v>0</v>
      </c>
      <c r="F472" s="68">
        <f t="shared" si="71"/>
        <v>390.69014400000003</v>
      </c>
      <c r="G472" s="86"/>
      <c r="H472" s="87"/>
      <c r="I472" s="36"/>
      <c r="L472" s="77"/>
      <c r="M472" s="77"/>
      <c r="N472" s="36"/>
    </row>
    <row r="473" spans="1:14" s="37" customFormat="1" ht="15.75" customHeight="1" x14ac:dyDescent="0.3">
      <c r="A473" s="78">
        <v>5</v>
      </c>
      <c r="B473" s="79"/>
      <c r="C473" s="68" t="s">
        <v>192</v>
      </c>
      <c r="D473" s="52">
        <f t="shared" si="70"/>
        <v>244.18134000000001</v>
      </c>
      <c r="E473" s="68">
        <v>0</v>
      </c>
      <c r="F473" s="68">
        <f t="shared" si="71"/>
        <v>390.69014400000003</v>
      </c>
      <c r="G473" s="86"/>
      <c r="H473" s="87"/>
      <c r="I473" s="36"/>
      <c r="L473" s="77"/>
      <c r="M473" s="77"/>
      <c r="N473" s="36"/>
    </row>
    <row r="474" spans="1:14" s="37" customFormat="1" ht="15.75" customHeight="1" x14ac:dyDescent="0.3">
      <c r="A474" s="78">
        <v>6</v>
      </c>
      <c r="B474" s="79"/>
      <c r="C474" s="68" t="s">
        <v>192</v>
      </c>
      <c r="D474" s="52">
        <f>(5.35*3.35+1.65*1.75+1.5*1.2+0.45*0.9)*(10.764)</f>
        <v>247.73345999999998</v>
      </c>
      <c r="E474" s="68">
        <v>0</v>
      </c>
      <c r="F474" s="68">
        <f t="shared" si="71"/>
        <v>396.373536</v>
      </c>
      <c r="G474" s="86"/>
      <c r="H474" s="87"/>
      <c r="I474" s="36"/>
      <c r="J474" s="37">
        <f>4.93*6+5.1*3.85+3.3*1.65+1.2*0.6+1.3*0.9</f>
        <v>56.55</v>
      </c>
      <c r="L474" s="77"/>
      <c r="M474" s="77"/>
      <c r="N474" s="36"/>
    </row>
    <row r="475" spans="1:14" s="37" customFormat="1" ht="15.75" customHeight="1" x14ac:dyDescent="0.3">
      <c r="A475" s="78">
        <v>7</v>
      </c>
      <c r="B475" s="79"/>
      <c r="C475" s="68" t="s">
        <v>192</v>
      </c>
      <c r="D475" s="52">
        <f>(8.05*3.35+1.65*1.75+1.5*1.2+0.45*0.9)*(10.764)</f>
        <v>345.09384</v>
      </c>
      <c r="E475" s="68">
        <v>0</v>
      </c>
      <c r="F475" s="68">
        <f t="shared" si="71"/>
        <v>552.15014400000007</v>
      </c>
      <c r="G475" s="86"/>
      <c r="H475" s="87"/>
      <c r="I475" s="36"/>
      <c r="L475" s="77"/>
      <c r="M475" s="77"/>
      <c r="N475" s="36"/>
    </row>
    <row r="476" spans="1:14" s="37" customFormat="1" ht="15.75" customHeight="1" x14ac:dyDescent="0.3">
      <c r="A476" s="78">
        <v>8</v>
      </c>
      <c r="B476" s="79"/>
      <c r="C476" s="68" t="s">
        <v>192</v>
      </c>
      <c r="D476" s="52">
        <f>(8.05*3.35+1.65*1.55+1.5*1.2+0.45*0.9)*(10.764)</f>
        <v>341.54172000000005</v>
      </c>
      <c r="E476" s="68">
        <v>0</v>
      </c>
      <c r="F476" s="68">
        <f t="shared" si="71"/>
        <v>546.46675200000016</v>
      </c>
      <c r="G476" s="86"/>
      <c r="H476" s="87"/>
      <c r="I476" s="36"/>
      <c r="L476" s="77"/>
      <c r="M476" s="77"/>
      <c r="N476" s="36"/>
    </row>
    <row r="477" spans="1:14" s="37" customFormat="1" ht="15.75" customHeight="1" x14ac:dyDescent="0.3">
      <c r="A477" s="78">
        <v>9</v>
      </c>
      <c r="B477" s="79"/>
      <c r="C477" s="68" t="s">
        <v>192</v>
      </c>
      <c r="D477" s="52">
        <f t="shared" ref="D477:D489" si="72">(8.05*3.35+1.65*1.55+1.5*1.2+0.45*0.9)*(10.764)</f>
        <v>341.54172000000005</v>
      </c>
      <c r="E477" s="68">
        <v>0</v>
      </c>
      <c r="F477" s="68">
        <f t="shared" si="71"/>
        <v>546.46675200000016</v>
      </c>
      <c r="G477" s="86"/>
      <c r="H477" s="87"/>
      <c r="I477" s="36"/>
      <c r="L477" s="77"/>
      <c r="M477" s="77"/>
      <c r="N477" s="36"/>
    </row>
    <row r="478" spans="1:14" s="37" customFormat="1" ht="15.75" customHeight="1" x14ac:dyDescent="0.3">
      <c r="A478" s="78">
        <v>10</v>
      </c>
      <c r="B478" s="79"/>
      <c r="C478" s="68" t="s">
        <v>192</v>
      </c>
      <c r="D478" s="52">
        <f t="shared" si="72"/>
        <v>341.54172000000005</v>
      </c>
      <c r="E478" s="68">
        <v>0</v>
      </c>
      <c r="F478" s="68">
        <f t="shared" si="71"/>
        <v>546.46675200000016</v>
      </c>
      <c r="G478" s="86"/>
      <c r="H478" s="87"/>
      <c r="I478" s="36"/>
      <c r="L478" s="77"/>
      <c r="M478" s="77"/>
      <c r="N478" s="36"/>
    </row>
    <row r="479" spans="1:14" s="37" customFormat="1" ht="15.75" customHeight="1" x14ac:dyDescent="0.3">
      <c r="A479" s="78">
        <v>11</v>
      </c>
      <c r="B479" s="79"/>
      <c r="C479" s="68" t="s">
        <v>192</v>
      </c>
      <c r="D479" s="52">
        <f t="shared" si="72"/>
        <v>341.54172000000005</v>
      </c>
      <c r="E479" s="68">
        <v>0</v>
      </c>
      <c r="F479" s="68">
        <f t="shared" si="71"/>
        <v>546.46675200000016</v>
      </c>
      <c r="G479" s="86"/>
      <c r="H479" s="87"/>
      <c r="I479" s="36"/>
      <c r="L479" s="77"/>
      <c r="M479" s="77"/>
      <c r="N479" s="36"/>
    </row>
    <row r="480" spans="1:14" s="37" customFormat="1" ht="15.75" customHeight="1" x14ac:dyDescent="0.3">
      <c r="A480" s="78">
        <v>12</v>
      </c>
      <c r="B480" s="79"/>
      <c r="C480" s="68" t="s">
        <v>192</v>
      </c>
      <c r="D480" s="52">
        <f t="shared" si="72"/>
        <v>341.54172000000005</v>
      </c>
      <c r="E480" s="68">
        <v>0</v>
      </c>
      <c r="F480" s="68">
        <f t="shared" si="71"/>
        <v>546.46675200000016</v>
      </c>
      <c r="G480" s="86"/>
      <c r="H480" s="87"/>
      <c r="I480" s="36"/>
      <c r="L480" s="77"/>
      <c r="M480" s="77"/>
      <c r="N480" s="36"/>
    </row>
    <row r="481" spans="1:14" s="37" customFormat="1" ht="15.75" customHeight="1" x14ac:dyDescent="0.3">
      <c r="A481" s="78">
        <v>14</v>
      </c>
      <c r="B481" s="79"/>
      <c r="C481" s="68" t="s">
        <v>192</v>
      </c>
      <c r="D481" s="52">
        <f t="shared" si="72"/>
        <v>341.54172000000005</v>
      </c>
      <c r="E481" s="68">
        <v>0</v>
      </c>
      <c r="F481" s="68">
        <f t="shared" si="71"/>
        <v>546.46675200000016</v>
      </c>
      <c r="G481" s="86"/>
      <c r="H481" s="87"/>
      <c r="J481" s="36"/>
      <c r="L481" s="77"/>
      <c r="M481" s="77"/>
      <c r="N481" s="36"/>
    </row>
    <row r="482" spans="1:14" s="37" customFormat="1" ht="15.75" customHeight="1" x14ac:dyDescent="0.3">
      <c r="A482" s="78">
        <f t="shared" ref="A482:A490" si="73">A481+1</f>
        <v>15</v>
      </c>
      <c r="B482" s="79"/>
      <c r="C482" s="68" t="s">
        <v>192</v>
      </c>
      <c r="D482" s="52">
        <f t="shared" si="72"/>
        <v>341.54172000000005</v>
      </c>
      <c r="E482" s="68">
        <v>0</v>
      </c>
      <c r="F482" s="68">
        <f t="shared" si="71"/>
        <v>546.46675200000016</v>
      </c>
      <c r="G482" s="86"/>
      <c r="H482" s="87"/>
      <c r="I482" s="36"/>
      <c r="L482" s="77"/>
      <c r="M482" s="77"/>
      <c r="N482" s="36"/>
    </row>
    <row r="483" spans="1:14" s="37" customFormat="1" ht="15.75" customHeight="1" x14ac:dyDescent="0.3">
      <c r="A483" s="78">
        <f t="shared" si="73"/>
        <v>16</v>
      </c>
      <c r="B483" s="79"/>
      <c r="C483" s="68" t="s">
        <v>192</v>
      </c>
      <c r="D483" s="52">
        <f t="shared" si="72"/>
        <v>341.54172000000005</v>
      </c>
      <c r="E483" s="68">
        <v>0</v>
      </c>
      <c r="F483" s="68">
        <f t="shared" si="71"/>
        <v>546.46675200000016</v>
      </c>
      <c r="G483" s="86"/>
      <c r="H483" s="87"/>
      <c r="I483" s="36"/>
      <c r="L483" s="77"/>
      <c r="M483" s="77"/>
      <c r="N483" s="36"/>
    </row>
    <row r="484" spans="1:14" s="37" customFormat="1" ht="15.75" customHeight="1" x14ac:dyDescent="0.3">
      <c r="A484" s="78">
        <f t="shared" si="73"/>
        <v>17</v>
      </c>
      <c r="B484" s="79"/>
      <c r="C484" s="68" t="s">
        <v>192</v>
      </c>
      <c r="D484" s="52">
        <f t="shared" si="72"/>
        <v>341.54172000000005</v>
      </c>
      <c r="E484" s="68">
        <v>0</v>
      </c>
      <c r="F484" s="68">
        <f t="shared" si="71"/>
        <v>546.46675200000016</v>
      </c>
      <c r="G484" s="86"/>
      <c r="H484" s="87"/>
      <c r="I484" s="36"/>
      <c r="L484" s="77"/>
      <c r="M484" s="77"/>
      <c r="N484" s="36"/>
    </row>
    <row r="485" spans="1:14" s="37" customFormat="1" ht="15.75" customHeight="1" x14ac:dyDescent="0.3">
      <c r="A485" s="78">
        <f t="shared" si="73"/>
        <v>18</v>
      </c>
      <c r="B485" s="79"/>
      <c r="C485" s="68" t="s">
        <v>192</v>
      </c>
      <c r="D485" s="52">
        <f t="shared" si="72"/>
        <v>341.54172000000005</v>
      </c>
      <c r="E485" s="68">
        <v>0</v>
      </c>
      <c r="F485" s="68">
        <f t="shared" si="71"/>
        <v>546.46675200000016</v>
      </c>
      <c r="G485" s="86"/>
      <c r="H485" s="87"/>
      <c r="I485" s="36"/>
      <c r="L485" s="77"/>
      <c r="M485" s="77"/>
      <c r="N485" s="36"/>
    </row>
    <row r="486" spans="1:14" s="37" customFormat="1" ht="15.75" customHeight="1" x14ac:dyDescent="0.3">
      <c r="A486" s="78">
        <f t="shared" si="73"/>
        <v>19</v>
      </c>
      <c r="B486" s="79"/>
      <c r="C486" s="68" t="s">
        <v>192</v>
      </c>
      <c r="D486" s="52">
        <f t="shared" si="72"/>
        <v>341.54172000000005</v>
      </c>
      <c r="E486" s="68">
        <v>0</v>
      </c>
      <c r="F486" s="68">
        <f t="shared" si="71"/>
        <v>546.46675200000016</v>
      </c>
      <c r="G486" s="86"/>
      <c r="H486" s="87"/>
      <c r="I486" s="36"/>
      <c r="L486" s="77"/>
      <c r="M486" s="77"/>
      <c r="N486" s="36"/>
    </row>
    <row r="487" spans="1:14" s="37" customFormat="1" ht="15.75" customHeight="1" x14ac:dyDescent="0.3">
      <c r="A487" s="78">
        <f t="shared" si="73"/>
        <v>20</v>
      </c>
      <c r="B487" s="79"/>
      <c r="C487" s="68" t="s">
        <v>192</v>
      </c>
      <c r="D487" s="52">
        <f t="shared" si="72"/>
        <v>341.54172000000005</v>
      </c>
      <c r="E487" s="68">
        <v>0</v>
      </c>
      <c r="F487" s="68">
        <f t="shared" si="71"/>
        <v>546.46675200000016</v>
      </c>
      <c r="G487" s="86"/>
      <c r="H487" s="87"/>
      <c r="I487" s="36"/>
      <c r="L487" s="77"/>
      <c r="M487" s="77"/>
      <c r="N487" s="36"/>
    </row>
    <row r="488" spans="1:14" s="37" customFormat="1" ht="15.75" customHeight="1" x14ac:dyDescent="0.3">
      <c r="A488" s="78">
        <f t="shared" si="73"/>
        <v>21</v>
      </c>
      <c r="B488" s="79"/>
      <c r="C488" s="68" t="s">
        <v>192</v>
      </c>
      <c r="D488" s="52">
        <f t="shared" si="72"/>
        <v>341.54172000000005</v>
      </c>
      <c r="E488" s="68">
        <v>0</v>
      </c>
      <c r="F488" s="68">
        <f t="shared" si="71"/>
        <v>546.46675200000016</v>
      </c>
      <c r="G488" s="86"/>
      <c r="H488" s="87"/>
      <c r="I488" s="36"/>
      <c r="L488" s="77"/>
      <c r="M488" s="77"/>
      <c r="N488" s="36"/>
    </row>
    <row r="489" spans="1:14" s="37" customFormat="1" ht="15.75" customHeight="1" x14ac:dyDescent="0.3">
      <c r="A489" s="78">
        <f t="shared" si="73"/>
        <v>22</v>
      </c>
      <c r="B489" s="79"/>
      <c r="C489" s="68" t="s">
        <v>192</v>
      </c>
      <c r="D489" s="52">
        <f t="shared" si="72"/>
        <v>341.54172000000005</v>
      </c>
      <c r="E489" s="68">
        <v>0</v>
      </c>
      <c r="F489" s="68">
        <f t="shared" si="71"/>
        <v>546.46675200000016</v>
      </c>
      <c r="G489" s="86"/>
      <c r="H489" s="87"/>
      <c r="I489" s="36"/>
      <c r="L489" s="77"/>
      <c r="M489" s="77"/>
      <c r="N489" s="36"/>
    </row>
    <row r="490" spans="1:14" s="37" customFormat="1" ht="15.75" customHeight="1" x14ac:dyDescent="0.3">
      <c r="A490" s="78">
        <f t="shared" si="73"/>
        <v>23</v>
      </c>
      <c r="B490" s="79"/>
      <c r="C490" s="68" t="s">
        <v>192</v>
      </c>
      <c r="D490" s="52">
        <f>(8.05*3.75+1.65*1.95+1.5*1.2+0.45*0.9)*(10.764)</f>
        <v>383.30604</v>
      </c>
      <c r="E490" s="68">
        <v>0</v>
      </c>
      <c r="F490" s="68">
        <f t="shared" si="71"/>
        <v>613.28966400000002</v>
      </c>
      <c r="G490" s="86"/>
      <c r="H490" s="87"/>
      <c r="I490" s="36"/>
      <c r="L490" s="77"/>
      <c r="M490" s="77"/>
      <c r="N490" s="36"/>
    </row>
    <row r="491" spans="1:14" s="37" customFormat="1" x14ac:dyDescent="0.3">
      <c r="A491" s="78">
        <v>24</v>
      </c>
      <c r="B491" s="79"/>
      <c r="C491" s="68" t="s">
        <v>192</v>
      </c>
      <c r="D491" s="52">
        <f t="shared" ref="D491:D494" si="74">((5.35*3.35+1.5*1.2+0.45*0.9+1.65*1.55)*10.764)</f>
        <v>244.18134000000001</v>
      </c>
      <c r="E491" s="68">
        <v>0</v>
      </c>
      <c r="F491" s="68">
        <f t="shared" si="71"/>
        <v>390.69014400000003</v>
      </c>
      <c r="G491" s="86"/>
      <c r="H491" s="87"/>
      <c r="I491" s="36"/>
      <c r="K491" s="36"/>
    </row>
    <row r="492" spans="1:14" s="37" customFormat="1" ht="15.75" customHeight="1" x14ac:dyDescent="0.3">
      <c r="A492" s="78">
        <v>25</v>
      </c>
      <c r="B492" s="79"/>
      <c r="C492" s="68" t="s">
        <v>192</v>
      </c>
      <c r="D492" s="52">
        <f t="shared" si="74"/>
        <v>244.18134000000001</v>
      </c>
      <c r="E492" s="68">
        <v>0</v>
      </c>
      <c r="F492" s="68">
        <f t="shared" si="71"/>
        <v>390.69014400000003</v>
      </c>
      <c r="G492" s="86"/>
      <c r="H492" s="87"/>
      <c r="I492" s="36"/>
      <c r="L492" s="77"/>
      <c r="M492" s="77"/>
      <c r="N492" s="36"/>
    </row>
    <row r="493" spans="1:14" s="37" customFormat="1" ht="15.75" customHeight="1" x14ac:dyDescent="0.3">
      <c r="A493" s="78">
        <v>26</v>
      </c>
      <c r="B493" s="79"/>
      <c r="C493" s="68" t="s">
        <v>192</v>
      </c>
      <c r="D493" s="52">
        <f t="shared" si="74"/>
        <v>244.18134000000001</v>
      </c>
      <c r="E493" s="68">
        <v>0</v>
      </c>
      <c r="F493" s="68">
        <f t="shared" si="71"/>
        <v>390.69014400000003</v>
      </c>
      <c r="G493" s="86"/>
      <c r="H493" s="87"/>
      <c r="I493" s="36"/>
      <c r="L493" s="77"/>
      <c r="M493" s="77"/>
      <c r="N493" s="36"/>
    </row>
    <row r="494" spans="1:14" s="37" customFormat="1" ht="15.75" customHeight="1" x14ac:dyDescent="0.3">
      <c r="A494" s="78">
        <v>27</v>
      </c>
      <c r="B494" s="79"/>
      <c r="C494" s="68" t="s">
        <v>192</v>
      </c>
      <c r="D494" s="52">
        <f t="shared" si="74"/>
        <v>244.18134000000001</v>
      </c>
      <c r="E494" s="68">
        <v>0</v>
      </c>
      <c r="F494" s="68">
        <f t="shared" si="71"/>
        <v>390.69014400000003</v>
      </c>
      <c r="G494" s="86"/>
      <c r="H494" s="87"/>
      <c r="I494" s="36"/>
      <c r="L494" s="77"/>
      <c r="M494" s="77"/>
      <c r="N494" s="36"/>
    </row>
    <row r="495" spans="1:14" s="37" customFormat="1" ht="15.75" customHeight="1" x14ac:dyDescent="0.3">
      <c r="A495" s="88" t="s">
        <v>265</v>
      </c>
      <c r="B495" s="89"/>
      <c r="C495" s="89"/>
      <c r="D495" s="89"/>
      <c r="E495" s="89"/>
      <c r="F495" s="89"/>
      <c r="G495" s="89"/>
      <c r="H495" s="90"/>
      <c r="I495" s="36"/>
      <c r="J495" s="37">
        <f>4.93*6+5.1*3.85+3.3*1.65+1.2*0.6+1.3*0.9</f>
        <v>56.55</v>
      </c>
      <c r="L495" s="77"/>
      <c r="M495" s="77"/>
      <c r="N495" s="36"/>
    </row>
    <row r="496" spans="1:14" s="37" customFormat="1" ht="15.75" customHeight="1" x14ac:dyDescent="0.3">
      <c r="A496" s="78" t="s">
        <v>191</v>
      </c>
      <c r="B496" s="79"/>
      <c r="C496" s="78" t="s">
        <v>193</v>
      </c>
      <c r="D496" s="93"/>
      <c r="E496" s="93"/>
      <c r="F496" s="79"/>
      <c r="G496" s="86" t="str">
        <f>A495</f>
        <v>26th Floor (27th Floor as per Builder) (Part Refuge Area)</v>
      </c>
      <c r="H496" s="87"/>
      <c r="I496" s="36"/>
      <c r="L496" s="77"/>
      <c r="M496" s="77"/>
      <c r="N496" s="36"/>
    </row>
    <row r="497" spans="1:14" s="37" customFormat="1" ht="15.75" customHeight="1" x14ac:dyDescent="0.3">
      <c r="A497" s="78">
        <v>17</v>
      </c>
      <c r="B497" s="79"/>
      <c r="C497" s="68" t="s">
        <v>192</v>
      </c>
      <c r="D497" s="52">
        <f>(8.05*3.35+1.65*1.55+1.5*1.2+0.45*0.9)*(10.764)</f>
        <v>341.54172000000005</v>
      </c>
      <c r="E497" s="68">
        <v>0</v>
      </c>
      <c r="F497" s="68">
        <f t="shared" ref="F497:F507" si="75">(D497+E497)*(($F$130)+1)</f>
        <v>546.46675200000016</v>
      </c>
      <c r="G497" s="86"/>
      <c r="H497" s="87"/>
      <c r="I497" s="36"/>
      <c r="L497" s="77"/>
      <c r="M497" s="77"/>
      <c r="N497" s="36"/>
    </row>
    <row r="498" spans="1:14" s="37" customFormat="1" ht="15.75" customHeight="1" x14ac:dyDescent="0.3">
      <c r="A498" s="78">
        <f t="shared" ref="A498:A503" si="76">A497+1</f>
        <v>18</v>
      </c>
      <c r="B498" s="79"/>
      <c r="C498" s="68" t="s">
        <v>192</v>
      </c>
      <c r="D498" s="52">
        <f t="shared" ref="D498:D502" si="77">(8.05*3.35+1.65*1.55+1.5*1.2+0.45*0.9)*(10.764)</f>
        <v>341.54172000000005</v>
      </c>
      <c r="E498" s="68">
        <v>0</v>
      </c>
      <c r="F498" s="68">
        <f t="shared" si="75"/>
        <v>546.46675200000016</v>
      </c>
      <c r="G498" s="86"/>
      <c r="H498" s="87"/>
      <c r="I498" s="36"/>
      <c r="L498" s="77"/>
      <c r="M498" s="77"/>
      <c r="N498" s="36"/>
    </row>
    <row r="499" spans="1:14" s="37" customFormat="1" ht="15.75" customHeight="1" x14ac:dyDescent="0.3">
      <c r="A499" s="78">
        <f t="shared" si="76"/>
        <v>19</v>
      </c>
      <c r="B499" s="79"/>
      <c r="C499" s="68" t="s">
        <v>192</v>
      </c>
      <c r="D499" s="52">
        <f t="shared" si="77"/>
        <v>341.54172000000005</v>
      </c>
      <c r="E499" s="68">
        <v>0</v>
      </c>
      <c r="F499" s="68">
        <f t="shared" si="75"/>
        <v>546.46675200000016</v>
      </c>
      <c r="G499" s="86"/>
      <c r="H499" s="87"/>
      <c r="I499" s="36"/>
      <c r="L499" s="77"/>
      <c r="M499" s="77"/>
      <c r="N499" s="36"/>
    </row>
    <row r="500" spans="1:14" s="37" customFormat="1" ht="15.75" customHeight="1" x14ac:dyDescent="0.3">
      <c r="A500" s="78">
        <f t="shared" si="76"/>
        <v>20</v>
      </c>
      <c r="B500" s="79"/>
      <c r="C500" s="68" t="s">
        <v>192</v>
      </c>
      <c r="D500" s="52">
        <f t="shared" si="77"/>
        <v>341.54172000000005</v>
      </c>
      <c r="E500" s="68">
        <v>0</v>
      </c>
      <c r="F500" s="68">
        <f t="shared" si="75"/>
        <v>546.46675200000016</v>
      </c>
      <c r="G500" s="86"/>
      <c r="H500" s="87"/>
      <c r="I500" s="36"/>
      <c r="L500" s="77"/>
      <c r="M500" s="77"/>
      <c r="N500" s="36"/>
    </row>
    <row r="501" spans="1:14" s="37" customFormat="1" ht="15.75" customHeight="1" x14ac:dyDescent="0.3">
      <c r="A501" s="78">
        <f t="shared" si="76"/>
        <v>21</v>
      </c>
      <c r="B501" s="79"/>
      <c r="C501" s="68" t="s">
        <v>192</v>
      </c>
      <c r="D501" s="52">
        <f t="shared" si="77"/>
        <v>341.54172000000005</v>
      </c>
      <c r="E501" s="68">
        <v>0</v>
      </c>
      <c r="F501" s="68">
        <f t="shared" si="75"/>
        <v>546.46675200000016</v>
      </c>
      <c r="G501" s="86"/>
      <c r="H501" s="87"/>
      <c r="I501" s="36"/>
      <c r="L501" s="77"/>
      <c r="M501" s="77"/>
      <c r="N501" s="36"/>
    </row>
    <row r="502" spans="1:14" s="37" customFormat="1" ht="15.75" customHeight="1" x14ac:dyDescent="0.3">
      <c r="A502" s="78">
        <f t="shared" si="76"/>
        <v>22</v>
      </c>
      <c r="B502" s="79"/>
      <c r="C502" s="68" t="s">
        <v>192</v>
      </c>
      <c r="D502" s="52">
        <f t="shared" si="77"/>
        <v>341.54172000000005</v>
      </c>
      <c r="E502" s="68">
        <v>0</v>
      </c>
      <c r="F502" s="68">
        <f t="shared" si="75"/>
        <v>546.46675200000016</v>
      </c>
      <c r="G502" s="86"/>
      <c r="H502" s="87"/>
      <c r="I502" s="36"/>
      <c r="L502" s="77"/>
      <c r="M502" s="77"/>
      <c r="N502" s="36"/>
    </row>
    <row r="503" spans="1:14" s="37" customFormat="1" ht="15.75" customHeight="1" x14ac:dyDescent="0.3">
      <c r="A503" s="78">
        <f t="shared" si="76"/>
        <v>23</v>
      </c>
      <c r="B503" s="79"/>
      <c r="C503" s="68" t="s">
        <v>192</v>
      </c>
      <c r="D503" s="52">
        <f>(8.05*3.75+1.65*1.95+1.5*1.2+0.45*0.9)*(10.764)</f>
        <v>383.30604</v>
      </c>
      <c r="E503" s="68">
        <v>0</v>
      </c>
      <c r="F503" s="68">
        <f t="shared" si="75"/>
        <v>613.28966400000002</v>
      </c>
      <c r="G503" s="86"/>
      <c r="H503" s="87"/>
      <c r="I503" s="36"/>
      <c r="L503" s="77"/>
      <c r="M503" s="77"/>
      <c r="N503" s="36"/>
    </row>
    <row r="504" spans="1:14" s="37" customFormat="1" x14ac:dyDescent="0.3">
      <c r="A504" s="78">
        <v>24</v>
      </c>
      <c r="B504" s="79"/>
      <c r="C504" s="68" t="s">
        <v>192</v>
      </c>
      <c r="D504" s="52">
        <f t="shared" ref="D504:D507" si="78">((5.35*3.35+1.5*1.2+0.45*0.9+1.65*1.55)*10.764)</f>
        <v>244.18134000000001</v>
      </c>
      <c r="E504" s="68">
        <v>0</v>
      </c>
      <c r="F504" s="68">
        <f t="shared" si="75"/>
        <v>390.69014400000003</v>
      </c>
      <c r="G504" s="86"/>
      <c r="H504" s="87"/>
      <c r="I504" s="36"/>
      <c r="K504" s="36"/>
    </row>
    <row r="505" spans="1:14" s="37" customFormat="1" ht="15.75" customHeight="1" x14ac:dyDescent="0.3">
      <c r="A505" s="78">
        <v>25</v>
      </c>
      <c r="B505" s="79"/>
      <c r="C505" s="68" t="s">
        <v>192</v>
      </c>
      <c r="D505" s="52">
        <f t="shared" si="78"/>
        <v>244.18134000000001</v>
      </c>
      <c r="E505" s="68">
        <v>0</v>
      </c>
      <c r="F505" s="68">
        <f t="shared" si="75"/>
        <v>390.69014400000003</v>
      </c>
      <c r="G505" s="86"/>
      <c r="H505" s="87"/>
      <c r="I505" s="36"/>
      <c r="L505" s="77"/>
      <c r="M505" s="77"/>
      <c r="N505" s="36"/>
    </row>
    <row r="506" spans="1:14" s="37" customFormat="1" ht="15.75" customHeight="1" x14ac:dyDescent="0.3">
      <c r="A506" s="78">
        <v>26</v>
      </c>
      <c r="B506" s="79"/>
      <c r="C506" s="68" t="s">
        <v>192</v>
      </c>
      <c r="D506" s="52">
        <f t="shared" si="78"/>
        <v>244.18134000000001</v>
      </c>
      <c r="E506" s="68">
        <v>0</v>
      </c>
      <c r="F506" s="68">
        <f t="shared" si="75"/>
        <v>390.69014400000003</v>
      </c>
      <c r="G506" s="86"/>
      <c r="H506" s="87"/>
      <c r="I506" s="36"/>
      <c r="L506" s="77"/>
      <c r="M506" s="77"/>
      <c r="N506" s="36"/>
    </row>
    <row r="507" spans="1:14" s="37" customFormat="1" ht="15.75" customHeight="1" x14ac:dyDescent="0.3">
      <c r="A507" s="78">
        <v>27</v>
      </c>
      <c r="B507" s="79"/>
      <c r="C507" s="68" t="s">
        <v>192</v>
      </c>
      <c r="D507" s="52">
        <f t="shared" si="78"/>
        <v>244.18134000000001</v>
      </c>
      <c r="E507" s="68">
        <v>0</v>
      </c>
      <c r="F507" s="68">
        <f t="shared" si="75"/>
        <v>390.69014400000003</v>
      </c>
      <c r="G507" s="86"/>
      <c r="H507" s="87"/>
      <c r="I507" s="36"/>
      <c r="L507" s="77"/>
      <c r="M507" s="77"/>
      <c r="N507" s="36"/>
    </row>
    <row r="508" spans="1:14" s="37" customFormat="1" ht="15.75" customHeight="1" x14ac:dyDescent="0.3">
      <c r="A508" s="88" t="s">
        <v>209</v>
      </c>
      <c r="B508" s="89"/>
      <c r="C508" s="89"/>
      <c r="D508" s="89"/>
      <c r="E508" s="89"/>
      <c r="F508" s="89"/>
      <c r="G508" s="89"/>
      <c r="H508" s="90"/>
      <c r="I508" s="36" t="s">
        <v>257</v>
      </c>
      <c r="J508" s="37">
        <f>4.93*6+5.1*3.85+3.3*1.65+1.2*0.6+1.3*0.9</f>
        <v>56.55</v>
      </c>
      <c r="L508" s="77"/>
      <c r="M508" s="77"/>
      <c r="N508" s="36"/>
    </row>
    <row r="509" spans="1:14" s="37" customFormat="1" ht="15.75" customHeight="1" x14ac:dyDescent="0.3">
      <c r="A509" s="78">
        <v>1</v>
      </c>
      <c r="B509" s="79"/>
      <c r="C509" s="68" t="s">
        <v>192</v>
      </c>
      <c r="D509" s="52">
        <f>(5.35*3.35+1.65*1.55+1.5*1.2+0.45*0.9)*(10.764)</f>
        <v>244.18134000000001</v>
      </c>
      <c r="E509" s="68">
        <v>0</v>
      </c>
      <c r="F509" s="68">
        <f t="shared" ref="F509:F529" si="79">(D509+E509)*(($F$130)+1)</f>
        <v>390.69014400000003</v>
      </c>
      <c r="G509" s="91" t="str">
        <f>A508</f>
        <v>27th Floor (28th Floor as per Builder)</v>
      </c>
      <c r="H509" s="92"/>
      <c r="I509" s="36"/>
      <c r="L509" s="77"/>
      <c r="M509" s="77"/>
      <c r="N509" s="36"/>
    </row>
    <row r="510" spans="1:14" s="37" customFormat="1" ht="15.75" customHeight="1" x14ac:dyDescent="0.3">
      <c r="A510" s="78">
        <v>2</v>
      </c>
      <c r="B510" s="79"/>
      <c r="C510" s="68" t="s">
        <v>192</v>
      </c>
      <c r="D510" s="52">
        <f t="shared" ref="D510:D513" si="80">(5.35*3.35+1.65*1.55+1.5*1.2+0.45*0.9)*(10.764)</f>
        <v>244.18134000000001</v>
      </c>
      <c r="E510" s="68">
        <v>0</v>
      </c>
      <c r="F510" s="68">
        <f t="shared" si="79"/>
        <v>390.69014400000003</v>
      </c>
      <c r="G510" s="86"/>
      <c r="H510" s="87"/>
      <c r="I510" s="36"/>
      <c r="L510" s="77"/>
      <c r="M510" s="77"/>
      <c r="N510" s="36"/>
    </row>
    <row r="511" spans="1:14" s="37" customFormat="1" ht="15.75" customHeight="1" x14ac:dyDescent="0.3">
      <c r="A511" s="78">
        <v>3</v>
      </c>
      <c r="B511" s="79"/>
      <c r="C511" s="68" t="s">
        <v>192</v>
      </c>
      <c r="D511" s="52">
        <f t="shared" si="80"/>
        <v>244.18134000000001</v>
      </c>
      <c r="E511" s="68">
        <v>0</v>
      </c>
      <c r="F511" s="68">
        <f t="shared" si="79"/>
        <v>390.69014400000003</v>
      </c>
      <c r="G511" s="86"/>
      <c r="H511" s="87"/>
      <c r="I511" s="36"/>
      <c r="L511" s="77"/>
      <c r="M511" s="77"/>
      <c r="N511" s="36"/>
    </row>
    <row r="512" spans="1:14" s="37" customFormat="1" ht="15.75" customHeight="1" x14ac:dyDescent="0.3">
      <c r="A512" s="78">
        <v>4</v>
      </c>
      <c r="B512" s="79"/>
      <c r="C512" s="68" t="s">
        <v>192</v>
      </c>
      <c r="D512" s="52">
        <f t="shared" si="80"/>
        <v>244.18134000000001</v>
      </c>
      <c r="E512" s="68">
        <v>0</v>
      </c>
      <c r="F512" s="68">
        <f t="shared" si="79"/>
        <v>390.69014400000003</v>
      </c>
      <c r="G512" s="86"/>
      <c r="H512" s="87"/>
      <c r="I512" s="36"/>
      <c r="L512" s="77"/>
      <c r="M512" s="77"/>
      <c r="N512" s="36"/>
    </row>
    <row r="513" spans="1:14" s="37" customFormat="1" ht="15.75" customHeight="1" x14ac:dyDescent="0.3">
      <c r="A513" s="78">
        <v>5</v>
      </c>
      <c r="B513" s="79"/>
      <c r="C513" s="68" t="s">
        <v>192</v>
      </c>
      <c r="D513" s="52">
        <f t="shared" si="80"/>
        <v>244.18134000000001</v>
      </c>
      <c r="E513" s="68">
        <v>0</v>
      </c>
      <c r="F513" s="68">
        <f t="shared" si="79"/>
        <v>390.69014400000003</v>
      </c>
      <c r="G513" s="86"/>
      <c r="H513" s="87"/>
      <c r="I513" s="36"/>
      <c r="L513" s="77"/>
      <c r="M513" s="77"/>
      <c r="N513" s="36"/>
    </row>
    <row r="514" spans="1:14" s="37" customFormat="1" ht="15.75" customHeight="1" x14ac:dyDescent="0.3">
      <c r="A514" s="78">
        <v>6</v>
      </c>
      <c r="B514" s="79"/>
      <c r="C514" s="68" t="s">
        <v>192</v>
      </c>
      <c r="D514" s="52">
        <f>(5.35*3.7+1.65*1.75+1.5*1.2+0.45*0.9)*(10.764)</f>
        <v>267.88905</v>
      </c>
      <c r="E514" s="68">
        <v>0</v>
      </c>
      <c r="F514" s="68">
        <f t="shared" si="79"/>
        <v>428.62248</v>
      </c>
      <c r="G514" s="86"/>
      <c r="H514" s="87"/>
      <c r="I514" s="36"/>
      <c r="L514" s="77"/>
      <c r="M514" s="77"/>
      <c r="N514" s="36"/>
    </row>
    <row r="515" spans="1:14" s="37" customFormat="1" ht="15.75" customHeight="1" x14ac:dyDescent="0.3">
      <c r="A515" s="78">
        <v>7</v>
      </c>
      <c r="B515" s="79"/>
      <c r="C515" s="68" t="s">
        <v>192</v>
      </c>
      <c r="D515" s="52">
        <f>(8.05*3.35+1.65*1.75+1.5*1.2+0.45*0.9)*(10.764)</f>
        <v>345.09384</v>
      </c>
      <c r="E515" s="68">
        <v>0</v>
      </c>
      <c r="F515" s="68">
        <f t="shared" si="79"/>
        <v>552.15014400000007</v>
      </c>
      <c r="G515" s="86"/>
      <c r="H515" s="87"/>
      <c r="I515" s="36"/>
      <c r="K515" s="37">
        <f>21+26</f>
        <v>47</v>
      </c>
      <c r="L515" s="77"/>
      <c r="M515" s="77"/>
      <c r="N515" s="36"/>
    </row>
    <row r="516" spans="1:14" s="37" customFormat="1" ht="15.75" customHeight="1" x14ac:dyDescent="0.3">
      <c r="A516" s="78">
        <v>8</v>
      </c>
      <c r="B516" s="79"/>
      <c r="C516" s="68" t="s">
        <v>192</v>
      </c>
      <c r="D516" s="52">
        <f>(8.05*3.35+1.65*1.55+1.5*1.2+0.45*0.9)*(10.764)</f>
        <v>341.54172000000005</v>
      </c>
      <c r="E516" s="68">
        <v>0</v>
      </c>
      <c r="F516" s="68">
        <f t="shared" si="79"/>
        <v>546.46675200000016</v>
      </c>
      <c r="G516" s="86"/>
      <c r="H516" s="87"/>
      <c r="I516" s="36"/>
      <c r="L516" s="77"/>
      <c r="M516" s="77"/>
      <c r="N516" s="36"/>
    </row>
    <row r="517" spans="1:14" s="37" customFormat="1" ht="15.75" customHeight="1" x14ac:dyDescent="0.3">
      <c r="A517" s="78">
        <v>9</v>
      </c>
      <c r="B517" s="79"/>
      <c r="C517" s="68" t="s">
        <v>192</v>
      </c>
      <c r="D517" s="52">
        <f t="shared" ref="D517:D528" si="81">(8.05*3.35+1.65*1.55+1.5*1.2+0.45*0.9)*(10.764)</f>
        <v>341.54172000000005</v>
      </c>
      <c r="E517" s="68">
        <v>0</v>
      </c>
      <c r="F517" s="68">
        <f t="shared" si="79"/>
        <v>546.46675200000016</v>
      </c>
      <c r="G517" s="86"/>
      <c r="H517" s="87"/>
      <c r="I517" s="36"/>
      <c r="L517" s="77"/>
      <c r="M517" s="77"/>
      <c r="N517" s="36"/>
    </row>
    <row r="518" spans="1:14" s="37" customFormat="1" ht="15.75" customHeight="1" x14ac:dyDescent="0.3">
      <c r="A518" s="78">
        <v>10</v>
      </c>
      <c r="B518" s="79"/>
      <c r="C518" s="68" t="s">
        <v>192</v>
      </c>
      <c r="D518" s="52">
        <f>(8.05*6.85+1.05*5.05+2.9*0.6+1.55*0.6+1.5*1.2+0.45*0.9)*(10.764)</f>
        <v>703.10448000000008</v>
      </c>
      <c r="E518" s="68">
        <v>0</v>
      </c>
      <c r="F518" s="68">
        <f t="shared" si="79"/>
        <v>1124.9671680000001</v>
      </c>
      <c r="G518" s="86"/>
      <c r="H518" s="87"/>
      <c r="J518" s="36"/>
      <c r="L518" s="77"/>
      <c r="M518" s="77"/>
      <c r="N518" s="36"/>
    </row>
    <row r="519" spans="1:14" s="37" customFormat="1" ht="15.75" customHeight="1" x14ac:dyDescent="0.3">
      <c r="A519" s="78">
        <v>12</v>
      </c>
      <c r="B519" s="79"/>
      <c r="C519" s="68" t="s">
        <v>192</v>
      </c>
      <c r="D519" s="52">
        <f t="shared" si="81"/>
        <v>341.54172000000005</v>
      </c>
      <c r="E519" s="68">
        <v>0</v>
      </c>
      <c r="F519" s="68">
        <f t="shared" si="79"/>
        <v>546.46675200000016</v>
      </c>
      <c r="G519" s="86"/>
      <c r="H519" s="87"/>
      <c r="I519" s="36"/>
      <c r="L519" s="77"/>
      <c r="M519" s="77"/>
      <c r="N519" s="36"/>
    </row>
    <row r="520" spans="1:14" s="37" customFormat="1" ht="15.75" customHeight="1" x14ac:dyDescent="0.3">
      <c r="A520" s="78">
        <v>14</v>
      </c>
      <c r="B520" s="79"/>
      <c r="C520" s="68" t="s">
        <v>192</v>
      </c>
      <c r="D520" s="52">
        <f t="shared" si="81"/>
        <v>341.54172000000005</v>
      </c>
      <c r="E520" s="68">
        <v>0</v>
      </c>
      <c r="F520" s="68">
        <f t="shared" si="79"/>
        <v>546.46675200000016</v>
      </c>
      <c r="G520" s="86"/>
      <c r="H520" s="87"/>
      <c r="I520" s="36"/>
      <c r="L520" s="77"/>
      <c r="M520" s="77"/>
      <c r="N520" s="36"/>
    </row>
    <row r="521" spans="1:14" s="37" customFormat="1" ht="15.75" customHeight="1" x14ac:dyDescent="0.3">
      <c r="A521" s="78">
        <f t="shared" ref="A521:A529" si="82">A520+1</f>
        <v>15</v>
      </c>
      <c r="B521" s="79"/>
      <c r="C521" s="68" t="s">
        <v>192</v>
      </c>
      <c r="D521" s="52">
        <f t="shared" si="81"/>
        <v>341.54172000000005</v>
      </c>
      <c r="E521" s="68">
        <v>0</v>
      </c>
      <c r="F521" s="68">
        <f t="shared" si="79"/>
        <v>546.46675200000016</v>
      </c>
      <c r="G521" s="86"/>
      <c r="H521" s="87"/>
      <c r="I521" s="36"/>
      <c r="L521" s="77"/>
      <c r="M521" s="77"/>
      <c r="N521" s="36"/>
    </row>
    <row r="522" spans="1:14" s="37" customFormat="1" ht="15.75" customHeight="1" x14ac:dyDescent="0.3">
      <c r="A522" s="78">
        <f t="shared" si="82"/>
        <v>16</v>
      </c>
      <c r="B522" s="79"/>
      <c r="C522" s="68" t="s">
        <v>192</v>
      </c>
      <c r="D522" s="52">
        <f t="shared" si="81"/>
        <v>341.54172000000005</v>
      </c>
      <c r="E522" s="68">
        <v>0</v>
      </c>
      <c r="F522" s="68">
        <f t="shared" si="79"/>
        <v>546.46675200000016</v>
      </c>
      <c r="G522" s="86"/>
      <c r="H522" s="87"/>
      <c r="I522" s="36"/>
      <c r="L522" s="77"/>
      <c r="M522" s="77"/>
      <c r="N522" s="36"/>
    </row>
    <row r="523" spans="1:14" s="37" customFormat="1" ht="15.75" customHeight="1" x14ac:dyDescent="0.3">
      <c r="A523" s="78">
        <f t="shared" si="82"/>
        <v>17</v>
      </c>
      <c r="B523" s="79"/>
      <c r="C523" s="68" t="s">
        <v>192</v>
      </c>
      <c r="D523" s="52">
        <f t="shared" si="81"/>
        <v>341.54172000000005</v>
      </c>
      <c r="E523" s="68">
        <v>0</v>
      </c>
      <c r="F523" s="68">
        <f t="shared" si="79"/>
        <v>546.46675200000016</v>
      </c>
      <c r="G523" s="86"/>
      <c r="H523" s="87"/>
      <c r="I523" s="36"/>
      <c r="L523" s="77"/>
      <c r="M523" s="77"/>
      <c r="N523" s="36"/>
    </row>
    <row r="524" spans="1:14" s="37" customFormat="1" ht="15.75" customHeight="1" x14ac:dyDescent="0.3">
      <c r="A524" s="78">
        <f t="shared" si="82"/>
        <v>18</v>
      </c>
      <c r="B524" s="79"/>
      <c r="C524" s="68" t="s">
        <v>192</v>
      </c>
      <c r="D524" s="52">
        <f t="shared" si="81"/>
        <v>341.54172000000005</v>
      </c>
      <c r="E524" s="68">
        <v>0</v>
      </c>
      <c r="F524" s="68">
        <f t="shared" si="79"/>
        <v>546.46675200000016</v>
      </c>
      <c r="G524" s="86"/>
      <c r="H524" s="87"/>
      <c r="I524" s="36"/>
      <c r="L524" s="77"/>
      <c r="M524" s="77"/>
      <c r="N524" s="36"/>
    </row>
    <row r="525" spans="1:14" s="37" customFormat="1" ht="15.75" customHeight="1" x14ac:dyDescent="0.3">
      <c r="A525" s="78">
        <f t="shared" si="82"/>
        <v>19</v>
      </c>
      <c r="B525" s="79"/>
      <c r="C525" s="68" t="s">
        <v>192</v>
      </c>
      <c r="D525" s="52">
        <f t="shared" si="81"/>
        <v>341.54172000000005</v>
      </c>
      <c r="E525" s="68">
        <v>0</v>
      </c>
      <c r="F525" s="68">
        <f t="shared" si="79"/>
        <v>546.46675200000016</v>
      </c>
      <c r="G525" s="86"/>
      <c r="H525" s="87"/>
      <c r="I525" s="36"/>
      <c r="L525" s="77"/>
      <c r="M525" s="77"/>
      <c r="N525" s="36"/>
    </row>
    <row r="526" spans="1:14" s="37" customFormat="1" ht="15.75" customHeight="1" x14ac:dyDescent="0.3">
      <c r="A526" s="78">
        <f t="shared" si="82"/>
        <v>20</v>
      </c>
      <c r="B526" s="79"/>
      <c r="C526" s="68" t="s">
        <v>192</v>
      </c>
      <c r="D526" s="52">
        <f t="shared" si="81"/>
        <v>341.54172000000005</v>
      </c>
      <c r="E526" s="68">
        <v>0</v>
      </c>
      <c r="F526" s="68">
        <f t="shared" si="79"/>
        <v>546.46675200000016</v>
      </c>
      <c r="G526" s="86"/>
      <c r="H526" s="87"/>
      <c r="I526" s="36"/>
      <c r="L526" s="77"/>
      <c r="M526" s="77"/>
      <c r="N526" s="36"/>
    </row>
    <row r="527" spans="1:14" s="37" customFormat="1" ht="15.75" customHeight="1" x14ac:dyDescent="0.3">
      <c r="A527" s="78">
        <f t="shared" si="82"/>
        <v>21</v>
      </c>
      <c r="B527" s="79"/>
      <c r="C527" s="68" t="s">
        <v>192</v>
      </c>
      <c r="D527" s="52">
        <f t="shared" si="81"/>
        <v>341.54172000000005</v>
      </c>
      <c r="E527" s="68">
        <v>0</v>
      </c>
      <c r="F527" s="68">
        <f t="shared" si="79"/>
        <v>546.46675200000016</v>
      </c>
      <c r="G527" s="86"/>
      <c r="H527" s="87"/>
      <c r="I527" s="36"/>
      <c r="L527" s="77"/>
      <c r="M527" s="77"/>
      <c r="N527" s="36"/>
    </row>
    <row r="528" spans="1:14" s="37" customFormat="1" ht="15.75" customHeight="1" x14ac:dyDescent="0.3">
      <c r="A528" s="78">
        <f t="shared" si="82"/>
        <v>22</v>
      </c>
      <c r="B528" s="79"/>
      <c r="C528" s="68" t="s">
        <v>192</v>
      </c>
      <c r="D528" s="52">
        <f t="shared" si="81"/>
        <v>341.54172000000005</v>
      </c>
      <c r="E528" s="68">
        <v>0</v>
      </c>
      <c r="F528" s="68">
        <f t="shared" si="79"/>
        <v>546.46675200000016</v>
      </c>
      <c r="G528" s="86"/>
      <c r="H528" s="87"/>
      <c r="I528" s="36"/>
      <c r="L528" s="77"/>
      <c r="M528" s="77"/>
      <c r="N528" s="36"/>
    </row>
    <row r="529" spans="1:14" s="37" customFormat="1" ht="15.75" customHeight="1" x14ac:dyDescent="0.3">
      <c r="A529" s="78">
        <f t="shared" si="82"/>
        <v>23</v>
      </c>
      <c r="B529" s="79"/>
      <c r="C529" s="68" t="s">
        <v>192</v>
      </c>
      <c r="D529" s="52">
        <f>(8.05*3.75+1.65*1.95+1.5*1.2+0.45*0.9)*(10.764)</f>
        <v>383.30604</v>
      </c>
      <c r="E529" s="68">
        <v>0</v>
      </c>
      <c r="F529" s="68">
        <f t="shared" si="79"/>
        <v>613.28966400000002</v>
      </c>
      <c r="G529" s="86"/>
      <c r="H529" s="87"/>
      <c r="I529" s="36"/>
      <c r="L529" s="77"/>
      <c r="M529" s="77"/>
      <c r="N529" s="36"/>
    </row>
    <row r="530" spans="1:14" s="37" customFormat="1" x14ac:dyDescent="0.3">
      <c r="A530" s="78">
        <v>24</v>
      </c>
      <c r="B530" s="79"/>
      <c r="C530" s="78" t="s">
        <v>264</v>
      </c>
      <c r="D530" s="93"/>
      <c r="E530" s="93"/>
      <c r="F530" s="79"/>
      <c r="G530" s="86"/>
      <c r="H530" s="87"/>
      <c r="I530" s="36"/>
      <c r="K530" s="36"/>
    </row>
    <row r="531" spans="1:14" s="37" customFormat="1" ht="15.75" customHeight="1" x14ac:dyDescent="0.3">
      <c r="A531" s="78">
        <v>25</v>
      </c>
      <c r="B531" s="79"/>
      <c r="C531" s="68" t="s">
        <v>192</v>
      </c>
      <c r="D531" s="52">
        <f>(5.35*3.35+1.65*1.55+1.5*1.2+0.45*0.9)*(10.764)</f>
        <v>244.18134000000001</v>
      </c>
      <c r="E531" s="68">
        <v>0</v>
      </c>
      <c r="F531" s="68">
        <f>(D531+E531)*(($F$130)+1)</f>
        <v>390.69014400000003</v>
      </c>
      <c r="G531" s="86"/>
      <c r="H531" s="87"/>
      <c r="I531" s="36"/>
      <c r="L531" s="77"/>
      <c r="M531" s="77"/>
      <c r="N531" s="36"/>
    </row>
    <row r="532" spans="1:14" s="37" customFormat="1" ht="15.75" customHeight="1" x14ac:dyDescent="0.3">
      <c r="A532" s="78">
        <v>26</v>
      </c>
      <c r="B532" s="79"/>
      <c r="C532" s="68" t="s">
        <v>192</v>
      </c>
      <c r="D532" s="52">
        <f t="shared" ref="D532:D533" si="83">(5.35*3.35+1.65*1.55+1.5*1.2+0.45*0.9)*(10.764)</f>
        <v>244.18134000000001</v>
      </c>
      <c r="E532" s="68">
        <v>0</v>
      </c>
      <c r="F532" s="68">
        <f>(D532+E532)*(($F$130)+1)</f>
        <v>390.69014400000003</v>
      </c>
      <c r="G532" s="86"/>
      <c r="H532" s="87"/>
      <c r="I532" s="36"/>
      <c r="L532" s="77"/>
      <c r="M532" s="77"/>
      <c r="N532" s="36"/>
    </row>
    <row r="533" spans="1:14" s="37" customFormat="1" ht="15.75" customHeight="1" x14ac:dyDescent="0.3">
      <c r="A533" s="78">
        <v>27</v>
      </c>
      <c r="B533" s="79"/>
      <c r="C533" s="68" t="s">
        <v>192</v>
      </c>
      <c r="D533" s="52">
        <f t="shared" si="83"/>
        <v>244.18134000000001</v>
      </c>
      <c r="E533" s="68">
        <v>0</v>
      </c>
      <c r="F533" s="68">
        <f>(D533+E533)*(($F$130)+1)</f>
        <v>390.69014400000003</v>
      </c>
      <c r="G533" s="86"/>
      <c r="H533" s="87"/>
      <c r="I533" s="36"/>
      <c r="L533" s="77"/>
      <c r="M533" s="77"/>
      <c r="N533" s="36"/>
    </row>
    <row r="534" spans="1:14" s="37" customFormat="1" ht="15.75" customHeight="1" x14ac:dyDescent="0.3">
      <c r="A534" s="88" t="s">
        <v>266</v>
      </c>
      <c r="B534" s="89"/>
      <c r="C534" s="89"/>
      <c r="D534" s="89"/>
      <c r="E534" s="89"/>
      <c r="F534" s="89"/>
      <c r="G534" s="89"/>
      <c r="H534" s="90"/>
      <c r="I534" s="36" t="s">
        <v>267</v>
      </c>
      <c r="J534" s="37">
        <f>4.93*6+5.1*3.85+3.3*1.65+1.2*0.6+1.3*0.9</f>
        <v>56.55</v>
      </c>
      <c r="L534" s="77"/>
      <c r="M534" s="77"/>
      <c r="N534" s="36"/>
    </row>
    <row r="535" spans="1:14" s="37" customFormat="1" ht="15.75" customHeight="1" x14ac:dyDescent="0.3">
      <c r="A535" s="78">
        <v>1</v>
      </c>
      <c r="B535" s="79"/>
      <c r="C535" s="68" t="s">
        <v>192</v>
      </c>
      <c r="D535" s="52">
        <f>(5.35*3.35+1.65*1.55+1.5*1.2+0.45*0.9)*(10.764)</f>
        <v>244.18134000000001</v>
      </c>
      <c r="E535" s="68">
        <v>0</v>
      </c>
      <c r="F535" s="68">
        <f t="shared" ref="F535:F557" si="84">(D535+E535)*(($F$130)+1)</f>
        <v>390.69014400000003</v>
      </c>
      <c r="G535" s="91" t="str">
        <f>A534</f>
        <v>28th Floor (29th Floor as per Builder)</v>
      </c>
      <c r="H535" s="92"/>
      <c r="I535" s="36"/>
      <c r="L535" s="77"/>
      <c r="M535" s="77"/>
      <c r="N535" s="36"/>
    </row>
    <row r="536" spans="1:14" s="37" customFormat="1" ht="15.75" customHeight="1" x14ac:dyDescent="0.3">
      <c r="A536" s="78">
        <v>2</v>
      </c>
      <c r="B536" s="79"/>
      <c r="C536" s="68" t="s">
        <v>192</v>
      </c>
      <c r="D536" s="52">
        <f t="shared" ref="D536:D539" si="85">(5.35*3.35+1.65*1.55+1.5*1.2+0.45*0.9)*(10.764)</f>
        <v>244.18134000000001</v>
      </c>
      <c r="E536" s="68">
        <v>0</v>
      </c>
      <c r="F536" s="68">
        <f t="shared" si="84"/>
        <v>390.69014400000003</v>
      </c>
      <c r="G536" s="86"/>
      <c r="H536" s="87"/>
      <c r="I536" s="36"/>
      <c r="L536" s="77"/>
      <c r="M536" s="77"/>
      <c r="N536" s="36"/>
    </row>
    <row r="537" spans="1:14" s="37" customFormat="1" ht="15.75" customHeight="1" x14ac:dyDescent="0.3">
      <c r="A537" s="78">
        <v>3</v>
      </c>
      <c r="B537" s="79"/>
      <c r="C537" s="68" t="s">
        <v>192</v>
      </c>
      <c r="D537" s="52">
        <f t="shared" si="85"/>
        <v>244.18134000000001</v>
      </c>
      <c r="E537" s="68">
        <v>0</v>
      </c>
      <c r="F537" s="68">
        <f t="shared" si="84"/>
        <v>390.69014400000003</v>
      </c>
      <c r="G537" s="86"/>
      <c r="H537" s="87"/>
      <c r="I537" s="36"/>
      <c r="L537" s="77"/>
      <c r="M537" s="77"/>
      <c r="N537" s="36"/>
    </row>
    <row r="538" spans="1:14" s="37" customFormat="1" ht="15.75" customHeight="1" x14ac:dyDescent="0.3">
      <c r="A538" s="78">
        <v>4</v>
      </c>
      <c r="B538" s="79"/>
      <c r="C538" s="68" t="s">
        <v>192</v>
      </c>
      <c r="D538" s="52">
        <f t="shared" si="85"/>
        <v>244.18134000000001</v>
      </c>
      <c r="E538" s="68">
        <v>0</v>
      </c>
      <c r="F538" s="68">
        <f t="shared" si="84"/>
        <v>390.69014400000003</v>
      </c>
      <c r="G538" s="86"/>
      <c r="H538" s="87"/>
      <c r="I538" s="36"/>
      <c r="L538" s="77"/>
      <c r="M538" s="77"/>
      <c r="N538" s="36"/>
    </row>
    <row r="539" spans="1:14" s="37" customFormat="1" ht="15.75" customHeight="1" x14ac:dyDescent="0.3">
      <c r="A539" s="78">
        <v>5</v>
      </c>
      <c r="B539" s="79"/>
      <c r="C539" s="68" t="s">
        <v>192</v>
      </c>
      <c r="D539" s="52">
        <f t="shared" si="85"/>
        <v>244.18134000000001</v>
      </c>
      <c r="E539" s="68">
        <v>0</v>
      </c>
      <c r="F539" s="68">
        <f t="shared" si="84"/>
        <v>390.69014400000003</v>
      </c>
      <c r="G539" s="86"/>
      <c r="H539" s="87"/>
      <c r="I539" s="36"/>
      <c r="L539" s="77"/>
      <c r="M539" s="77"/>
      <c r="N539" s="36"/>
    </row>
    <row r="540" spans="1:14" s="37" customFormat="1" ht="15.75" customHeight="1" x14ac:dyDescent="0.3">
      <c r="A540" s="78">
        <v>6</v>
      </c>
      <c r="B540" s="79"/>
      <c r="C540" s="68" t="s">
        <v>192</v>
      </c>
      <c r="D540" s="52">
        <f>(5.35*3.7+1.65*1.75+1.5*1.2+0.45*0.9)*(10.764)</f>
        <v>267.88905</v>
      </c>
      <c r="E540" s="68">
        <v>0</v>
      </c>
      <c r="F540" s="68">
        <f t="shared" si="84"/>
        <v>428.62248</v>
      </c>
      <c r="G540" s="86"/>
      <c r="H540" s="87"/>
      <c r="I540" s="36"/>
      <c r="L540" s="77"/>
      <c r="M540" s="77"/>
      <c r="N540" s="36"/>
    </row>
    <row r="541" spans="1:14" s="37" customFormat="1" ht="15.75" customHeight="1" x14ac:dyDescent="0.3">
      <c r="A541" s="78">
        <v>7</v>
      </c>
      <c r="B541" s="79"/>
      <c r="C541" s="68" t="s">
        <v>192</v>
      </c>
      <c r="D541" s="52">
        <f>(8.05*3.35+1.65*1.75+1.5*1.2+0.45*0.9)*(10.764)</f>
        <v>345.09384</v>
      </c>
      <c r="E541" s="68">
        <v>0</v>
      </c>
      <c r="F541" s="68">
        <f t="shared" si="84"/>
        <v>552.15014400000007</v>
      </c>
      <c r="G541" s="86"/>
      <c r="H541" s="87"/>
      <c r="I541" s="36"/>
      <c r="K541" s="37">
        <f>21+26</f>
        <v>47</v>
      </c>
      <c r="L541" s="77"/>
      <c r="M541" s="77"/>
      <c r="N541" s="36"/>
    </row>
    <row r="542" spans="1:14" s="37" customFormat="1" ht="15.75" customHeight="1" x14ac:dyDescent="0.3">
      <c r="A542" s="78">
        <v>8</v>
      </c>
      <c r="B542" s="79"/>
      <c r="C542" s="68" t="s">
        <v>192</v>
      </c>
      <c r="D542" s="52">
        <f>(8.05*3.35+1.65*1.55+1.5*1.2+0.45*0.9)*(10.764)</f>
        <v>341.54172000000005</v>
      </c>
      <c r="E542" s="68">
        <v>0</v>
      </c>
      <c r="F542" s="68">
        <f t="shared" si="84"/>
        <v>546.46675200000016</v>
      </c>
      <c r="G542" s="86"/>
      <c r="H542" s="87"/>
      <c r="I542" s="36"/>
      <c r="L542" s="77"/>
      <c r="M542" s="77"/>
      <c r="N542" s="36"/>
    </row>
    <row r="543" spans="1:14" s="37" customFormat="1" ht="15.75" customHeight="1" x14ac:dyDescent="0.3">
      <c r="A543" s="78">
        <v>9</v>
      </c>
      <c r="B543" s="79"/>
      <c r="C543" s="68" t="s">
        <v>192</v>
      </c>
      <c r="D543" s="52">
        <f t="shared" ref="D543:D555" si="86">(8.05*3.35+1.65*1.55+1.5*1.2+0.45*0.9)*(10.764)</f>
        <v>341.54172000000005</v>
      </c>
      <c r="E543" s="68">
        <v>0</v>
      </c>
      <c r="F543" s="68">
        <f t="shared" si="84"/>
        <v>546.46675200000016</v>
      </c>
      <c r="G543" s="86"/>
      <c r="H543" s="87"/>
      <c r="I543" s="36"/>
      <c r="L543" s="77"/>
      <c r="M543" s="77"/>
      <c r="N543" s="36"/>
    </row>
    <row r="544" spans="1:14" s="37" customFormat="1" ht="15.75" customHeight="1" x14ac:dyDescent="0.3">
      <c r="A544" s="78">
        <v>10</v>
      </c>
      <c r="B544" s="79"/>
      <c r="C544" s="68" t="s">
        <v>192</v>
      </c>
      <c r="D544" s="52">
        <f t="shared" si="86"/>
        <v>341.54172000000005</v>
      </c>
      <c r="E544" s="68">
        <v>0</v>
      </c>
      <c r="F544" s="68">
        <f t="shared" si="84"/>
        <v>546.46675200000016</v>
      </c>
      <c r="G544" s="86"/>
      <c r="H544" s="87"/>
      <c r="J544" s="36"/>
      <c r="L544" s="77"/>
      <c r="M544" s="77"/>
      <c r="N544" s="36"/>
    </row>
    <row r="545" spans="1:14" s="37" customFormat="1" ht="15.75" customHeight="1" x14ac:dyDescent="0.3">
      <c r="A545" s="78">
        <v>11</v>
      </c>
      <c r="B545" s="79"/>
      <c r="C545" s="68" t="s">
        <v>192</v>
      </c>
      <c r="D545" s="52">
        <f t="shared" si="86"/>
        <v>341.54172000000005</v>
      </c>
      <c r="E545" s="68">
        <v>0</v>
      </c>
      <c r="F545" s="68">
        <f t="shared" si="84"/>
        <v>546.46675200000016</v>
      </c>
      <c r="G545" s="86"/>
      <c r="H545" s="87"/>
      <c r="I545" s="36"/>
      <c r="L545" s="77"/>
      <c r="M545" s="77"/>
      <c r="N545" s="36"/>
    </row>
    <row r="546" spans="1:14" s="37" customFormat="1" ht="15.75" customHeight="1" x14ac:dyDescent="0.3">
      <c r="A546" s="78">
        <v>12</v>
      </c>
      <c r="B546" s="79"/>
      <c r="C546" s="68" t="s">
        <v>192</v>
      </c>
      <c r="D546" s="52">
        <f t="shared" si="86"/>
        <v>341.54172000000005</v>
      </c>
      <c r="E546" s="68">
        <v>0</v>
      </c>
      <c r="F546" s="68">
        <f t="shared" si="84"/>
        <v>546.46675200000016</v>
      </c>
      <c r="G546" s="86"/>
      <c r="H546" s="87"/>
      <c r="I546" s="36"/>
      <c r="L546" s="77"/>
      <c r="M546" s="77"/>
      <c r="N546" s="36"/>
    </row>
    <row r="547" spans="1:14" s="37" customFormat="1" ht="15.75" customHeight="1" x14ac:dyDescent="0.3">
      <c r="A547" s="78">
        <v>14</v>
      </c>
      <c r="B547" s="79"/>
      <c r="C547" s="68" t="s">
        <v>192</v>
      </c>
      <c r="D547" s="52">
        <f t="shared" si="86"/>
        <v>341.54172000000005</v>
      </c>
      <c r="E547" s="68">
        <v>0</v>
      </c>
      <c r="F547" s="68">
        <f t="shared" si="84"/>
        <v>546.46675200000016</v>
      </c>
      <c r="G547" s="86"/>
      <c r="H547" s="87"/>
      <c r="I547" s="36"/>
      <c r="L547" s="77"/>
      <c r="M547" s="77"/>
      <c r="N547" s="36"/>
    </row>
    <row r="548" spans="1:14" s="37" customFormat="1" ht="15.75" customHeight="1" x14ac:dyDescent="0.3">
      <c r="A548" s="78">
        <f t="shared" ref="A548:A556" si="87">A547+1</f>
        <v>15</v>
      </c>
      <c r="B548" s="79"/>
      <c r="C548" s="68" t="s">
        <v>192</v>
      </c>
      <c r="D548" s="52">
        <f t="shared" si="86"/>
        <v>341.54172000000005</v>
      </c>
      <c r="E548" s="68">
        <v>0</v>
      </c>
      <c r="F548" s="68">
        <f t="shared" si="84"/>
        <v>546.46675200000016</v>
      </c>
      <c r="G548" s="86"/>
      <c r="H548" s="87"/>
      <c r="I548" s="36"/>
      <c r="L548" s="77"/>
      <c r="M548" s="77"/>
      <c r="N548" s="36"/>
    </row>
    <row r="549" spans="1:14" s="37" customFormat="1" ht="15.75" customHeight="1" x14ac:dyDescent="0.3">
      <c r="A549" s="78">
        <f t="shared" si="87"/>
        <v>16</v>
      </c>
      <c r="B549" s="79"/>
      <c r="C549" s="68" t="s">
        <v>192</v>
      </c>
      <c r="D549" s="52">
        <f t="shared" si="86"/>
        <v>341.54172000000005</v>
      </c>
      <c r="E549" s="68">
        <v>0</v>
      </c>
      <c r="F549" s="68">
        <f t="shared" si="84"/>
        <v>546.46675200000016</v>
      </c>
      <c r="G549" s="86"/>
      <c r="H549" s="87"/>
      <c r="I549" s="36"/>
      <c r="L549" s="77"/>
      <c r="M549" s="77"/>
      <c r="N549" s="36"/>
    </row>
    <row r="550" spans="1:14" s="37" customFormat="1" ht="15.75" customHeight="1" x14ac:dyDescent="0.3">
      <c r="A550" s="78">
        <f t="shared" si="87"/>
        <v>17</v>
      </c>
      <c r="B550" s="79"/>
      <c r="C550" s="68" t="s">
        <v>192</v>
      </c>
      <c r="D550" s="52">
        <f t="shared" si="86"/>
        <v>341.54172000000005</v>
      </c>
      <c r="E550" s="68">
        <v>0</v>
      </c>
      <c r="F550" s="68">
        <f t="shared" si="84"/>
        <v>546.46675200000016</v>
      </c>
      <c r="G550" s="86"/>
      <c r="H550" s="87"/>
      <c r="I550" s="36"/>
      <c r="L550" s="77"/>
      <c r="M550" s="77"/>
      <c r="N550" s="36"/>
    </row>
    <row r="551" spans="1:14" s="37" customFormat="1" ht="15.75" customHeight="1" x14ac:dyDescent="0.3">
      <c r="A551" s="78">
        <f t="shared" si="87"/>
        <v>18</v>
      </c>
      <c r="B551" s="79"/>
      <c r="C551" s="68" t="s">
        <v>192</v>
      </c>
      <c r="D551" s="52">
        <f t="shared" si="86"/>
        <v>341.54172000000005</v>
      </c>
      <c r="E551" s="68">
        <v>0</v>
      </c>
      <c r="F551" s="68">
        <f t="shared" si="84"/>
        <v>546.46675200000016</v>
      </c>
      <c r="G551" s="86"/>
      <c r="H551" s="87"/>
      <c r="I551" s="36"/>
      <c r="L551" s="77"/>
      <c r="M551" s="77"/>
      <c r="N551" s="36"/>
    </row>
    <row r="552" spans="1:14" s="37" customFormat="1" ht="15.75" customHeight="1" x14ac:dyDescent="0.3">
      <c r="A552" s="78">
        <f t="shared" si="87"/>
        <v>19</v>
      </c>
      <c r="B552" s="79"/>
      <c r="C552" s="68" t="s">
        <v>192</v>
      </c>
      <c r="D552" s="52">
        <f t="shared" si="86"/>
        <v>341.54172000000005</v>
      </c>
      <c r="E552" s="68">
        <v>0</v>
      </c>
      <c r="F552" s="68">
        <f t="shared" si="84"/>
        <v>546.46675200000016</v>
      </c>
      <c r="G552" s="86"/>
      <c r="H552" s="87"/>
      <c r="I552" s="36"/>
      <c r="L552" s="77"/>
      <c r="M552" s="77"/>
      <c r="N552" s="36"/>
    </row>
    <row r="553" spans="1:14" s="37" customFormat="1" ht="15.75" customHeight="1" x14ac:dyDescent="0.3">
      <c r="A553" s="78">
        <f t="shared" si="87"/>
        <v>20</v>
      </c>
      <c r="B553" s="79"/>
      <c r="C553" s="68" t="s">
        <v>192</v>
      </c>
      <c r="D553" s="52">
        <f t="shared" si="86"/>
        <v>341.54172000000005</v>
      </c>
      <c r="E553" s="68">
        <v>0</v>
      </c>
      <c r="F553" s="68">
        <f t="shared" si="84"/>
        <v>546.46675200000016</v>
      </c>
      <c r="G553" s="86"/>
      <c r="H553" s="87"/>
      <c r="I553" s="36"/>
      <c r="L553" s="77"/>
      <c r="M553" s="77"/>
      <c r="N553" s="36"/>
    </row>
    <row r="554" spans="1:14" s="37" customFormat="1" ht="15.75" customHeight="1" x14ac:dyDescent="0.3">
      <c r="A554" s="78">
        <f t="shared" si="87"/>
        <v>21</v>
      </c>
      <c r="B554" s="79"/>
      <c r="C554" s="68" t="s">
        <v>192</v>
      </c>
      <c r="D554" s="52">
        <f t="shared" si="86"/>
        <v>341.54172000000005</v>
      </c>
      <c r="E554" s="68">
        <v>0</v>
      </c>
      <c r="F554" s="68">
        <f t="shared" si="84"/>
        <v>546.46675200000016</v>
      </c>
      <c r="G554" s="86"/>
      <c r="H554" s="87"/>
      <c r="I554" s="36"/>
      <c r="L554" s="77"/>
      <c r="M554" s="77"/>
      <c r="N554" s="36"/>
    </row>
    <row r="555" spans="1:14" s="37" customFormat="1" ht="15.75" customHeight="1" x14ac:dyDescent="0.3">
      <c r="A555" s="78">
        <f t="shared" si="87"/>
        <v>22</v>
      </c>
      <c r="B555" s="79"/>
      <c r="C555" s="68" t="s">
        <v>192</v>
      </c>
      <c r="D555" s="52">
        <f t="shared" si="86"/>
        <v>341.54172000000005</v>
      </c>
      <c r="E555" s="68">
        <v>0</v>
      </c>
      <c r="F555" s="68">
        <f t="shared" si="84"/>
        <v>546.46675200000016</v>
      </c>
      <c r="G555" s="86"/>
      <c r="H555" s="87"/>
      <c r="I555" s="36"/>
      <c r="L555" s="77"/>
      <c r="M555" s="77"/>
      <c r="N555" s="36"/>
    </row>
    <row r="556" spans="1:14" s="37" customFormat="1" ht="15.75" customHeight="1" x14ac:dyDescent="0.3">
      <c r="A556" s="78">
        <f t="shared" si="87"/>
        <v>23</v>
      </c>
      <c r="B556" s="79"/>
      <c r="C556" s="68" t="s">
        <v>192</v>
      </c>
      <c r="D556" s="52">
        <f>(8.05*3.75+1.65*1.95+1.5*1.2+0.45*0.9)*(10.764)</f>
        <v>383.30604</v>
      </c>
      <c r="E556" s="68">
        <v>0</v>
      </c>
      <c r="F556" s="68">
        <f t="shared" si="84"/>
        <v>613.28966400000002</v>
      </c>
      <c r="G556" s="86"/>
      <c r="H556" s="87"/>
      <c r="I556" s="36"/>
      <c r="L556" s="77"/>
      <c r="M556" s="77"/>
      <c r="N556" s="36"/>
    </row>
    <row r="557" spans="1:14" s="37" customFormat="1" ht="15.75" customHeight="1" x14ac:dyDescent="0.3">
      <c r="A557" s="78">
        <v>24</v>
      </c>
      <c r="B557" s="79"/>
      <c r="C557" s="68" t="s">
        <v>192</v>
      </c>
      <c r="D557" s="52">
        <f>(5.35*3.35+1.65*1.55+1.5*1.2+0.45*0.9)*(10.764)</f>
        <v>244.18134000000001</v>
      </c>
      <c r="E557" s="68">
        <v>0</v>
      </c>
      <c r="F557" s="68">
        <f t="shared" si="84"/>
        <v>390.69014400000003</v>
      </c>
      <c r="G557" s="86"/>
      <c r="H557" s="87"/>
      <c r="I557" s="36"/>
      <c r="K557" s="36"/>
    </row>
    <row r="558" spans="1:14" s="37" customFormat="1" ht="15.75" customHeight="1" x14ac:dyDescent="0.3">
      <c r="A558" s="78">
        <v>25</v>
      </c>
      <c r="B558" s="79"/>
      <c r="C558" s="68" t="s">
        <v>192</v>
      </c>
      <c r="D558" s="52">
        <f>(5.35*3.35+1.65*1.55+1.5*1.2+0.45*0.9)*(10.764)</f>
        <v>244.18134000000001</v>
      </c>
      <c r="E558" s="68">
        <v>0</v>
      </c>
      <c r="F558" s="68">
        <f t="shared" ref="F558:F560" si="88">(D558+E558)*(($F$130)+1)</f>
        <v>390.69014400000003</v>
      </c>
      <c r="G558" s="86"/>
      <c r="H558" s="87"/>
      <c r="I558" s="36"/>
      <c r="L558" s="77"/>
      <c r="M558" s="77"/>
      <c r="N558" s="36"/>
    </row>
    <row r="559" spans="1:14" s="37" customFormat="1" ht="15.75" customHeight="1" x14ac:dyDescent="0.3">
      <c r="A559" s="78">
        <v>26</v>
      </c>
      <c r="B559" s="79"/>
      <c r="C559" s="68" t="s">
        <v>192</v>
      </c>
      <c r="D559" s="52">
        <f t="shared" ref="D559:D560" si="89">(5.35*3.35+1.65*1.55+1.5*1.2+0.45*0.9)*(10.764)</f>
        <v>244.18134000000001</v>
      </c>
      <c r="E559" s="68">
        <v>0</v>
      </c>
      <c r="F559" s="68">
        <f t="shared" si="88"/>
        <v>390.69014400000003</v>
      </c>
      <c r="G559" s="86"/>
      <c r="H559" s="87"/>
      <c r="I559" s="36"/>
      <c r="L559" s="77"/>
      <c r="M559" s="77"/>
      <c r="N559" s="36"/>
    </row>
    <row r="560" spans="1:14" s="37" customFormat="1" ht="15.75" customHeight="1" x14ac:dyDescent="0.3">
      <c r="A560" s="78">
        <v>27</v>
      </c>
      <c r="B560" s="79"/>
      <c r="C560" s="68" t="s">
        <v>192</v>
      </c>
      <c r="D560" s="52">
        <f t="shared" si="89"/>
        <v>244.18134000000001</v>
      </c>
      <c r="E560" s="68">
        <v>0</v>
      </c>
      <c r="F560" s="68">
        <f t="shared" si="88"/>
        <v>390.69014400000003</v>
      </c>
      <c r="G560" s="86"/>
      <c r="H560" s="87"/>
      <c r="I560" s="36"/>
      <c r="L560" s="77"/>
      <c r="M560" s="77"/>
      <c r="N560" s="36"/>
    </row>
    <row r="561" spans="1:14" s="37" customFormat="1" ht="15.75" customHeight="1" x14ac:dyDescent="0.3">
      <c r="A561" s="88" t="s">
        <v>268</v>
      </c>
      <c r="B561" s="89"/>
      <c r="C561" s="89"/>
      <c r="D561" s="89"/>
      <c r="E561" s="89"/>
      <c r="F561" s="89"/>
      <c r="G561" s="89"/>
      <c r="H561" s="90"/>
      <c r="I561" s="36" t="s">
        <v>270</v>
      </c>
      <c r="J561" s="37">
        <f>4.93*6+5.1*3.85+3.3*1.65+1.2*0.6+1.3*0.9</f>
        <v>56.55</v>
      </c>
      <c r="L561" s="77"/>
      <c r="M561" s="77"/>
      <c r="N561" s="36"/>
    </row>
    <row r="562" spans="1:14" s="37" customFormat="1" ht="15.75" customHeight="1" x14ac:dyDescent="0.3">
      <c r="A562" s="106" t="s">
        <v>191</v>
      </c>
      <c r="B562" s="106"/>
      <c r="C562" s="103" t="s">
        <v>193</v>
      </c>
      <c r="D562" s="104"/>
      <c r="E562" s="104"/>
      <c r="F562" s="105"/>
      <c r="G562" s="95"/>
      <c r="H562" s="96"/>
      <c r="I562" s="36"/>
      <c r="N562" s="36"/>
    </row>
    <row r="563" spans="1:14" s="37" customFormat="1" ht="15.75" customHeight="1" x14ac:dyDescent="0.3">
      <c r="A563" s="101">
        <v>14</v>
      </c>
      <c r="B563" s="102"/>
      <c r="C563" s="71" t="s">
        <v>192</v>
      </c>
      <c r="D563" s="72">
        <f t="shared" ref="D563:D571" si="90">(8.05*3.35+1.65*1.55+1.5*1.2+0.45*0.9)*(10.764)</f>
        <v>341.54172000000005</v>
      </c>
      <c r="E563" s="71">
        <v>0</v>
      </c>
      <c r="F563" s="71">
        <f t="shared" ref="F563:F576" si="91">(D563+E563)*(($F$130)+1)</f>
        <v>546.46675200000016</v>
      </c>
      <c r="G563" s="97"/>
      <c r="H563" s="98"/>
      <c r="I563" s="36"/>
      <c r="L563" s="77"/>
      <c r="M563" s="77"/>
      <c r="N563" s="36"/>
    </row>
    <row r="564" spans="1:14" s="37" customFormat="1" ht="15.75" customHeight="1" x14ac:dyDescent="0.3">
      <c r="A564" s="78">
        <f t="shared" ref="A564:A572" si="92">A563+1</f>
        <v>15</v>
      </c>
      <c r="B564" s="79"/>
      <c r="C564" s="68" t="s">
        <v>192</v>
      </c>
      <c r="D564" s="52">
        <f t="shared" si="90"/>
        <v>341.54172000000005</v>
      </c>
      <c r="E564" s="68">
        <v>0</v>
      </c>
      <c r="F564" s="68">
        <f t="shared" si="91"/>
        <v>546.46675200000016</v>
      </c>
      <c r="G564" s="97"/>
      <c r="H564" s="98"/>
      <c r="I564" s="36"/>
      <c r="L564" s="77"/>
      <c r="M564" s="77"/>
      <c r="N564" s="36"/>
    </row>
    <row r="565" spans="1:14" s="37" customFormat="1" ht="15.75" customHeight="1" x14ac:dyDescent="0.3">
      <c r="A565" s="78">
        <f t="shared" si="92"/>
        <v>16</v>
      </c>
      <c r="B565" s="79"/>
      <c r="C565" s="68" t="s">
        <v>192</v>
      </c>
      <c r="D565" s="52">
        <f t="shared" si="90"/>
        <v>341.54172000000005</v>
      </c>
      <c r="E565" s="68">
        <v>0</v>
      </c>
      <c r="F565" s="68">
        <f t="shared" si="91"/>
        <v>546.46675200000016</v>
      </c>
      <c r="G565" s="97"/>
      <c r="H565" s="98"/>
      <c r="I565" s="36"/>
      <c r="L565" s="77"/>
      <c r="M565" s="77"/>
      <c r="N565" s="36"/>
    </row>
    <row r="566" spans="1:14" s="37" customFormat="1" ht="15.75" customHeight="1" x14ac:dyDescent="0.3">
      <c r="A566" s="78">
        <f t="shared" si="92"/>
        <v>17</v>
      </c>
      <c r="B566" s="79"/>
      <c r="C566" s="68" t="s">
        <v>192</v>
      </c>
      <c r="D566" s="52">
        <f t="shared" si="90"/>
        <v>341.54172000000005</v>
      </c>
      <c r="E566" s="68">
        <v>0</v>
      </c>
      <c r="F566" s="68">
        <f t="shared" si="91"/>
        <v>546.46675200000016</v>
      </c>
      <c r="G566" s="97"/>
      <c r="H566" s="98"/>
      <c r="I566" s="36"/>
      <c r="L566" s="77"/>
      <c r="M566" s="77"/>
      <c r="N566" s="36"/>
    </row>
    <row r="567" spans="1:14" s="37" customFormat="1" ht="15.75" customHeight="1" x14ac:dyDescent="0.3">
      <c r="A567" s="78">
        <f t="shared" si="92"/>
        <v>18</v>
      </c>
      <c r="B567" s="79"/>
      <c r="C567" s="68" t="s">
        <v>192</v>
      </c>
      <c r="D567" s="52">
        <f t="shared" si="90"/>
        <v>341.54172000000005</v>
      </c>
      <c r="E567" s="68">
        <v>0</v>
      </c>
      <c r="F567" s="68">
        <f t="shared" si="91"/>
        <v>546.46675200000016</v>
      </c>
      <c r="G567" s="97"/>
      <c r="H567" s="98"/>
      <c r="I567" s="36"/>
      <c r="L567" s="77"/>
      <c r="M567" s="77"/>
      <c r="N567" s="36"/>
    </row>
    <row r="568" spans="1:14" s="37" customFormat="1" ht="15.75" customHeight="1" x14ac:dyDescent="0.3">
      <c r="A568" s="78">
        <f t="shared" si="92"/>
        <v>19</v>
      </c>
      <c r="B568" s="79"/>
      <c r="C568" s="68" t="s">
        <v>192</v>
      </c>
      <c r="D568" s="52">
        <f t="shared" si="90"/>
        <v>341.54172000000005</v>
      </c>
      <c r="E568" s="68">
        <v>0</v>
      </c>
      <c r="F568" s="68">
        <f t="shared" si="91"/>
        <v>546.46675200000016</v>
      </c>
      <c r="G568" s="97"/>
      <c r="H568" s="98"/>
      <c r="I568" s="36"/>
      <c r="L568" s="77"/>
      <c r="M568" s="77"/>
      <c r="N568" s="36"/>
    </row>
    <row r="569" spans="1:14" s="37" customFormat="1" ht="15.75" customHeight="1" x14ac:dyDescent="0.3">
      <c r="A569" s="78">
        <f t="shared" si="92"/>
        <v>20</v>
      </c>
      <c r="B569" s="79"/>
      <c r="C569" s="68" t="s">
        <v>192</v>
      </c>
      <c r="D569" s="52">
        <f t="shared" si="90"/>
        <v>341.54172000000005</v>
      </c>
      <c r="E569" s="68">
        <v>0</v>
      </c>
      <c r="F569" s="68">
        <f t="shared" si="91"/>
        <v>546.46675200000016</v>
      </c>
      <c r="G569" s="97"/>
      <c r="H569" s="98"/>
      <c r="I569" s="36"/>
      <c r="L569" s="77"/>
      <c r="M569" s="77"/>
      <c r="N569" s="36"/>
    </row>
    <row r="570" spans="1:14" s="37" customFormat="1" ht="15.75" customHeight="1" x14ac:dyDescent="0.3">
      <c r="A570" s="78">
        <f t="shared" si="92"/>
        <v>21</v>
      </c>
      <c r="B570" s="79"/>
      <c r="C570" s="68" t="s">
        <v>192</v>
      </c>
      <c r="D570" s="52">
        <f t="shared" si="90"/>
        <v>341.54172000000005</v>
      </c>
      <c r="E570" s="68">
        <v>0</v>
      </c>
      <c r="F570" s="68">
        <f t="shared" si="91"/>
        <v>546.46675200000016</v>
      </c>
      <c r="G570" s="97"/>
      <c r="H570" s="98"/>
      <c r="I570" s="36"/>
      <c r="L570" s="77"/>
      <c r="M570" s="77"/>
      <c r="N570" s="36"/>
    </row>
    <row r="571" spans="1:14" s="37" customFormat="1" ht="15.75" customHeight="1" x14ac:dyDescent="0.3">
      <c r="A571" s="78">
        <f t="shared" si="92"/>
        <v>22</v>
      </c>
      <c r="B571" s="79"/>
      <c r="C571" s="68" t="s">
        <v>192</v>
      </c>
      <c r="D571" s="52">
        <f t="shared" si="90"/>
        <v>341.54172000000005</v>
      </c>
      <c r="E571" s="68">
        <v>0</v>
      </c>
      <c r="F571" s="68">
        <f t="shared" si="91"/>
        <v>546.46675200000016</v>
      </c>
      <c r="G571" s="97"/>
      <c r="H571" s="98"/>
      <c r="I571" s="36"/>
      <c r="L571" s="77"/>
      <c r="M571" s="77"/>
      <c r="N571" s="36"/>
    </row>
    <row r="572" spans="1:14" s="37" customFormat="1" ht="15.75" customHeight="1" x14ac:dyDescent="0.3">
      <c r="A572" s="78">
        <f t="shared" si="92"/>
        <v>23</v>
      </c>
      <c r="B572" s="79"/>
      <c r="C572" s="68" t="s">
        <v>192</v>
      </c>
      <c r="D572" s="52">
        <f>(8.05*3.75+1.65*1.95+1.5*1.2+0.45*0.9)*(10.764)</f>
        <v>383.30604</v>
      </c>
      <c r="E572" s="68">
        <v>0</v>
      </c>
      <c r="F572" s="68">
        <f t="shared" si="91"/>
        <v>613.28966400000002</v>
      </c>
      <c r="G572" s="97"/>
      <c r="H572" s="98"/>
      <c r="I572" s="36"/>
      <c r="L572" s="77"/>
      <c r="M572" s="77"/>
      <c r="N572" s="36"/>
    </row>
    <row r="573" spans="1:14" s="37" customFormat="1" ht="15.75" customHeight="1" x14ac:dyDescent="0.3">
      <c r="A573" s="78">
        <v>24</v>
      </c>
      <c r="B573" s="79"/>
      <c r="C573" s="68" t="s">
        <v>192</v>
      </c>
      <c r="D573" s="52">
        <f>(5.35*3.35+1.65*1.55+1.5*1.2+0.45*0.9)*(10.764)</f>
        <v>244.18134000000001</v>
      </c>
      <c r="E573" s="68">
        <v>0</v>
      </c>
      <c r="F573" s="68">
        <f t="shared" si="91"/>
        <v>390.69014400000003</v>
      </c>
      <c r="G573" s="97"/>
      <c r="H573" s="98"/>
      <c r="I573" s="36"/>
      <c r="K573" s="36"/>
    </row>
    <row r="574" spans="1:14" s="37" customFormat="1" ht="15.75" customHeight="1" x14ac:dyDescent="0.3">
      <c r="A574" s="78">
        <v>25</v>
      </c>
      <c r="B574" s="79"/>
      <c r="C574" s="68" t="s">
        <v>192</v>
      </c>
      <c r="D574" s="52">
        <f>(5.35*3.35+1.65*1.55+1.5*1.2+0.45*0.9)*(10.764)</f>
        <v>244.18134000000001</v>
      </c>
      <c r="E574" s="68">
        <v>0</v>
      </c>
      <c r="F574" s="68">
        <f t="shared" si="91"/>
        <v>390.69014400000003</v>
      </c>
      <c r="G574" s="97"/>
      <c r="H574" s="98"/>
      <c r="I574" s="36"/>
      <c r="L574" s="77"/>
      <c r="M574" s="77"/>
      <c r="N574" s="36"/>
    </row>
    <row r="575" spans="1:14" s="37" customFormat="1" ht="15.75" customHeight="1" x14ac:dyDescent="0.3">
      <c r="A575" s="78">
        <v>26</v>
      </c>
      <c r="B575" s="79"/>
      <c r="C575" s="68" t="s">
        <v>192</v>
      </c>
      <c r="D575" s="52">
        <f t="shared" ref="D575:D576" si="93">(5.35*3.35+1.65*1.55+1.5*1.2+0.45*0.9)*(10.764)</f>
        <v>244.18134000000001</v>
      </c>
      <c r="E575" s="68">
        <v>0</v>
      </c>
      <c r="F575" s="68">
        <f t="shared" si="91"/>
        <v>390.69014400000003</v>
      </c>
      <c r="G575" s="97"/>
      <c r="H575" s="98"/>
      <c r="I575" s="36"/>
      <c r="L575" s="77"/>
      <c r="M575" s="77"/>
      <c r="N575" s="36"/>
    </row>
    <row r="576" spans="1:14" s="37" customFormat="1" ht="15.75" customHeight="1" x14ac:dyDescent="0.3">
      <c r="A576" s="78">
        <v>27</v>
      </c>
      <c r="B576" s="79"/>
      <c r="C576" s="68" t="s">
        <v>192</v>
      </c>
      <c r="D576" s="52">
        <f t="shared" si="93"/>
        <v>244.18134000000001</v>
      </c>
      <c r="E576" s="68">
        <v>0</v>
      </c>
      <c r="F576" s="68">
        <f t="shared" si="91"/>
        <v>390.69014400000003</v>
      </c>
      <c r="G576" s="99"/>
      <c r="H576" s="100"/>
      <c r="I576" s="36"/>
      <c r="L576" s="77"/>
      <c r="M576" s="77"/>
      <c r="N576" s="36"/>
    </row>
    <row r="577" spans="1:14" s="37" customFormat="1" ht="15.75" customHeight="1" x14ac:dyDescent="0.3">
      <c r="A577" s="88" t="s">
        <v>271</v>
      </c>
      <c r="B577" s="89"/>
      <c r="C577" s="89"/>
      <c r="D577" s="89"/>
      <c r="E577" s="89"/>
      <c r="F577" s="89"/>
      <c r="G577" s="89"/>
      <c r="H577" s="90"/>
      <c r="I577" s="36" t="s">
        <v>269</v>
      </c>
      <c r="J577" s="37">
        <f>4.93*6+5.1*3.85+3.3*1.65+1.2*0.6+1.3*0.9</f>
        <v>56.55</v>
      </c>
      <c r="L577" s="77"/>
      <c r="M577" s="77"/>
      <c r="N577" s="36"/>
    </row>
    <row r="578" spans="1:14" s="37" customFormat="1" ht="15.75" customHeight="1" x14ac:dyDescent="0.3">
      <c r="A578" s="94">
        <v>1</v>
      </c>
      <c r="B578" s="94"/>
      <c r="C578" s="71" t="s">
        <v>192</v>
      </c>
      <c r="D578" s="72">
        <f>(19.15*19)*10.764</f>
        <v>3916.4813999999992</v>
      </c>
      <c r="E578" s="71">
        <v>0</v>
      </c>
      <c r="F578" s="71">
        <f t="shared" ref="F578:F592" si="94">(D578+E578)*(($F$130)+1)</f>
        <v>6266.3702399999993</v>
      </c>
      <c r="G578" s="95"/>
      <c r="H578" s="96"/>
      <c r="I578" s="36"/>
      <c r="N578" s="36"/>
    </row>
    <row r="579" spans="1:14" s="37" customFormat="1" ht="15.75" customHeight="1" x14ac:dyDescent="0.3">
      <c r="A579" s="101">
        <v>14</v>
      </c>
      <c r="B579" s="102"/>
      <c r="C579" s="71" t="s">
        <v>192</v>
      </c>
      <c r="D579" s="72">
        <f t="shared" ref="D579:D587" si="95">(8.05*3.35+1.65*1.55+1.5*1.2+0.45*0.9)*(10.764)</f>
        <v>341.54172000000005</v>
      </c>
      <c r="E579" s="71">
        <v>0</v>
      </c>
      <c r="F579" s="71">
        <f t="shared" si="94"/>
        <v>546.46675200000016</v>
      </c>
      <c r="G579" s="97"/>
      <c r="H579" s="98"/>
      <c r="I579" s="36"/>
      <c r="L579" s="77"/>
      <c r="M579" s="77"/>
      <c r="N579" s="36"/>
    </row>
    <row r="580" spans="1:14" s="37" customFormat="1" ht="15.75" customHeight="1" x14ac:dyDescent="0.3">
      <c r="A580" s="78">
        <f t="shared" ref="A580:A588" si="96">A579+1</f>
        <v>15</v>
      </c>
      <c r="B580" s="79"/>
      <c r="C580" s="68" t="s">
        <v>192</v>
      </c>
      <c r="D580" s="52">
        <f t="shared" si="95"/>
        <v>341.54172000000005</v>
      </c>
      <c r="E580" s="68">
        <v>0</v>
      </c>
      <c r="F580" s="68">
        <f t="shared" si="94"/>
        <v>546.46675200000016</v>
      </c>
      <c r="G580" s="97"/>
      <c r="H580" s="98"/>
      <c r="I580" s="36"/>
      <c r="L580" s="77"/>
      <c r="M580" s="77"/>
      <c r="N580" s="36"/>
    </row>
    <row r="581" spans="1:14" s="37" customFormat="1" ht="15.75" customHeight="1" x14ac:dyDescent="0.3">
      <c r="A581" s="78">
        <f t="shared" si="96"/>
        <v>16</v>
      </c>
      <c r="B581" s="79"/>
      <c r="C581" s="68" t="s">
        <v>192</v>
      </c>
      <c r="D581" s="52">
        <f t="shared" si="95"/>
        <v>341.54172000000005</v>
      </c>
      <c r="E581" s="68">
        <v>0</v>
      </c>
      <c r="F581" s="68">
        <f t="shared" si="94"/>
        <v>546.46675200000016</v>
      </c>
      <c r="G581" s="97"/>
      <c r="H581" s="98"/>
      <c r="I581" s="36"/>
      <c r="L581" s="77"/>
      <c r="M581" s="77"/>
      <c r="N581" s="36"/>
    </row>
    <row r="582" spans="1:14" s="37" customFormat="1" ht="15.75" customHeight="1" x14ac:dyDescent="0.3">
      <c r="A582" s="78">
        <f t="shared" si="96"/>
        <v>17</v>
      </c>
      <c r="B582" s="79"/>
      <c r="C582" s="68" t="s">
        <v>192</v>
      </c>
      <c r="D582" s="52">
        <f t="shared" si="95"/>
        <v>341.54172000000005</v>
      </c>
      <c r="E582" s="68">
        <v>0</v>
      </c>
      <c r="F582" s="68">
        <f t="shared" si="94"/>
        <v>546.46675200000016</v>
      </c>
      <c r="G582" s="97"/>
      <c r="H582" s="98"/>
      <c r="I582" s="36"/>
      <c r="L582" s="77"/>
      <c r="M582" s="77"/>
      <c r="N582" s="36"/>
    </row>
    <row r="583" spans="1:14" s="37" customFormat="1" ht="15.75" customHeight="1" x14ac:dyDescent="0.3">
      <c r="A583" s="78">
        <f t="shared" si="96"/>
        <v>18</v>
      </c>
      <c r="B583" s="79"/>
      <c r="C583" s="68" t="s">
        <v>192</v>
      </c>
      <c r="D583" s="52">
        <f t="shared" si="95"/>
        <v>341.54172000000005</v>
      </c>
      <c r="E583" s="68">
        <v>0</v>
      </c>
      <c r="F583" s="68">
        <f t="shared" si="94"/>
        <v>546.46675200000016</v>
      </c>
      <c r="G583" s="97"/>
      <c r="H583" s="98"/>
      <c r="I583" s="36"/>
      <c r="L583" s="77"/>
      <c r="M583" s="77"/>
      <c r="N583" s="36"/>
    </row>
    <row r="584" spans="1:14" s="37" customFormat="1" ht="15.75" customHeight="1" x14ac:dyDescent="0.3">
      <c r="A584" s="78">
        <f t="shared" si="96"/>
        <v>19</v>
      </c>
      <c r="B584" s="79"/>
      <c r="C584" s="68" t="s">
        <v>192</v>
      </c>
      <c r="D584" s="52">
        <f t="shared" si="95"/>
        <v>341.54172000000005</v>
      </c>
      <c r="E584" s="68">
        <v>0</v>
      </c>
      <c r="F584" s="68">
        <f t="shared" si="94"/>
        <v>546.46675200000016</v>
      </c>
      <c r="G584" s="97"/>
      <c r="H584" s="98"/>
      <c r="I584" s="36"/>
      <c r="L584" s="77"/>
      <c r="M584" s="77"/>
      <c r="N584" s="36"/>
    </row>
    <row r="585" spans="1:14" s="37" customFormat="1" ht="15.75" customHeight="1" x14ac:dyDescent="0.3">
      <c r="A585" s="78">
        <f t="shared" si="96"/>
        <v>20</v>
      </c>
      <c r="B585" s="79"/>
      <c r="C585" s="68" t="s">
        <v>192</v>
      </c>
      <c r="D585" s="52">
        <f t="shared" si="95"/>
        <v>341.54172000000005</v>
      </c>
      <c r="E585" s="68">
        <v>0</v>
      </c>
      <c r="F585" s="68">
        <f t="shared" si="94"/>
        <v>546.46675200000016</v>
      </c>
      <c r="G585" s="97"/>
      <c r="H585" s="98"/>
      <c r="I585" s="36"/>
      <c r="L585" s="77"/>
      <c r="M585" s="77"/>
      <c r="N585" s="36"/>
    </row>
    <row r="586" spans="1:14" s="37" customFormat="1" ht="15.75" customHeight="1" x14ac:dyDescent="0.3">
      <c r="A586" s="78">
        <f t="shared" si="96"/>
        <v>21</v>
      </c>
      <c r="B586" s="79"/>
      <c r="C586" s="68" t="s">
        <v>192</v>
      </c>
      <c r="D586" s="52">
        <f t="shared" si="95"/>
        <v>341.54172000000005</v>
      </c>
      <c r="E586" s="68">
        <v>0</v>
      </c>
      <c r="F586" s="68">
        <f t="shared" si="94"/>
        <v>546.46675200000016</v>
      </c>
      <c r="G586" s="97"/>
      <c r="H586" s="98"/>
      <c r="I586" s="36"/>
      <c r="L586" s="77"/>
      <c r="M586" s="77"/>
      <c r="N586" s="36"/>
    </row>
    <row r="587" spans="1:14" s="37" customFormat="1" ht="15.75" customHeight="1" x14ac:dyDescent="0.3">
      <c r="A587" s="78">
        <f t="shared" si="96"/>
        <v>22</v>
      </c>
      <c r="B587" s="79"/>
      <c r="C587" s="68" t="s">
        <v>192</v>
      </c>
      <c r="D587" s="52">
        <f t="shared" si="95"/>
        <v>341.54172000000005</v>
      </c>
      <c r="E587" s="68">
        <v>0</v>
      </c>
      <c r="F587" s="68">
        <f t="shared" si="94"/>
        <v>546.46675200000016</v>
      </c>
      <c r="G587" s="97"/>
      <c r="H587" s="98"/>
      <c r="I587" s="36"/>
      <c r="L587" s="77"/>
      <c r="M587" s="77"/>
      <c r="N587" s="36"/>
    </row>
    <row r="588" spans="1:14" s="37" customFormat="1" ht="15.75" customHeight="1" x14ac:dyDescent="0.3">
      <c r="A588" s="78">
        <f t="shared" si="96"/>
        <v>23</v>
      </c>
      <c r="B588" s="79"/>
      <c r="C588" s="68" t="s">
        <v>192</v>
      </c>
      <c r="D588" s="52">
        <f>(8.05*3.75+1.65*1.95+1.5*1.2+0.45*0.9)*(10.764)</f>
        <v>383.30604</v>
      </c>
      <c r="E588" s="68">
        <v>0</v>
      </c>
      <c r="F588" s="68">
        <f t="shared" si="94"/>
        <v>613.28966400000002</v>
      </c>
      <c r="G588" s="97"/>
      <c r="H588" s="98"/>
      <c r="I588" s="36"/>
      <c r="L588" s="77"/>
      <c r="M588" s="77"/>
      <c r="N588" s="36"/>
    </row>
    <row r="589" spans="1:14" s="37" customFormat="1" ht="15.75" customHeight="1" x14ac:dyDescent="0.3">
      <c r="A589" s="78">
        <v>24</v>
      </c>
      <c r="B589" s="79"/>
      <c r="C589" s="78" t="s">
        <v>263</v>
      </c>
      <c r="D589" s="93"/>
      <c r="E589" s="93"/>
      <c r="F589" s="79"/>
      <c r="G589" s="97"/>
      <c r="H589" s="98"/>
      <c r="I589" s="36"/>
      <c r="K589" s="36"/>
    </row>
    <row r="590" spans="1:14" s="37" customFormat="1" ht="15.75" customHeight="1" x14ac:dyDescent="0.3">
      <c r="A590" s="78">
        <v>25</v>
      </c>
      <c r="B590" s="79"/>
      <c r="C590" s="68" t="s">
        <v>192</v>
      </c>
      <c r="D590" s="52">
        <f>(5.35*3.35+1.65*1.55+1.5*1.2+0.45*0.9)*(10.764)</f>
        <v>244.18134000000001</v>
      </c>
      <c r="E590" s="68">
        <v>0</v>
      </c>
      <c r="F590" s="68">
        <f t="shared" si="94"/>
        <v>390.69014400000003</v>
      </c>
      <c r="G590" s="97"/>
      <c r="H590" s="98"/>
      <c r="I590" s="36"/>
      <c r="L590" s="77"/>
      <c r="M590" s="77"/>
      <c r="N590" s="36"/>
    </row>
    <row r="591" spans="1:14" s="37" customFormat="1" ht="15.75" customHeight="1" x14ac:dyDescent="0.3">
      <c r="A591" s="78">
        <v>26</v>
      </c>
      <c r="B591" s="79"/>
      <c r="C591" s="68" t="s">
        <v>192</v>
      </c>
      <c r="D591" s="52">
        <f t="shared" ref="D591:D592" si="97">(5.35*3.35+1.65*1.55+1.5*1.2+0.45*0.9)*(10.764)</f>
        <v>244.18134000000001</v>
      </c>
      <c r="E591" s="68">
        <v>0</v>
      </c>
      <c r="F591" s="68">
        <f t="shared" si="94"/>
        <v>390.69014400000003</v>
      </c>
      <c r="G591" s="97"/>
      <c r="H591" s="98"/>
      <c r="I591" s="36"/>
      <c r="L591" s="77"/>
      <c r="M591" s="77"/>
      <c r="N591" s="36"/>
    </row>
    <row r="592" spans="1:14" s="37" customFormat="1" ht="15.75" customHeight="1" x14ac:dyDescent="0.3">
      <c r="A592" s="78">
        <v>27</v>
      </c>
      <c r="B592" s="79"/>
      <c r="C592" s="68" t="s">
        <v>192</v>
      </c>
      <c r="D592" s="52">
        <f t="shared" si="97"/>
        <v>244.18134000000001</v>
      </c>
      <c r="E592" s="68">
        <v>0</v>
      </c>
      <c r="F592" s="68">
        <f t="shared" si="94"/>
        <v>390.69014400000003</v>
      </c>
      <c r="G592" s="99"/>
      <c r="H592" s="100"/>
      <c r="I592" s="36"/>
      <c r="L592" s="77"/>
      <c r="M592" s="77"/>
      <c r="N592" s="36"/>
    </row>
    <row r="593" spans="1:14" s="37" customFormat="1" ht="15.75" customHeight="1" x14ac:dyDescent="0.3">
      <c r="A593" s="88" t="s">
        <v>278</v>
      </c>
      <c r="B593" s="89"/>
      <c r="C593" s="89"/>
      <c r="D593" s="89"/>
      <c r="E593" s="89"/>
      <c r="F593" s="89"/>
      <c r="G593" s="89"/>
      <c r="H593" s="90"/>
      <c r="I593" s="36" t="s">
        <v>272</v>
      </c>
      <c r="J593" s="37">
        <f>4.93*6+5.1*3.85+3.3*1.65+1.2*0.6+1.3*0.9</f>
        <v>56.55</v>
      </c>
      <c r="L593" s="77"/>
      <c r="M593" s="77"/>
      <c r="N593" s="36"/>
    </row>
    <row r="594" spans="1:14" s="37" customFormat="1" ht="15.75" customHeight="1" x14ac:dyDescent="0.3">
      <c r="A594" s="94">
        <v>1</v>
      </c>
      <c r="B594" s="94"/>
      <c r="C594" s="71" t="s">
        <v>192</v>
      </c>
      <c r="D594" s="72">
        <f>(19.15*19)*10.764</f>
        <v>3916.4813999999992</v>
      </c>
      <c r="E594" s="71">
        <v>0</v>
      </c>
      <c r="F594" s="71">
        <f t="shared" ref="F594:F604" si="98">(D594+E594)*(($F$130)+1)</f>
        <v>6266.3702399999993</v>
      </c>
      <c r="G594" s="95"/>
      <c r="H594" s="96"/>
      <c r="I594" s="36"/>
      <c r="N594" s="36"/>
    </row>
    <row r="595" spans="1:14" s="37" customFormat="1" ht="15.75" customHeight="1" x14ac:dyDescent="0.3">
      <c r="A595" s="101">
        <v>14</v>
      </c>
      <c r="B595" s="102"/>
      <c r="C595" s="71" t="s">
        <v>192</v>
      </c>
      <c r="D595" s="72">
        <f t="shared" ref="D595:D603" si="99">(8.05*3.35+1.65*1.55+1.5*1.2+0.45*0.9)*(10.764)</f>
        <v>341.54172000000005</v>
      </c>
      <c r="E595" s="71">
        <v>0</v>
      </c>
      <c r="F595" s="71">
        <f t="shared" si="98"/>
        <v>546.46675200000016</v>
      </c>
      <c r="G595" s="97"/>
      <c r="H595" s="98"/>
      <c r="I595" s="36"/>
      <c r="L595" s="77"/>
      <c r="M595" s="77"/>
      <c r="N595" s="36"/>
    </row>
    <row r="596" spans="1:14" s="37" customFormat="1" ht="15.75" customHeight="1" x14ac:dyDescent="0.3">
      <c r="A596" s="78">
        <f t="shared" ref="A596:A604" si="100">A595+1</f>
        <v>15</v>
      </c>
      <c r="B596" s="79"/>
      <c r="C596" s="68" t="s">
        <v>192</v>
      </c>
      <c r="D596" s="52">
        <f t="shared" si="99"/>
        <v>341.54172000000005</v>
      </c>
      <c r="E596" s="68">
        <v>0</v>
      </c>
      <c r="F596" s="68">
        <f t="shared" si="98"/>
        <v>546.46675200000016</v>
      </c>
      <c r="G596" s="97"/>
      <c r="H596" s="98"/>
      <c r="I596" s="36"/>
      <c r="L596" s="77"/>
      <c r="M596" s="77"/>
      <c r="N596" s="36"/>
    </row>
    <row r="597" spans="1:14" s="37" customFormat="1" ht="15.75" customHeight="1" x14ac:dyDescent="0.3">
      <c r="A597" s="78">
        <f t="shared" si="100"/>
        <v>16</v>
      </c>
      <c r="B597" s="79"/>
      <c r="C597" s="68" t="s">
        <v>192</v>
      </c>
      <c r="D597" s="52">
        <f t="shared" si="99"/>
        <v>341.54172000000005</v>
      </c>
      <c r="E597" s="68">
        <v>0</v>
      </c>
      <c r="F597" s="68">
        <f t="shared" si="98"/>
        <v>546.46675200000016</v>
      </c>
      <c r="G597" s="97"/>
      <c r="H597" s="98"/>
      <c r="I597" s="36"/>
      <c r="L597" s="77"/>
      <c r="M597" s="77"/>
      <c r="N597" s="36"/>
    </row>
    <row r="598" spans="1:14" s="37" customFormat="1" ht="15.75" customHeight="1" x14ac:dyDescent="0.3">
      <c r="A598" s="78">
        <f t="shared" si="100"/>
        <v>17</v>
      </c>
      <c r="B598" s="79"/>
      <c r="C598" s="68" t="s">
        <v>192</v>
      </c>
      <c r="D598" s="52">
        <f t="shared" si="99"/>
        <v>341.54172000000005</v>
      </c>
      <c r="E598" s="68">
        <v>0</v>
      </c>
      <c r="F598" s="68">
        <f t="shared" si="98"/>
        <v>546.46675200000016</v>
      </c>
      <c r="G598" s="97"/>
      <c r="H598" s="98"/>
      <c r="I598" s="36"/>
      <c r="L598" s="77"/>
      <c r="M598" s="77"/>
      <c r="N598" s="36"/>
    </row>
    <row r="599" spans="1:14" s="37" customFormat="1" ht="15.75" customHeight="1" x14ac:dyDescent="0.3">
      <c r="A599" s="78">
        <f t="shared" si="100"/>
        <v>18</v>
      </c>
      <c r="B599" s="79"/>
      <c r="C599" s="68" t="s">
        <v>192</v>
      </c>
      <c r="D599" s="52">
        <f t="shared" si="99"/>
        <v>341.54172000000005</v>
      </c>
      <c r="E599" s="68">
        <v>0</v>
      </c>
      <c r="F599" s="68">
        <f t="shared" si="98"/>
        <v>546.46675200000016</v>
      </c>
      <c r="G599" s="97"/>
      <c r="H599" s="98"/>
      <c r="I599" s="36"/>
      <c r="L599" s="77"/>
      <c r="M599" s="77"/>
      <c r="N599" s="36"/>
    </row>
    <row r="600" spans="1:14" s="37" customFormat="1" ht="15.75" customHeight="1" x14ac:dyDescent="0.3">
      <c r="A600" s="78">
        <f t="shared" si="100"/>
        <v>19</v>
      </c>
      <c r="B600" s="79"/>
      <c r="C600" s="68" t="s">
        <v>192</v>
      </c>
      <c r="D600" s="52">
        <f t="shared" si="99"/>
        <v>341.54172000000005</v>
      </c>
      <c r="E600" s="68">
        <v>0</v>
      </c>
      <c r="F600" s="68">
        <f t="shared" si="98"/>
        <v>546.46675200000016</v>
      </c>
      <c r="G600" s="97"/>
      <c r="H600" s="98"/>
      <c r="I600" s="36"/>
      <c r="L600" s="77"/>
      <c r="M600" s="77"/>
      <c r="N600" s="36"/>
    </row>
    <row r="601" spans="1:14" s="37" customFormat="1" ht="15.75" customHeight="1" x14ac:dyDescent="0.3">
      <c r="A601" s="78">
        <f t="shared" si="100"/>
        <v>20</v>
      </c>
      <c r="B601" s="79"/>
      <c r="C601" s="68" t="s">
        <v>192</v>
      </c>
      <c r="D601" s="52">
        <f t="shared" si="99"/>
        <v>341.54172000000005</v>
      </c>
      <c r="E601" s="68">
        <v>0</v>
      </c>
      <c r="F601" s="68">
        <f t="shared" si="98"/>
        <v>546.46675200000016</v>
      </c>
      <c r="G601" s="97"/>
      <c r="H601" s="98"/>
      <c r="I601" s="36"/>
      <c r="L601" s="77"/>
      <c r="M601" s="77"/>
      <c r="N601" s="36"/>
    </row>
    <row r="602" spans="1:14" s="37" customFormat="1" ht="15.75" customHeight="1" x14ac:dyDescent="0.3">
      <c r="A602" s="78">
        <f t="shared" si="100"/>
        <v>21</v>
      </c>
      <c r="B602" s="79"/>
      <c r="C602" s="68" t="s">
        <v>192</v>
      </c>
      <c r="D602" s="52">
        <f t="shared" si="99"/>
        <v>341.54172000000005</v>
      </c>
      <c r="E602" s="68">
        <v>0</v>
      </c>
      <c r="F602" s="68">
        <f t="shared" si="98"/>
        <v>546.46675200000016</v>
      </c>
      <c r="G602" s="97"/>
      <c r="H602" s="98"/>
      <c r="I602" s="36"/>
      <c r="L602" s="77"/>
      <c r="M602" s="77"/>
      <c r="N602" s="36"/>
    </row>
    <row r="603" spans="1:14" s="37" customFormat="1" ht="15.75" customHeight="1" x14ac:dyDescent="0.3">
      <c r="A603" s="78">
        <f t="shared" si="100"/>
        <v>22</v>
      </c>
      <c r="B603" s="79"/>
      <c r="C603" s="68" t="s">
        <v>192</v>
      </c>
      <c r="D603" s="52">
        <f t="shared" si="99"/>
        <v>341.54172000000005</v>
      </c>
      <c r="E603" s="68">
        <v>0</v>
      </c>
      <c r="F603" s="68">
        <f t="shared" si="98"/>
        <v>546.46675200000016</v>
      </c>
      <c r="G603" s="97"/>
      <c r="H603" s="98"/>
      <c r="I603" s="36"/>
      <c r="L603" s="77"/>
      <c r="M603" s="77"/>
      <c r="N603" s="36"/>
    </row>
    <row r="604" spans="1:14" s="37" customFormat="1" ht="15.75" customHeight="1" x14ac:dyDescent="0.3">
      <c r="A604" s="78">
        <f t="shared" si="100"/>
        <v>23</v>
      </c>
      <c r="B604" s="79"/>
      <c r="C604" s="68" t="s">
        <v>192</v>
      </c>
      <c r="D604" s="52">
        <f>(8.05*3.75+1.65*1.95+1.5*1.2+0.45*0.9)*(10.764)</f>
        <v>383.30604</v>
      </c>
      <c r="E604" s="68">
        <v>0</v>
      </c>
      <c r="F604" s="68">
        <f t="shared" si="98"/>
        <v>613.28966400000002</v>
      </c>
      <c r="G604" s="97"/>
      <c r="H604" s="98"/>
      <c r="I604" s="36"/>
      <c r="L604" s="77"/>
      <c r="M604" s="77"/>
      <c r="N604" s="36"/>
    </row>
    <row r="605" spans="1:14" s="37" customFormat="1" ht="15.75" customHeight="1" x14ac:dyDescent="0.3">
      <c r="A605" s="78">
        <v>24</v>
      </c>
      <c r="B605" s="79"/>
      <c r="C605" s="68" t="s">
        <v>192</v>
      </c>
      <c r="D605" s="52">
        <f>(5.35*3.35+1.65*1.55+1.5*1.2+0.45*0.9)*(10.764)</f>
        <v>244.18134000000001</v>
      </c>
      <c r="E605" s="68">
        <v>0</v>
      </c>
      <c r="F605" s="68">
        <f t="shared" ref="F605" si="101">(D605+E605)*(($F$130)+1)</f>
        <v>390.69014400000003</v>
      </c>
      <c r="G605" s="97"/>
      <c r="H605" s="98"/>
      <c r="I605" s="36"/>
      <c r="K605" s="36"/>
    </row>
    <row r="606" spans="1:14" s="37" customFormat="1" ht="15.75" customHeight="1" x14ac:dyDescent="0.3">
      <c r="A606" s="78">
        <v>25</v>
      </c>
      <c r="B606" s="79"/>
      <c r="C606" s="68" t="s">
        <v>192</v>
      </c>
      <c r="D606" s="52">
        <f>(5.35*3.35+1.65*1.55+1.5*1.2+0.45*0.9)*(10.764)</f>
        <v>244.18134000000001</v>
      </c>
      <c r="E606" s="68">
        <v>0</v>
      </c>
      <c r="F606" s="68">
        <f t="shared" ref="F606:F608" si="102">(D606+E606)*(($F$130)+1)</f>
        <v>390.69014400000003</v>
      </c>
      <c r="G606" s="97"/>
      <c r="H606" s="98"/>
      <c r="I606" s="36"/>
      <c r="L606" s="77"/>
      <c r="M606" s="77"/>
      <c r="N606" s="36"/>
    </row>
    <row r="607" spans="1:14" s="37" customFormat="1" ht="15.75" customHeight="1" x14ac:dyDescent="0.3">
      <c r="A607" s="78">
        <v>26</v>
      </c>
      <c r="B607" s="79"/>
      <c r="C607" s="68" t="s">
        <v>192</v>
      </c>
      <c r="D607" s="52">
        <f t="shared" ref="D607:D608" si="103">(5.35*3.35+1.65*1.55+1.5*1.2+0.45*0.9)*(10.764)</f>
        <v>244.18134000000001</v>
      </c>
      <c r="E607" s="68">
        <v>0</v>
      </c>
      <c r="F607" s="68">
        <f t="shared" si="102"/>
        <v>390.69014400000003</v>
      </c>
      <c r="G607" s="97"/>
      <c r="H607" s="98"/>
      <c r="I607" s="36"/>
      <c r="L607" s="77"/>
      <c r="M607" s="77"/>
      <c r="N607" s="36"/>
    </row>
    <row r="608" spans="1:14" s="37" customFormat="1" ht="15.75" customHeight="1" x14ac:dyDescent="0.3">
      <c r="A608" s="78">
        <v>27</v>
      </c>
      <c r="B608" s="79"/>
      <c r="C608" s="68" t="s">
        <v>192</v>
      </c>
      <c r="D608" s="52">
        <f t="shared" si="103"/>
        <v>244.18134000000001</v>
      </c>
      <c r="E608" s="68">
        <v>0</v>
      </c>
      <c r="F608" s="68">
        <f t="shared" si="102"/>
        <v>390.69014400000003</v>
      </c>
      <c r="G608" s="99"/>
      <c r="H608" s="100"/>
      <c r="I608" s="36"/>
      <c r="L608" s="77"/>
      <c r="M608" s="77"/>
      <c r="N608" s="36"/>
    </row>
    <row r="609" spans="1:14" s="37" customFormat="1" ht="15.75" customHeight="1" x14ac:dyDescent="0.3">
      <c r="A609" s="165" t="s">
        <v>232</v>
      </c>
      <c r="B609" s="166"/>
      <c r="C609" s="166"/>
      <c r="D609" s="166"/>
      <c r="E609" s="166"/>
      <c r="F609" s="166"/>
      <c r="G609" s="166"/>
      <c r="H609" s="167"/>
      <c r="I609" s="36"/>
      <c r="J609" s="37">
        <f>4.93*6+5.1*3.85+3.3*1.65+1.2*0.6+1.3*0.9</f>
        <v>56.55</v>
      </c>
      <c r="L609" s="77"/>
      <c r="M609" s="77"/>
      <c r="N609" s="36"/>
    </row>
    <row r="610" spans="1:14" s="37" customFormat="1" ht="15.75" customHeight="1" x14ac:dyDescent="0.3">
      <c r="A610" s="155" t="s">
        <v>231</v>
      </c>
      <c r="B610" s="156"/>
      <c r="C610" s="156"/>
      <c r="D610" s="156"/>
      <c r="E610" s="156"/>
      <c r="F610" s="156"/>
      <c r="G610" s="156"/>
      <c r="H610" s="157"/>
      <c r="I610" s="36"/>
      <c r="L610" s="77"/>
      <c r="M610" s="77"/>
      <c r="N610" s="36"/>
    </row>
    <row r="611" spans="1:14" s="37" customFormat="1" ht="15.75" customHeight="1" x14ac:dyDescent="0.3">
      <c r="A611" s="88" t="s">
        <v>176</v>
      </c>
      <c r="B611" s="89"/>
      <c r="C611" s="89"/>
      <c r="D611" s="89"/>
      <c r="E611" s="89"/>
      <c r="F611" s="89"/>
      <c r="G611" s="89"/>
      <c r="H611" s="90"/>
      <c r="I611" s="36"/>
      <c r="L611" s="77"/>
      <c r="M611" s="77"/>
      <c r="N611" s="36"/>
    </row>
    <row r="612" spans="1:14" s="37" customFormat="1" ht="15.75" customHeight="1" x14ac:dyDescent="0.3">
      <c r="A612" s="78" t="s">
        <v>190</v>
      </c>
      <c r="B612" s="79"/>
      <c r="C612" s="68" t="s">
        <v>177</v>
      </c>
      <c r="D612" s="52">
        <f>(0.75*2.73+1.65*1.2+4.52*1.03+6.32*1.52+4.75*5.8+1.45*4.37)*(10.764)</f>
        <v>561.62246400000004</v>
      </c>
      <c r="E612" s="68">
        <v>0</v>
      </c>
      <c r="F612" s="68">
        <f t="shared" ref="F612:F619" si="104">(D612+E612)*(($F$130)+1)</f>
        <v>898.59594240000013</v>
      </c>
      <c r="G612" s="91" t="str">
        <f>A611</f>
        <v>Ground Floor For Commercial</v>
      </c>
      <c r="H612" s="92"/>
      <c r="I612" s="36"/>
      <c r="L612" s="77"/>
      <c r="M612" s="77"/>
      <c r="N612" s="36"/>
    </row>
    <row r="613" spans="1:14" s="37" customFormat="1" ht="15.75" customHeight="1" x14ac:dyDescent="0.3">
      <c r="A613" s="78" t="s">
        <v>189</v>
      </c>
      <c r="B613" s="79"/>
      <c r="C613" s="68" t="s">
        <v>177</v>
      </c>
      <c r="D613" s="52">
        <f>(1.97*1.5+0.45*0.9+5.1*0.5+5.1*3.24+4.93*5.8)*(10.764)</f>
        <v>549.26539199999991</v>
      </c>
      <c r="E613" s="68">
        <v>0</v>
      </c>
      <c r="F613" s="68">
        <f t="shared" si="104"/>
        <v>878.8246271999999</v>
      </c>
      <c r="G613" s="86"/>
      <c r="H613" s="87"/>
      <c r="I613" s="36"/>
      <c r="L613" s="77"/>
      <c r="M613" s="77"/>
      <c r="N613" s="36"/>
    </row>
    <row r="614" spans="1:14" s="37" customFormat="1" ht="15.75" customHeight="1" x14ac:dyDescent="0.3">
      <c r="A614" s="78">
        <v>12</v>
      </c>
      <c r="B614" s="79"/>
      <c r="C614" s="68" t="s">
        <v>177</v>
      </c>
      <c r="D614" s="52">
        <f>(3.3*1.65+1.02*1.65+0.63*0.85+5.1*3.7+4.93*5.8)*(10.764)</f>
        <v>593.39240999999993</v>
      </c>
      <c r="E614" s="68">
        <v>0</v>
      </c>
      <c r="F614" s="68">
        <f t="shared" si="104"/>
        <v>949.42785599999991</v>
      </c>
      <c r="G614" s="86"/>
      <c r="H614" s="87"/>
      <c r="I614" s="36"/>
      <c r="L614" s="77"/>
      <c r="M614" s="77"/>
      <c r="N614" s="36"/>
    </row>
    <row r="615" spans="1:14" s="37" customFormat="1" ht="15.75" customHeight="1" x14ac:dyDescent="0.3">
      <c r="A615" s="78">
        <v>14</v>
      </c>
      <c r="B615" s="79"/>
      <c r="C615" s="68" t="s">
        <v>177</v>
      </c>
      <c r="D615" s="52">
        <f>(3.3*1.65+1.02*1.65+0.63*0.85+5.1*3.7+4.93*5.8)*(10.764)</f>
        <v>593.39240999999993</v>
      </c>
      <c r="E615" s="68">
        <v>0</v>
      </c>
      <c r="F615" s="68">
        <f t="shared" si="104"/>
        <v>949.42785599999991</v>
      </c>
      <c r="G615" s="86"/>
      <c r="H615" s="87"/>
      <c r="I615" s="36"/>
      <c r="L615" s="77"/>
      <c r="M615" s="77"/>
      <c r="N615" s="36"/>
    </row>
    <row r="616" spans="1:14" s="37" customFormat="1" ht="15.75" customHeight="1" x14ac:dyDescent="0.3">
      <c r="A616" s="78">
        <f t="shared" ref="A616:A619" si="105">A615+1</f>
        <v>15</v>
      </c>
      <c r="B616" s="79"/>
      <c r="C616" s="68" t="s">
        <v>177</v>
      </c>
      <c r="D616" s="52">
        <f>(4.35*0.7+1.3*0.7+6.82*5.5+6.07*1.8+7*2.65+7*2.65+8.55*5.35+1.8*3.55+1.02*1.65+0.63*0.85+10*5.8)*(10.764)</f>
        <v>2172.6272879999997</v>
      </c>
      <c r="E616" s="68">
        <v>0</v>
      </c>
      <c r="F616" s="68">
        <f t="shared" si="104"/>
        <v>3476.2036607999999</v>
      </c>
      <c r="G616" s="86"/>
      <c r="H616" s="87"/>
      <c r="I616" s="36"/>
      <c r="L616" s="77"/>
      <c r="M616" s="77"/>
      <c r="N616" s="36"/>
    </row>
    <row r="617" spans="1:14" s="37" customFormat="1" ht="15.75" customHeight="1" x14ac:dyDescent="0.3">
      <c r="A617" s="78">
        <f t="shared" si="105"/>
        <v>16</v>
      </c>
      <c r="B617" s="79"/>
      <c r="C617" s="68" t="s">
        <v>177</v>
      </c>
      <c r="D617" s="52">
        <f>(10.35*21.7)*(10.764)</f>
        <v>2417.5405799999999</v>
      </c>
      <c r="E617" s="68">
        <v>0</v>
      </c>
      <c r="F617" s="68">
        <f t="shared" si="104"/>
        <v>3868.0649279999998</v>
      </c>
      <c r="G617" s="86"/>
      <c r="H617" s="87"/>
      <c r="I617" s="36"/>
      <c r="L617" s="77"/>
      <c r="M617" s="77"/>
      <c r="N617" s="36"/>
    </row>
    <row r="618" spans="1:14" s="37" customFormat="1" ht="15.75" customHeight="1" x14ac:dyDescent="0.3">
      <c r="A618" s="78">
        <f t="shared" si="105"/>
        <v>17</v>
      </c>
      <c r="B618" s="79"/>
      <c r="C618" s="68" t="s">
        <v>177</v>
      </c>
      <c r="D618" s="52">
        <f>(10.35*21.7)*(10.764)</f>
        <v>2417.5405799999999</v>
      </c>
      <c r="E618" s="68">
        <v>0</v>
      </c>
      <c r="F618" s="68">
        <f t="shared" si="104"/>
        <v>3868.0649279999998</v>
      </c>
      <c r="G618" s="86"/>
      <c r="H618" s="87"/>
      <c r="I618" s="36"/>
      <c r="L618" s="77"/>
      <c r="M618" s="77"/>
      <c r="N618" s="36"/>
    </row>
    <row r="619" spans="1:14" s="37" customFormat="1" ht="15.75" customHeight="1" x14ac:dyDescent="0.3">
      <c r="A619" s="78">
        <f t="shared" si="105"/>
        <v>18</v>
      </c>
      <c r="B619" s="79"/>
      <c r="C619" s="68" t="s">
        <v>177</v>
      </c>
      <c r="D619" s="52">
        <f>(175.75)*(10.764)</f>
        <v>1891.7729999999999</v>
      </c>
      <c r="E619" s="68">
        <v>0</v>
      </c>
      <c r="F619" s="68">
        <f t="shared" si="104"/>
        <v>3026.8368</v>
      </c>
      <c r="G619" s="101"/>
      <c r="H619" s="102"/>
      <c r="J619" s="36"/>
      <c r="L619" s="77"/>
      <c r="M619" s="77"/>
      <c r="N619" s="36"/>
    </row>
    <row r="620" spans="1:14" s="37" customFormat="1" ht="15.75" customHeight="1" x14ac:dyDescent="0.3">
      <c r="A620" s="83" t="s">
        <v>234</v>
      </c>
      <c r="B620" s="84"/>
      <c r="C620" s="84"/>
      <c r="D620" s="84"/>
      <c r="E620" s="84"/>
      <c r="F620" s="84"/>
      <c r="G620" s="84"/>
      <c r="H620" s="85"/>
      <c r="I620" s="36"/>
      <c r="K620" s="107" t="s">
        <v>279</v>
      </c>
      <c r="L620" s="107"/>
      <c r="M620" s="107"/>
      <c r="N620" s="107"/>
    </row>
    <row r="621" spans="1:14" s="37" customFormat="1" ht="15.75" customHeight="1" x14ac:dyDescent="0.3">
      <c r="A621" s="78">
        <v>8</v>
      </c>
      <c r="B621" s="79"/>
      <c r="C621" s="70" t="s">
        <v>177</v>
      </c>
      <c r="D621" s="52">
        <f>(7.16+2.38+4.82*1.8+6.32*1.52+4.75*5.45+1.47*0.95+3.5*0.5)*(10.764)</f>
        <v>612.00228960000004</v>
      </c>
      <c r="E621" s="70">
        <v>0</v>
      </c>
      <c r="F621" s="68">
        <f t="shared" ref="F621:F635" si="106">(D621+E621)*(($F$130)+1)</f>
        <v>979.20366336000006</v>
      </c>
      <c r="G621" s="91" t="str">
        <f>A620</f>
        <v>1st Floor</v>
      </c>
      <c r="H621" s="92"/>
      <c r="I621" s="36"/>
      <c r="L621" s="77"/>
      <c r="M621" s="77"/>
      <c r="N621" s="36"/>
    </row>
    <row r="622" spans="1:14" s="37" customFormat="1" ht="15.75" customHeight="1" x14ac:dyDescent="0.3">
      <c r="A622" s="78">
        <f t="shared" ref="A622:A635" si="107">A621+1</f>
        <v>9</v>
      </c>
      <c r="B622" s="79"/>
      <c r="C622" s="70" t="s">
        <v>177</v>
      </c>
      <c r="D622" s="52">
        <f>(3.3*2+5.1*3.7+1.93*5.95+1.2*0.6+1.65*0.9)*(10.764)</f>
        <v>421.50209399999994</v>
      </c>
      <c r="E622" s="70">
        <v>0</v>
      </c>
      <c r="F622" s="68">
        <f t="shared" si="106"/>
        <v>674.40335039999991</v>
      </c>
      <c r="G622" s="86"/>
      <c r="H622" s="87"/>
      <c r="I622" s="36"/>
      <c r="L622" s="77"/>
      <c r="M622" s="77"/>
      <c r="N622" s="36"/>
    </row>
    <row r="623" spans="1:14" s="37" customFormat="1" ht="15.75" customHeight="1" x14ac:dyDescent="0.3">
      <c r="A623" s="78">
        <f t="shared" si="107"/>
        <v>10</v>
      </c>
      <c r="B623" s="79"/>
      <c r="C623" s="70" t="s">
        <v>177</v>
      </c>
      <c r="D623" s="52">
        <f>(3.3*2+5.1*3.7+1.93*5.95+1.2*0.6+1.65*0.9)*(10.764)</f>
        <v>421.50209399999994</v>
      </c>
      <c r="E623" s="70">
        <v>0</v>
      </c>
      <c r="F623" s="68">
        <f t="shared" si="106"/>
        <v>674.40335039999991</v>
      </c>
      <c r="G623" s="86"/>
      <c r="H623" s="87"/>
      <c r="I623" s="36"/>
      <c r="L623" s="77"/>
      <c r="M623" s="77"/>
      <c r="N623" s="36"/>
    </row>
    <row r="624" spans="1:14" s="37" customFormat="1" ht="15.75" customHeight="1" x14ac:dyDescent="0.3">
      <c r="A624" s="78">
        <f t="shared" si="107"/>
        <v>11</v>
      </c>
      <c r="B624" s="79"/>
      <c r="C624" s="70" t="s">
        <v>177</v>
      </c>
      <c r="D624" s="52">
        <f t="shared" ref="D624:D625" si="108">(3.3*2+5.1*3.7+1.93*5.95+1.2*0.6+1.65*0.9)*(10.764)</f>
        <v>421.50209399999994</v>
      </c>
      <c r="E624" s="70">
        <v>0</v>
      </c>
      <c r="F624" s="68">
        <f t="shared" si="106"/>
        <v>674.40335039999991</v>
      </c>
      <c r="G624" s="86"/>
      <c r="H624" s="87"/>
      <c r="I624" s="36"/>
      <c r="L624" s="77"/>
      <c r="M624" s="77"/>
      <c r="N624" s="36"/>
    </row>
    <row r="625" spans="1:14" s="37" customFormat="1" ht="15.75" customHeight="1" x14ac:dyDescent="0.3">
      <c r="A625" s="78">
        <f t="shared" si="107"/>
        <v>12</v>
      </c>
      <c r="B625" s="79"/>
      <c r="C625" s="70" t="s">
        <v>177</v>
      </c>
      <c r="D625" s="52">
        <f t="shared" si="108"/>
        <v>421.50209399999994</v>
      </c>
      <c r="E625" s="70">
        <v>0</v>
      </c>
      <c r="F625" s="68">
        <f t="shared" si="106"/>
        <v>674.40335039999991</v>
      </c>
      <c r="G625" s="86"/>
      <c r="H625" s="87"/>
      <c r="I625" s="36"/>
      <c r="L625" s="77"/>
      <c r="M625" s="77"/>
      <c r="N625" s="36"/>
    </row>
    <row r="626" spans="1:14" s="37" customFormat="1" ht="15.75" customHeight="1" x14ac:dyDescent="0.3">
      <c r="A626" s="78">
        <v>14</v>
      </c>
      <c r="B626" s="79"/>
      <c r="C626" s="70" t="s">
        <v>177</v>
      </c>
      <c r="D626" s="52">
        <f>(3.3*2+5.1*3.7+1.93*5.95+1.2*0.6+1.65*0.9)*(10.764)</f>
        <v>421.50209399999994</v>
      </c>
      <c r="E626" s="70">
        <v>0</v>
      </c>
      <c r="F626" s="68">
        <f t="shared" si="106"/>
        <v>674.40335039999991</v>
      </c>
      <c r="G626" s="86"/>
      <c r="H626" s="87"/>
      <c r="I626" s="36"/>
      <c r="L626" s="77"/>
      <c r="M626" s="77"/>
      <c r="N626" s="36"/>
    </row>
    <row r="627" spans="1:14" s="37" customFormat="1" ht="15.75" customHeight="1" x14ac:dyDescent="0.3">
      <c r="A627" s="78">
        <f t="shared" si="107"/>
        <v>15</v>
      </c>
      <c r="B627" s="79"/>
      <c r="C627" s="70" t="s">
        <v>177</v>
      </c>
      <c r="D627" s="52">
        <f>(3.3*1.65+5.1*4.05+4.93*5.95+1.2*0.6+1.65*0.9)*(10.764)</f>
        <v>620.42081399999984</v>
      </c>
      <c r="E627" s="70">
        <v>0</v>
      </c>
      <c r="F627" s="68">
        <f t="shared" si="106"/>
        <v>992.67330239999978</v>
      </c>
      <c r="G627" s="86"/>
      <c r="H627" s="87"/>
      <c r="I627" s="36"/>
      <c r="L627" s="77"/>
      <c r="M627" s="77"/>
      <c r="N627" s="36"/>
    </row>
    <row r="628" spans="1:14" s="37" customFormat="1" ht="15.75" customHeight="1" x14ac:dyDescent="0.3">
      <c r="A628" s="78">
        <f t="shared" si="107"/>
        <v>16</v>
      </c>
      <c r="B628" s="79"/>
      <c r="C628" s="70" t="s">
        <v>177</v>
      </c>
      <c r="D628" s="52">
        <f>(3.3*1.65+5.1*4.05+4.93*5.95+1.2*0.6+1.65*0.9)*(10.764)</f>
        <v>620.42081399999984</v>
      </c>
      <c r="E628" s="70">
        <v>0</v>
      </c>
      <c r="F628" s="68">
        <f t="shared" si="106"/>
        <v>992.67330239999978</v>
      </c>
      <c r="G628" s="86"/>
      <c r="H628" s="87"/>
      <c r="I628" s="36"/>
      <c r="L628" s="77"/>
      <c r="M628" s="77"/>
      <c r="N628" s="36"/>
    </row>
    <row r="629" spans="1:14" s="37" customFormat="1" ht="15.75" customHeight="1" x14ac:dyDescent="0.3">
      <c r="A629" s="78">
        <f t="shared" si="107"/>
        <v>17</v>
      </c>
      <c r="B629" s="79"/>
      <c r="C629" s="70" t="s">
        <v>177</v>
      </c>
      <c r="D629" s="52">
        <f>(3.2*1.65+5.1*4.05+4.93*5.95+5.07*4.72+1.2*0.6*1.65*0.9)*(10.764)</f>
        <v>864.00582840000004</v>
      </c>
      <c r="E629" s="70">
        <v>0</v>
      </c>
      <c r="F629" s="68">
        <f t="shared" si="106"/>
        <v>1382.4093254400002</v>
      </c>
      <c r="G629" s="86"/>
      <c r="H629" s="87"/>
      <c r="I629" s="36"/>
      <c r="L629" s="77"/>
      <c r="M629" s="77"/>
      <c r="N629" s="36"/>
    </row>
    <row r="630" spans="1:14" s="37" customFormat="1" ht="15.75" customHeight="1" x14ac:dyDescent="0.3">
      <c r="A630" s="78">
        <f t="shared" si="107"/>
        <v>18</v>
      </c>
      <c r="B630" s="79"/>
      <c r="C630" s="70" t="s">
        <v>177</v>
      </c>
      <c r="D630" s="52">
        <f>(3.3*(1.65+1.65)+10.35*4.05+4.03*5.95+4.93*5.95+(1.2*0.6+1.65*0.9)*2)*10.764</f>
        <v>1189.7395379999998</v>
      </c>
      <c r="E630" s="70">
        <v>0</v>
      </c>
      <c r="F630" s="68">
        <f t="shared" si="106"/>
        <v>1903.5832607999998</v>
      </c>
      <c r="G630" s="86"/>
      <c r="H630" s="87"/>
      <c r="I630" s="36"/>
      <c r="L630" s="77"/>
      <c r="M630" s="77"/>
      <c r="N630" s="36"/>
    </row>
    <row r="631" spans="1:14" s="37" customFormat="1" ht="15.75" customHeight="1" x14ac:dyDescent="0.3">
      <c r="A631" s="78">
        <v>20</v>
      </c>
      <c r="B631" s="79"/>
      <c r="C631" s="70" t="s">
        <v>177</v>
      </c>
      <c r="D631" s="52">
        <f>(3.3*1.65+5.1*4.75+4.75*4.75+3.5*0.5+1.2*0.6+1.35*0.9)*10.764</f>
        <v>601.89597000000003</v>
      </c>
      <c r="E631" s="70">
        <v>0</v>
      </c>
      <c r="F631" s="68">
        <f t="shared" si="106"/>
        <v>963.0335520000001</v>
      </c>
      <c r="G631" s="86"/>
      <c r="H631" s="87"/>
      <c r="I631" s="36"/>
      <c r="L631" s="77"/>
      <c r="M631" s="77"/>
      <c r="N631" s="36"/>
    </row>
    <row r="632" spans="1:14" s="37" customFormat="1" x14ac:dyDescent="0.3">
      <c r="A632" s="78">
        <f t="shared" si="107"/>
        <v>21</v>
      </c>
      <c r="B632" s="79"/>
      <c r="C632" s="70" t="s">
        <v>177</v>
      </c>
      <c r="D632" s="52">
        <f>(4.82*6.1+3.02*1.65+1.2*0.6+1.65*0.9)*(10.764)</f>
        <v>393.85475999999994</v>
      </c>
      <c r="E632" s="70">
        <v>0</v>
      </c>
      <c r="F632" s="68">
        <f t="shared" si="106"/>
        <v>630.16761599999995</v>
      </c>
      <c r="G632" s="86"/>
      <c r="H632" s="87"/>
      <c r="I632" s="36"/>
    </row>
    <row r="633" spans="1:14" s="37" customFormat="1" ht="15.75" customHeight="1" x14ac:dyDescent="0.3">
      <c r="A633" s="78">
        <f t="shared" si="107"/>
        <v>22</v>
      </c>
      <c r="B633" s="79"/>
      <c r="C633" s="70" t="s">
        <v>177</v>
      </c>
      <c r="D633" s="52">
        <f>(10*6.1+8.2*1.05+(4.45+3.13)*0.6)*(10.764)</f>
        <v>798.23671200000001</v>
      </c>
      <c r="E633" s="70">
        <v>0</v>
      </c>
      <c r="F633" s="68">
        <f t="shared" si="106"/>
        <v>1277.1787392000001</v>
      </c>
      <c r="G633" s="86"/>
      <c r="H633" s="87"/>
      <c r="I633" s="36"/>
    </row>
    <row r="634" spans="1:14" s="37" customFormat="1" ht="15.75" customHeight="1" x14ac:dyDescent="0.3">
      <c r="A634" s="78">
        <f t="shared" si="107"/>
        <v>23</v>
      </c>
      <c r="B634" s="79"/>
      <c r="C634" s="70" t="s">
        <v>177</v>
      </c>
      <c r="D634" s="52">
        <f>(10*6.1+8.2*1.05+(4.45+3.13)*0.6+1.2*0.5+1.65*0.9)*(10.764)</f>
        <v>820.67965199999992</v>
      </c>
      <c r="E634" s="70">
        <v>0</v>
      </c>
      <c r="F634" s="68">
        <f t="shared" si="106"/>
        <v>1313.0874432000001</v>
      </c>
      <c r="G634" s="86"/>
      <c r="H634" s="87"/>
      <c r="I634" s="36"/>
    </row>
    <row r="635" spans="1:14" s="37" customFormat="1" ht="15.75" customHeight="1" x14ac:dyDescent="0.3">
      <c r="A635" s="78">
        <f t="shared" si="107"/>
        <v>24</v>
      </c>
      <c r="B635" s="79"/>
      <c r="C635" s="70" t="s">
        <v>177</v>
      </c>
      <c r="D635" s="52">
        <f>(9.82*6.1+4.93*1.05+2.95*1.65+4.35*0.5+1.2*0.6+1.65*0.9)*(10.764)</f>
        <v>800.04506399999991</v>
      </c>
      <c r="E635" s="70">
        <v>0</v>
      </c>
      <c r="F635" s="68">
        <f t="shared" si="106"/>
        <v>1280.0721023999999</v>
      </c>
      <c r="G635" s="86"/>
      <c r="H635" s="87"/>
      <c r="I635" s="36"/>
      <c r="L635" s="77"/>
      <c r="M635" s="77"/>
      <c r="N635" s="36"/>
    </row>
    <row r="636" spans="1:14" s="37" customFormat="1" ht="15.75" customHeight="1" x14ac:dyDescent="0.3">
      <c r="A636" s="83" t="s">
        <v>235</v>
      </c>
      <c r="B636" s="84"/>
      <c r="C636" s="84"/>
      <c r="D636" s="84"/>
      <c r="E636" s="84"/>
      <c r="F636" s="84"/>
      <c r="G636" s="84"/>
      <c r="H636" s="85"/>
      <c r="I636" s="36"/>
      <c r="L636" s="77"/>
      <c r="M636" s="77"/>
      <c r="N636" s="36"/>
    </row>
    <row r="637" spans="1:14" s="37" customFormat="1" ht="15.75" customHeight="1" x14ac:dyDescent="0.3">
      <c r="A637" s="78">
        <v>8</v>
      </c>
      <c r="B637" s="79"/>
      <c r="C637" s="70" t="s">
        <v>177</v>
      </c>
      <c r="D637" s="52">
        <f>(7.16+2.38+4.82*1.8+6.32*1.52+4.75*5.45+1.47*0.95+3.5*0.5)*(10.764)</f>
        <v>612.00228960000004</v>
      </c>
      <c r="E637" s="70">
        <v>0</v>
      </c>
      <c r="F637" s="68">
        <f t="shared" ref="F637:F652" si="109">(D637+E637)*(($F$130)+1)</f>
        <v>979.20366336000006</v>
      </c>
      <c r="G637" s="91" t="str">
        <f>A636</f>
        <v xml:space="preserve">2nd Floor </v>
      </c>
      <c r="H637" s="92"/>
      <c r="I637" s="36"/>
      <c r="L637" s="77"/>
      <c r="M637" s="77"/>
      <c r="N637" s="36"/>
    </row>
    <row r="638" spans="1:14" s="37" customFormat="1" ht="15.75" customHeight="1" x14ac:dyDescent="0.3">
      <c r="A638" s="78">
        <f t="shared" ref="A638:A652" si="110">A637+1</f>
        <v>9</v>
      </c>
      <c r="B638" s="79"/>
      <c r="C638" s="68" t="s">
        <v>177</v>
      </c>
      <c r="D638" s="52">
        <f>(3.3*2+5.1*3.7+1.93*5.95+1.2*0.6+1.65*0.9)*(10.764)</f>
        <v>421.50209399999994</v>
      </c>
      <c r="E638" s="68">
        <v>0</v>
      </c>
      <c r="F638" s="68">
        <f t="shared" si="109"/>
        <v>674.40335039999991</v>
      </c>
      <c r="G638" s="86"/>
      <c r="H638" s="87"/>
      <c r="I638" s="36"/>
      <c r="L638" s="77"/>
      <c r="M638" s="77"/>
      <c r="N638" s="36"/>
    </row>
    <row r="639" spans="1:14" s="37" customFormat="1" x14ac:dyDescent="0.3">
      <c r="A639" s="78">
        <f t="shared" si="110"/>
        <v>10</v>
      </c>
      <c r="B639" s="79"/>
      <c r="C639" s="68" t="s">
        <v>177</v>
      </c>
      <c r="D639" s="52">
        <f>(3.3*2+5.1*3.7+1.93*5.95+1.2*0.6+1.65*0.9)*(10.764)</f>
        <v>421.50209399999994</v>
      </c>
      <c r="E639" s="68">
        <v>0</v>
      </c>
      <c r="F639" s="68">
        <f t="shared" si="109"/>
        <v>674.40335039999991</v>
      </c>
      <c r="G639" s="86"/>
      <c r="H639" s="87"/>
      <c r="I639" s="36"/>
      <c r="K639" s="36"/>
    </row>
    <row r="640" spans="1:14" s="37" customFormat="1" ht="15.75" customHeight="1" x14ac:dyDescent="0.3">
      <c r="A640" s="78">
        <f t="shared" si="110"/>
        <v>11</v>
      </c>
      <c r="B640" s="79"/>
      <c r="C640" s="68" t="s">
        <v>177</v>
      </c>
      <c r="D640" s="52">
        <f t="shared" ref="D640:D641" si="111">(3.3*2+5.1*3.7+1.93*5.95+1.2*0.6+1.65*0.9)*(10.764)</f>
        <v>421.50209399999994</v>
      </c>
      <c r="E640" s="68">
        <v>0</v>
      </c>
      <c r="F640" s="68">
        <f t="shared" si="109"/>
        <v>674.40335039999991</v>
      </c>
      <c r="G640" s="86"/>
      <c r="H640" s="87"/>
      <c r="I640" s="36"/>
      <c r="L640" s="77"/>
      <c r="M640" s="77"/>
      <c r="N640" s="36"/>
    </row>
    <row r="641" spans="1:14" s="37" customFormat="1" ht="15.75" customHeight="1" x14ac:dyDescent="0.3">
      <c r="A641" s="78">
        <f t="shared" si="110"/>
        <v>12</v>
      </c>
      <c r="B641" s="79"/>
      <c r="C641" s="68" t="s">
        <v>177</v>
      </c>
      <c r="D641" s="52">
        <f t="shared" si="111"/>
        <v>421.50209399999994</v>
      </c>
      <c r="E641" s="68">
        <v>0</v>
      </c>
      <c r="F641" s="68">
        <f t="shared" si="109"/>
        <v>674.40335039999991</v>
      </c>
      <c r="G641" s="86"/>
      <c r="H641" s="87"/>
      <c r="I641" s="36"/>
      <c r="L641" s="77"/>
      <c r="M641" s="77"/>
      <c r="N641" s="36"/>
    </row>
    <row r="642" spans="1:14" s="37" customFormat="1" ht="15.75" customHeight="1" x14ac:dyDescent="0.3">
      <c r="A642" s="78">
        <v>14</v>
      </c>
      <c r="B642" s="79"/>
      <c r="C642" s="68" t="s">
        <v>177</v>
      </c>
      <c r="D642" s="52">
        <f>(3.3*2+5.1*3.7+1.93*5.95+1.2*0.6+1.65*0.9)*(10.764)</f>
        <v>421.50209399999994</v>
      </c>
      <c r="E642" s="68">
        <v>0</v>
      </c>
      <c r="F642" s="68">
        <f t="shared" si="109"/>
        <v>674.40335039999991</v>
      </c>
      <c r="G642" s="86"/>
      <c r="H642" s="87"/>
      <c r="J642" s="36"/>
      <c r="L642" s="77"/>
      <c r="M642" s="77"/>
      <c r="N642" s="36"/>
    </row>
    <row r="643" spans="1:14" s="37" customFormat="1" ht="15.75" customHeight="1" x14ac:dyDescent="0.3">
      <c r="A643" s="78">
        <f t="shared" si="110"/>
        <v>15</v>
      </c>
      <c r="B643" s="79"/>
      <c r="C643" s="68" t="s">
        <v>177</v>
      </c>
      <c r="D643" s="52">
        <f>(3.3*1.65+5.1*4.05+4.93*5.95+1.2*0.6+1.65*0.9)*(10.764)</f>
        <v>620.42081399999984</v>
      </c>
      <c r="E643" s="68">
        <v>0</v>
      </c>
      <c r="F643" s="68">
        <f t="shared" si="109"/>
        <v>992.67330239999978</v>
      </c>
      <c r="G643" s="86"/>
      <c r="H643" s="87"/>
      <c r="J643" s="36"/>
      <c r="L643" s="77"/>
      <c r="M643" s="77"/>
      <c r="N643" s="36"/>
    </row>
    <row r="644" spans="1:14" s="37" customFormat="1" ht="15.75" customHeight="1" x14ac:dyDescent="0.3">
      <c r="A644" s="78">
        <f t="shared" si="110"/>
        <v>16</v>
      </c>
      <c r="B644" s="79"/>
      <c r="C644" s="68" t="s">
        <v>177</v>
      </c>
      <c r="D644" s="52">
        <f>(3.3*1.65+5.1*4.05+4.93*5.95+1.2*0.6+1.65*0.9)*(10.764)</f>
        <v>620.42081399999984</v>
      </c>
      <c r="E644" s="68">
        <v>0</v>
      </c>
      <c r="F644" s="68">
        <f t="shared" si="109"/>
        <v>992.67330239999978</v>
      </c>
      <c r="G644" s="86"/>
      <c r="H644" s="87"/>
      <c r="J644" s="36"/>
      <c r="L644" s="77"/>
      <c r="M644" s="77"/>
      <c r="N644" s="36"/>
    </row>
    <row r="645" spans="1:14" s="37" customFormat="1" ht="15.75" customHeight="1" x14ac:dyDescent="0.3">
      <c r="A645" s="78">
        <f t="shared" si="110"/>
        <v>17</v>
      </c>
      <c r="B645" s="79"/>
      <c r="C645" s="68" t="s">
        <v>177</v>
      </c>
      <c r="D645" s="52">
        <f t="shared" ref="D645:D647" si="112">(3.3*1.65+5.1*4.05+4.93*5.95+1.2*0.6+1.65*0.9)*(10.764)</f>
        <v>620.42081399999984</v>
      </c>
      <c r="E645" s="68">
        <v>0</v>
      </c>
      <c r="F645" s="68">
        <f t="shared" si="109"/>
        <v>992.67330239999978</v>
      </c>
      <c r="G645" s="86"/>
      <c r="H645" s="87"/>
      <c r="I645" s="36"/>
      <c r="L645" s="77"/>
      <c r="M645" s="77"/>
      <c r="N645" s="36"/>
    </row>
    <row r="646" spans="1:14" s="37" customFormat="1" ht="15.75" customHeight="1" x14ac:dyDescent="0.3">
      <c r="A646" s="78">
        <f t="shared" si="110"/>
        <v>18</v>
      </c>
      <c r="B646" s="79"/>
      <c r="C646" s="68" t="s">
        <v>177</v>
      </c>
      <c r="D646" s="52">
        <f t="shared" si="112"/>
        <v>620.42081399999984</v>
      </c>
      <c r="E646" s="68">
        <v>0</v>
      </c>
      <c r="F646" s="68">
        <f t="shared" si="109"/>
        <v>992.67330239999978</v>
      </c>
      <c r="G646" s="86"/>
      <c r="H646" s="87"/>
      <c r="I646" s="36"/>
      <c r="L646" s="77"/>
      <c r="M646" s="77"/>
      <c r="N646" s="36"/>
    </row>
    <row r="647" spans="1:14" s="37" customFormat="1" ht="15.75" customHeight="1" x14ac:dyDescent="0.3">
      <c r="A647" s="78">
        <f t="shared" si="110"/>
        <v>19</v>
      </c>
      <c r="B647" s="79"/>
      <c r="C647" s="68" t="s">
        <v>177</v>
      </c>
      <c r="D647" s="52">
        <f t="shared" si="112"/>
        <v>620.42081399999984</v>
      </c>
      <c r="E647" s="68">
        <v>0</v>
      </c>
      <c r="F647" s="68">
        <f t="shared" si="109"/>
        <v>992.67330239999978</v>
      </c>
      <c r="G647" s="86"/>
      <c r="H647" s="87"/>
      <c r="I647" s="36"/>
      <c r="L647" s="77"/>
      <c r="M647" s="77"/>
      <c r="N647" s="36"/>
    </row>
    <row r="648" spans="1:14" s="37" customFormat="1" ht="15.75" customHeight="1" x14ac:dyDescent="0.3">
      <c r="A648" s="78">
        <f t="shared" si="110"/>
        <v>20</v>
      </c>
      <c r="B648" s="79"/>
      <c r="C648" s="68" t="s">
        <v>177</v>
      </c>
      <c r="D648" s="52">
        <f>(3.3*1.65+5.1*4.75+4.75*4.75+3.5*0.5+1.2*0.6+1.35*0.9)*10.764</f>
        <v>601.89597000000003</v>
      </c>
      <c r="E648" s="68">
        <v>0</v>
      </c>
      <c r="F648" s="68">
        <f t="shared" si="109"/>
        <v>963.0335520000001</v>
      </c>
      <c r="G648" s="86"/>
      <c r="H648" s="87"/>
      <c r="I648" s="36"/>
      <c r="L648" s="77"/>
      <c r="M648" s="77"/>
      <c r="N648" s="36"/>
    </row>
    <row r="649" spans="1:14" s="37" customFormat="1" ht="15.75" customHeight="1" x14ac:dyDescent="0.3">
      <c r="A649" s="78">
        <f t="shared" si="110"/>
        <v>21</v>
      </c>
      <c r="B649" s="79"/>
      <c r="C649" s="68" t="s">
        <v>177</v>
      </c>
      <c r="D649" s="52">
        <f>(4.82*6.1+3.02*1.65+1.2*0.6+1.65*0.9)*(10.764)</f>
        <v>393.85475999999994</v>
      </c>
      <c r="E649" s="68">
        <v>0</v>
      </c>
      <c r="F649" s="68">
        <f t="shared" si="109"/>
        <v>630.16761599999995</v>
      </c>
      <c r="G649" s="86"/>
      <c r="H649" s="87"/>
      <c r="I649" s="36"/>
      <c r="L649" s="77"/>
      <c r="M649" s="77"/>
      <c r="N649" s="36"/>
    </row>
    <row r="650" spans="1:14" s="37" customFormat="1" ht="15.75" customHeight="1" x14ac:dyDescent="0.3">
      <c r="A650" s="78">
        <f t="shared" si="110"/>
        <v>22</v>
      </c>
      <c r="B650" s="79"/>
      <c r="C650" s="68" t="s">
        <v>177</v>
      </c>
      <c r="D650" s="52">
        <f>(10*6.1+8.2*1.05+(4.45+3.13)*0.6)*(10.764)</f>
        <v>798.23671200000001</v>
      </c>
      <c r="E650" s="68">
        <v>0</v>
      </c>
      <c r="F650" s="68">
        <f t="shared" si="109"/>
        <v>1277.1787392000001</v>
      </c>
      <c r="G650" s="86"/>
      <c r="H650" s="87"/>
      <c r="I650" s="36"/>
      <c r="L650" s="77"/>
      <c r="M650" s="77"/>
      <c r="N650" s="36"/>
    </row>
    <row r="651" spans="1:14" s="37" customFormat="1" ht="15.75" customHeight="1" x14ac:dyDescent="0.3">
      <c r="A651" s="78">
        <f t="shared" si="110"/>
        <v>23</v>
      </c>
      <c r="B651" s="79"/>
      <c r="C651" s="68" t="s">
        <v>177</v>
      </c>
      <c r="D651" s="52">
        <f>(10*6.1+8.2*1.05+(4.45+3.13)*0.6+1.2*0.5+1.65*0.9)*(10.764)</f>
        <v>820.67965199999992</v>
      </c>
      <c r="E651" s="68">
        <v>0</v>
      </c>
      <c r="F651" s="68">
        <f t="shared" si="109"/>
        <v>1313.0874432000001</v>
      </c>
      <c r="G651" s="86"/>
      <c r="H651" s="87"/>
      <c r="I651" s="36"/>
      <c r="L651" s="77"/>
      <c r="M651" s="77"/>
      <c r="N651" s="36"/>
    </row>
    <row r="652" spans="1:14" s="37" customFormat="1" ht="15.75" customHeight="1" x14ac:dyDescent="0.3">
      <c r="A652" s="78">
        <f t="shared" si="110"/>
        <v>24</v>
      </c>
      <c r="B652" s="79"/>
      <c r="C652" s="70" t="s">
        <v>177</v>
      </c>
      <c r="D652" s="52">
        <f>(9.82*6.1+4.93*1.05+2.95*1.65+4.35*0.5+1.2*0.6+1.65*0.9)*(10.764)</f>
        <v>800.04506399999991</v>
      </c>
      <c r="E652" s="70">
        <v>0</v>
      </c>
      <c r="F652" s="68">
        <f t="shared" si="109"/>
        <v>1280.0721023999999</v>
      </c>
      <c r="G652" s="86"/>
      <c r="H652" s="87"/>
      <c r="I652" s="36"/>
      <c r="L652" s="77"/>
      <c r="M652" s="77"/>
      <c r="N652" s="36"/>
    </row>
    <row r="653" spans="1:14" s="37" customFormat="1" ht="15.75" customHeight="1" x14ac:dyDescent="0.3">
      <c r="A653" s="155" t="s">
        <v>245</v>
      </c>
      <c r="B653" s="156"/>
      <c r="C653" s="156"/>
      <c r="D653" s="156"/>
      <c r="E653" s="156"/>
      <c r="F653" s="156"/>
      <c r="G653" s="156"/>
      <c r="H653" s="157"/>
      <c r="I653" s="36"/>
      <c r="L653" s="77"/>
      <c r="M653" s="77"/>
      <c r="N653" s="36"/>
    </row>
    <row r="654" spans="1:14" s="37" customFormat="1" ht="15.75" customHeight="1" x14ac:dyDescent="0.3">
      <c r="A654" s="155" t="s">
        <v>236</v>
      </c>
      <c r="B654" s="156"/>
      <c r="C654" s="156"/>
      <c r="D654" s="156"/>
      <c r="E654" s="156"/>
      <c r="F654" s="156"/>
      <c r="G654" s="156"/>
      <c r="H654" s="157"/>
      <c r="I654" s="36"/>
      <c r="L654" s="77"/>
      <c r="M654" s="77"/>
      <c r="N654" s="36"/>
    </row>
    <row r="655" spans="1:14" s="37" customFormat="1" ht="15.75" customHeight="1" x14ac:dyDescent="0.3">
      <c r="A655" s="78">
        <v>8</v>
      </c>
      <c r="B655" s="79"/>
      <c r="C655" s="68" t="s">
        <v>192</v>
      </c>
      <c r="D655" s="52">
        <f>(5.1*9.85+3.3*1.65+1.2*1.5+0.45*0.9)*(10.764)</f>
        <v>623.07413999999983</v>
      </c>
      <c r="E655" s="68">
        <v>0</v>
      </c>
      <c r="F655" s="68">
        <f t="shared" ref="F655:F666" si="113">(D655+E655)*(($F$130)+1)</f>
        <v>996.9186239999998</v>
      </c>
      <c r="G655" s="91" t="str">
        <f>A654</f>
        <v xml:space="preserve"> 12th Floor (Part Fitness Center Area)</v>
      </c>
      <c r="H655" s="92"/>
      <c r="I655" s="36"/>
      <c r="L655" s="77"/>
      <c r="M655" s="77"/>
      <c r="N655" s="36"/>
    </row>
    <row r="656" spans="1:14" s="37" customFormat="1" ht="15.75" customHeight="1" x14ac:dyDescent="0.3">
      <c r="A656" s="78">
        <f t="shared" ref="A656:A669" si="114">A655+1</f>
        <v>9</v>
      </c>
      <c r="B656" s="79"/>
      <c r="C656" s="68" t="s">
        <v>192</v>
      </c>
      <c r="D656" s="52">
        <f>(5.1*9.85+3.3*1.65+1.2*1.5+0.45*0.9)*(10.764)</f>
        <v>623.07413999999983</v>
      </c>
      <c r="E656" s="68">
        <v>0</v>
      </c>
      <c r="F656" s="68">
        <f t="shared" si="113"/>
        <v>996.9186239999998</v>
      </c>
      <c r="G656" s="86"/>
      <c r="H656" s="87"/>
      <c r="I656" s="36">
        <f>5+12</f>
        <v>17</v>
      </c>
      <c r="L656" s="77"/>
      <c r="M656" s="77"/>
      <c r="N656" s="36"/>
    </row>
    <row r="657" spans="1:14" s="37" customFormat="1" ht="15.75" customHeight="1" x14ac:dyDescent="0.3">
      <c r="A657" s="78">
        <f t="shared" si="114"/>
        <v>10</v>
      </c>
      <c r="B657" s="79"/>
      <c r="C657" s="68" t="s">
        <v>192</v>
      </c>
      <c r="D657" s="52">
        <f t="shared" ref="D657:D666" si="115">(5.1*9.85+3.3*1.65+1.2*1.5+0.45*0.9)*(10.764)</f>
        <v>623.07413999999983</v>
      </c>
      <c r="E657" s="68">
        <v>0</v>
      </c>
      <c r="F657" s="68">
        <f t="shared" si="113"/>
        <v>996.9186239999998</v>
      </c>
      <c r="G657" s="86"/>
      <c r="H657" s="87"/>
      <c r="I657" s="36"/>
      <c r="L657" s="77"/>
      <c r="M657" s="77"/>
      <c r="N657" s="36"/>
    </row>
    <row r="658" spans="1:14" s="37" customFormat="1" ht="15.75" customHeight="1" x14ac:dyDescent="0.3">
      <c r="A658" s="78">
        <f t="shared" si="114"/>
        <v>11</v>
      </c>
      <c r="B658" s="79"/>
      <c r="C658" s="68" t="s">
        <v>192</v>
      </c>
      <c r="D658" s="52">
        <f t="shared" si="115"/>
        <v>623.07413999999983</v>
      </c>
      <c r="E658" s="68">
        <v>0</v>
      </c>
      <c r="F658" s="68">
        <f t="shared" si="113"/>
        <v>996.9186239999998</v>
      </c>
      <c r="G658" s="86"/>
      <c r="H658" s="87"/>
      <c r="I658" s="36"/>
      <c r="K658" s="60"/>
      <c r="L658" s="77"/>
      <c r="M658" s="77"/>
      <c r="N658" s="36"/>
    </row>
    <row r="659" spans="1:14" s="37" customFormat="1" ht="15.75" customHeight="1" x14ac:dyDescent="0.3">
      <c r="A659" s="78">
        <f t="shared" si="114"/>
        <v>12</v>
      </c>
      <c r="B659" s="79"/>
      <c r="C659" s="68" t="s">
        <v>192</v>
      </c>
      <c r="D659" s="52">
        <f t="shared" si="115"/>
        <v>623.07413999999983</v>
      </c>
      <c r="E659" s="68">
        <v>0</v>
      </c>
      <c r="F659" s="68">
        <f t="shared" si="113"/>
        <v>996.9186239999998</v>
      </c>
      <c r="G659" s="86"/>
      <c r="H659" s="87"/>
      <c r="I659" s="36"/>
      <c r="L659" s="77"/>
      <c r="M659" s="77"/>
      <c r="N659" s="36"/>
    </row>
    <row r="660" spans="1:14" s="37" customFormat="1" ht="15.75" customHeight="1" x14ac:dyDescent="0.3">
      <c r="A660" s="78">
        <v>14</v>
      </c>
      <c r="B660" s="79"/>
      <c r="C660" s="68" t="s">
        <v>192</v>
      </c>
      <c r="D660" s="52">
        <f t="shared" si="115"/>
        <v>623.07413999999983</v>
      </c>
      <c r="E660" s="68">
        <v>0</v>
      </c>
      <c r="F660" s="68">
        <f t="shared" si="113"/>
        <v>996.9186239999998</v>
      </c>
      <c r="G660" s="86"/>
      <c r="H660" s="87"/>
      <c r="I660" s="36"/>
      <c r="L660" s="77"/>
      <c r="M660" s="77"/>
      <c r="N660" s="36"/>
    </row>
    <row r="661" spans="1:14" s="37" customFormat="1" ht="15.75" customHeight="1" x14ac:dyDescent="0.3">
      <c r="A661" s="78">
        <f t="shared" si="114"/>
        <v>15</v>
      </c>
      <c r="B661" s="79"/>
      <c r="C661" s="68" t="s">
        <v>192</v>
      </c>
      <c r="D661" s="52">
        <f t="shared" si="115"/>
        <v>623.07413999999983</v>
      </c>
      <c r="E661" s="68">
        <v>0</v>
      </c>
      <c r="F661" s="68">
        <f t="shared" si="113"/>
        <v>996.9186239999998</v>
      </c>
      <c r="G661" s="86"/>
      <c r="H661" s="87"/>
      <c r="I661" s="36"/>
      <c r="L661" s="77"/>
      <c r="M661" s="77"/>
      <c r="N661" s="36"/>
    </row>
    <row r="662" spans="1:14" s="37" customFormat="1" ht="15.75" customHeight="1" x14ac:dyDescent="0.3">
      <c r="A662" s="78">
        <f t="shared" si="114"/>
        <v>16</v>
      </c>
      <c r="B662" s="79"/>
      <c r="C662" s="68" t="s">
        <v>192</v>
      </c>
      <c r="D662" s="52">
        <f t="shared" si="115"/>
        <v>623.07413999999983</v>
      </c>
      <c r="E662" s="68">
        <v>0</v>
      </c>
      <c r="F662" s="68">
        <f t="shared" si="113"/>
        <v>996.9186239999998</v>
      </c>
      <c r="G662" s="86"/>
      <c r="H662" s="87"/>
      <c r="I662" s="36"/>
      <c r="L662" s="77"/>
      <c r="M662" s="77"/>
      <c r="N662" s="36"/>
    </row>
    <row r="663" spans="1:14" s="37" customFormat="1" ht="15.75" customHeight="1" x14ac:dyDescent="0.3">
      <c r="A663" s="78">
        <f t="shared" si="114"/>
        <v>17</v>
      </c>
      <c r="B663" s="79"/>
      <c r="C663" s="68" t="s">
        <v>192</v>
      </c>
      <c r="D663" s="52">
        <f t="shared" si="115"/>
        <v>623.07413999999983</v>
      </c>
      <c r="E663" s="68">
        <v>0</v>
      </c>
      <c r="F663" s="68">
        <f t="shared" si="113"/>
        <v>996.9186239999998</v>
      </c>
      <c r="G663" s="86"/>
      <c r="H663" s="87"/>
      <c r="I663" s="36"/>
      <c r="L663" s="77"/>
      <c r="M663" s="77"/>
      <c r="N663" s="36"/>
    </row>
    <row r="664" spans="1:14" s="37" customFormat="1" ht="15.75" customHeight="1" x14ac:dyDescent="0.3">
      <c r="A664" s="78">
        <f t="shared" si="114"/>
        <v>18</v>
      </c>
      <c r="B664" s="79"/>
      <c r="C664" s="68" t="s">
        <v>192</v>
      </c>
      <c r="D664" s="52">
        <f t="shared" si="115"/>
        <v>623.07413999999983</v>
      </c>
      <c r="E664" s="68">
        <v>0</v>
      </c>
      <c r="F664" s="68">
        <f t="shared" si="113"/>
        <v>996.9186239999998</v>
      </c>
      <c r="G664" s="86"/>
      <c r="H664" s="87"/>
      <c r="I664" s="36"/>
      <c r="L664" s="77"/>
      <c r="M664" s="77"/>
      <c r="N664" s="36"/>
    </row>
    <row r="665" spans="1:14" s="37" customFormat="1" ht="15.75" customHeight="1" x14ac:dyDescent="0.3">
      <c r="A665" s="78">
        <f t="shared" si="114"/>
        <v>19</v>
      </c>
      <c r="B665" s="79"/>
      <c r="C665" s="68" t="s">
        <v>192</v>
      </c>
      <c r="D665" s="52">
        <f t="shared" si="115"/>
        <v>623.07413999999983</v>
      </c>
      <c r="E665" s="68">
        <v>0</v>
      </c>
      <c r="F665" s="68">
        <f t="shared" si="113"/>
        <v>996.9186239999998</v>
      </c>
      <c r="G665" s="86"/>
      <c r="H665" s="87"/>
      <c r="I665" s="36"/>
      <c r="L665" s="77"/>
      <c r="M665" s="77"/>
      <c r="N665" s="36"/>
    </row>
    <row r="666" spans="1:14" s="37" customFormat="1" ht="15.75" customHeight="1" x14ac:dyDescent="0.3">
      <c r="A666" s="78">
        <f t="shared" si="114"/>
        <v>20</v>
      </c>
      <c r="B666" s="79"/>
      <c r="C666" s="68" t="s">
        <v>192</v>
      </c>
      <c r="D666" s="52">
        <f t="shared" si="115"/>
        <v>623.07413999999983</v>
      </c>
      <c r="E666" s="68">
        <v>0</v>
      </c>
      <c r="F666" s="68">
        <f t="shared" si="113"/>
        <v>996.9186239999998</v>
      </c>
      <c r="G666" s="86"/>
      <c r="H666" s="87"/>
      <c r="I666" s="36"/>
      <c r="L666" s="77"/>
      <c r="M666" s="77"/>
      <c r="N666" s="36"/>
    </row>
    <row r="667" spans="1:14" s="37" customFormat="1" ht="15.75" customHeight="1" x14ac:dyDescent="0.3">
      <c r="A667" s="78">
        <f t="shared" si="114"/>
        <v>21</v>
      </c>
      <c r="B667" s="79"/>
      <c r="C667" s="91" t="s">
        <v>283</v>
      </c>
      <c r="D667" s="244"/>
      <c r="E667" s="244"/>
      <c r="F667" s="92"/>
      <c r="G667" s="86"/>
      <c r="H667" s="87"/>
      <c r="I667" s="36"/>
      <c r="L667" s="77"/>
      <c r="M667" s="77"/>
      <c r="N667" s="36"/>
    </row>
    <row r="668" spans="1:14" s="37" customFormat="1" ht="15.75" customHeight="1" x14ac:dyDescent="0.3">
      <c r="A668" s="78">
        <f t="shared" si="114"/>
        <v>22</v>
      </c>
      <c r="B668" s="79"/>
      <c r="C668" s="86"/>
      <c r="D668" s="245"/>
      <c r="E668" s="245"/>
      <c r="F668" s="87"/>
      <c r="G668" s="86"/>
      <c r="H668" s="87"/>
      <c r="I668" s="36"/>
      <c r="L668" s="77"/>
      <c r="M668" s="77"/>
      <c r="N668" s="36"/>
    </row>
    <row r="669" spans="1:14" s="37" customFormat="1" ht="15.75" customHeight="1" x14ac:dyDescent="0.3">
      <c r="A669" s="78">
        <f t="shared" si="114"/>
        <v>23</v>
      </c>
      <c r="B669" s="79"/>
      <c r="C669" s="101"/>
      <c r="D669" s="246"/>
      <c r="E669" s="246"/>
      <c r="F669" s="102"/>
      <c r="G669" s="101"/>
      <c r="H669" s="102"/>
      <c r="I669" s="36"/>
      <c r="L669" s="77"/>
      <c r="M669" s="77"/>
      <c r="N669" s="36"/>
    </row>
    <row r="670" spans="1:14" s="37" customFormat="1" ht="15.75" customHeight="1" x14ac:dyDescent="0.3">
      <c r="A670" s="88" t="s">
        <v>286</v>
      </c>
      <c r="B670" s="89"/>
      <c r="C670" s="89"/>
      <c r="D670" s="89"/>
      <c r="E670" s="89"/>
      <c r="F670" s="89"/>
      <c r="G670" s="89"/>
      <c r="H670" s="90"/>
      <c r="I670" s="36"/>
      <c r="L670" s="77"/>
      <c r="M670" s="77"/>
      <c r="N670" s="36"/>
    </row>
    <row r="671" spans="1:14" s="37" customFormat="1" ht="15.75" customHeight="1" x14ac:dyDescent="0.3">
      <c r="A671" s="78">
        <v>1</v>
      </c>
      <c r="B671" s="79"/>
      <c r="C671" s="68" t="s">
        <v>192</v>
      </c>
      <c r="D671" s="52">
        <f>(5*6.4+5.25*1.05+3.1*1.65+1.5*1.3+0.45*0.9)*(10.764)</f>
        <v>484.19163000000009</v>
      </c>
      <c r="E671" s="68">
        <v>0</v>
      </c>
      <c r="F671" s="68">
        <f t="shared" ref="F671:F689" si="116">(D671+E671)*(($F$130)+1)</f>
        <v>774.70660800000019</v>
      </c>
      <c r="G671" s="86" t="str">
        <f>A670</f>
        <v>13th Floor (14th Floor as per Builder)</v>
      </c>
      <c r="H671" s="87"/>
      <c r="I671" s="36"/>
      <c r="L671" s="77"/>
      <c r="M671" s="77"/>
      <c r="N671" s="36"/>
    </row>
    <row r="672" spans="1:14" s="37" customFormat="1" ht="15.75" customHeight="1" x14ac:dyDescent="0.3">
      <c r="A672" s="78">
        <v>2</v>
      </c>
      <c r="B672" s="79"/>
      <c r="C672" s="68" t="s">
        <v>192</v>
      </c>
      <c r="D672" s="52">
        <f>(5.1*7.45+3.13*1.65+1.37*1.5+0.45*0.9)*(10.764)</f>
        <v>491.04829799999993</v>
      </c>
      <c r="E672" s="68">
        <v>0</v>
      </c>
      <c r="F672" s="68">
        <f t="shared" si="116"/>
        <v>785.67727679999996</v>
      </c>
      <c r="G672" s="86"/>
      <c r="H672" s="87"/>
      <c r="I672" s="61"/>
      <c r="L672" s="77"/>
      <c r="M672" s="77"/>
      <c r="N672" s="36"/>
    </row>
    <row r="673" spans="1:14" s="37" customFormat="1" ht="15.75" customHeight="1" x14ac:dyDescent="0.3">
      <c r="A673" s="78">
        <v>3</v>
      </c>
      <c r="B673" s="79"/>
      <c r="C673" s="68" t="s">
        <v>192</v>
      </c>
      <c r="D673" s="52">
        <f t="shared" ref="D673:D675" si="117">(5.1*7.45+3.13*1.65+1.2*1.5+0.45*0.9)*(10.764)</f>
        <v>488.30347799999987</v>
      </c>
      <c r="E673" s="68">
        <v>0</v>
      </c>
      <c r="F673" s="68">
        <f t="shared" si="116"/>
        <v>781.28556479999986</v>
      </c>
      <c r="G673" s="86"/>
      <c r="H673" s="87"/>
      <c r="I673" s="36"/>
      <c r="L673" s="77"/>
      <c r="M673" s="77"/>
      <c r="N673" s="36"/>
    </row>
    <row r="674" spans="1:14" s="37" customFormat="1" ht="15.75" customHeight="1" x14ac:dyDescent="0.3">
      <c r="A674" s="78">
        <v>4</v>
      </c>
      <c r="B674" s="79"/>
      <c r="C674" s="68" t="s">
        <v>192</v>
      </c>
      <c r="D674" s="52">
        <f>(5.1*7.45+3.13*1.65+1.37*1.5+0.45*0.9)*(10.764)</f>
        <v>491.04829799999993</v>
      </c>
      <c r="E674" s="68">
        <v>0</v>
      </c>
      <c r="F674" s="68">
        <f t="shared" si="116"/>
        <v>785.67727679999996</v>
      </c>
      <c r="G674" s="86"/>
      <c r="H674" s="87"/>
      <c r="I674" s="36"/>
      <c r="L674" s="77"/>
      <c r="M674" s="77"/>
      <c r="N674" s="36"/>
    </row>
    <row r="675" spans="1:14" s="37" customFormat="1" x14ac:dyDescent="0.3">
      <c r="A675" s="78">
        <v>5</v>
      </c>
      <c r="B675" s="79"/>
      <c r="C675" s="68" t="s">
        <v>192</v>
      </c>
      <c r="D675" s="52">
        <f t="shared" si="117"/>
        <v>488.30347799999987</v>
      </c>
      <c r="E675" s="68">
        <v>0</v>
      </c>
      <c r="F675" s="68">
        <f t="shared" si="116"/>
        <v>781.28556479999986</v>
      </c>
      <c r="G675" s="86"/>
      <c r="H675" s="87"/>
      <c r="I675" s="36"/>
      <c r="K675" s="36"/>
    </row>
    <row r="676" spans="1:14" s="37" customFormat="1" ht="15.75" customHeight="1" x14ac:dyDescent="0.3">
      <c r="A676" s="78">
        <v>6</v>
      </c>
      <c r="B676" s="79"/>
      <c r="C676" s="68" t="s">
        <v>192</v>
      </c>
      <c r="D676" s="52">
        <f>(5.1*7.45+3.13*1.65+1.3*1.5+0.45*0.9)*(10.764)</f>
        <v>489.91807799999992</v>
      </c>
      <c r="E676" s="68">
        <v>0</v>
      </c>
      <c r="F676" s="68">
        <f t="shared" si="116"/>
        <v>783.86892479999995</v>
      </c>
      <c r="G676" s="86"/>
      <c r="H676" s="87"/>
      <c r="I676" s="36"/>
      <c r="L676" s="77"/>
      <c r="M676" s="77"/>
      <c r="N676" s="36"/>
    </row>
    <row r="677" spans="1:14" s="37" customFormat="1" ht="15.75" customHeight="1" x14ac:dyDescent="0.3">
      <c r="A677" s="78">
        <v>7</v>
      </c>
      <c r="B677" s="79"/>
      <c r="C677" s="68" t="s">
        <v>192</v>
      </c>
      <c r="D677" s="52">
        <f>(4.93*7.45+3.12*1.65+1.2*1.5+0.45*0.9)*(10.764)</f>
        <v>474.49326599999989</v>
      </c>
      <c r="E677" s="68">
        <v>0</v>
      </c>
      <c r="F677" s="68">
        <f t="shared" si="116"/>
        <v>759.18922559999987</v>
      </c>
      <c r="G677" s="86"/>
      <c r="H677" s="87"/>
      <c r="I677" s="36"/>
      <c r="L677" s="77"/>
      <c r="M677" s="77"/>
      <c r="N677" s="36"/>
    </row>
    <row r="678" spans="1:14" s="37" customFormat="1" ht="15.75" customHeight="1" x14ac:dyDescent="0.3">
      <c r="A678" s="78">
        <v>8</v>
      </c>
      <c r="B678" s="79"/>
      <c r="C678" s="68" t="s">
        <v>192</v>
      </c>
      <c r="D678" s="52">
        <f>(5.1*9.85+3.35*1.65+1.2*1.5+0.45*0.9)*(10.764)</f>
        <v>623.96216999999979</v>
      </c>
      <c r="E678" s="68">
        <v>0</v>
      </c>
      <c r="F678" s="68">
        <f t="shared" si="116"/>
        <v>998.33947199999966</v>
      </c>
      <c r="G678" s="86"/>
      <c r="H678" s="87"/>
      <c r="I678" s="36"/>
      <c r="L678" s="77"/>
      <c r="M678" s="77"/>
      <c r="N678" s="36"/>
    </row>
    <row r="679" spans="1:14" s="37" customFormat="1" ht="15.75" customHeight="1" x14ac:dyDescent="0.3">
      <c r="A679" s="78">
        <v>9</v>
      </c>
      <c r="B679" s="79"/>
      <c r="C679" s="68" t="s">
        <v>192</v>
      </c>
      <c r="D679" s="52">
        <f t="shared" ref="D679:D689" si="118">(5.1*9.85+3.35*1.65+1.2*1.5+0.45*0.9)*(10.764)</f>
        <v>623.96216999999979</v>
      </c>
      <c r="E679" s="68">
        <v>0</v>
      </c>
      <c r="F679" s="68">
        <f t="shared" si="116"/>
        <v>998.33947199999966</v>
      </c>
      <c r="G679" s="86"/>
      <c r="H679" s="87"/>
      <c r="I679" s="36"/>
      <c r="L679" s="77"/>
      <c r="M679" s="77"/>
      <c r="N679" s="36"/>
    </row>
    <row r="680" spans="1:14" s="37" customFormat="1" ht="15.75" customHeight="1" x14ac:dyDescent="0.3">
      <c r="A680" s="78">
        <v>10</v>
      </c>
      <c r="B680" s="79"/>
      <c r="C680" s="68" t="s">
        <v>192</v>
      </c>
      <c r="D680" s="52">
        <f t="shared" si="118"/>
        <v>623.96216999999979</v>
      </c>
      <c r="E680" s="68">
        <v>0</v>
      </c>
      <c r="F680" s="68">
        <f t="shared" si="116"/>
        <v>998.33947199999966</v>
      </c>
      <c r="G680" s="86"/>
      <c r="H680" s="87"/>
      <c r="I680" s="36"/>
      <c r="L680" s="77"/>
      <c r="M680" s="77"/>
      <c r="N680" s="36"/>
    </row>
    <row r="681" spans="1:14" s="37" customFormat="1" ht="15.75" customHeight="1" x14ac:dyDescent="0.3">
      <c r="A681" s="78">
        <v>11</v>
      </c>
      <c r="B681" s="79"/>
      <c r="C681" s="68" t="s">
        <v>192</v>
      </c>
      <c r="D681" s="52">
        <f t="shared" si="118"/>
        <v>623.96216999999979</v>
      </c>
      <c r="E681" s="68">
        <v>0</v>
      </c>
      <c r="F681" s="68">
        <f t="shared" si="116"/>
        <v>998.33947199999966</v>
      </c>
      <c r="G681" s="86"/>
      <c r="H681" s="87"/>
      <c r="I681" s="36"/>
      <c r="L681" s="77"/>
      <c r="M681" s="77"/>
      <c r="N681" s="36"/>
    </row>
    <row r="682" spans="1:14" s="37" customFormat="1" ht="15.75" customHeight="1" x14ac:dyDescent="0.3">
      <c r="A682" s="78">
        <v>12</v>
      </c>
      <c r="B682" s="79"/>
      <c r="C682" s="68" t="s">
        <v>192</v>
      </c>
      <c r="D682" s="52">
        <f t="shared" si="118"/>
        <v>623.96216999999979</v>
      </c>
      <c r="E682" s="68">
        <v>0</v>
      </c>
      <c r="F682" s="68">
        <f t="shared" si="116"/>
        <v>998.33947199999966</v>
      </c>
      <c r="G682" s="86"/>
      <c r="H682" s="87"/>
      <c r="I682" s="36"/>
      <c r="L682" s="77"/>
      <c r="M682" s="77"/>
      <c r="N682" s="36"/>
    </row>
    <row r="683" spans="1:14" s="37" customFormat="1" ht="15.75" customHeight="1" x14ac:dyDescent="0.3">
      <c r="A683" s="78">
        <v>14</v>
      </c>
      <c r="B683" s="79"/>
      <c r="C683" s="68" t="s">
        <v>192</v>
      </c>
      <c r="D683" s="52">
        <f t="shared" si="118"/>
        <v>623.96216999999979</v>
      </c>
      <c r="E683" s="68">
        <v>0</v>
      </c>
      <c r="F683" s="68">
        <f t="shared" si="116"/>
        <v>998.33947199999966</v>
      </c>
      <c r="G683" s="86"/>
      <c r="H683" s="87"/>
      <c r="I683" s="36"/>
      <c r="L683" s="77"/>
      <c r="M683" s="77"/>
      <c r="N683" s="36"/>
    </row>
    <row r="684" spans="1:14" s="37" customFormat="1" ht="15.75" customHeight="1" x14ac:dyDescent="0.3">
      <c r="A684" s="78">
        <v>15</v>
      </c>
      <c r="B684" s="79"/>
      <c r="C684" s="68" t="s">
        <v>192</v>
      </c>
      <c r="D684" s="52">
        <f t="shared" si="118"/>
        <v>623.96216999999979</v>
      </c>
      <c r="E684" s="68">
        <v>0</v>
      </c>
      <c r="F684" s="68">
        <f t="shared" si="116"/>
        <v>998.33947199999966</v>
      </c>
      <c r="G684" s="86"/>
      <c r="H684" s="87"/>
      <c r="I684" s="36"/>
      <c r="L684" s="77"/>
      <c r="M684" s="77"/>
      <c r="N684" s="36"/>
    </row>
    <row r="685" spans="1:14" s="37" customFormat="1" ht="15.75" customHeight="1" x14ac:dyDescent="0.3">
      <c r="A685" s="78">
        <v>16</v>
      </c>
      <c r="B685" s="79"/>
      <c r="C685" s="68" t="s">
        <v>192</v>
      </c>
      <c r="D685" s="52">
        <f t="shared" si="118"/>
        <v>623.96216999999979</v>
      </c>
      <c r="E685" s="68">
        <v>0</v>
      </c>
      <c r="F685" s="68">
        <f t="shared" si="116"/>
        <v>998.33947199999966</v>
      </c>
      <c r="G685" s="86"/>
      <c r="H685" s="87"/>
      <c r="I685" s="36"/>
      <c r="L685" s="77"/>
      <c r="M685" s="77"/>
      <c r="N685" s="36"/>
    </row>
    <row r="686" spans="1:14" s="37" customFormat="1" ht="15.75" customHeight="1" x14ac:dyDescent="0.3">
      <c r="A686" s="78">
        <v>17</v>
      </c>
      <c r="B686" s="79"/>
      <c r="C686" s="68" t="s">
        <v>192</v>
      </c>
      <c r="D686" s="52">
        <f t="shared" si="118"/>
        <v>623.96216999999979</v>
      </c>
      <c r="E686" s="68">
        <v>0</v>
      </c>
      <c r="F686" s="68">
        <f t="shared" si="116"/>
        <v>998.33947199999966</v>
      </c>
      <c r="G686" s="86"/>
      <c r="H686" s="87"/>
      <c r="I686" s="36"/>
      <c r="L686" s="77"/>
      <c r="M686" s="77"/>
      <c r="N686" s="36"/>
    </row>
    <row r="687" spans="1:14" s="37" customFormat="1" ht="15.75" customHeight="1" x14ac:dyDescent="0.3">
      <c r="A687" s="78">
        <v>18</v>
      </c>
      <c r="B687" s="79"/>
      <c r="C687" s="68" t="s">
        <v>192</v>
      </c>
      <c r="D687" s="52">
        <f t="shared" si="118"/>
        <v>623.96216999999979</v>
      </c>
      <c r="E687" s="68">
        <v>0</v>
      </c>
      <c r="F687" s="68">
        <f t="shared" si="116"/>
        <v>998.33947199999966</v>
      </c>
      <c r="G687" s="86"/>
      <c r="H687" s="87"/>
      <c r="I687" s="36"/>
      <c r="L687" s="77"/>
      <c r="M687" s="77"/>
      <c r="N687" s="36"/>
    </row>
    <row r="688" spans="1:14" s="37" customFormat="1" ht="15.75" customHeight="1" x14ac:dyDescent="0.3">
      <c r="A688" s="78">
        <v>19</v>
      </c>
      <c r="B688" s="79"/>
      <c r="C688" s="68" t="s">
        <v>192</v>
      </c>
      <c r="D688" s="52">
        <f t="shared" si="118"/>
        <v>623.96216999999979</v>
      </c>
      <c r="E688" s="68">
        <v>0</v>
      </c>
      <c r="F688" s="68">
        <f t="shared" si="116"/>
        <v>998.33947199999966</v>
      </c>
      <c r="G688" s="86"/>
      <c r="H688" s="87"/>
      <c r="I688" s="36"/>
      <c r="L688" s="77"/>
      <c r="M688" s="77"/>
      <c r="N688" s="36"/>
    </row>
    <row r="689" spans="1:14" s="37" customFormat="1" ht="15.75" customHeight="1" x14ac:dyDescent="0.3">
      <c r="A689" s="78">
        <v>20</v>
      </c>
      <c r="B689" s="79"/>
      <c r="C689" s="68" t="s">
        <v>192</v>
      </c>
      <c r="D689" s="52">
        <f t="shared" si="118"/>
        <v>623.96216999999979</v>
      </c>
      <c r="E689" s="68">
        <v>0</v>
      </c>
      <c r="F689" s="68">
        <f t="shared" si="116"/>
        <v>998.33947199999966</v>
      </c>
      <c r="G689" s="86"/>
      <c r="H689" s="87"/>
      <c r="J689" s="36"/>
      <c r="L689" s="77"/>
      <c r="M689" s="77"/>
      <c r="N689" s="36"/>
    </row>
    <row r="690" spans="1:14" s="37" customFormat="1" ht="15.75" customHeight="1" x14ac:dyDescent="0.3">
      <c r="A690" s="88" t="s">
        <v>285</v>
      </c>
      <c r="B690" s="89"/>
      <c r="C690" s="89"/>
      <c r="D690" s="89"/>
      <c r="E690" s="89"/>
      <c r="F690" s="89"/>
      <c r="G690" s="89"/>
      <c r="H690" s="90"/>
      <c r="I690" s="36"/>
      <c r="L690" s="77"/>
      <c r="M690" s="77"/>
      <c r="N690" s="36"/>
    </row>
    <row r="691" spans="1:14" s="37" customFormat="1" ht="15.75" customHeight="1" x14ac:dyDescent="0.3">
      <c r="A691" s="78">
        <v>1</v>
      </c>
      <c r="B691" s="79"/>
      <c r="C691" s="68" t="s">
        <v>192</v>
      </c>
      <c r="D691" s="52">
        <f>(5*6.4+5.25*1.05+3.1*1.65+1.5*1.3+0.45*0.9)*(10.764)</f>
        <v>484.19163000000009</v>
      </c>
      <c r="E691" s="68">
        <v>0</v>
      </c>
      <c r="F691" s="68">
        <f t="shared" ref="F691:F709" si="119">(D691+E691)*(($F$130)+1)</f>
        <v>774.70660800000019</v>
      </c>
      <c r="G691" s="86" t="str">
        <f>A690</f>
        <v>14th Floor (15th Floor as per Builder)</v>
      </c>
      <c r="H691" s="87"/>
      <c r="I691" s="36"/>
      <c r="L691" s="77"/>
      <c r="M691" s="77"/>
      <c r="N691" s="36"/>
    </row>
    <row r="692" spans="1:14" s="37" customFormat="1" ht="15.75" customHeight="1" x14ac:dyDescent="0.3">
      <c r="A692" s="78">
        <v>2</v>
      </c>
      <c r="B692" s="79"/>
      <c r="C692" s="68" t="s">
        <v>192</v>
      </c>
      <c r="D692" s="52">
        <f>(5.1*7.45+3.13*1.65+1.37*1.5+0.45*0.9)*(10.764)</f>
        <v>491.04829799999993</v>
      </c>
      <c r="E692" s="68">
        <v>0</v>
      </c>
      <c r="F692" s="68">
        <f t="shared" si="119"/>
        <v>785.67727679999996</v>
      </c>
      <c r="G692" s="86"/>
      <c r="H692" s="87"/>
      <c r="I692" s="61"/>
      <c r="L692" s="77"/>
      <c r="M692" s="77"/>
      <c r="N692" s="36"/>
    </row>
    <row r="693" spans="1:14" s="37" customFormat="1" ht="15.75" customHeight="1" x14ac:dyDescent="0.3">
      <c r="A693" s="78">
        <v>3</v>
      </c>
      <c r="B693" s="79"/>
      <c r="C693" s="68" t="s">
        <v>192</v>
      </c>
      <c r="D693" s="52">
        <f t="shared" ref="D693:D695" si="120">(5.1*7.45+3.13*1.65+1.2*1.5+0.45*0.9)*(10.764)</f>
        <v>488.30347799999987</v>
      </c>
      <c r="E693" s="68">
        <v>0</v>
      </c>
      <c r="F693" s="68">
        <f t="shared" si="119"/>
        <v>781.28556479999986</v>
      </c>
      <c r="G693" s="86"/>
      <c r="H693" s="87"/>
      <c r="I693" s="36"/>
      <c r="L693" s="77"/>
      <c r="M693" s="77"/>
      <c r="N693" s="36"/>
    </row>
    <row r="694" spans="1:14" s="37" customFormat="1" ht="15.75" customHeight="1" x14ac:dyDescent="0.3">
      <c r="A694" s="78">
        <v>4</v>
      </c>
      <c r="B694" s="79"/>
      <c r="C694" s="68" t="s">
        <v>192</v>
      </c>
      <c r="D694" s="52">
        <f>(5.1*7.45+3.13*1.65+1.37*1.5+0.45*0.9)*(10.764)</f>
        <v>491.04829799999993</v>
      </c>
      <c r="E694" s="68">
        <v>0</v>
      </c>
      <c r="F694" s="68">
        <f t="shared" si="119"/>
        <v>785.67727679999996</v>
      </c>
      <c r="G694" s="86"/>
      <c r="H694" s="87"/>
      <c r="I694" s="36"/>
      <c r="L694" s="77"/>
      <c r="M694" s="77"/>
      <c r="N694" s="36"/>
    </row>
    <row r="695" spans="1:14" s="37" customFormat="1" x14ac:dyDescent="0.3">
      <c r="A695" s="78">
        <v>5</v>
      </c>
      <c r="B695" s="79"/>
      <c r="C695" s="68" t="s">
        <v>192</v>
      </c>
      <c r="D695" s="52">
        <f t="shared" si="120"/>
        <v>488.30347799999987</v>
      </c>
      <c r="E695" s="68">
        <v>0</v>
      </c>
      <c r="F695" s="68">
        <f t="shared" si="119"/>
        <v>781.28556479999986</v>
      </c>
      <c r="G695" s="86"/>
      <c r="H695" s="87"/>
      <c r="I695" s="36"/>
      <c r="K695" s="36"/>
    </row>
    <row r="696" spans="1:14" s="37" customFormat="1" ht="15.75" customHeight="1" x14ac:dyDescent="0.3">
      <c r="A696" s="78">
        <v>6</v>
      </c>
      <c r="B696" s="79"/>
      <c r="C696" s="68" t="s">
        <v>192</v>
      </c>
      <c r="D696" s="52">
        <f>(5.1*7.45+3.13*1.65+1.3*1.5+0.45*0.9)*(10.764)</f>
        <v>489.91807799999992</v>
      </c>
      <c r="E696" s="68">
        <v>0</v>
      </c>
      <c r="F696" s="68">
        <f t="shared" si="119"/>
        <v>783.86892479999995</v>
      </c>
      <c r="G696" s="86"/>
      <c r="H696" s="87"/>
      <c r="I696" s="36"/>
      <c r="L696" s="77"/>
      <c r="M696" s="77"/>
      <c r="N696" s="36"/>
    </row>
    <row r="697" spans="1:14" s="37" customFormat="1" ht="15.75" customHeight="1" x14ac:dyDescent="0.3">
      <c r="A697" s="78">
        <v>7</v>
      </c>
      <c r="B697" s="79"/>
      <c r="C697" s="68" t="s">
        <v>192</v>
      </c>
      <c r="D697" s="52">
        <f>(4.93*7.45+3.12*1.65+1.2*1.5+0.45*0.9)*(10.764)</f>
        <v>474.49326599999989</v>
      </c>
      <c r="E697" s="68">
        <v>0</v>
      </c>
      <c r="F697" s="68">
        <f t="shared" si="119"/>
        <v>759.18922559999987</v>
      </c>
      <c r="G697" s="86"/>
      <c r="H697" s="87"/>
      <c r="I697" s="36"/>
      <c r="L697" s="77"/>
      <c r="M697" s="77"/>
      <c r="N697" s="36"/>
    </row>
    <row r="698" spans="1:14" s="37" customFormat="1" ht="15.75" customHeight="1" x14ac:dyDescent="0.3">
      <c r="A698" s="78">
        <v>8</v>
      </c>
      <c r="B698" s="79"/>
      <c r="C698" s="68" t="s">
        <v>192</v>
      </c>
      <c r="D698" s="52">
        <f>(5.1*9.85+3.35*1.65+1.2*1.5+0.45*0.9)*(10.764)</f>
        <v>623.96216999999979</v>
      </c>
      <c r="E698" s="68">
        <v>0</v>
      </c>
      <c r="F698" s="68">
        <f t="shared" si="119"/>
        <v>998.33947199999966</v>
      </c>
      <c r="G698" s="86"/>
      <c r="H698" s="87"/>
      <c r="I698" s="36"/>
      <c r="L698" s="77"/>
      <c r="M698" s="77"/>
      <c r="N698" s="36"/>
    </row>
    <row r="699" spans="1:14" s="37" customFormat="1" ht="15.75" customHeight="1" x14ac:dyDescent="0.3">
      <c r="A699" s="78">
        <v>9</v>
      </c>
      <c r="B699" s="79"/>
      <c r="C699" s="68" t="s">
        <v>192</v>
      </c>
      <c r="D699" s="52">
        <f t="shared" ref="D699:D709" si="121">(5.1*9.85+3.35*1.65+1.2*1.5+0.45*0.9)*(10.764)</f>
        <v>623.96216999999979</v>
      </c>
      <c r="E699" s="68">
        <v>0</v>
      </c>
      <c r="F699" s="68">
        <f t="shared" si="119"/>
        <v>998.33947199999966</v>
      </c>
      <c r="G699" s="86"/>
      <c r="H699" s="87"/>
      <c r="I699" s="36"/>
      <c r="L699" s="77"/>
      <c r="M699" s="77"/>
      <c r="N699" s="36"/>
    </row>
    <row r="700" spans="1:14" s="37" customFormat="1" ht="15.75" customHeight="1" x14ac:dyDescent="0.3">
      <c r="A700" s="78">
        <v>10</v>
      </c>
      <c r="B700" s="79"/>
      <c r="C700" s="68" t="s">
        <v>192</v>
      </c>
      <c r="D700" s="52">
        <f t="shared" si="121"/>
        <v>623.96216999999979</v>
      </c>
      <c r="E700" s="68">
        <v>0</v>
      </c>
      <c r="F700" s="68">
        <f t="shared" si="119"/>
        <v>998.33947199999966</v>
      </c>
      <c r="G700" s="86"/>
      <c r="H700" s="87"/>
      <c r="I700" s="36"/>
      <c r="L700" s="77"/>
      <c r="M700" s="77"/>
      <c r="N700" s="36"/>
    </row>
    <row r="701" spans="1:14" s="37" customFormat="1" ht="15.75" customHeight="1" x14ac:dyDescent="0.3">
      <c r="A701" s="78">
        <v>11</v>
      </c>
      <c r="B701" s="79"/>
      <c r="C701" s="68" t="s">
        <v>192</v>
      </c>
      <c r="D701" s="52">
        <f t="shared" si="121"/>
        <v>623.96216999999979</v>
      </c>
      <c r="E701" s="68">
        <v>0</v>
      </c>
      <c r="F701" s="68">
        <f t="shared" si="119"/>
        <v>998.33947199999966</v>
      </c>
      <c r="G701" s="86"/>
      <c r="H701" s="87"/>
      <c r="I701" s="36"/>
      <c r="L701" s="77"/>
      <c r="M701" s="77"/>
      <c r="N701" s="36"/>
    </row>
    <row r="702" spans="1:14" s="37" customFormat="1" ht="15.75" customHeight="1" x14ac:dyDescent="0.3">
      <c r="A702" s="78">
        <v>12</v>
      </c>
      <c r="B702" s="79"/>
      <c r="C702" s="68" t="s">
        <v>192</v>
      </c>
      <c r="D702" s="52">
        <f t="shared" si="121"/>
        <v>623.96216999999979</v>
      </c>
      <c r="E702" s="68">
        <v>0</v>
      </c>
      <c r="F702" s="68">
        <f t="shared" si="119"/>
        <v>998.33947199999966</v>
      </c>
      <c r="G702" s="86"/>
      <c r="H702" s="87"/>
      <c r="I702" s="36"/>
      <c r="L702" s="77"/>
      <c r="M702" s="77"/>
      <c r="N702" s="36"/>
    </row>
    <row r="703" spans="1:14" s="37" customFormat="1" ht="15.75" customHeight="1" x14ac:dyDescent="0.3">
      <c r="A703" s="78">
        <v>14</v>
      </c>
      <c r="B703" s="79"/>
      <c r="C703" s="68" t="s">
        <v>192</v>
      </c>
      <c r="D703" s="52">
        <f t="shared" si="121"/>
        <v>623.96216999999979</v>
      </c>
      <c r="E703" s="68">
        <v>0</v>
      </c>
      <c r="F703" s="68">
        <f t="shared" si="119"/>
        <v>998.33947199999966</v>
      </c>
      <c r="G703" s="86"/>
      <c r="H703" s="87"/>
      <c r="I703" s="36"/>
      <c r="L703" s="77"/>
      <c r="M703" s="77"/>
      <c r="N703" s="36"/>
    </row>
    <row r="704" spans="1:14" s="37" customFormat="1" ht="15.75" customHeight="1" x14ac:dyDescent="0.3">
      <c r="A704" s="78">
        <v>15</v>
      </c>
      <c r="B704" s="79"/>
      <c r="C704" s="68" t="s">
        <v>192</v>
      </c>
      <c r="D704" s="52">
        <f t="shared" si="121"/>
        <v>623.96216999999979</v>
      </c>
      <c r="E704" s="68">
        <v>0</v>
      </c>
      <c r="F704" s="68">
        <f t="shared" si="119"/>
        <v>998.33947199999966</v>
      </c>
      <c r="G704" s="86"/>
      <c r="H704" s="87"/>
      <c r="I704" s="36"/>
      <c r="L704" s="77"/>
      <c r="M704" s="77"/>
      <c r="N704" s="36"/>
    </row>
    <row r="705" spans="1:14" s="37" customFormat="1" ht="15.75" customHeight="1" x14ac:dyDescent="0.3">
      <c r="A705" s="78">
        <v>16</v>
      </c>
      <c r="B705" s="79"/>
      <c r="C705" s="68" t="s">
        <v>192</v>
      </c>
      <c r="D705" s="52">
        <f t="shared" si="121"/>
        <v>623.96216999999979</v>
      </c>
      <c r="E705" s="68">
        <v>0</v>
      </c>
      <c r="F705" s="68">
        <f t="shared" si="119"/>
        <v>998.33947199999966</v>
      </c>
      <c r="G705" s="86"/>
      <c r="H705" s="87"/>
      <c r="I705" s="36"/>
      <c r="L705" s="77"/>
      <c r="M705" s="77"/>
      <c r="N705" s="36"/>
    </row>
    <row r="706" spans="1:14" s="37" customFormat="1" ht="15.75" customHeight="1" x14ac:dyDescent="0.3">
      <c r="A706" s="78">
        <v>17</v>
      </c>
      <c r="B706" s="79"/>
      <c r="C706" s="68" t="s">
        <v>192</v>
      </c>
      <c r="D706" s="52">
        <f t="shared" si="121"/>
        <v>623.96216999999979</v>
      </c>
      <c r="E706" s="68">
        <v>0</v>
      </c>
      <c r="F706" s="68">
        <f t="shared" si="119"/>
        <v>998.33947199999966</v>
      </c>
      <c r="G706" s="86"/>
      <c r="H706" s="87"/>
      <c r="I706" s="36"/>
      <c r="L706" s="77"/>
      <c r="M706" s="77"/>
      <c r="N706" s="36"/>
    </row>
    <row r="707" spans="1:14" s="37" customFormat="1" ht="15.75" customHeight="1" x14ac:dyDescent="0.3">
      <c r="A707" s="78">
        <v>18</v>
      </c>
      <c r="B707" s="79"/>
      <c r="C707" s="68" t="s">
        <v>192</v>
      </c>
      <c r="D707" s="52">
        <f t="shared" si="121"/>
        <v>623.96216999999979</v>
      </c>
      <c r="E707" s="68">
        <v>0</v>
      </c>
      <c r="F707" s="68">
        <f t="shared" si="119"/>
        <v>998.33947199999966</v>
      </c>
      <c r="G707" s="86"/>
      <c r="H707" s="87"/>
      <c r="I707" s="36"/>
      <c r="L707" s="77"/>
      <c r="M707" s="77"/>
      <c r="N707" s="36"/>
    </row>
    <row r="708" spans="1:14" s="37" customFormat="1" ht="15.75" customHeight="1" x14ac:dyDescent="0.3">
      <c r="A708" s="78">
        <v>19</v>
      </c>
      <c r="B708" s="79"/>
      <c r="C708" s="68" t="s">
        <v>192</v>
      </c>
      <c r="D708" s="52">
        <f t="shared" si="121"/>
        <v>623.96216999999979</v>
      </c>
      <c r="E708" s="68">
        <v>0</v>
      </c>
      <c r="F708" s="68">
        <f t="shared" si="119"/>
        <v>998.33947199999966</v>
      </c>
      <c r="G708" s="86"/>
      <c r="H708" s="87"/>
      <c r="I708" s="36"/>
      <c r="L708" s="77"/>
      <c r="M708" s="77"/>
      <c r="N708" s="36"/>
    </row>
    <row r="709" spans="1:14" s="37" customFormat="1" ht="15.75" customHeight="1" x14ac:dyDescent="0.3">
      <c r="A709" s="78">
        <v>20</v>
      </c>
      <c r="B709" s="79"/>
      <c r="C709" s="68" t="s">
        <v>192</v>
      </c>
      <c r="D709" s="52">
        <f t="shared" si="121"/>
        <v>623.96216999999979</v>
      </c>
      <c r="E709" s="68">
        <v>0</v>
      </c>
      <c r="F709" s="68">
        <f t="shared" si="119"/>
        <v>998.33947199999966</v>
      </c>
      <c r="G709" s="86"/>
      <c r="H709" s="87"/>
      <c r="J709" s="36"/>
      <c r="L709" s="77"/>
      <c r="M709" s="77"/>
      <c r="N709" s="36"/>
    </row>
    <row r="710" spans="1:14" s="37" customFormat="1" ht="15.75" customHeight="1" x14ac:dyDescent="0.3">
      <c r="A710" s="88" t="s">
        <v>199</v>
      </c>
      <c r="B710" s="89"/>
      <c r="C710" s="89"/>
      <c r="D710" s="89"/>
      <c r="E710" s="89"/>
      <c r="F710" s="89"/>
      <c r="G710" s="89"/>
      <c r="H710" s="90"/>
      <c r="I710" s="36"/>
      <c r="L710" s="77"/>
      <c r="M710" s="77"/>
      <c r="N710" s="36"/>
    </row>
    <row r="711" spans="1:14" s="37" customFormat="1" ht="15.75" customHeight="1" x14ac:dyDescent="0.3">
      <c r="A711" s="78">
        <v>1</v>
      </c>
      <c r="B711" s="79"/>
      <c r="C711" s="68" t="s">
        <v>192</v>
      </c>
      <c r="D711" s="52">
        <f>(5*6.4+5.25*1.65+3.1*1.05+1.3*1.5+0.45*0.9)*(10.764)</f>
        <v>498.07719000000003</v>
      </c>
      <c r="E711" s="68">
        <v>0</v>
      </c>
      <c r="F711" s="68">
        <f t="shared" ref="F711:F729" si="122">(D711+E711)*(($F$130)+1)</f>
        <v>796.92350400000009</v>
      </c>
      <c r="G711" s="86"/>
      <c r="H711" s="87"/>
      <c r="I711" s="36"/>
      <c r="L711" s="77"/>
      <c r="M711" s="77"/>
      <c r="N711" s="36"/>
    </row>
    <row r="712" spans="1:14" s="37" customFormat="1" ht="15.75" customHeight="1" x14ac:dyDescent="0.3">
      <c r="A712" s="78">
        <v>2</v>
      </c>
      <c r="B712" s="79"/>
      <c r="C712" s="68" t="s">
        <v>192</v>
      </c>
      <c r="D712" s="52">
        <f>(5.1*7.45+3.13*1.65+1.37*1.5+0.45*0.9)*(10.764)</f>
        <v>491.04829799999993</v>
      </c>
      <c r="E712" s="68">
        <v>0</v>
      </c>
      <c r="F712" s="68">
        <f t="shared" si="122"/>
        <v>785.67727679999996</v>
      </c>
      <c r="G712" s="86"/>
      <c r="H712" s="87"/>
      <c r="I712" s="36"/>
      <c r="L712" s="77"/>
      <c r="M712" s="77"/>
      <c r="N712" s="36"/>
    </row>
    <row r="713" spans="1:14" s="37" customFormat="1" ht="15.75" customHeight="1" x14ac:dyDescent="0.3">
      <c r="A713" s="78">
        <v>3</v>
      </c>
      <c r="B713" s="79"/>
      <c r="C713" s="68" t="s">
        <v>192</v>
      </c>
      <c r="D713" s="52">
        <f>(5.1*7.45+3.3*1.65+1.2*1.5+0.45*0.9)*(10.764)</f>
        <v>491.32277999999991</v>
      </c>
      <c r="E713" s="68">
        <v>0</v>
      </c>
      <c r="F713" s="68">
        <f t="shared" si="122"/>
        <v>786.11644799999988</v>
      </c>
      <c r="G713" s="86"/>
      <c r="H713" s="87"/>
      <c r="I713" s="36"/>
      <c r="L713" s="77"/>
      <c r="M713" s="77"/>
      <c r="N713" s="36"/>
    </row>
    <row r="714" spans="1:14" s="37" customFormat="1" x14ac:dyDescent="0.3">
      <c r="A714" s="78">
        <v>4</v>
      </c>
      <c r="B714" s="79"/>
      <c r="C714" s="68" t="s">
        <v>192</v>
      </c>
      <c r="D714" s="52">
        <f>(5.1*7.45+3.13*1.65+1.37*1.5+0.45*0.9)*(10.764)</f>
        <v>491.04829799999993</v>
      </c>
      <c r="E714" s="68">
        <v>0</v>
      </c>
      <c r="F714" s="68">
        <f t="shared" si="122"/>
        <v>785.67727679999996</v>
      </c>
      <c r="G714" s="86"/>
      <c r="H714" s="87"/>
      <c r="I714" s="36"/>
      <c r="K714" s="36"/>
    </row>
    <row r="715" spans="1:14" s="37" customFormat="1" ht="15.75" customHeight="1" x14ac:dyDescent="0.3">
      <c r="A715" s="78">
        <v>5</v>
      </c>
      <c r="B715" s="79"/>
      <c r="C715" s="68" t="s">
        <v>192</v>
      </c>
      <c r="D715" s="52">
        <f>(5.1*7.45+3.3*1.65+1.2*1.5+0.45*0.9)*(10.764)</f>
        <v>491.32277999999991</v>
      </c>
      <c r="E715" s="68">
        <v>0</v>
      </c>
      <c r="F715" s="68">
        <f t="shared" si="122"/>
        <v>786.11644799999988</v>
      </c>
      <c r="G715" s="86"/>
      <c r="H715" s="87"/>
      <c r="I715" s="36"/>
      <c r="L715" s="77"/>
      <c r="M715" s="77"/>
      <c r="N715" s="36"/>
    </row>
    <row r="716" spans="1:14" s="37" customFormat="1" ht="15.75" customHeight="1" x14ac:dyDescent="0.3">
      <c r="A716" s="78">
        <v>6</v>
      </c>
      <c r="B716" s="79"/>
      <c r="C716" s="68" t="s">
        <v>192</v>
      </c>
      <c r="D716" s="52">
        <f>(5.1*7.45+3.12*1.65+1.3*1.5+0.45*0.9)*(10.764)</f>
        <v>489.74047200000001</v>
      </c>
      <c r="E716" s="68">
        <v>0</v>
      </c>
      <c r="F716" s="68">
        <f t="shared" si="122"/>
        <v>783.58475520000002</v>
      </c>
      <c r="G716" s="86"/>
      <c r="H716" s="87"/>
      <c r="I716" s="36"/>
      <c r="L716" s="77"/>
      <c r="M716" s="77"/>
      <c r="N716" s="36"/>
    </row>
    <row r="717" spans="1:14" s="37" customFormat="1" ht="15.75" customHeight="1" x14ac:dyDescent="0.3">
      <c r="A717" s="78">
        <v>7</v>
      </c>
      <c r="B717" s="79"/>
      <c r="C717" s="68" t="s">
        <v>192</v>
      </c>
      <c r="D717" s="52">
        <f>(4.93*7.45+3.12*1.65+1.2*1.5+0.45*0.9)*(10.764)</f>
        <v>474.49326599999989</v>
      </c>
      <c r="E717" s="68">
        <v>0</v>
      </c>
      <c r="F717" s="68">
        <f t="shared" si="122"/>
        <v>759.18922559999987</v>
      </c>
      <c r="G717" s="86"/>
      <c r="H717" s="87"/>
      <c r="I717" s="36"/>
      <c r="L717" s="77"/>
      <c r="M717" s="77"/>
      <c r="N717" s="36"/>
    </row>
    <row r="718" spans="1:14" s="37" customFormat="1" ht="15.75" customHeight="1" x14ac:dyDescent="0.3">
      <c r="A718" s="78">
        <v>8</v>
      </c>
      <c r="B718" s="79"/>
      <c r="C718" s="68" t="s">
        <v>192</v>
      </c>
      <c r="D718" s="52">
        <f>(5.1*5.28+3.3*1.65+1.2*1.5+0.45*0.9)*(10.764)</f>
        <v>372.19759199999993</v>
      </c>
      <c r="E718" s="68">
        <v>0</v>
      </c>
      <c r="F718" s="68">
        <f t="shared" si="122"/>
        <v>595.51614719999986</v>
      </c>
      <c r="G718" s="86"/>
      <c r="H718" s="87"/>
      <c r="I718" s="36"/>
      <c r="L718" s="77"/>
      <c r="M718" s="77"/>
      <c r="N718" s="36"/>
    </row>
    <row r="719" spans="1:14" s="37" customFormat="1" ht="15.75" customHeight="1" x14ac:dyDescent="0.3">
      <c r="A719" s="78">
        <v>9</v>
      </c>
      <c r="B719" s="79"/>
      <c r="C719" s="68" t="s">
        <v>192</v>
      </c>
      <c r="D719" s="52">
        <f>(5*9.85+3.2*1.65+1.2*1.5+0.45*0.9+5.25*4.42)*(10.764)</f>
        <v>860.47415999999987</v>
      </c>
      <c r="E719" s="68">
        <v>0</v>
      </c>
      <c r="F719" s="68">
        <f t="shared" si="122"/>
        <v>1376.758656</v>
      </c>
      <c r="G719" s="86"/>
      <c r="H719" s="87"/>
      <c r="I719" s="36"/>
      <c r="L719" s="77"/>
      <c r="M719" s="77"/>
      <c r="N719" s="36"/>
    </row>
    <row r="720" spans="1:14" s="37" customFormat="1" ht="15.75" customHeight="1" x14ac:dyDescent="0.3">
      <c r="A720" s="78">
        <v>10</v>
      </c>
      <c r="B720" s="79"/>
      <c r="C720" s="68" t="s">
        <v>192</v>
      </c>
      <c r="D720" s="52">
        <f>(5.38*9.85+3.3*1.65+1.2*1.5+0.45*0.9)*(10.764)</f>
        <v>652.7612519999999</v>
      </c>
      <c r="E720" s="68">
        <v>0</v>
      </c>
      <c r="F720" s="68">
        <f t="shared" si="122"/>
        <v>1044.4180031999999</v>
      </c>
      <c r="G720" s="86"/>
      <c r="H720" s="87"/>
      <c r="I720" s="36"/>
      <c r="L720" s="77"/>
      <c r="M720" s="77"/>
      <c r="N720" s="36"/>
    </row>
    <row r="721" spans="1:14" s="37" customFormat="1" ht="15.75" customHeight="1" x14ac:dyDescent="0.3">
      <c r="A721" s="78">
        <v>11</v>
      </c>
      <c r="B721" s="79"/>
      <c r="C721" s="68" t="s">
        <v>192</v>
      </c>
      <c r="D721" s="52">
        <f>(4.92*9.85+3.3*1.65+1.2*1.5+0.45*0.9)*(10.764)</f>
        <v>603.98956799999996</v>
      </c>
      <c r="E721" s="68">
        <v>0</v>
      </c>
      <c r="F721" s="68">
        <f t="shared" si="122"/>
        <v>966.38330880000001</v>
      </c>
      <c r="G721" s="86"/>
      <c r="H721" s="87"/>
      <c r="I721" s="36"/>
      <c r="L721" s="77"/>
      <c r="M721" s="77"/>
      <c r="N721" s="36"/>
    </row>
    <row r="722" spans="1:14" s="37" customFormat="1" ht="15.75" customHeight="1" x14ac:dyDescent="0.3">
      <c r="A722" s="78">
        <v>12</v>
      </c>
      <c r="B722" s="79"/>
      <c r="C722" s="68" t="s">
        <v>192</v>
      </c>
      <c r="D722" s="52">
        <f>(5.1*9.85+3.3*1.65+1.2*1.5+0.45*0.9)*(10.764)</f>
        <v>623.07413999999983</v>
      </c>
      <c r="E722" s="68">
        <v>0</v>
      </c>
      <c r="F722" s="68">
        <f t="shared" si="122"/>
        <v>996.9186239999998</v>
      </c>
      <c r="G722" s="86"/>
      <c r="H722" s="87"/>
      <c r="I722" s="36"/>
      <c r="L722" s="77"/>
      <c r="M722" s="77"/>
      <c r="N722" s="36"/>
    </row>
    <row r="723" spans="1:14" s="37" customFormat="1" ht="15.75" customHeight="1" x14ac:dyDescent="0.3">
      <c r="A723" s="78">
        <v>14</v>
      </c>
      <c r="B723" s="79"/>
      <c r="C723" s="68" t="s">
        <v>192</v>
      </c>
      <c r="D723" s="52">
        <f t="shared" ref="D723:D729" si="123">(5.1*11.6)*(10.764)</f>
        <v>636.79823999999996</v>
      </c>
      <c r="E723" s="68">
        <v>0</v>
      </c>
      <c r="F723" s="68">
        <f t="shared" si="122"/>
        <v>1018.8771839999999</v>
      </c>
      <c r="G723" s="86"/>
      <c r="H723" s="87"/>
      <c r="I723" s="36"/>
      <c r="L723" s="77"/>
      <c r="M723" s="77"/>
      <c r="N723" s="36"/>
    </row>
    <row r="724" spans="1:14" s="37" customFormat="1" ht="15.75" customHeight="1" x14ac:dyDescent="0.3">
      <c r="A724" s="78">
        <v>15</v>
      </c>
      <c r="B724" s="79"/>
      <c r="C724" s="68" t="s">
        <v>192</v>
      </c>
      <c r="D724" s="52">
        <f t="shared" si="123"/>
        <v>636.79823999999996</v>
      </c>
      <c r="E724" s="68">
        <v>0</v>
      </c>
      <c r="F724" s="68">
        <f t="shared" si="122"/>
        <v>1018.8771839999999</v>
      </c>
      <c r="G724" s="86"/>
      <c r="H724" s="87"/>
      <c r="I724" s="36"/>
      <c r="L724" s="77"/>
      <c r="M724" s="77"/>
      <c r="N724" s="36"/>
    </row>
    <row r="725" spans="1:14" s="37" customFormat="1" ht="15.75" customHeight="1" x14ac:dyDescent="0.3">
      <c r="A725" s="78">
        <v>16</v>
      </c>
      <c r="B725" s="79"/>
      <c r="C725" s="68" t="s">
        <v>192</v>
      </c>
      <c r="D725" s="52">
        <f t="shared" si="123"/>
        <v>636.79823999999996</v>
      </c>
      <c r="E725" s="68">
        <v>0</v>
      </c>
      <c r="F725" s="68">
        <f t="shared" si="122"/>
        <v>1018.8771839999999</v>
      </c>
      <c r="G725" s="86"/>
      <c r="H725" s="87"/>
      <c r="I725" s="36"/>
      <c r="L725" s="77"/>
      <c r="M725" s="77"/>
      <c r="N725" s="36"/>
    </row>
    <row r="726" spans="1:14" s="37" customFormat="1" ht="15.75" customHeight="1" x14ac:dyDescent="0.3">
      <c r="A726" s="78">
        <v>17</v>
      </c>
      <c r="B726" s="79"/>
      <c r="C726" s="68" t="s">
        <v>192</v>
      </c>
      <c r="D726" s="52">
        <f t="shared" si="123"/>
        <v>636.79823999999996</v>
      </c>
      <c r="E726" s="68">
        <v>0</v>
      </c>
      <c r="F726" s="68">
        <f t="shared" si="122"/>
        <v>1018.8771839999999</v>
      </c>
      <c r="G726" s="86"/>
      <c r="H726" s="87"/>
      <c r="I726" s="36"/>
      <c r="L726" s="77"/>
      <c r="M726" s="77"/>
      <c r="N726" s="36"/>
    </row>
    <row r="727" spans="1:14" s="37" customFormat="1" ht="15.75" customHeight="1" x14ac:dyDescent="0.3">
      <c r="A727" s="78">
        <v>18</v>
      </c>
      <c r="B727" s="79"/>
      <c r="C727" s="68" t="s">
        <v>192</v>
      </c>
      <c r="D727" s="52">
        <f t="shared" si="123"/>
        <v>636.79823999999996</v>
      </c>
      <c r="E727" s="68">
        <v>0</v>
      </c>
      <c r="F727" s="68">
        <f t="shared" si="122"/>
        <v>1018.8771839999999</v>
      </c>
      <c r="G727" s="86"/>
      <c r="H727" s="87"/>
      <c r="I727" s="36"/>
      <c r="L727" s="77"/>
      <c r="M727" s="77"/>
      <c r="N727" s="36"/>
    </row>
    <row r="728" spans="1:14" s="37" customFormat="1" x14ac:dyDescent="0.3">
      <c r="A728" s="78">
        <v>19</v>
      </c>
      <c r="B728" s="79"/>
      <c r="C728" s="68" t="s">
        <v>192</v>
      </c>
      <c r="D728" s="52">
        <f t="shared" si="123"/>
        <v>636.79823999999996</v>
      </c>
      <c r="E728" s="68">
        <v>0</v>
      </c>
      <c r="F728" s="68">
        <f t="shared" si="122"/>
        <v>1018.8771839999999</v>
      </c>
      <c r="G728" s="86"/>
      <c r="H728" s="87"/>
      <c r="J728" s="36"/>
      <c r="K728" s="36"/>
    </row>
    <row r="729" spans="1:14" s="37" customFormat="1" ht="15.75" customHeight="1" x14ac:dyDescent="0.3">
      <c r="A729" s="78">
        <v>20</v>
      </c>
      <c r="B729" s="79"/>
      <c r="C729" s="68" t="s">
        <v>192</v>
      </c>
      <c r="D729" s="52">
        <f t="shared" si="123"/>
        <v>636.79823999999996</v>
      </c>
      <c r="E729" s="68">
        <v>0</v>
      </c>
      <c r="F729" s="68">
        <f t="shared" si="122"/>
        <v>1018.8771839999999</v>
      </c>
      <c r="G729" s="86"/>
      <c r="H729" s="87"/>
      <c r="I729" s="36"/>
      <c r="L729" s="77"/>
      <c r="M729" s="77"/>
      <c r="N729" s="36"/>
    </row>
    <row r="730" spans="1:14" s="37" customFormat="1" ht="15.75" customHeight="1" x14ac:dyDescent="0.3">
      <c r="A730" s="88" t="s">
        <v>200</v>
      </c>
      <c r="B730" s="89"/>
      <c r="C730" s="89"/>
      <c r="D730" s="89"/>
      <c r="E730" s="89"/>
      <c r="F730" s="89"/>
      <c r="G730" s="89"/>
      <c r="H730" s="90"/>
      <c r="I730" s="36"/>
      <c r="L730" s="77"/>
      <c r="M730" s="77"/>
      <c r="N730" s="36"/>
    </row>
    <row r="731" spans="1:14" s="37" customFormat="1" ht="15.75" customHeight="1" x14ac:dyDescent="0.3">
      <c r="A731" s="78">
        <v>1</v>
      </c>
      <c r="B731" s="79"/>
      <c r="C731" s="68" t="s">
        <v>192</v>
      </c>
      <c r="D731" s="52">
        <f>(5*6.4+3.1*1.65+5.25*1.05+1.3*1.5+0.45*0.9)*(10.764)</f>
        <v>484.19163000000009</v>
      </c>
      <c r="E731" s="68">
        <v>0</v>
      </c>
      <c r="F731" s="68">
        <f t="shared" ref="F731:F748" si="124">(D731+E731)*(($F$130)+1)</f>
        <v>774.70660800000019</v>
      </c>
      <c r="G731" s="86"/>
      <c r="H731" s="87"/>
      <c r="I731" s="36"/>
      <c r="L731" s="77"/>
      <c r="M731" s="77"/>
      <c r="N731" s="36"/>
    </row>
    <row r="732" spans="1:14" s="37" customFormat="1" ht="15.75" customHeight="1" x14ac:dyDescent="0.3">
      <c r="A732" s="78">
        <v>2</v>
      </c>
      <c r="B732" s="79"/>
      <c r="C732" s="68" t="s">
        <v>192</v>
      </c>
      <c r="D732" s="52">
        <f>(5.1*7.45+3.13*1.65+1.37*1.5+0.45*0.9)*(10.764)</f>
        <v>491.04829799999993</v>
      </c>
      <c r="E732" s="68">
        <v>0</v>
      </c>
      <c r="F732" s="68">
        <f t="shared" si="124"/>
        <v>785.67727679999996</v>
      </c>
      <c r="G732" s="86"/>
      <c r="H732" s="87"/>
      <c r="I732" s="36"/>
      <c r="L732" s="77"/>
      <c r="M732" s="77"/>
      <c r="N732" s="36"/>
    </row>
    <row r="733" spans="1:14" s="37" customFormat="1" ht="15.75" customHeight="1" x14ac:dyDescent="0.3">
      <c r="A733" s="78">
        <v>3</v>
      </c>
      <c r="B733" s="79"/>
      <c r="C733" s="68" t="s">
        <v>192</v>
      </c>
      <c r="D733" s="52">
        <f>(5.1*7.45+3.3*1.65+1.2*1.5+0.45*0.9)*(10.764)</f>
        <v>491.32277999999991</v>
      </c>
      <c r="E733" s="68">
        <v>0</v>
      </c>
      <c r="F733" s="68">
        <f t="shared" si="124"/>
        <v>786.11644799999988</v>
      </c>
      <c r="G733" s="86"/>
      <c r="H733" s="87"/>
      <c r="I733" s="36"/>
      <c r="L733" s="77"/>
      <c r="M733" s="77"/>
      <c r="N733" s="36"/>
    </row>
    <row r="734" spans="1:14" s="37" customFormat="1" ht="15.75" customHeight="1" x14ac:dyDescent="0.3">
      <c r="A734" s="78">
        <v>4</v>
      </c>
      <c r="B734" s="79"/>
      <c r="C734" s="68" t="s">
        <v>192</v>
      </c>
      <c r="D734" s="52">
        <f>(5.1*7.45+3.13*1.65+1.37*1.5+0.45*0.9)*(10.764)</f>
        <v>491.04829799999993</v>
      </c>
      <c r="E734" s="68">
        <v>0</v>
      </c>
      <c r="F734" s="68">
        <f t="shared" si="124"/>
        <v>785.67727679999996</v>
      </c>
      <c r="G734" s="86"/>
      <c r="H734" s="87"/>
      <c r="I734" s="36"/>
      <c r="L734" s="77"/>
      <c r="M734" s="77"/>
      <c r="N734" s="36"/>
    </row>
    <row r="735" spans="1:14" s="37" customFormat="1" ht="15.75" customHeight="1" x14ac:dyDescent="0.3">
      <c r="A735" s="78">
        <v>5</v>
      </c>
      <c r="B735" s="79"/>
      <c r="C735" s="68" t="s">
        <v>192</v>
      </c>
      <c r="D735" s="52">
        <f>(5.1*7.45+3.3*1.65+1.2*1.5+0.45*0.9)*(10.764)</f>
        <v>491.32277999999991</v>
      </c>
      <c r="E735" s="68">
        <v>0</v>
      </c>
      <c r="F735" s="68">
        <f t="shared" si="124"/>
        <v>786.11644799999988</v>
      </c>
      <c r="G735" s="86"/>
      <c r="H735" s="87"/>
      <c r="I735" s="36"/>
      <c r="L735" s="77"/>
      <c r="M735" s="77"/>
      <c r="N735" s="36"/>
    </row>
    <row r="736" spans="1:14" s="37" customFormat="1" ht="15.75" customHeight="1" x14ac:dyDescent="0.3">
      <c r="A736" s="78">
        <v>6</v>
      </c>
      <c r="B736" s="79"/>
      <c r="C736" s="68" t="s">
        <v>192</v>
      </c>
      <c r="D736" s="52">
        <f>(5.1*7.45+3.12*1.65+1.3*1.5+0.45*0.9)*(10.764)</f>
        <v>489.74047200000001</v>
      </c>
      <c r="E736" s="68">
        <v>0</v>
      </c>
      <c r="F736" s="68">
        <f t="shared" si="124"/>
        <v>783.58475520000002</v>
      </c>
      <c r="G736" s="86"/>
      <c r="H736" s="87"/>
      <c r="I736" s="36"/>
      <c r="L736" s="77"/>
      <c r="M736" s="77"/>
      <c r="N736" s="36"/>
    </row>
    <row r="737" spans="1:14" s="37" customFormat="1" ht="15.75" customHeight="1" x14ac:dyDescent="0.3">
      <c r="A737" s="78">
        <v>7</v>
      </c>
      <c r="B737" s="79"/>
      <c r="C737" s="68" t="s">
        <v>192</v>
      </c>
      <c r="D737" s="52">
        <f>(4.93*7.45+3.12*1.65+1.3*1.5+0.45*0.9)*(10.764)</f>
        <v>476.10786599999994</v>
      </c>
      <c r="E737" s="68">
        <v>0</v>
      </c>
      <c r="F737" s="68">
        <f t="shared" si="124"/>
        <v>761.77258559999996</v>
      </c>
      <c r="G737" s="86"/>
      <c r="H737" s="87"/>
      <c r="I737" s="36"/>
      <c r="L737" s="77"/>
      <c r="M737" s="77"/>
      <c r="N737" s="36"/>
    </row>
    <row r="738" spans="1:14" s="37" customFormat="1" ht="15.75" customHeight="1" x14ac:dyDescent="0.3">
      <c r="A738" s="78">
        <v>8</v>
      </c>
      <c r="B738" s="79"/>
      <c r="C738" s="68" t="s">
        <v>192</v>
      </c>
      <c r="D738" s="52">
        <f>(5.1*9.85+3.3*1.65+1.2*1.5+0.45*0.9)*(10.764)</f>
        <v>623.07413999999983</v>
      </c>
      <c r="E738" s="68">
        <v>0</v>
      </c>
      <c r="F738" s="68">
        <f t="shared" si="124"/>
        <v>996.9186239999998</v>
      </c>
      <c r="G738" s="86"/>
      <c r="H738" s="87"/>
      <c r="I738" s="36"/>
      <c r="L738" s="77"/>
      <c r="M738" s="77"/>
      <c r="N738" s="36"/>
    </row>
    <row r="739" spans="1:14" s="37" customFormat="1" ht="15.75" customHeight="1" x14ac:dyDescent="0.3">
      <c r="A739" s="78">
        <v>9</v>
      </c>
      <c r="B739" s="79"/>
      <c r="C739" s="68" t="s">
        <v>192</v>
      </c>
      <c r="D739" s="52">
        <f t="shared" ref="D739:D740" si="125">(5.1*9.85+3.3*1.65+1.2*1.5+0.45*0.9)*(10.764)</f>
        <v>623.07413999999983</v>
      </c>
      <c r="E739" s="68">
        <v>0</v>
      </c>
      <c r="F739" s="68">
        <f t="shared" si="124"/>
        <v>996.9186239999998</v>
      </c>
      <c r="G739" s="86"/>
      <c r="H739" s="87"/>
      <c r="I739" s="36"/>
      <c r="L739" s="77"/>
      <c r="M739" s="77"/>
      <c r="N739" s="36"/>
    </row>
    <row r="740" spans="1:14" s="37" customFormat="1" ht="15.75" customHeight="1" x14ac:dyDescent="0.3">
      <c r="A740" s="78">
        <v>10</v>
      </c>
      <c r="B740" s="79"/>
      <c r="C740" s="68" t="s">
        <v>192</v>
      </c>
      <c r="D740" s="52">
        <f t="shared" si="125"/>
        <v>623.07413999999983</v>
      </c>
      <c r="E740" s="68">
        <v>0</v>
      </c>
      <c r="F740" s="68">
        <f t="shared" si="124"/>
        <v>996.9186239999998</v>
      </c>
      <c r="G740" s="86"/>
      <c r="H740" s="87"/>
      <c r="I740" s="36"/>
      <c r="L740" s="77"/>
      <c r="M740" s="77"/>
      <c r="N740" s="36"/>
    </row>
    <row r="741" spans="1:14" s="37" customFormat="1" ht="15.75" customHeight="1" x14ac:dyDescent="0.3">
      <c r="A741" s="78">
        <v>11</v>
      </c>
      <c r="B741" s="79"/>
      <c r="C741" s="68" t="s">
        <v>192</v>
      </c>
      <c r="D741" s="52">
        <f>(10.95*4.05+1.65*(3.75+3.3)+(1.2*1.5+0.45*0.9)*2+5.38*5.8+5.08*5.07)*(10.764)</f>
        <v>1263.1510943999999</v>
      </c>
      <c r="E741" s="68">
        <v>0</v>
      </c>
      <c r="F741" s="68">
        <f t="shared" si="124"/>
        <v>2021.04175104</v>
      </c>
      <c r="G741" s="86"/>
      <c r="H741" s="87"/>
      <c r="I741" s="36"/>
      <c r="L741" s="77"/>
      <c r="M741" s="77"/>
      <c r="N741" s="36"/>
    </row>
    <row r="742" spans="1:14" s="37" customFormat="1" ht="15.75" customHeight="1" x14ac:dyDescent="0.3">
      <c r="A742" s="78">
        <v>14</v>
      </c>
      <c r="B742" s="79"/>
      <c r="C742" s="68" t="s">
        <v>192</v>
      </c>
      <c r="D742" s="52">
        <f>(5.1*9.85+3.3*1.65+1.2*1.5+0.45*0.9)*(10.764)</f>
        <v>623.07413999999983</v>
      </c>
      <c r="E742" s="68">
        <v>0</v>
      </c>
      <c r="F742" s="68">
        <f t="shared" si="124"/>
        <v>996.9186239999998</v>
      </c>
      <c r="G742" s="86"/>
      <c r="H742" s="87"/>
      <c r="J742" s="36"/>
      <c r="L742" s="77"/>
      <c r="M742" s="77"/>
      <c r="N742" s="36"/>
    </row>
    <row r="743" spans="1:14" s="37" customFormat="1" ht="15.75" customHeight="1" x14ac:dyDescent="0.3">
      <c r="A743" s="78">
        <v>15</v>
      </c>
      <c r="B743" s="79"/>
      <c r="C743" s="68" t="s">
        <v>192</v>
      </c>
      <c r="D743" s="52">
        <f t="shared" ref="D743:D748" si="126">(5.1*9.85+3.3*1.65+1.2*1.5+0.45*0.9)*(10.764)</f>
        <v>623.07413999999983</v>
      </c>
      <c r="E743" s="68">
        <v>0</v>
      </c>
      <c r="F743" s="68">
        <f t="shared" si="124"/>
        <v>996.9186239999998</v>
      </c>
      <c r="G743" s="86"/>
      <c r="H743" s="87"/>
      <c r="I743" s="36"/>
      <c r="L743" s="77"/>
      <c r="M743" s="77"/>
      <c r="N743" s="36"/>
    </row>
    <row r="744" spans="1:14" s="37" customFormat="1" ht="15.75" customHeight="1" x14ac:dyDescent="0.3">
      <c r="A744" s="78">
        <v>16</v>
      </c>
      <c r="B744" s="79"/>
      <c r="C744" s="68" t="s">
        <v>192</v>
      </c>
      <c r="D744" s="52">
        <f t="shared" si="126"/>
        <v>623.07413999999983</v>
      </c>
      <c r="E744" s="68">
        <v>0</v>
      </c>
      <c r="F744" s="68">
        <f t="shared" si="124"/>
        <v>996.9186239999998</v>
      </c>
      <c r="G744" s="86"/>
      <c r="H744" s="87"/>
      <c r="I744" s="36"/>
      <c r="L744" s="77"/>
      <c r="M744" s="77"/>
      <c r="N744" s="36"/>
    </row>
    <row r="745" spans="1:14" s="37" customFormat="1" ht="15.75" customHeight="1" x14ac:dyDescent="0.3">
      <c r="A745" s="78">
        <v>17</v>
      </c>
      <c r="B745" s="79"/>
      <c r="C745" s="68" t="s">
        <v>192</v>
      </c>
      <c r="D745" s="52">
        <f t="shared" si="126"/>
        <v>623.07413999999983</v>
      </c>
      <c r="E745" s="68">
        <v>0</v>
      </c>
      <c r="F745" s="68">
        <f t="shared" si="124"/>
        <v>996.9186239999998</v>
      </c>
      <c r="G745" s="86"/>
      <c r="H745" s="87"/>
      <c r="I745" s="36"/>
      <c r="L745" s="77"/>
      <c r="M745" s="77"/>
      <c r="N745" s="36"/>
    </row>
    <row r="746" spans="1:14" s="37" customFormat="1" x14ac:dyDescent="0.3">
      <c r="A746" s="78">
        <v>18</v>
      </c>
      <c r="B746" s="79"/>
      <c r="C746" s="68" t="s">
        <v>192</v>
      </c>
      <c r="D746" s="52">
        <f t="shared" si="126"/>
        <v>623.07413999999983</v>
      </c>
      <c r="E746" s="68">
        <v>0</v>
      </c>
      <c r="F746" s="68">
        <f t="shared" si="124"/>
        <v>996.9186239999998</v>
      </c>
      <c r="G746" s="86"/>
      <c r="H746" s="87"/>
      <c r="I746" s="36"/>
      <c r="K746" s="36"/>
    </row>
    <row r="747" spans="1:14" s="37" customFormat="1" ht="15.75" customHeight="1" x14ac:dyDescent="0.3">
      <c r="A747" s="78">
        <v>19</v>
      </c>
      <c r="B747" s="79"/>
      <c r="C747" s="68" t="s">
        <v>192</v>
      </c>
      <c r="D747" s="52">
        <f t="shared" si="126"/>
        <v>623.07413999999983</v>
      </c>
      <c r="E747" s="68">
        <v>0</v>
      </c>
      <c r="F747" s="68">
        <f t="shared" si="124"/>
        <v>996.9186239999998</v>
      </c>
      <c r="G747" s="86"/>
      <c r="H747" s="87"/>
      <c r="I747" s="36"/>
      <c r="L747" s="77"/>
      <c r="M747" s="77"/>
      <c r="N747" s="36"/>
    </row>
    <row r="748" spans="1:14" s="37" customFormat="1" ht="15.75" customHeight="1" x14ac:dyDescent="0.3">
      <c r="A748" s="78">
        <v>20</v>
      </c>
      <c r="B748" s="79"/>
      <c r="C748" s="68" t="s">
        <v>192</v>
      </c>
      <c r="D748" s="52">
        <f t="shared" si="126"/>
        <v>623.07413999999983</v>
      </c>
      <c r="E748" s="68">
        <v>0</v>
      </c>
      <c r="F748" s="68">
        <f t="shared" si="124"/>
        <v>996.9186239999998</v>
      </c>
      <c r="G748" s="86"/>
      <c r="H748" s="87"/>
      <c r="I748" s="36"/>
      <c r="L748" s="77"/>
      <c r="M748" s="77"/>
      <c r="N748" s="36"/>
    </row>
    <row r="749" spans="1:14" s="37" customFormat="1" ht="15.75" customHeight="1" x14ac:dyDescent="0.3">
      <c r="A749" s="88" t="s">
        <v>201</v>
      </c>
      <c r="B749" s="89"/>
      <c r="C749" s="89"/>
      <c r="D749" s="89"/>
      <c r="E749" s="89"/>
      <c r="F749" s="89"/>
      <c r="G749" s="89"/>
      <c r="H749" s="90"/>
      <c r="I749" s="36"/>
      <c r="L749" s="77"/>
      <c r="M749" s="77"/>
      <c r="N749" s="36"/>
    </row>
    <row r="750" spans="1:14" s="37" customFormat="1" ht="15.75" customHeight="1" x14ac:dyDescent="0.3">
      <c r="A750" s="78">
        <v>1</v>
      </c>
      <c r="B750" s="79"/>
      <c r="C750" s="68" t="s">
        <v>192</v>
      </c>
      <c r="D750" s="52">
        <f>(5*6.4+3.1*1.65+5.25*1.05+1.3*1.5+0.45*0.9)*(10.764)</f>
        <v>484.19163000000009</v>
      </c>
      <c r="E750" s="68">
        <v>0</v>
      </c>
      <c r="F750" s="68">
        <f t="shared" ref="F750:F762" si="127">(D750+E750)*(($F$130)+1)</f>
        <v>774.70660800000019</v>
      </c>
      <c r="G750" s="86"/>
      <c r="H750" s="87"/>
      <c r="I750" s="36"/>
      <c r="L750" s="77"/>
      <c r="M750" s="77"/>
      <c r="N750" s="36"/>
    </row>
    <row r="751" spans="1:14" s="37" customFormat="1" ht="15.75" customHeight="1" x14ac:dyDescent="0.3">
      <c r="A751" s="78">
        <v>2</v>
      </c>
      <c r="B751" s="79"/>
      <c r="C751" s="68" t="s">
        <v>192</v>
      </c>
      <c r="D751" s="52">
        <f>(5.1*7.45+3.13*1.65+1.37*1.5+0.45*0.9)*(10.764)</f>
        <v>491.04829799999993</v>
      </c>
      <c r="E751" s="68">
        <v>0</v>
      </c>
      <c r="F751" s="68">
        <f t="shared" si="127"/>
        <v>785.67727679999996</v>
      </c>
      <c r="G751" s="86"/>
      <c r="H751" s="87"/>
      <c r="I751" s="36"/>
      <c r="L751" s="77"/>
      <c r="M751" s="77"/>
      <c r="N751" s="36"/>
    </row>
    <row r="752" spans="1:14" s="37" customFormat="1" ht="15.75" customHeight="1" x14ac:dyDescent="0.3">
      <c r="A752" s="78">
        <v>3</v>
      </c>
      <c r="B752" s="79"/>
      <c r="C752" s="68" t="s">
        <v>192</v>
      </c>
      <c r="D752" s="52">
        <f>(5.1*7.45+3.3*1.65+1.2*1.5+0.45*0.9)*(10.764)</f>
        <v>491.32277999999991</v>
      </c>
      <c r="E752" s="68">
        <v>0</v>
      </c>
      <c r="F752" s="68">
        <f t="shared" si="127"/>
        <v>786.11644799999988</v>
      </c>
      <c r="G752" s="86"/>
      <c r="H752" s="87"/>
      <c r="I752" s="36"/>
      <c r="L752" s="77"/>
      <c r="M752" s="77"/>
      <c r="N752" s="36"/>
    </row>
    <row r="753" spans="1:14" s="37" customFormat="1" ht="15.75" customHeight="1" x14ac:dyDescent="0.3">
      <c r="A753" s="78">
        <v>4</v>
      </c>
      <c r="B753" s="79"/>
      <c r="C753" s="68" t="s">
        <v>192</v>
      </c>
      <c r="D753" s="52">
        <f>(5.1*7.45+3.13*1.65+1.37*1.5+0.45*0.9)*(10.764)</f>
        <v>491.04829799999993</v>
      </c>
      <c r="E753" s="68">
        <v>0</v>
      </c>
      <c r="F753" s="68">
        <f t="shared" si="127"/>
        <v>785.67727679999996</v>
      </c>
      <c r="G753" s="86"/>
      <c r="H753" s="87"/>
      <c r="I753" s="36"/>
      <c r="L753" s="77"/>
      <c r="M753" s="77"/>
      <c r="N753" s="36"/>
    </row>
    <row r="754" spans="1:14" s="37" customFormat="1" ht="15.75" customHeight="1" x14ac:dyDescent="0.3">
      <c r="A754" s="78">
        <v>5</v>
      </c>
      <c r="B754" s="79"/>
      <c r="C754" s="68" t="s">
        <v>192</v>
      </c>
      <c r="D754" s="52">
        <f>(5.1*7.45+3.3*1.65+1.2*1.5+0.45*0.9)*(10.764)</f>
        <v>491.32277999999991</v>
      </c>
      <c r="E754" s="68">
        <v>0</v>
      </c>
      <c r="F754" s="68">
        <f t="shared" si="127"/>
        <v>786.11644799999988</v>
      </c>
      <c r="G754" s="86"/>
      <c r="H754" s="87"/>
      <c r="I754" s="36"/>
      <c r="L754" s="77"/>
      <c r="M754" s="77"/>
      <c r="N754" s="36"/>
    </row>
    <row r="755" spans="1:14" s="37" customFormat="1" ht="15.75" customHeight="1" x14ac:dyDescent="0.3">
      <c r="A755" s="78">
        <v>6</v>
      </c>
      <c r="B755" s="79"/>
      <c r="C755" s="68" t="s">
        <v>192</v>
      </c>
      <c r="D755" s="52">
        <f>(5.1*7.45+3.12*1.65+1.3*1.5+0.45*0.9)*(10.764)</f>
        <v>489.74047200000001</v>
      </c>
      <c r="E755" s="68">
        <v>0</v>
      </c>
      <c r="F755" s="68">
        <f t="shared" si="127"/>
        <v>783.58475520000002</v>
      </c>
      <c r="G755" s="86"/>
      <c r="H755" s="87"/>
      <c r="I755" s="36"/>
      <c r="L755" s="77"/>
      <c r="M755" s="77"/>
      <c r="N755" s="36"/>
    </row>
    <row r="756" spans="1:14" s="37" customFormat="1" ht="15.75" customHeight="1" x14ac:dyDescent="0.3">
      <c r="A756" s="78">
        <v>7</v>
      </c>
      <c r="B756" s="79"/>
      <c r="C756" s="68" t="s">
        <v>192</v>
      </c>
      <c r="D756" s="52">
        <f>(4.93*7.45+3.12*1.65+1.3*1.5+0.45*0.9)*(10.764)</f>
        <v>476.10786599999994</v>
      </c>
      <c r="E756" s="68">
        <v>0</v>
      </c>
      <c r="F756" s="68">
        <f t="shared" si="127"/>
        <v>761.77258559999996</v>
      </c>
      <c r="G756" s="86"/>
      <c r="H756" s="87"/>
      <c r="I756" s="36"/>
      <c r="L756" s="77"/>
      <c r="M756" s="77"/>
      <c r="N756" s="36"/>
    </row>
    <row r="757" spans="1:14" s="37" customFormat="1" ht="15.75" customHeight="1" x14ac:dyDescent="0.3">
      <c r="A757" s="78">
        <v>8</v>
      </c>
      <c r="B757" s="79"/>
      <c r="C757" s="68" t="s">
        <v>192</v>
      </c>
      <c r="D757" s="52">
        <f>(5.1*9.85+3.3*1.65+1.2*1.5+0.45*0.9)*(10.764)</f>
        <v>623.07413999999983</v>
      </c>
      <c r="E757" s="68">
        <v>0</v>
      </c>
      <c r="F757" s="68">
        <f t="shared" si="127"/>
        <v>996.9186239999998</v>
      </c>
      <c r="G757" s="86"/>
      <c r="H757" s="87"/>
      <c r="I757" s="36"/>
      <c r="L757" s="77"/>
      <c r="M757" s="77"/>
      <c r="N757" s="36"/>
    </row>
    <row r="758" spans="1:14" s="37" customFormat="1" ht="15.75" customHeight="1" x14ac:dyDescent="0.3">
      <c r="A758" s="78">
        <v>9</v>
      </c>
      <c r="B758" s="79"/>
      <c r="C758" s="68" t="s">
        <v>192</v>
      </c>
      <c r="D758" s="52">
        <f t="shared" ref="D758:D759" si="128">(5.1*9.85+3.3*1.65+1.2*1.5+0.45*0.9)*(10.764)</f>
        <v>623.07413999999983</v>
      </c>
      <c r="E758" s="68">
        <v>0</v>
      </c>
      <c r="F758" s="68">
        <f t="shared" si="127"/>
        <v>996.9186239999998</v>
      </c>
      <c r="G758" s="86"/>
      <c r="H758" s="87"/>
      <c r="I758" s="36"/>
      <c r="L758" s="77"/>
      <c r="M758" s="77"/>
      <c r="N758" s="36"/>
    </row>
    <row r="759" spans="1:14" s="37" customFormat="1" ht="15.75" customHeight="1" x14ac:dyDescent="0.3">
      <c r="A759" s="78">
        <v>10</v>
      </c>
      <c r="B759" s="79"/>
      <c r="C759" s="68" t="s">
        <v>192</v>
      </c>
      <c r="D759" s="52">
        <f t="shared" si="128"/>
        <v>623.07413999999983</v>
      </c>
      <c r="E759" s="68">
        <v>0</v>
      </c>
      <c r="F759" s="68">
        <f t="shared" si="127"/>
        <v>996.9186239999998</v>
      </c>
      <c r="G759" s="86"/>
      <c r="H759" s="87"/>
      <c r="I759" s="36"/>
      <c r="L759" s="77"/>
      <c r="M759" s="77"/>
      <c r="N759" s="36"/>
    </row>
    <row r="760" spans="1:14" s="37" customFormat="1" ht="15.75" customHeight="1" x14ac:dyDescent="0.3">
      <c r="A760" s="78">
        <v>11</v>
      </c>
      <c r="B760" s="79"/>
      <c r="C760" s="68" t="s">
        <v>192</v>
      </c>
      <c r="D760" s="52">
        <f>(26.1*9.85+1.65*(3.3+3.3+3.3+3.3)+(1.2*1.5+0.45*0.9)*4)*(10.764)</f>
        <v>3096.6413399999992</v>
      </c>
      <c r="E760" s="68">
        <v>0</v>
      </c>
      <c r="F760" s="68">
        <f t="shared" si="127"/>
        <v>4954.6261439999989</v>
      </c>
      <c r="G760" s="86"/>
      <c r="H760" s="87"/>
      <c r="J760" s="36"/>
      <c r="L760" s="77"/>
      <c r="M760" s="77"/>
      <c r="N760" s="36"/>
    </row>
    <row r="761" spans="1:14" s="37" customFormat="1" ht="15.75" customHeight="1" x14ac:dyDescent="0.3">
      <c r="A761" s="78">
        <v>17</v>
      </c>
      <c r="B761" s="79"/>
      <c r="C761" s="68" t="s">
        <v>192</v>
      </c>
      <c r="D761" s="52">
        <f>(10.17*9.85+(3.3*1.65)*3+(1.2*1.5+0.45*0.9)*3+4.93*5.32+4.05*0.5)*(10.764)</f>
        <v>1629.4231043999998</v>
      </c>
      <c r="E761" s="68">
        <v>0</v>
      </c>
      <c r="F761" s="68">
        <f t="shared" si="127"/>
        <v>2607.07696704</v>
      </c>
      <c r="G761" s="86"/>
      <c r="H761" s="87"/>
      <c r="I761" s="36"/>
      <c r="L761" s="77"/>
      <c r="M761" s="77"/>
      <c r="N761" s="36"/>
    </row>
    <row r="762" spans="1:14" s="37" customFormat="1" ht="15.75" customHeight="1" x14ac:dyDescent="0.3">
      <c r="A762" s="78">
        <v>20</v>
      </c>
      <c r="B762" s="79"/>
      <c r="C762" s="68" t="s">
        <v>192</v>
      </c>
      <c r="D762" s="52">
        <f>(5.1*9.85+3.3*1.65+1.2*1.5*0.45*0.9+5.08*4.38)*(10.764)</f>
        <v>846.68978159999983</v>
      </c>
      <c r="E762" s="68">
        <v>0</v>
      </c>
      <c r="F762" s="68">
        <f t="shared" si="127"/>
        <v>1354.7036505599999</v>
      </c>
      <c r="G762" s="86"/>
      <c r="H762" s="87"/>
      <c r="I762" s="36"/>
      <c r="L762" s="77"/>
      <c r="M762" s="77"/>
      <c r="N762" s="36"/>
    </row>
    <row r="763" spans="1:14" s="37" customFormat="1" ht="15.75" customHeight="1" x14ac:dyDescent="0.3">
      <c r="A763" s="88" t="s">
        <v>202</v>
      </c>
      <c r="B763" s="89"/>
      <c r="C763" s="89"/>
      <c r="D763" s="89"/>
      <c r="E763" s="89"/>
      <c r="F763" s="89"/>
      <c r="G763" s="89"/>
      <c r="H763" s="90"/>
      <c r="I763" s="36"/>
      <c r="L763" s="77"/>
      <c r="M763" s="77"/>
      <c r="N763" s="36"/>
    </row>
    <row r="764" spans="1:14" s="37" customFormat="1" ht="15.75" customHeight="1" x14ac:dyDescent="0.3">
      <c r="A764" s="78">
        <v>1</v>
      </c>
      <c r="B764" s="79"/>
      <c r="C764" s="68" t="s">
        <v>192</v>
      </c>
      <c r="D764" s="52">
        <f>(5*6.4+3.1*1.65+5.25*1.05+1.3*1.5+0.45*0.9)*(10.764)</f>
        <v>484.19163000000009</v>
      </c>
      <c r="E764" s="68">
        <v>0</v>
      </c>
      <c r="F764" s="68">
        <f t="shared" ref="F764:F780" si="129">(D764+E764)*(($F$130)+1)</f>
        <v>774.70660800000019</v>
      </c>
      <c r="G764" s="86"/>
      <c r="H764" s="87"/>
      <c r="I764" s="36"/>
      <c r="L764" s="77"/>
      <c r="M764" s="77"/>
      <c r="N764" s="36"/>
    </row>
    <row r="765" spans="1:14" s="37" customFormat="1" ht="15.75" customHeight="1" x14ac:dyDescent="0.3">
      <c r="A765" s="78">
        <v>2</v>
      </c>
      <c r="B765" s="79"/>
      <c r="C765" s="68" t="s">
        <v>192</v>
      </c>
      <c r="D765" s="52">
        <f>(5.1*7.45+3.13*1.65+1.37*1.5+0.45*0.9)*(10.764)</f>
        <v>491.04829799999993</v>
      </c>
      <c r="E765" s="68">
        <v>0</v>
      </c>
      <c r="F765" s="68">
        <f t="shared" si="129"/>
        <v>785.67727679999996</v>
      </c>
      <c r="G765" s="86"/>
      <c r="H765" s="87"/>
      <c r="I765" s="36"/>
      <c r="L765" s="77"/>
      <c r="M765" s="77"/>
      <c r="N765" s="36"/>
    </row>
    <row r="766" spans="1:14" s="37" customFormat="1" x14ac:dyDescent="0.3">
      <c r="A766" s="78">
        <v>3</v>
      </c>
      <c r="B766" s="79"/>
      <c r="C766" s="68" t="s">
        <v>192</v>
      </c>
      <c r="D766" s="52">
        <f>(5.1*7.45+3.3*1.65+1.2*1.5+0.45*0.9)*(10.764)</f>
        <v>491.32277999999991</v>
      </c>
      <c r="E766" s="68">
        <v>0</v>
      </c>
      <c r="F766" s="68">
        <f t="shared" si="129"/>
        <v>786.11644799999988</v>
      </c>
      <c r="G766" s="86"/>
      <c r="H766" s="87"/>
      <c r="I766" s="36"/>
      <c r="K766" s="36"/>
    </row>
    <row r="767" spans="1:14" s="37" customFormat="1" ht="15.75" customHeight="1" x14ac:dyDescent="0.3">
      <c r="A767" s="78">
        <v>4</v>
      </c>
      <c r="B767" s="79"/>
      <c r="C767" s="68" t="s">
        <v>192</v>
      </c>
      <c r="D767" s="52">
        <f>(5.1*7.45+3.13*1.65+1.37*1.5+0.45*0.9)*(10.764)</f>
        <v>491.04829799999993</v>
      </c>
      <c r="E767" s="68">
        <v>0</v>
      </c>
      <c r="F767" s="68">
        <f t="shared" si="129"/>
        <v>785.67727679999996</v>
      </c>
      <c r="G767" s="86"/>
      <c r="H767" s="87"/>
      <c r="I767" s="36"/>
      <c r="L767" s="77"/>
      <c r="M767" s="77"/>
      <c r="N767" s="36"/>
    </row>
    <row r="768" spans="1:14" s="37" customFormat="1" ht="15.75" customHeight="1" x14ac:dyDescent="0.3">
      <c r="A768" s="78">
        <v>5</v>
      </c>
      <c r="B768" s="79"/>
      <c r="C768" s="68" t="s">
        <v>192</v>
      </c>
      <c r="D768" s="52">
        <f>(5.1*7.45+3.3*1.65+1.2*1.5+0.45*0.9)*(10.764)</f>
        <v>491.32277999999991</v>
      </c>
      <c r="E768" s="68">
        <v>0</v>
      </c>
      <c r="F768" s="68">
        <f t="shared" si="129"/>
        <v>786.11644799999988</v>
      </c>
      <c r="G768" s="86"/>
      <c r="H768" s="87"/>
      <c r="I768" s="36"/>
      <c r="L768" s="77"/>
      <c r="M768" s="77"/>
      <c r="N768" s="36"/>
    </row>
    <row r="769" spans="1:14" s="37" customFormat="1" ht="15.75" customHeight="1" x14ac:dyDescent="0.3">
      <c r="A769" s="78">
        <v>6</v>
      </c>
      <c r="B769" s="79"/>
      <c r="C769" s="68" t="s">
        <v>192</v>
      </c>
      <c r="D769" s="52">
        <f>(5.1*7.45+3.12*1.65+1.3*1.5+0.45*0.9)*(10.764)</f>
        <v>489.74047200000001</v>
      </c>
      <c r="E769" s="68">
        <v>0</v>
      </c>
      <c r="F769" s="68">
        <f t="shared" si="129"/>
        <v>783.58475520000002</v>
      </c>
      <c r="G769" s="86"/>
      <c r="H769" s="87"/>
      <c r="I769" s="36"/>
      <c r="L769" s="77"/>
      <c r="M769" s="77"/>
      <c r="N769" s="36"/>
    </row>
    <row r="770" spans="1:14" s="37" customFormat="1" ht="15.75" customHeight="1" x14ac:dyDescent="0.3">
      <c r="A770" s="78">
        <v>7</v>
      </c>
      <c r="B770" s="79"/>
      <c r="C770" s="68" t="s">
        <v>192</v>
      </c>
      <c r="D770" s="52">
        <f>(4.93*7.45+3.12*1.65+1.3*1.5+0.45*0.9)*(10.764)</f>
        <v>476.10786599999994</v>
      </c>
      <c r="E770" s="68">
        <v>0</v>
      </c>
      <c r="F770" s="68">
        <f t="shared" si="129"/>
        <v>761.77258559999996</v>
      </c>
      <c r="G770" s="86"/>
      <c r="H770" s="87"/>
      <c r="I770" s="36"/>
      <c r="L770" s="77"/>
      <c r="M770" s="77"/>
      <c r="N770" s="36"/>
    </row>
    <row r="771" spans="1:14" s="37" customFormat="1" ht="15.75" customHeight="1" x14ac:dyDescent="0.3">
      <c r="A771" s="78">
        <v>8</v>
      </c>
      <c r="B771" s="79"/>
      <c r="C771" s="68" t="s">
        <v>192</v>
      </c>
      <c r="D771" s="52">
        <f>(15.6*9.85+(3.3*1.65)*3+(1.2*1.5+0.45*0.9)*3)*(10.764)</f>
        <v>1901.0300400000001</v>
      </c>
      <c r="E771" s="68">
        <v>0</v>
      </c>
      <c r="F771" s="68">
        <f t="shared" si="129"/>
        <v>3041.6480640000004</v>
      </c>
      <c r="G771" s="86"/>
      <c r="H771" s="87"/>
      <c r="I771" s="36"/>
      <c r="L771" s="77"/>
      <c r="M771" s="77"/>
      <c r="N771" s="36"/>
    </row>
    <row r="772" spans="1:14" s="37" customFormat="1" ht="15.75" customHeight="1" x14ac:dyDescent="0.3">
      <c r="A772" s="78">
        <v>11</v>
      </c>
      <c r="B772" s="79"/>
      <c r="C772" s="68" t="s">
        <v>192</v>
      </c>
      <c r="D772" s="52">
        <f>(5.1*9.85+3.3*1.65+1.2*1.5+0.45*0.9)*(10.764)</f>
        <v>623.07413999999983</v>
      </c>
      <c r="E772" s="68">
        <v>0</v>
      </c>
      <c r="F772" s="68">
        <f t="shared" si="129"/>
        <v>996.9186239999998</v>
      </c>
      <c r="G772" s="86"/>
      <c r="H772" s="87"/>
      <c r="I772" s="36"/>
      <c r="L772" s="77"/>
      <c r="M772" s="77"/>
      <c r="N772" s="36"/>
    </row>
    <row r="773" spans="1:14" s="37" customFormat="1" ht="15.75" customHeight="1" x14ac:dyDescent="0.3">
      <c r="A773" s="78">
        <v>12</v>
      </c>
      <c r="B773" s="79"/>
      <c r="C773" s="68" t="s">
        <v>192</v>
      </c>
      <c r="D773" s="52">
        <f t="shared" ref="D773:D780" si="130">(5.1*9.85+3.3*1.65+1.2*1.5+0.45*0.9)*(10.764)</f>
        <v>623.07413999999983</v>
      </c>
      <c r="E773" s="68">
        <v>0</v>
      </c>
      <c r="F773" s="68">
        <f t="shared" si="129"/>
        <v>996.9186239999998</v>
      </c>
      <c r="G773" s="86"/>
      <c r="H773" s="87"/>
      <c r="I773" s="36"/>
      <c r="L773" s="77"/>
      <c r="M773" s="77"/>
      <c r="N773" s="36"/>
    </row>
    <row r="774" spans="1:14" s="37" customFormat="1" ht="15.75" customHeight="1" x14ac:dyDescent="0.3">
      <c r="A774" s="78">
        <v>14</v>
      </c>
      <c r="B774" s="79"/>
      <c r="C774" s="68" t="s">
        <v>192</v>
      </c>
      <c r="D774" s="52">
        <f t="shared" si="130"/>
        <v>623.07413999999983</v>
      </c>
      <c r="E774" s="68">
        <v>0</v>
      </c>
      <c r="F774" s="68">
        <f t="shared" si="129"/>
        <v>996.9186239999998</v>
      </c>
      <c r="G774" s="86"/>
      <c r="H774" s="87"/>
      <c r="I774" s="36"/>
      <c r="L774" s="77"/>
      <c r="M774" s="77"/>
      <c r="N774" s="36"/>
    </row>
    <row r="775" spans="1:14" s="37" customFormat="1" ht="15.75" customHeight="1" x14ac:dyDescent="0.3">
      <c r="A775" s="78">
        <v>15</v>
      </c>
      <c r="B775" s="79"/>
      <c r="C775" s="68" t="s">
        <v>192</v>
      </c>
      <c r="D775" s="52">
        <f t="shared" si="130"/>
        <v>623.07413999999983</v>
      </c>
      <c r="E775" s="68">
        <v>0</v>
      </c>
      <c r="F775" s="68">
        <f t="shared" si="129"/>
        <v>996.9186239999998</v>
      </c>
      <c r="G775" s="86"/>
      <c r="H775" s="87"/>
      <c r="I775" s="36"/>
      <c r="L775" s="77"/>
      <c r="M775" s="77"/>
      <c r="N775" s="36"/>
    </row>
    <row r="776" spans="1:14" s="37" customFormat="1" ht="15.75" customHeight="1" x14ac:dyDescent="0.3">
      <c r="A776" s="78">
        <v>16</v>
      </c>
      <c r="B776" s="79"/>
      <c r="C776" s="68" t="s">
        <v>192</v>
      </c>
      <c r="D776" s="52">
        <f t="shared" si="130"/>
        <v>623.07413999999983</v>
      </c>
      <c r="E776" s="68">
        <v>0</v>
      </c>
      <c r="F776" s="68">
        <f t="shared" si="129"/>
        <v>996.9186239999998</v>
      </c>
      <c r="G776" s="86"/>
      <c r="H776" s="87"/>
      <c r="I776" s="36"/>
      <c r="L776" s="77"/>
      <c r="M776" s="77"/>
      <c r="N776" s="36"/>
    </row>
    <row r="777" spans="1:14" s="37" customFormat="1" ht="15.75" customHeight="1" x14ac:dyDescent="0.3">
      <c r="A777" s="78">
        <v>17</v>
      </c>
      <c r="B777" s="79"/>
      <c r="C777" s="68" t="s">
        <v>192</v>
      </c>
      <c r="D777" s="52">
        <f t="shared" si="130"/>
        <v>623.07413999999983</v>
      </c>
      <c r="E777" s="68">
        <v>0</v>
      </c>
      <c r="F777" s="68">
        <f t="shared" si="129"/>
        <v>996.9186239999998</v>
      </c>
      <c r="G777" s="86"/>
      <c r="H777" s="87"/>
      <c r="I777" s="36"/>
      <c r="L777" s="77"/>
      <c r="M777" s="77"/>
      <c r="N777" s="36"/>
    </row>
    <row r="778" spans="1:14" s="37" customFormat="1" ht="15.75" customHeight="1" x14ac:dyDescent="0.3">
      <c r="A778" s="78">
        <v>18</v>
      </c>
      <c r="B778" s="79"/>
      <c r="C778" s="68" t="s">
        <v>192</v>
      </c>
      <c r="D778" s="52">
        <f t="shared" si="130"/>
        <v>623.07413999999983</v>
      </c>
      <c r="E778" s="68">
        <v>0</v>
      </c>
      <c r="F778" s="68">
        <f t="shared" si="129"/>
        <v>996.9186239999998</v>
      </c>
      <c r="G778" s="86"/>
      <c r="H778" s="87"/>
      <c r="I778" s="36"/>
      <c r="L778" s="77"/>
      <c r="M778" s="77"/>
      <c r="N778" s="36"/>
    </row>
    <row r="779" spans="1:14" s="37" customFormat="1" ht="15.75" customHeight="1" x14ac:dyDescent="0.3">
      <c r="A779" s="78">
        <v>19</v>
      </c>
      <c r="B779" s="79"/>
      <c r="C779" s="68" t="s">
        <v>192</v>
      </c>
      <c r="D779" s="52">
        <f t="shared" si="130"/>
        <v>623.07413999999983</v>
      </c>
      <c r="E779" s="68">
        <v>0</v>
      </c>
      <c r="F779" s="68">
        <f t="shared" si="129"/>
        <v>996.9186239999998</v>
      </c>
      <c r="G779" s="86"/>
      <c r="H779" s="87"/>
      <c r="I779" s="36"/>
      <c r="L779" s="77"/>
      <c r="M779" s="77"/>
      <c r="N779" s="36"/>
    </row>
    <row r="780" spans="1:14" s="37" customFormat="1" ht="15.75" customHeight="1" x14ac:dyDescent="0.3">
      <c r="A780" s="78">
        <v>20</v>
      </c>
      <c r="B780" s="79"/>
      <c r="C780" s="68" t="s">
        <v>192</v>
      </c>
      <c r="D780" s="52">
        <f t="shared" si="130"/>
        <v>623.07413999999983</v>
      </c>
      <c r="E780" s="68">
        <v>0</v>
      </c>
      <c r="F780" s="68">
        <f t="shared" si="129"/>
        <v>996.9186239999998</v>
      </c>
      <c r="G780" s="86"/>
      <c r="H780" s="87"/>
      <c r="J780" s="36"/>
      <c r="L780" s="77"/>
      <c r="M780" s="77"/>
      <c r="N780" s="36"/>
    </row>
    <row r="781" spans="1:14" s="37" customFormat="1" ht="15.75" customHeight="1" x14ac:dyDescent="0.3">
      <c r="A781" s="88" t="s">
        <v>203</v>
      </c>
      <c r="B781" s="89"/>
      <c r="C781" s="89"/>
      <c r="D781" s="89"/>
      <c r="E781" s="89"/>
      <c r="F781" s="89"/>
      <c r="G781" s="89"/>
      <c r="H781" s="90"/>
      <c r="I781" s="36"/>
      <c r="L781" s="77"/>
      <c r="M781" s="77"/>
      <c r="N781" s="36"/>
    </row>
    <row r="782" spans="1:14" s="37" customFormat="1" ht="15.75" customHeight="1" x14ac:dyDescent="0.3">
      <c r="A782" s="78">
        <v>1</v>
      </c>
      <c r="B782" s="79"/>
      <c r="C782" s="68" t="s">
        <v>192</v>
      </c>
      <c r="D782" s="52">
        <f>(5*6.4+3.1*1.65+5.25*1.05+1.3*1.5+0.45*0.9)*(10.764)</f>
        <v>484.19163000000009</v>
      </c>
      <c r="E782" s="68">
        <v>0</v>
      </c>
      <c r="F782" s="68">
        <f t="shared" ref="F782:F798" si="131">(D782+E782)*(($F$130)+1)</f>
        <v>774.70660800000019</v>
      </c>
      <c r="G782" s="86" t="str">
        <f>A781</f>
        <v>19th Floor (20th Floor as per Builder) (Part Refuge Area)</v>
      </c>
      <c r="H782" s="87"/>
      <c r="I782" s="36"/>
      <c r="L782" s="77"/>
      <c r="M782" s="77"/>
      <c r="N782" s="36"/>
    </row>
    <row r="783" spans="1:14" s="37" customFormat="1" ht="15.75" customHeight="1" x14ac:dyDescent="0.3">
      <c r="A783" s="78">
        <v>2</v>
      </c>
      <c r="B783" s="79"/>
      <c r="C783" s="68" t="s">
        <v>192</v>
      </c>
      <c r="D783" s="52">
        <f>(5.1*7.45+3.13*1.65+1.37*1.5+0.45*0.9)*(10.764)</f>
        <v>491.04829799999993</v>
      </c>
      <c r="E783" s="68">
        <v>0</v>
      </c>
      <c r="F783" s="68">
        <f t="shared" si="131"/>
        <v>785.67727679999996</v>
      </c>
      <c r="G783" s="86"/>
      <c r="H783" s="87"/>
      <c r="I783" s="36"/>
      <c r="L783" s="77"/>
      <c r="M783" s="77"/>
      <c r="N783" s="36"/>
    </row>
    <row r="784" spans="1:14" s="37" customFormat="1" ht="15.75" customHeight="1" x14ac:dyDescent="0.3">
      <c r="A784" s="78">
        <v>3</v>
      </c>
      <c r="B784" s="79"/>
      <c r="C784" s="68" t="s">
        <v>192</v>
      </c>
      <c r="D784" s="52">
        <f>(5.1*7.45+3.3*1.65+1.2*1.5+0.45*0.9)*(10.764)</f>
        <v>491.32277999999991</v>
      </c>
      <c r="E784" s="68">
        <v>0</v>
      </c>
      <c r="F784" s="68">
        <f t="shared" si="131"/>
        <v>786.11644799999988</v>
      </c>
      <c r="G784" s="86"/>
      <c r="H784" s="87"/>
      <c r="I784" s="36"/>
      <c r="L784" s="77"/>
      <c r="M784" s="77"/>
      <c r="N784" s="36"/>
    </row>
    <row r="785" spans="1:14" s="37" customFormat="1" ht="15.75" customHeight="1" x14ac:dyDescent="0.3">
      <c r="A785" s="78">
        <v>4</v>
      </c>
      <c r="B785" s="79"/>
      <c r="C785" s="68" t="s">
        <v>192</v>
      </c>
      <c r="D785" s="52">
        <f>(5.1*7.45+3.13*1.65+1.37*1.5+0.45*0.9)*(10.764)</f>
        <v>491.04829799999993</v>
      </c>
      <c r="E785" s="68">
        <v>0</v>
      </c>
      <c r="F785" s="68">
        <f t="shared" si="131"/>
        <v>785.67727679999996</v>
      </c>
      <c r="G785" s="86"/>
      <c r="H785" s="87"/>
      <c r="I785" s="36"/>
      <c r="L785" s="77"/>
      <c r="M785" s="77"/>
      <c r="N785" s="36"/>
    </row>
    <row r="786" spans="1:14" s="37" customFormat="1" x14ac:dyDescent="0.3">
      <c r="A786" s="78">
        <v>5</v>
      </c>
      <c r="B786" s="79"/>
      <c r="C786" s="68" t="s">
        <v>192</v>
      </c>
      <c r="D786" s="52">
        <f>(5.1*7.45+3.3*1.65+1.2*1.5+0.45*0.9)*(10.764)</f>
        <v>491.32277999999991</v>
      </c>
      <c r="E786" s="68">
        <v>0</v>
      </c>
      <c r="F786" s="68">
        <f t="shared" si="131"/>
        <v>786.11644799999988</v>
      </c>
      <c r="G786" s="86"/>
      <c r="H786" s="87"/>
      <c r="I786" s="36"/>
      <c r="K786" s="36"/>
    </row>
    <row r="787" spans="1:14" s="37" customFormat="1" ht="15.75" customHeight="1" x14ac:dyDescent="0.3">
      <c r="A787" s="78">
        <v>6</v>
      </c>
      <c r="B787" s="79"/>
      <c r="C787" s="68" t="s">
        <v>192</v>
      </c>
      <c r="D787" s="52">
        <f>(5.1*7.45+3.12*1.65+1.3*1.5+0.45*0.9)*(10.764)</f>
        <v>489.74047200000001</v>
      </c>
      <c r="E787" s="68">
        <v>0</v>
      </c>
      <c r="F787" s="68">
        <f t="shared" si="131"/>
        <v>783.58475520000002</v>
      </c>
      <c r="G787" s="86"/>
      <c r="H787" s="87"/>
      <c r="I787" s="36"/>
      <c r="L787" s="77"/>
      <c r="M787" s="77"/>
      <c r="N787" s="36"/>
    </row>
    <row r="788" spans="1:14" s="37" customFormat="1" ht="15.75" customHeight="1" x14ac:dyDescent="0.3">
      <c r="A788" s="78">
        <v>7</v>
      </c>
      <c r="B788" s="79"/>
      <c r="C788" s="68" t="s">
        <v>192</v>
      </c>
      <c r="D788" s="52">
        <f>(4.93*7.45+3.12*1.65+1.3*1.5+0.45*0.9)*(10.764)</f>
        <v>476.10786599999994</v>
      </c>
      <c r="E788" s="68">
        <v>0</v>
      </c>
      <c r="F788" s="68">
        <f t="shared" si="131"/>
        <v>761.77258559999996</v>
      </c>
      <c r="G788" s="86"/>
      <c r="H788" s="87"/>
      <c r="I788" s="36"/>
      <c r="L788" s="77"/>
      <c r="M788" s="77"/>
      <c r="N788" s="36"/>
    </row>
    <row r="789" spans="1:14" s="37" customFormat="1" ht="15.75" customHeight="1" x14ac:dyDescent="0.3">
      <c r="A789" s="78">
        <v>8</v>
      </c>
      <c r="B789" s="79"/>
      <c r="C789" s="68" t="s">
        <v>192</v>
      </c>
      <c r="D789" s="52">
        <f>(14.71*4.05+1.65*(2.41+3.3+3.3)+9.82*5.8+4.04*5.8+(1.2*1.5+0.45*0.9)*3)*(10.764)</f>
        <v>1737.7939799999999</v>
      </c>
      <c r="E789" s="68">
        <v>0</v>
      </c>
      <c r="F789" s="68">
        <f t="shared" si="131"/>
        <v>2780.4703680000002</v>
      </c>
      <c r="G789" s="86"/>
      <c r="H789" s="87"/>
      <c r="I789" s="36"/>
      <c r="L789" s="77"/>
      <c r="M789" s="77"/>
      <c r="N789" s="36"/>
    </row>
    <row r="790" spans="1:14" s="37" customFormat="1" ht="15.75" customHeight="1" x14ac:dyDescent="0.3">
      <c r="A790" s="78">
        <v>11</v>
      </c>
      <c r="B790" s="79"/>
      <c r="C790" s="68" t="s">
        <v>192</v>
      </c>
      <c r="D790" s="52">
        <f>(5.99*9.85+3.3*1.85+1.2*1.5+0.45*0.9+0.6*1.65)*(10.764)</f>
        <v>735.19734599999981</v>
      </c>
      <c r="E790" s="68">
        <v>0</v>
      </c>
      <c r="F790" s="68">
        <f t="shared" si="131"/>
        <v>1176.3157535999997</v>
      </c>
      <c r="G790" s="86"/>
      <c r="H790" s="87"/>
      <c r="I790" s="36"/>
      <c r="L790" s="77"/>
      <c r="M790" s="77"/>
      <c r="N790" s="36"/>
    </row>
    <row r="791" spans="1:14" s="37" customFormat="1" ht="15.75" customHeight="1" x14ac:dyDescent="0.3">
      <c r="A791" s="78">
        <v>12</v>
      </c>
      <c r="B791" s="79"/>
      <c r="C791" s="68" t="s">
        <v>192</v>
      </c>
      <c r="D791" s="52">
        <f>(5.1*9.85+3.3*1.65+1.2*1.5+0.45*0.9)*(10.764)</f>
        <v>623.07413999999983</v>
      </c>
      <c r="E791" s="68">
        <v>0</v>
      </c>
      <c r="F791" s="68">
        <f t="shared" si="131"/>
        <v>996.9186239999998</v>
      </c>
      <c r="G791" s="86"/>
      <c r="H791" s="87"/>
      <c r="I791" s="36"/>
      <c r="L791" s="77"/>
      <c r="M791" s="77"/>
      <c r="N791" s="36"/>
    </row>
    <row r="792" spans="1:14" s="37" customFormat="1" ht="15.75" customHeight="1" x14ac:dyDescent="0.3">
      <c r="A792" s="78">
        <v>14</v>
      </c>
      <c r="B792" s="79"/>
      <c r="C792" s="68" t="s">
        <v>192</v>
      </c>
      <c r="D792" s="52">
        <f t="shared" ref="D792:D798" si="132">(5.1*9.85+3.3*1.65+1.2*1.5+0.45*0.9)*(10.764)</f>
        <v>623.07413999999983</v>
      </c>
      <c r="E792" s="68">
        <v>0</v>
      </c>
      <c r="F792" s="68">
        <f t="shared" si="131"/>
        <v>996.9186239999998</v>
      </c>
      <c r="G792" s="86"/>
      <c r="H792" s="87"/>
      <c r="I792" s="36"/>
      <c r="L792" s="77"/>
      <c r="M792" s="77"/>
      <c r="N792" s="36"/>
    </row>
    <row r="793" spans="1:14" s="37" customFormat="1" ht="15.75" customHeight="1" x14ac:dyDescent="0.3">
      <c r="A793" s="78">
        <v>15</v>
      </c>
      <c r="B793" s="79"/>
      <c r="C793" s="68" t="s">
        <v>192</v>
      </c>
      <c r="D793" s="52">
        <f t="shared" si="132"/>
        <v>623.07413999999983</v>
      </c>
      <c r="E793" s="68">
        <v>0</v>
      </c>
      <c r="F793" s="68">
        <f t="shared" si="131"/>
        <v>996.9186239999998</v>
      </c>
      <c r="G793" s="86"/>
      <c r="H793" s="87"/>
      <c r="I793" s="36"/>
      <c r="L793" s="77"/>
      <c r="M793" s="77"/>
      <c r="N793" s="36"/>
    </row>
    <row r="794" spans="1:14" s="37" customFormat="1" ht="15.75" customHeight="1" x14ac:dyDescent="0.3">
      <c r="A794" s="78">
        <v>16</v>
      </c>
      <c r="B794" s="79"/>
      <c r="C794" s="68" t="s">
        <v>192</v>
      </c>
      <c r="D794" s="52">
        <f t="shared" si="132"/>
        <v>623.07413999999983</v>
      </c>
      <c r="E794" s="68">
        <v>0</v>
      </c>
      <c r="F794" s="68">
        <f t="shared" si="131"/>
        <v>996.9186239999998</v>
      </c>
      <c r="G794" s="86"/>
      <c r="H794" s="87"/>
      <c r="I794" s="36"/>
      <c r="L794" s="77"/>
      <c r="M794" s="77"/>
      <c r="N794" s="36"/>
    </row>
    <row r="795" spans="1:14" s="37" customFormat="1" ht="15.75" customHeight="1" x14ac:dyDescent="0.3">
      <c r="A795" s="78">
        <v>17</v>
      </c>
      <c r="B795" s="79"/>
      <c r="C795" s="68" t="s">
        <v>192</v>
      </c>
      <c r="D795" s="52">
        <f t="shared" si="132"/>
        <v>623.07413999999983</v>
      </c>
      <c r="E795" s="68">
        <v>0</v>
      </c>
      <c r="F795" s="68">
        <f t="shared" si="131"/>
        <v>996.9186239999998</v>
      </c>
      <c r="G795" s="86"/>
      <c r="H795" s="87"/>
      <c r="I795" s="36"/>
      <c r="L795" s="77"/>
      <c r="M795" s="77"/>
      <c r="N795" s="36"/>
    </row>
    <row r="796" spans="1:14" s="37" customFormat="1" ht="15.75" customHeight="1" x14ac:dyDescent="0.3">
      <c r="A796" s="78">
        <v>18</v>
      </c>
      <c r="B796" s="79"/>
      <c r="C796" s="68" t="s">
        <v>192</v>
      </c>
      <c r="D796" s="52">
        <f t="shared" si="132"/>
        <v>623.07413999999983</v>
      </c>
      <c r="E796" s="68">
        <v>0</v>
      </c>
      <c r="F796" s="68">
        <f t="shared" si="131"/>
        <v>996.9186239999998</v>
      </c>
      <c r="G796" s="86"/>
      <c r="H796" s="87"/>
      <c r="I796" s="36"/>
      <c r="L796" s="77"/>
      <c r="M796" s="77"/>
      <c r="N796" s="36"/>
    </row>
    <row r="797" spans="1:14" s="37" customFormat="1" ht="15.75" customHeight="1" x14ac:dyDescent="0.3">
      <c r="A797" s="78">
        <v>19</v>
      </c>
      <c r="B797" s="79"/>
      <c r="C797" s="68" t="s">
        <v>192</v>
      </c>
      <c r="D797" s="52">
        <f t="shared" si="132"/>
        <v>623.07413999999983</v>
      </c>
      <c r="E797" s="68">
        <v>0</v>
      </c>
      <c r="F797" s="68">
        <f t="shared" si="131"/>
        <v>996.9186239999998</v>
      </c>
      <c r="G797" s="86"/>
      <c r="H797" s="87"/>
      <c r="I797" s="36"/>
      <c r="L797" s="77"/>
      <c r="M797" s="77"/>
      <c r="N797" s="36"/>
    </row>
    <row r="798" spans="1:14" s="37" customFormat="1" ht="15.75" customHeight="1" x14ac:dyDescent="0.3">
      <c r="A798" s="78">
        <v>20</v>
      </c>
      <c r="B798" s="79"/>
      <c r="C798" s="68" t="s">
        <v>192</v>
      </c>
      <c r="D798" s="52">
        <f t="shared" si="132"/>
        <v>623.07413999999983</v>
      </c>
      <c r="E798" s="68">
        <v>0</v>
      </c>
      <c r="F798" s="68">
        <f t="shared" si="131"/>
        <v>996.9186239999998</v>
      </c>
      <c r="G798" s="86"/>
      <c r="H798" s="87"/>
      <c r="J798" s="36"/>
      <c r="L798" s="77"/>
      <c r="M798" s="77"/>
      <c r="N798" s="36"/>
    </row>
    <row r="799" spans="1:14" s="37" customFormat="1" ht="15.75" customHeight="1" x14ac:dyDescent="0.3">
      <c r="A799" s="88" t="s">
        <v>204</v>
      </c>
      <c r="B799" s="89"/>
      <c r="C799" s="89"/>
      <c r="D799" s="89"/>
      <c r="E799" s="89"/>
      <c r="F799" s="89"/>
      <c r="G799" s="89"/>
      <c r="H799" s="90"/>
      <c r="I799" s="36"/>
      <c r="L799" s="77"/>
      <c r="M799" s="77"/>
      <c r="N799" s="36"/>
    </row>
    <row r="800" spans="1:14" s="37" customFormat="1" ht="15.75" customHeight="1" x14ac:dyDescent="0.3">
      <c r="A800" s="78">
        <v>1</v>
      </c>
      <c r="B800" s="79"/>
      <c r="C800" s="68" t="s">
        <v>192</v>
      </c>
      <c r="D800" s="52">
        <f>(5*6.4+3.1*1.65+5.25*1.05+1.3*1.5+0.45*0.9)*(10.764)</f>
        <v>484.19163000000009</v>
      </c>
      <c r="E800" s="68">
        <v>0</v>
      </c>
      <c r="F800" s="68">
        <f t="shared" ref="F800:F818" si="133">(D800+E800)*(($F$130)+1)</f>
        <v>774.70660800000019</v>
      </c>
      <c r="G800" s="86" t="str">
        <f>A799</f>
        <v>20th Floor (21th Floor as per Builder)</v>
      </c>
      <c r="H800" s="87"/>
      <c r="I800" s="36"/>
      <c r="L800" s="77"/>
      <c r="M800" s="77"/>
      <c r="N800" s="36"/>
    </row>
    <row r="801" spans="1:14" s="37" customFormat="1" ht="15.75" customHeight="1" x14ac:dyDescent="0.3">
      <c r="A801" s="78">
        <v>2</v>
      </c>
      <c r="B801" s="79"/>
      <c r="C801" s="68" t="s">
        <v>192</v>
      </c>
      <c r="D801" s="52">
        <f>(5.1*7.45+3.13*1.65+1.37*1.5+0.45*0.9)*(10.764)</f>
        <v>491.04829799999993</v>
      </c>
      <c r="E801" s="68">
        <v>0</v>
      </c>
      <c r="F801" s="68">
        <f t="shared" si="133"/>
        <v>785.67727679999996</v>
      </c>
      <c r="G801" s="86"/>
      <c r="H801" s="87"/>
      <c r="I801" s="36"/>
      <c r="L801" s="77"/>
      <c r="M801" s="77"/>
      <c r="N801" s="36"/>
    </row>
    <row r="802" spans="1:14" s="37" customFormat="1" ht="15.75" customHeight="1" x14ac:dyDescent="0.3">
      <c r="A802" s="78">
        <v>3</v>
      </c>
      <c r="B802" s="79"/>
      <c r="C802" s="68" t="s">
        <v>192</v>
      </c>
      <c r="D802" s="52">
        <f>(5.1*7.45+3.3*1.65+1.2*1.5+0.45*0.9)*(10.764)</f>
        <v>491.32277999999991</v>
      </c>
      <c r="E802" s="68">
        <v>0</v>
      </c>
      <c r="F802" s="68">
        <f t="shared" si="133"/>
        <v>786.11644799999988</v>
      </c>
      <c r="G802" s="86"/>
      <c r="H802" s="87"/>
      <c r="I802" s="36"/>
      <c r="L802" s="77"/>
      <c r="M802" s="77"/>
      <c r="N802" s="36"/>
    </row>
    <row r="803" spans="1:14" s="37" customFormat="1" ht="15.75" customHeight="1" x14ac:dyDescent="0.3">
      <c r="A803" s="78">
        <v>4</v>
      </c>
      <c r="B803" s="79"/>
      <c r="C803" s="68" t="s">
        <v>192</v>
      </c>
      <c r="D803" s="52">
        <f>(5.1*7.45+3.13*1.65+1.37*1.5+0.45*0.9)*(10.764)</f>
        <v>491.04829799999993</v>
      </c>
      <c r="E803" s="68">
        <v>0</v>
      </c>
      <c r="F803" s="68">
        <f t="shared" si="133"/>
        <v>785.67727679999996</v>
      </c>
      <c r="G803" s="86"/>
      <c r="H803" s="87"/>
      <c r="I803" s="36"/>
      <c r="L803" s="77"/>
      <c r="M803" s="77"/>
      <c r="N803" s="36"/>
    </row>
    <row r="804" spans="1:14" s="37" customFormat="1" x14ac:dyDescent="0.3">
      <c r="A804" s="78">
        <v>5</v>
      </c>
      <c r="B804" s="79"/>
      <c r="C804" s="68" t="s">
        <v>192</v>
      </c>
      <c r="D804" s="52">
        <f>(5.1*7.45+3.3*1.65+1.2*1.5+0.45*0.9)*(10.764)</f>
        <v>491.32277999999991</v>
      </c>
      <c r="E804" s="68">
        <v>0</v>
      </c>
      <c r="F804" s="68">
        <f t="shared" si="133"/>
        <v>786.11644799999988</v>
      </c>
      <c r="G804" s="86"/>
      <c r="H804" s="87"/>
      <c r="I804" s="36"/>
      <c r="K804" s="36"/>
    </row>
    <row r="805" spans="1:14" s="37" customFormat="1" ht="15.75" customHeight="1" x14ac:dyDescent="0.3">
      <c r="A805" s="78">
        <v>6</v>
      </c>
      <c r="B805" s="79"/>
      <c r="C805" s="68" t="s">
        <v>192</v>
      </c>
      <c r="D805" s="52">
        <f>(5.1*7.45+3.12*1.65+1.3*1.5+0.45*0.9)*(10.764)</f>
        <v>489.74047200000001</v>
      </c>
      <c r="E805" s="68">
        <v>0</v>
      </c>
      <c r="F805" s="68">
        <f t="shared" si="133"/>
        <v>783.58475520000002</v>
      </c>
      <c r="G805" s="86"/>
      <c r="H805" s="87"/>
      <c r="I805" s="36"/>
      <c r="L805" s="77"/>
      <c r="M805" s="77"/>
      <c r="N805" s="36"/>
    </row>
    <row r="806" spans="1:14" s="37" customFormat="1" ht="15.75" customHeight="1" x14ac:dyDescent="0.3">
      <c r="A806" s="78">
        <v>7</v>
      </c>
      <c r="B806" s="79"/>
      <c r="C806" s="68" t="s">
        <v>192</v>
      </c>
      <c r="D806" s="52">
        <f>(4.93*7.45+3.12*1.65+1.3*1.5+0.45*0.9)*(10.764)</f>
        <v>476.10786599999994</v>
      </c>
      <c r="E806" s="68">
        <v>0</v>
      </c>
      <c r="F806" s="68">
        <f t="shared" si="133"/>
        <v>761.77258559999996</v>
      </c>
      <c r="G806" s="86"/>
      <c r="H806" s="87"/>
      <c r="I806" s="36"/>
      <c r="L806" s="77"/>
      <c r="M806" s="77"/>
      <c r="N806" s="36"/>
    </row>
    <row r="807" spans="1:14" s="37" customFormat="1" ht="15.75" customHeight="1" x14ac:dyDescent="0.3">
      <c r="A807" s="78">
        <v>8</v>
      </c>
      <c r="B807" s="79"/>
      <c r="C807" s="68" t="s">
        <v>192</v>
      </c>
      <c r="D807" s="52">
        <f>(5.1*9.85+3.3*1.65+1.2*1.5+0.45*0.9)*(10.764)</f>
        <v>623.07413999999983</v>
      </c>
      <c r="E807" s="68">
        <v>0</v>
      </c>
      <c r="F807" s="68">
        <f t="shared" si="133"/>
        <v>996.9186239999998</v>
      </c>
      <c r="G807" s="86"/>
      <c r="H807" s="87"/>
      <c r="I807" s="36"/>
      <c r="L807" s="77"/>
      <c r="M807" s="77"/>
      <c r="N807" s="36"/>
    </row>
    <row r="808" spans="1:14" s="37" customFormat="1" ht="15.75" customHeight="1" x14ac:dyDescent="0.3">
      <c r="A808" s="78">
        <v>9</v>
      </c>
      <c r="B808" s="79"/>
      <c r="C808" s="68" t="s">
        <v>192</v>
      </c>
      <c r="D808" s="52">
        <f t="shared" ref="D808:D818" si="134">(5.1*9.85+3.3*1.65+1.2*1.5+0.45*0.9)*(10.764)</f>
        <v>623.07413999999983</v>
      </c>
      <c r="E808" s="68">
        <v>0</v>
      </c>
      <c r="F808" s="68">
        <f t="shared" si="133"/>
        <v>996.9186239999998</v>
      </c>
      <c r="G808" s="86"/>
      <c r="H808" s="87"/>
      <c r="I808" s="36"/>
      <c r="L808" s="77"/>
      <c r="M808" s="77"/>
      <c r="N808" s="36"/>
    </row>
    <row r="809" spans="1:14" s="37" customFormat="1" ht="15.75" customHeight="1" x14ac:dyDescent="0.3">
      <c r="A809" s="78">
        <v>10</v>
      </c>
      <c r="B809" s="79"/>
      <c r="C809" s="68" t="s">
        <v>192</v>
      </c>
      <c r="D809" s="52">
        <f t="shared" si="134"/>
        <v>623.07413999999983</v>
      </c>
      <c r="E809" s="68">
        <v>0</v>
      </c>
      <c r="F809" s="68">
        <f t="shared" si="133"/>
        <v>996.9186239999998</v>
      </c>
      <c r="G809" s="86"/>
      <c r="H809" s="87"/>
      <c r="I809" s="36"/>
      <c r="L809" s="77"/>
      <c r="M809" s="77"/>
      <c r="N809" s="36"/>
    </row>
    <row r="810" spans="1:14" s="37" customFormat="1" ht="15.75" customHeight="1" x14ac:dyDescent="0.3">
      <c r="A810" s="78">
        <v>11</v>
      </c>
      <c r="B810" s="79"/>
      <c r="C810" s="68" t="s">
        <v>192</v>
      </c>
      <c r="D810" s="52">
        <f t="shared" si="134"/>
        <v>623.07413999999983</v>
      </c>
      <c r="E810" s="68">
        <v>0</v>
      </c>
      <c r="F810" s="68">
        <f t="shared" si="133"/>
        <v>996.9186239999998</v>
      </c>
      <c r="G810" s="86"/>
      <c r="H810" s="87"/>
      <c r="I810" s="36"/>
      <c r="L810" s="77"/>
      <c r="M810" s="77"/>
      <c r="N810" s="36"/>
    </row>
    <row r="811" spans="1:14" s="37" customFormat="1" ht="15.75" customHeight="1" x14ac:dyDescent="0.3">
      <c r="A811" s="78">
        <v>12</v>
      </c>
      <c r="B811" s="79"/>
      <c r="C811" s="68" t="s">
        <v>192</v>
      </c>
      <c r="D811" s="52">
        <f t="shared" si="134"/>
        <v>623.07413999999983</v>
      </c>
      <c r="E811" s="68">
        <v>0</v>
      </c>
      <c r="F811" s="68">
        <f t="shared" si="133"/>
        <v>996.9186239999998</v>
      </c>
      <c r="G811" s="86"/>
      <c r="H811" s="87"/>
      <c r="I811" s="36"/>
      <c r="L811" s="77"/>
      <c r="M811" s="77"/>
      <c r="N811" s="36"/>
    </row>
    <row r="812" spans="1:14" s="37" customFormat="1" ht="15.75" customHeight="1" x14ac:dyDescent="0.3">
      <c r="A812" s="78">
        <v>14</v>
      </c>
      <c r="B812" s="79"/>
      <c r="C812" s="68" t="s">
        <v>192</v>
      </c>
      <c r="D812" s="52">
        <f t="shared" si="134"/>
        <v>623.07413999999983</v>
      </c>
      <c r="E812" s="68">
        <v>0</v>
      </c>
      <c r="F812" s="68">
        <f t="shared" si="133"/>
        <v>996.9186239999998</v>
      </c>
      <c r="G812" s="86"/>
      <c r="H812" s="87"/>
      <c r="I812" s="36"/>
      <c r="L812" s="77"/>
      <c r="M812" s="77"/>
      <c r="N812" s="36"/>
    </row>
    <row r="813" spans="1:14" s="37" customFormat="1" ht="15.75" customHeight="1" x14ac:dyDescent="0.3">
      <c r="A813" s="78">
        <v>15</v>
      </c>
      <c r="B813" s="79"/>
      <c r="C813" s="68" t="s">
        <v>192</v>
      </c>
      <c r="D813" s="52">
        <f t="shared" si="134"/>
        <v>623.07413999999983</v>
      </c>
      <c r="E813" s="68">
        <v>0</v>
      </c>
      <c r="F813" s="68">
        <f t="shared" si="133"/>
        <v>996.9186239999998</v>
      </c>
      <c r="G813" s="86"/>
      <c r="H813" s="87"/>
      <c r="I813" s="36"/>
      <c r="L813" s="77"/>
      <c r="M813" s="77"/>
      <c r="N813" s="36"/>
    </row>
    <row r="814" spans="1:14" s="37" customFormat="1" ht="15.75" customHeight="1" x14ac:dyDescent="0.3">
      <c r="A814" s="78">
        <v>16</v>
      </c>
      <c r="B814" s="79"/>
      <c r="C814" s="68" t="s">
        <v>192</v>
      </c>
      <c r="D814" s="52">
        <f t="shared" si="134"/>
        <v>623.07413999999983</v>
      </c>
      <c r="E814" s="68">
        <v>0</v>
      </c>
      <c r="F814" s="68">
        <f t="shared" si="133"/>
        <v>996.9186239999998</v>
      </c>
      <c r="G814" s="86"/>
      <c r="H814" s="87"/>
      <c r="I814" s="36"/>
      <c r="L814" s="77"/>
      <c r="M814" s="77"/>
      <c r="N814" s="36"/>
    </row>
    <row r="815" spans="1:14" s="37" customFormat="1" ht="15.75" customHeight="1" x14ac:dyDescent="0.3">
      <c r="A815" s="78">
        <v>17</v>
      </c>
      <c r="B815" s="79"/>
      <c r="C815" s="68" t="s">
        <v>192</v>
      </c>
      <c r="D815" s="52">
        <f t="shared" si="134"/>
        <v>623.07413999999983</v>
      </c>
      <c r="E815" s="68">
        <v>0</v>
      </c>
      <c r="F815" s="68">
        <f t="shared" si="133"/>
        <v>996.9186239999998</v>
      </c>
      <c r="G815" s="86"/>
      <c r="H815" s="87"/>
      <c r="I815" s="36"/>
      <c r="L815" s="77"/>
      <c r="M815" s="77"/>
      <c r="N815" s="36"/>
    </row>
    <row r="816" spans="1:14" s="37" customFormat="1" ht="15.75" customHeight="1" x14ac:dyDescent="0.3">
      <c r="A816" s="78">
        <v>18</v>
      </c>
      <c r="B816" s="79"/>
      <c r="C816" s="68" t="s">
        <v>192</v>
      </c>
      <c r="D816" s="52">
        <f t="shared" si="134"/>
        <v>623.07413999999983</v>
      </c>
      <c r="E816" s="68">
        <v>0</v>
      </c>
      <c r="F816" s="68">
        <f t="shared" si="133"/>
        <v>996.9186239999998</v>
      </c>
      <c r="G816" s="86"/>
      <c r="H816" s="87"/>
      <c r="I816" s="36"/>
      <c r="L816" s="77"/>
      <c r="M816" s="77"/>
      <c r="N816" s="36"/>
    </row>
    <row r="817" spans="1:14" s="37" customFormat="1" ht="15.75" customHeight="1" x14ac:dyDescent="0.3">
      <c r="A817" s="78">
        <v>19</v>
      </c>
      <c r="B817" s="79"/>
      <c r="C817" s="68" t="s">
        <v>192</v>
      </c>
      <c r="D817" s="52">
        <f t="shared" si="134"/>
        <v>623.07413999999983</v>
      </c>
      <c r="E817" s="68">
        <v>0</v>
      </c>
      <c r="F817" s="68">
        <f t="shared" si="133"/>
        <v>996.9186239999998</v>
      </c>
      <c r="G817" s="86"/>
      <c r="H817" s="87"/>
      <c r="I817" s="36"/>
      <c r="L817" s="77"/>
      <c r="M817" s="77"/>
      <c r="N817" s="36"/>
    </row>
    <row r="818" spans="1:14" s="37" customFormat="1" ht="15.75" customHeight="1" x14ac:dyDescent="0.3">
      <c r="A818" s="78">
        <v>20</v>
      </c>
      <c r="B818" s="79"/>
      <c r="C818" s="68" t="s">
        <v>192</v>
      </c>
      <c r="D818" s="52">
        <f t="shared" si="134"/>
        <v>623.07413999999983</v>
      </c>
      <c r="E818" s="68">
        <v>0</v>
      </c>
      <c r="F818" s="68">
        <f t="shared" si="133"/>
        <v>996.9186239999998</v>
      </c>
      <c r="G818" s="86"/>
      <c r="H818" s="87"/>
      <c r="J818" s="36"/>
      <c r="L818" s="77"/>
      <c r="M818" s="77"/>
      <c r="N818" s="36"/>
    </row>
    <row r="819" spans="1:14" s="37" customFormat="1" ht="15.75" customHeight="1" x14ac:dyDescent="0.3">
      <c r="A819" s="88" t="s">
        <v>205</v>
      </c>
      <c r="B819" s="89"/>
      <c r="C819" s="89"/>
      <c r="D819" s="89"/>
      <c r="E819" s="89"/>
      <c r="F819" s="89"/>
      <c r="G819" s="89"/>
      <c r="H819" s="90"/>
      <c r="I819" s="36"/>
      <c r="L819" s="77"/>
      <c r="M819" s="77"/>
      <c r="N819" s="36"/>
    </row>
    <row r="820" spans="1:14" s="37" customFormat="1" ht="15.75" customHeight="1" x14ac:dyDescent="0.3">
      <c r="A820" s="78">
        <v>1</v>
      </c>
      <c r="B820" s="79"/>
      <c r="C820" s="68" t="s">
        <v>192</v>
      </c>
      <c r="D820" s="52">
        <f>(5*6.4+3.1*1.65+5.25*1.05+1.3*1.5+0.45*0.9)*(10.764)</f>
        <v>484.19163000000009</v>
      </c>
      <c r="E820" s="68">
        <v>0</v>
      </c>
      <c r="F820" s="68">
        <f t="shared" ref="F820:F838" si="135">(D820+E820)*(($F$130)+1)</f>
        <v>774.70660800000019</v>
      </c>
      <c r="G820" s="86" t="str">
        <f>A819</f>
        <v>21th Floor (22nd Floor as per Builder)</v>
      </c>
      <c r="H820" s="87"/>
      <c r="I820" s="36"/>
      <c r="L820" s="77"/>
      <c r="M820" s="77"/>
      <c r="N820" s="36"/>
    </row>
    <row r="821" spans="1:14" s="37" customFormat="1" ht="15.75" customHeight="1" x14ac:dyDescent="0.3">
      <c r="A821" s="78">
        <v>2</v>
      </c>
      <c r="B821" s="79"/>
      <c r="C821" s="68" t="s">
        <v>192</v>
      </c>
      <c r="D821" s="52">
        <f>(5.1*7.45+3.13*1.65+1.37*1.5+0.45*0.9)*(10.764)</f>
        <v>491.04829799999993</v>
      </c>
      <c r="E821" s="68">
        <v>0</v>
      </c>
      <c r="F821" s="68">
        <f t="shared" si="135"/>
        <v>785.67727679999996</v>
      </c>
      <c r="G821" s="86"/>
      <c r="H821" s="87"/>
      <c r="I821" s="36"/>
      <c r="L821" s="77"/>
      <c r="M821" s="77"/>
      <c r="N821" s="36"/>
    </row>
    <row r="822" spans="1:14" s="37" customFormat="1" ht="15.75" customHeight="1" x14ac:dyDescent="0.3">
      <c r="A822" s="78">
        <v>3</v>
      </c>
      <c r="B822" s="79"/>
      <c r="C822" s="68" t="s">
        <v>192</v>
      </c>
      <c r="D822" s="52">
        <f>(5.1*7.45+3.3*1.65+1.2*1.5+0.45*0.9)*(10.764)</f>
        <v>491.32277999999991</v>
      </c>
      <c r="E822" s="68">
        <v>0</v>
      </c>
      <c r="F822" s="68">
        <f t="shared" si="135"/>
        <v>786.11644799999988</v>
      </c>
      <c r="G822" s="86"/>
      <c r="H822" s="87"/>
      <c r="I822" s="36"/>
      <c r="L822" s="77"/>
      <c r="M822" s="77"/>
      <c r="N822" s="36"/>
    </row>
    <row r="823" spans="1:14" s="37" customFormat="1" ht="15.75" customHeight="1" x14ac:dyDescent="0.3">
      <c r="A823" s="78">
        <v>4</v>
      </c>
      <c r="B823" s="79"/>
      <c r="C823" s="68" t="s">
        <v>192</v>
      </c>
      <c r="D823" s="52">
        <f>(5.1*7.45+3.13*1.65+1.37*1.5+0.45*0.9)*(10.764)</f>
        <v>491.04829799999993</v>
      </c>
      <c r="E823" s="68">
        <v>0</v>
      </c>
      <c r="F823" s="68">
        <f t="shared" si="135"/>
        <v>785.67727679999996</v>
      </c>
      <c r="G823" s="86"/>
      <c r="H823" s="87"/>
      <c r="I823" s="36"/>
      <c r="L823" s="77"/>
      <c r="M823" s="77"/>
      <c r="N823" s="36"/>
    </row>
    <row r="824" spans="1:14" s="37" customFormat="1" x14ac:dyDescent="0.3">
      <c r="A824" s="78">
        <v>5</v>
      </c>
      <c r="B824" s="79"/>
      <c r="C824" s="68" t="s">
        <v>192</v>
      </c>
      <c r="D824" s="52">
        <f>(5.1*7.45+3.3*1.65+1.2*1.5+0.45*0.9)*(10.764)</f>
        <v>491.32277999999991</v>
      </c>
      <c r="E824" s="68">
        <v>0</v>
      </c>
      <c r="F824" s="68">
        <f t="shared" si="135"/>
        <v>786.11644799999988</v>
      </c>
      <c r="G824" s="86"/>
      <c r="H824" s="87"/>
      <c r="I824" s="36"/>
      <c r="K824" s="36"/>
    </row>
    <row r="825" spans="1:14" s="37" customFormat="1" ht="15.75" customHeight="1" x14ac:dyDescent="0.3">
      <c r="A825" s="78">
        <v>6</v>
      </c>
      <c r="B825" s="79"/>
      <c r="C825" s="68" t="s">
        <v>192</v>
      </c>
      <c r="D825" s="52">
        <f>(5.1*7.45+3.12*1.65+1.3*1.5+0.45*0.9)*(10.764)</f>
        <v>489.74047200000001</v>
      </c>
      <c r="E825" s="68">
        <v>0</v>
      </c>
      <c r="F825" s="68">
        <f t="shared" si="135"/>
        <v>783.58475520000002</v>
      </c>
      <c r="G825" s="86"/>
      <c r="H825" s="87"/>
      <c r="I825" s="36"/>
      <c r="L825" s="77"/>
      <c r="M825" s="77"/>
      <c r="N825" s="36"/>
    </row>
    <row r="826" spans="1:14" s="37" customFormat="1" ht="15.75" customHeight="1" x14ac:dyDescent="0.3">
      <c r="A826" s="78">
        <v>7</v>
      </c>
      <c r="B826" s="79"/>
      <c r="C826" s="68" t="s">
        <v>192</v>
      </c>
      <c r="D826" s="52">
        <f>(4.93*7.45+3.12*1.65+1.3*1.5+0.45*0.9)*(10.764)</f>
        <v>476.10786599999994</v>
      </c>
      <c r="E826" s="68">
        <v>0</v>
      </c>
      <c r="F826" s="68">
        <f t="shared" si="135"/>
        <v>761.77258559999996</v>
      </c>
      <c r="G826" s="86"/>
      <c r="H826" s="87"/>
      <c r="I826" s="36"/>
      <c r="L826" s="77"/>
      <c r="M826" s="77"/>
      <c r="N826" s="36"/>
    </row>
    <row r="827" spans="1:14" s="37" customFormat="1" ht="15.75" customHeight="1" x14ac:dyDescent="0.3">
      <c r="A827" s="78">
        <v>8</v>
      </c>
      <c r="B827" s="79"/>
      <c r="C827" s="68" t="s">
        <v>192</v>
      </c>
      <c r="D827" s="52">
        <f t="shared" ref="D827:D838" si="136">(5.1*9.85+3.3*1.65+1.2*1.5+0.45*0.9)*(10.764)</f>
        <v>623.07413999999983</v>
      </c>
      <c r="E827" s="68">
        <v>0</v>
      </c>
      <c r="F827" s="68">
        <f t="shared" si="135"/>
        <v>996.9186239999998</v>
      </c>
      <c r="G827" s="86"/>
      <c r="H827" s="87"/>
      <c r="I827" s="36"/>
      <c r="L827" s="77"/>
      <c r="M827" s="77"/>
      <c r="N827" s="36"/>
    </row>
    <row r="828" spans="1:14" s="37" customFormat="1" ht="15.75" customHeight="1" x14ac:dyDescent="0.3">
      <c r="A828" s="78">
        <v>9</v>
      </c>
      <c r="B828" s="79"/>
      <c r="C828" s="68" t="s">
        <v>192</v>
      </c>
      <c r="D828" s="52">
        <f t="shared" si="136"/>
        <v>623.07413999999983</v>
      </c>
      <c r="E828" s="68">
        <v>0</v>
      </c>
      <c r="F828" s="68">
        <f t="shared" si="135"/>
        <v>996.9186239999998</v>
      </c>
      <c r="G828" s="86"/>
      <c r="H828" s="87"/>
      <c r="I828" s="36"/>
      <c r="L828" s="77"/>
      <c r="M828" s="77"/>
      <c r="N828" s="36"/>
    </row>
    <row r="829" spans="1:14" s="37" customFormat="1" ht="15.75" customHeight="1" x14ac:dyDescent="0.3">
      <c r="A829" s="78">
        <v>10</v>
      </c>
      <c r="B829" s="79"/>
      <c r="C829" s="68" t="s">
        <v>192</v>
      </c>
      <c r="D829" s="52">
        <f t="shared" si="136"/>
        <v>623.07413999999983</v>
      </c>
      <c r="E829" s="68">
        <v>0</v>
      </c>
      <c r="F829" s="68">
        <f t="shared" si="135"/>
        <v>996.9186239999998</v>
      </c>
      <c r="G829" s="86"/>
      <c r="H829" s="87"/>
      <c r="I829" s="36"/>
      <c r="L829" s="77"/>
      <c r="M829" s="77"/>
      <c r="N829" s="36"/>
    </row>
    <row r="830" spans="1:14" s="37" customFormat="1" ht="15.75" customHeight="1" x14ac:dyDescent="0.3">
      <c r="A830" s="78">
        <v>11</v>
      </c>
      <c r="B830" s="79"/>
      <c r="C830" s="68" t="s">
        <v>192</v>
      </c>
      <c r="D830" s="52">
        <f t="shared" si="136"/>
        <v>623.07413999999983</v>
      </c>
      <c r="E830" s="68">
        <v>0</v>
      </c>
      <c r="F830" s="68">
        <f t="shared" si="135"/>
        <v>996.9186239999998</v>
      </c>
      <c r="G830" s="86"/>
      <c r="H830" s="87"/>
      <c r="I830" s="36"/>
      <c r="L830" s="77"/>
      <c r="M830" s="77"/>
      <c r="N830" s="36"/>
    </row>
    <row r="831" spans="1:14" s="37" customFormat="1" ht="15.75" customHeight="1" x14ac:dyDescent="0.3">
      <c r="A831" s="78">
        <v>12</v>
      </c>
      <c r="B831" s="79"/>
      <c r="C831" s="68" t="s">
        <v>192</v>
      </c>
      <c r="D831" s="52">
        <f t="shared" si="136"/>
        <v>623.07413999999983</v>
      </c>
      <c r="E831" s="68">
        <v>0</v>
      </c>
      <c r="F831" s="68">
        <f t="shared" si="135"/>
        <v>996.9186239999998</v>
      </c>
      <c r="G831" s="86"/>
      <c r="H831" s="87"/>
      <c r="I831" s="36"/>
      <c r="L831" s="77"/>
      <c r="M831" s="77"/>
      <c r="N831" s="36"/>
    </row>
    <row r="832" spans="1:14" s="37" customFormat="1" ht="15.75" customHeight="1" x14ac:dyDescent="0.3">
      <c r="A832" s="78">
        <v>14</v>
      </c>
      <c r="B832" s="79"/>
      <c r="C832" s="68" t="s">
        <v>192</v>
      </c>
      <c r="D832" s="52">
        <f t="shared" si="136"/>
        <v>623.07413999999983</v>
      </c>
      <c r="E832" s="68">
        <v>0</v>
      </c>
      <c r="F832" s="68">
        <f t="shared" si="135"/>
        <v>996.9186239999998</v>
      </c>
      <c r="G832" s="86"/>
      <c r="H832" s="87"/>
      <c r="I832" s="36"/>
      <c r="L832" s="77"/>
      <c r="M832" s="77"/>
      <c r="N832" s="36"/>
    </row>
    <row r="833" spans="1:14" s="37" customFormat="1" ht="15.75" customHeight="1" x14ac:dyDescent="0.3">
      <c r="A833" s="78">
        <v>15</v>
      </c>
      <c r="B833" s="79"/>
      <c r="C833" s="68" t="s">
        <v>192</v>
      </c>
      <c r="D833" s="52">
        <f t="shared" si="136"/>
        <v>623.07413999999983</v>
      </c>
      <c r="E833" s="68">
        <v>0</v>
      </c>
      <c r="F833" s="68">
        <f t="shared" si="135"/>
        <v>996.9186239999998</v>
      </c>
      <c r="G833" s="86"/>
      <c r="H833" s="87"/>
      <c r="I833" s="36"/>
      <c r="L833" s="77"/>
      <c r="M833" s="77"/>
      <c r="N833" s="36"/>
    </row>
    <row r="834" spans="1:14" s="37" customFormat="1" ht="15.75" customHeight="1" x14ac:dyDescent="0.3">
      <c r="A834" s="78">
        <v>16</v>
      </c>
      <c r="B834" s="79"/>
      <c r="C834" s="68" t="s">
        <v>192</v>
      </c>
      <c r="D834" s="52">
        <f t="shared" si="136"/>
        <v>623.07413999999983</v>
      </c>
      <c r="E834" s="68">
        <v>0</v>
      </c>
      <c r="F834" s="68">
        <f t="shared" si="135"/>
        <v>996.9186239999998</v>
      </c>
      <c r="G834" s="86"/>
      <c r="H834" s="87"/>
      <c r="I834" s="36"/>
      <c r="L834" s="77"/>
      <c r="M834" s="77"/>
      <c r="N834" s="36"/>
    </row>
    <row r="835" spans="1:14" s="37" customFormat="1" ht="15.75" customHeight="1" x14ac:dyDescent="0.3">
      <c r="A835" s="78">
        <v>17</v>
      </c>
      <c r="B835" s="79"/>
      <c r="C835" s="68" t="s">
        <v>192</v>
      </c>
      <c r="D835" s="52">
        <f t="shared" si="136"/>
        <v>623.07413999999983</v>
      </c>
      <c r="E835" s="68">
        <v>0</v>
      </c>
      <c r="F835" s="68">
        <f t="shared" si="135"/>
        <v>996.9186239999998</v>
      </c>
      <c r="G835" s="86"/>
      <c r="H835" s="87"/>
      <c r="I835" s="36"/>
      <c r="L835" s="77"/>
      <c r="M835" s="77"/>
      <c r="N835" s="36"/>
    </row>
    <row r="836" spans="1:14" s="37" customFormat="1" ht="15.75" customHeight="1" x14ac:dyDescent="0.3">
      <c r="A836" s="78">
        <v>18</v>
      </c>
      <c r="B836" s="79"/>
      <c r="C836" s="68" t="s">
        <v>192</v>
      </c>
      <c r="D836" s="52">
        <f t="shared" si="136"/>
        <v>623.07413999999983</v>
      </c>
      <c r="E836" s="68">
        <v>0</v>
      </c>
      <c r="F836" s="68">
        <f t="shared" si="135"/>
        <v>996.9186239999998</v>
      </c>
      <c r="G836" s="86"/>
      <c r="H836" s="87"/>
      <c r="I836" s="36"/>
      <c r="L836" s="77"/>
      <c r="M836" s="77"/>
      <c r="N836" s="36"/>
    </row>
    <row r="837" spans="1:14" s="37" customFormat="1" ht="15.75" customHeight="1" x14ac:dyDescent="0.3">
      <c r="A837" s="78">
        <v>19</v>
      </c>
      <c r="B837" s="79"/>
      <c r="C837" s="68" t="s">
        <v>192</v>
      </c>
      <c r="D837" s="52">
        <f t="shared" si="136"/>
        <v>623.07413999999983</v>
      </c>
      <c r="E837" s="68">
        <v>0</v>
      </c>
      <c r="F837" s="68">
        <f t="shared" si="135"/>
        <v>996.9186239999998</v>
      </c>
      <c r="G837" s="86"/>
      <c r="H837" s="87"/>
      <c r="I837" s="36"/>
      <c r="L837" s="77"/>
      <c r="M837" s="77"/>
      <c r="N837" s="36"/>
    </row>
    <row r="838" spans="1:14" s="37" customFormat="1" ht="15.75" customHeight="1" x14ac:dyDescent="0.3">
      <c r="A838" s="78">
        <v>20</v>
      </c>
      <c r="B838" s="79"/>
      <c r="C838" s="68" t="s">
        <v>192</v>
      </c>
      <c r="D838" s="52">
        <f t="shared" si="136"/>
        <v>623.07413999999983</v>
      </c>
      <c r="E838" s="68">
        <v>0</v>
      </c>
      <c r="F838" s="68">
        <f t="shared" si="135"/>
        <v>996.9186239999998</v>
      </c>
      <c r="G838" s="86"/>
      <c r="H838" s="87"/>
      <c r="J838" s="36"/>
      <c r="L838" s="77"/>
      <c r="M838" s="77"/>
      <c r="N838" s="36"/>
    </row>
    <row r="839" spans="1:14" s="37" customFormat="1" ht="15.75" customHeight="1" x14ac:dyDescent="0.3">
      <c r="A839" s="88" t="s">
        <v>206</v>
      </c>
      <c r="B839" s="89"/>
      <c r="C839" s="89"/>
      <c r="D839" s="89"/>
      <c r="E839" s="89"/>
      <c r="F839" s="89"/>
      <c r="G839" s="89"/>
      <c r="H839" s="90"/>
      <c r="I839" s="36"/>
      <c r="L839" s="77"/>
      <c r="M839" s="77"/>
      <c r="N839" s="36"/>
    </row>
    <row r="840" spans="1:14" s="37" customFormat="1" ht="15.75" customHeight="1" x14ac:dyDescent="0.3">
      <c r="A840" s="78">
        <v>1</v>
      </c>
      <c r="B840" s="79"/>
      <c r="C840" s="68" t="s">
        <v>192</v>
      </c>
      <c r="D840" s="52">
        <f>(5*6.4+3.1*1.65+5.25*1.05+1.3*1.5+0.45*0.9)*(10.764)</f>
        <v>484.19163000000009</v>
      </c>
      <c r="E840" s="68">
        <v>0</v>
      </c>
      <c r="F840" s="68">
        <f t="shared" ref="F840:F858" si="137">(D840+E840)*(($F$130)+1)</f>
        <v>774.70660800000019</v>
      </c>
      <c r="G840" s="86" t="str">
        <f>A839:A839</f>
        <v>22nd Floor (23rd Floor as per Builder)</v>
      </c>
      <c r="H840" s="87"/>
      <c r="I840" s="36"/>
      <c r="L840" s="77"/>
      <c r="M840" s="77"/>
      <c r="N840" s="36"/>
    </row>
    <row r="841" spans="1:14" s="37" customFormat="1" ht="15.75" customHeight="1" x14ac:dyDescent="0.3">
      <c r="A841" s="78">
        <v>2</v>
      </c>
      <c r="B841" s="79"/>
      <c r="C841" s="68" t="s">
        <v>192</v>
      </c>
      <c r="D841" s="52">
        <f>(5.1*7.45+3.13*1.65+1.37*1.5+0.45*0.9)*(10.764)</f>
        <v>491.04829799999993</v>
      </c>
      <c r="E841" s="68">
        <v>0</v>
      </c>
      <c r="F841" s="68">
        <f t="shared" si="137"/>
        <v>785.67727679999996</v>
      </c>
      <c r="G841" s="86"/>
      <c r="H841" s="87"/>
      <c r="I841" s="36"/>
      <c r="L841" s="77"/>
      <c r="M841" s="77"/>
      <c r="N841" s="36"/>
    </row>
    <row r="842" spans="1:14" s="37" customFormat="1" ht="15.75" customHeight="1" x14ac:dyDescent="0.3">
      <c r="A842" s="78">
        <v>3</v>
      </c>
      <c r="B842" s="79"/>
      <c r="C842" s="68" t="s">
        <v>192</v>
      </c>
      <c r="D842" s="52">
        <f>(5.1*7.45+3.3*1.65+1.2*1.5+0.45*0.9)*(10.764)</f>
        <v>491.32277999999991</v>
      </c>
      <c r="E842" s="68">
        <v>0</v>
      </c>
      <c r="F842" s="68">
        <f t="shared" si="137"/>
        <v>786.11644799999988</v>
      </c>
      <c r="G842" s="86"/>
      <c r="H842" s="87"/>
      <c r="I842" s="36"/>
      <c r="L842" s="77"/>
      <c r="M842" s="77"/>
      <c r="N842" s="36"/>
    </row>
    <row r="843" spans="1:14" s="37" customFormat="1" ht="15.75" customHeight="1" x14ac:dyDescent="0.3">
      <c r="A843" s="78">
        <v>4</v>
      </c>
      <c r="B843" s="79"/>
      <c r="C843" s="68" t="s">
        <v>192</v>
      </c>
      <c r="D843" s="52">
        <f>(5.1*7.45+3.13*1.65+1.37*1.5+0.45*0.9)*(10.764)</f>
        <v>491.04829799999993</v>
      </c>
      <c r="E843" s="68">
        <v>0</v>
      </c>
      <c r="F843" s="68">
        <f t="shared" si="137"/>
        <v>785.67727679999996</v>
      </c>
      <c r="G843" s="86"/>
      <c r="H843" s="87"/>
      <c r="I843" s="36"/>
      <c r="L843" s="77"/>
      <c r="M843" s="77"/>
      <c r="N843" s="36"/>
    </row>
    <row r="844" spans="1:14" s="37" customFormat="1" x14ac:dyDescent="0.3">
      <c r="A844" s="78">
        <v>5</v>
      </c>
      <c r="B844" s="79"/>
      <c r="C844" s="68" t="s">
        <v>192</v>
      </c>
      <c r="D844" s="52">
        <f>(5.1*7.45+3.3*1.65+1.2*1.5+0.45*0.9)*(10.764)</f>
        <v>491.32277999999991</v>
      </c>
      <c r="E844" s="68">
        <v>0</v>
      </c>
      <c r="F844" s="68">
        <f t="shared" si="137"/>
        <v>786.11644799999988</v>
      </c>
      <c r="G844" s="86"/>
      <c r="H844" s="87"/>
      <c r="I844" s="36"/>
      <c r="K844" s="36"/>
    </row>
    <row r="845" spans="1:14" s="37" customFormat="1" ht="15.75" customHeight="1" x14ac:dyDescent="0.3">
      <c r="A845" s="78">
        <v>6</v>
      </c>
      <c r="B845" s="79"/>
      <c r="C845" s="68" t="s">
        <v>192</v>
      </c>
      <c r="D845" s="52">
        <f>(5.1*7.45+3.12*1.65+1.3*1.5+0.45*0.9)*(10.764)</f>
        <v>489.74047200000001</v>
      </c>
      <c r="E845" s="68">
        <v>0</v>
      </c>
      <c r="F845" s="68">
        <f t="shared" si="137"/>
        <v>783.58475520000002</v>
      </c>
      <c r="G845" s="86"/>
      <c r="H845" s="87"/>
      <c r="I845" s="36"/>
      <c r="L845" s="77"/>
      <c r="M845" s="77"/>
      <c r="N845" s="36"/>
    </row>
    <row r="846" spans="1:14" s="37" customFormat="1" ht="15.75" customHeight="1" x14ac:dyDescent="0.3">
      <c r="A846" s="78">
        <v>7</v>
      </c>
      <c r="B846" s="79"/>
      <c r="C846" s="68" t="s">
        <v>192</v>
      </c>
      <c r="D846" s="52">
        <f>(4.93*7.45+3.12*1.65+1.3*1.5+0.45*0.9)*(10.764)</f>
        <v>476.10786599999994</v>
      </c>
      <c r="E846" s="68">
        <v>0</v>
      </c>
      <c r="F846" s="68">
        <f t="shared" si="137"/>
        <v>761.77258559999996</v>
      </c>
      <c r="G846" s="86"/>
      <c r="H846" s="87"/>
      <c r="I846" s="36"/>
      <c r="L846" s="77"/>
      <c r="M846" s="77"/>
      <c r="N846" s="36"/>
    </row>
    <row r="847" spans="1:14" s="37" customFormat="1" ht="15.75" customHeight="1" x14ac:dyDescent="0.3">
      <c r="A847" s="78">
        <v>8</v>
      </c>
      <c r="B847" s="79"/>
      <c r="C847" s="68" t="s">
        <v>192</v>
      </c>
      <c r="D847" s="52">
        <f t="shared" ref="D847:D858" si="138">(5.1*9.85+3.3*1.65+1.2*1.5+0.45*0.9)*(10.764)</f>
        <v>623.07413999999983</v>
      </c>
      <c r="E847" s="68">
        <v>0</v>
      </c>
      <c r="F847" s="68">
        <f t="shared" si="137"/>
        <v>996.9186239999998</v>
      </c>
      <c r="G847" s="86"/>
      <c r="H847" s="87"/>
      <c r="I847" s="36"/>
      <c r="L847" s="77"/>
      <c r="M847" s="77"/>
      <c r="N847" s="36"/>
    </row>
    <row r="848" spans="1:14" s="37" customFormat="1" ht="15.75" customHeight="1" x14ac:dyDescent="0.3">
      <c r="A848" s="78">
        <v>9</v>
      </c>
      <c r="B848" s="79"/>
      <c r="C848" s="68" t="s">
        <v>192</v>
      </c>
      <c r="D848" s="52">
        <f t="shared" si="138"/>
        <v>623.07413999999983</v>
      </c>
      <c r="E848" s="68">
        <v>0</v>
      </c>
      <c r="F848" s="68">
        <f t="shared" si="137"/>
        <v>996.9186239999998</v>
      </c>
      <c r="G848" s="86"/>
      <c r="H848" s="87"/>
      <c r="I848" s="36"/>
      <c r="L848" s="77"/>
      <c r="M848" s="77"/>
      <c r="N848" s="36"/>
    </row>
    <row r="849" spans="1:14" s="37" customFormat="1" ht="15.75" customHeight="1" x14ac:dyDescent="0.3">
      <c r="A849" s="78">
        <v>10</v>
      </c>
      <c r="B849" s="79"/>
      <c r="C849" s="68" t="s">
        <v>192</v>
      </c>
      <c r="D849" s="52">
        <f t="shared" si="138"/>
        <v>623.07413999999983</v>
      </c>
      <c r="E849" s="68">
        <v>0</v>
      </c>
      <c r="F849" s="68">
        <f t="shared" si="137"/>
        <v>996.9186239999998</v>
      </c>
      <c r="G849" s="86"/>
      <c r="H849" s="87"/>
      <c r="I849" s="36"/>
      <c r="L849" s="77"/>
      <c r="M849" s="77"/>
      <c r="N849" s="36"/>
    </row>
    <row r="850" spans="1:14" s="37" customFormat="1" ht="15.75" customHeight="1" x14ac:dyDescent="0.3">
      <c r="A850" s="78">
        <v>11</v>
      </c>
      <c r="B850" s="79"/>
      <c r="C850" s="68" t="s">
        <v>192</v>
      </c>
      <c r="D850" s="52">
        <f t="shared" si="138"/>
        <v>623.07413999999983</v>
      </c>
      <c r="E850" s="68">
        <v>0</v>
      </c>
      <c r="F850" s="68">
        <f t="shared" si="137"/>
        <v>996.9186239999998</v>
      </c>
      <c r="G850" s="86"/>
      <c r="H850" s="87"/>
      <c r="I850" s="36"/>
      <c r="L850" s="77"/>
      <c r="M850" s="77"/>
      <c r="N850" s="36"/>
    </row>
    <row r="851" spans="1:14" s="37" customFormat="1" ht="15.75" customHeight="1" x14ac:dyDescent="0.3">
      <c r="A851" s="78">
        <v>12</v>
      </c>
      <c r="B851" s="79"/>
      <c r="C851" s="68" t="s">
        <v>192</v>
      </c>
      <c r="D851" s="52">
        <f t="shared" si="138"/>
        <v>623.07413999999983</v>
      </c>
      <c r="E851" s="68">
        <v>0</v>
      </c>
      <c r="F851" s="68">
        <f t="shared" si="137"/>
        <v>996.9186239999998</v>
      </c>
      <c r="G851" s="86"/>
      <c r="H851" s="87"/>
      <c r="I851" s="36"/>
      <c r="L851" s="77"/>
      <c r="M851" s="77"/>
      <c r="N851" s="36"/>
    </row>
    <row r="852" spans="1:14" s="37" customFormat="1" ht="15.75" customHeight="1" x14ac:dyDescent="0.3">
      <c r="A852" s="78">
        <v>14</v>
      </c>
      <c r="B852" s="79"/>
      <c r="C852" s="68" t="s">
        <v>192</v>
      </c>
      <c r="D852" s="52">
        <f t="shared" si="138"/>
        <v>623.07413999999983</v>
      </c>
      <c r="E852" s="68">
        <v>0</v>
      </c>
      <c r="F852" s="68">
        <f t="shared" si="137"/>
        <v>996.9186239999998</v>
      </c>
      <c r="G852" s="86"/>
      <c r="H852" s="87"/>
      <c r="I852" s="36"/>
      <c r="L852" s="77"/>
      <c r="M852" s="77"/>
      <c r="N852" s="36"/>
    </row>
    <row r="853" spans="1:14" s="37" customFormat="1" ht="15.75" customHeight="1" x14ac:dyDescent="0.3">
      <c r="A853" s="78">
        <v>15</v>
      </c>
      <c r="B853" s="79"/>
      <c r="C853" s="68" t="s">
        <v>192</v>
      </c>
      <c r="D853" s="52">
        <f t="shared" si="138"/>
        <v>623.07413999999983</v>
      </c>
      <c r="E853" s="68">
        <v>0</v>
      </c>
      <c r="F853" s="68">
        <f t="shared" si="137"/>
        <v>996.9186239999998</v>
      </c>
      <c r="G853" s="86"/>
      <c r="H853" s="87"/>
      <c r="I853" s="36"/>
      <c r="L853" s="77"/>
      <c r="M853" s="77"/>
      <c r="N853" s="36"/>
    </row>
    <row r="854" spans="1:14" s="37" customFormat="1" ht="15.75" customHeight="1" x14ac:dyDescent="0.3">
      <c r="A854" s="78">
        <v>16</v>
      </c>
      <c r="B854" s="79"/>
      <c r="C854" s="68" t="s">
        <v>192</v>
      </c>
      <c r="D854" s="52">
        <f t="shared" si="138"/>
        <v>623.07413999999983</v>
      </c>
      <c r="E854" s="68">
        <v>0</v>
      </c>
      <c r="F854" s="68">
        <f t="shared" si="137"/>
        <v>996.9186239999998</v>
      </c>
      <c r="G854" s="86"/>
      <c r="H854" s="87"/>
      <c r="I854" s="36"/>
      <c r="L854" s="77"/>
      <c r="M854" s="77"/>
      <c r="N854" s="36"/>
    </row>
    <row r="855" spans="1:14" s="37" customFormat="1" ht="15.75" customHeight="1" x14ac:dyDescent="0.3">
      <c r="A855" s="78">
        <v>17</v>
      </c>
      <c r="B855" s="79"/>
      <c r="C855" s="68" t="s">
        <v>192</v>
      </c>
      <c r="D855" s="52">
        <f t="shared" si="138"/>
        <v>623.07413999999983</v>
      </c>
      <c r="E855" s="68">
        <v>0</v>
      </c>
      <c r="F855" s="68">
        <f t="shared" si="137"/>
        <v>996.9186239999998</v>
      </c>
      <c r="G855" s="86"/>
      <c r="H855" s="87"/>
      <c r="I855" s="36"/>
      <c r="L855" s="77"/>
      <c r="M855" s="77"/>
      <c r="N855" s="36"/>
    </row>
    <row r="856" spans="1:14" s="37" customFormat="1" ht="15.75" customHeight="1" x14ac:dyDescent="0.3">
      <c r="A856" s="78">
        <v>18</v>
      </c>
      <c r="B856" s="79"/>
      <c r="C856" s="68" t="s">
        <v>192</v>
      </c>
      <c r="D856" s="52">
        <f t="shared" si="138"/>
        <v>623.07413999999983</v>
      </c>
      <c r="E856" s="68">
        <v>0</v>
      </c>
      <c r="F856" s="68">
        <f t="shared" si="137"/>
        <v>996.9186239999998</v>
      </c>
      <c r="G856" s="86"/>
      <c r="H856" s="87"/>
      <c r="I856" s="36"/>
      <c r="L856" s="77"/>
      <c r="M856" s="77"/>
      <c r="N856" s="36"/>
    </row>
    <row r="857" spans="1:14" s="37" customFormat="1" ht="15.75" customHeight="1" x14ac:dyDescent="0.3">
      <c r="A857" s="78">
        <v>19</v>
      </c>
      <c r="B857" s="79"/>
      <c r="C857" s="68" t="s">
        <v>192</v>
      </c>
      <c r="D857" s="52">
        <f t="shared" si="138"/>
        <v>623.07413999999983</v>
      </c>
      <c r="E857" s="68">
        <v>0</v>
      </c>
      <c r="F857" s="68">
        <f t="shared" si="137"/>
        <v>996.9186239999998</v>
      </c>
      <c r="G857" s="86"/>
      <c r="H857" s="87"/>
      <c r="I857" s="36"/>
      <c r="L857" s="77"/>
      <c r="M857" s="77"/>
      <c r="N857" s="36"/>
    </row>
    <row r="858" spans="1:14" s="37" customFormat="1" ht="15.75" customHeight="1" x14ac:dyDescent="0.3">
      <c r="A858" s="78">
        <v>20</v>
      </c>
      <c r="B858" s="79"/>
      <c r="C858" s="68" t="s">
        <v>192</v>
      </c>
      <c r="D858" s="52">
        <f t="shared" si="138"/>
        <v>623.07413999999983</v>
      </c>
      <c r="E858" s="68">
        <v>0</v>
      </c>
      <c r="F858" s="68">
        <f t="shared" si="137"/>
        <v>996.9186239999998</v>
      </c>
      <c r="G858" s="86"/>
      <c r="H858" s="87"/>
      <c r="J858" s="36"/>
      <c r="L858" s="77"/>
      <c r="M858" s="77"/>
      <c r="N858" s="36"/>
    </row>
    <row r="859" spans="1:14" s="37" customFormat="1" ht="15.75" customHeight="1" x14ac:dyDescent="0.3">
      <c r="A859" s="83" t="s">
        <v>287</v>
      </c>
      <c r="B859" s="84"/>
      <c r="C859" s="84"/>
      <c r="D859" s="84"/>
      <c r="E859" s="84"/>
      <c r="F859" s="84"/>
      <c r="G859" s="84"/>
      <c r="H859" s="85"/>
      <c r="I859" s="36" t="s">
        <v>273</v>
      </c>
      <c r="L859" s="77"/>
      <c r="M859" s="77"/>
      <c r="N859" s="36"/>
    </row>
    <row r="860" spans="1:14" s="37" customFormat="1" ht="15.75" customHeight="1" x14ac:dyDescent="0.3">
      <c r="A860" s="78">
        <v>1</v>
      </c>
      <c r="B860" s="79"/>
      <c r="C860" s="68" t="s">
        <v>192</v>
      </c>
      <c r="D860" s="52">
        <f>(5*6.4+3.1*1.65+5.25*1.05+1.3*1.5+0.45*0.9)*(10.764)</f>
        <v>484.19163000000009</v>
      </c>
      <c r="E860" s="68">
        <v>0</v>
      </c>
      <c r="F860" s="68">
        <f t="shared" ref="F860:F878" si="139">(D860+E860)*(($F$130)+1)</f>
        <v>774.70660800000019</v>
      </c>
      <c r="G860" s="86" t="str">
        <f>A859</f>
        <v>23rd Floor (24th Floor as per Builder)</v>
      </c>
      <c r="H860" s="87"/>
      <c r="I860" s="36"/>
      <c r="L860" s="77"/>
      <c r="M860" s="77"/>
      <c r="N860" s="36"/>
    </row>
    <row r="861" spans="1:14" s="37" customFormat="1" ht="15.75" customHeight="1" x14ac:dyDescent="0.3">
      <c r="A861" s="78">
        <v>2</v>
      </c>
      <c r="B861" s="79"/>
      <c r="C861" s="68" t="s">
        <v>192</v>
      </c>
      <c r="D861" s="52">
        <f>(5.1*7.45+3.13*1.65+1.37*1.5+0.45*0.9)*(10.764)</f>
        <v>491.04829799999993</v>
      </c>
      <c r="E861" s="68">
        <v>0</v>
      </c>
      <c r="F861" s="68">
        <f t="shared" si="139"/>
        <v>785.67727679999996</v>
      </c>
      <c r="G861" s="86"/>
      <c r="H861" s="87"/>
      <c r="I861" s="36"/>
      <c r="L861" s="77"/>
      <c r="M861" s="77"/>
      <c r="N861" s="36"/>
    </row>
    <row r="862" spans="1:14" s="37" customFormat="1" ht="15.75" customHeight="1" x14ac:dyDescent="0.3">
      <c r="A862" s="78">
        <v>3</v>
      </c>
      <c r="B862" s="79"/>
      <c r="C862" s="68" t="s">
        <v>192</v>
      </c>
      <c r="D862" s="52">
        <f>(5.1*7.45+3.3*1.65+1.2*1.5+0.45*0.9)*(10.764)</f>
        <v>491.32277999999991</v>
      </c>
      <c r="E862" s="68">
        <v>0</v>
      </c>
      <c r="F862" s="68">
        <f t="shared" si="139"/>
        <v>786.11644799999988</v>
      </c>
      <c r="G862" s="86"/>
      <c r="H862" s="87"/>
      <c r="I862" s="36"/>
      <c r="L862" s="77"/>
      <c r="M862" s="77"/>
      <c r="N862" s="36"/>
    </row>
    <row r="863" spans="1:14" s="37" customFormat="1" ht="15.75" customHeight="1" x14ac:dyDescent="0.3">
      <c r="A863" s="78">
        <v>4</v>
      </c>
      <c r="B863" s="79"/>
      <c r="C863" s="68" t="s">
        <v>192</v>
      </c>
      <c r="D863" s="52">
        <f>(5.1*7.45+3.13*1.65+1.37*1.5+0.45*0.9)*(10.764)</f>
        <v>491.04829799999993</v>
      </c>
      <c r="E863" s="68">
        <v>0</v>
      </c>
      <c r="F863" s="68">
        <f t="shared" si="139"/>
        <v>785.67727679999996</v>
      </c>
      <c r="G863" s="86"/>
      <c r="H863" s="87"/>
      <c r="I863" s="36"/>
      <c r="L863" s="77"/>
      <c r="M863" s="77"/>
      <c r="N863" s="36"/>
    </row>
    <row r="864" spans="1:14" s="37" customFormat="1" x14ac:dyDescent="0.3">
      <c r="A864" s="78">
        <v>5</v>
      </c>
      <c r="B864" s="79"/>
      <c r="C864" s="68" t="s">
        <v>192</v>
      </c>
      <c r="D864" s="52">
        <f>(5.1*7.45+3.3*1.65+1.2*1.5+0.45*0.9)*(10.764)</f>
        <v>491.32277999999991</v>
      </c>
      <c r="E864" s="68">
        <v>0</v>
      </c>
      <c r="F864" s="68">
        <f t="shared" si="139"/>
        <v>786.11644799999988</v>
      </c>
      <c r="G864" s="86"/>
      <c r="H864" s="87"/>
      <c r="I864" s="36"/>
      <c r="K864" s="36"/>
    </row>
    <row r="865" spans="1:14" s="37" customFormat="1" ht="15.75" customHeight="1" x14ac:dyDescent="0.3">
      <c r="A865" s="78">
        <v>6</v>
      </c>
      <c r="B865" s="79"/>
      <c r="C865" s="68" t="s">
        <v>192</v>
      </c>
      <c r="D865" s="52">
        <f>(5.1*7.45+3.12*1.65+1.3*1.5+0.45*0.9)*(10.764)</f>
        <v>489.74047200000001</v>
      </c>
      <c r="E865" s="68">
        <v>0</v>
      </c>
      <c r="F865" s="68">
        <f t="shared" si="139"/>
        <v>783.58475520000002</v>
      </c>
      <c r="G865" s="86"/>
      <c r="H865" s="87"/>
      <c r="I865" s="36"/>
      <c r="L865" s="77"/>
      <c r="M865" s="77"/>
      <c r="N865" s="36"/>
    </row>
    <row r="866" spans="1:14" s="37" customFormat="1" ht="15.75" customHeight="1" x14ac:dyDescent="0.3">
      <c r="A866" s="78">
        <v>7</v>
      </c>
      <c r="B866" s="79"/>
      <c r="C866" s="68" t="s">
        <v>192</v>
      </c>
      <c r="D866" s="52">
        <f>(4.93*7.45+3.12*1.65+1.3*1.5+0.45*0.9)*(10.764)</f>
        <v>476.10786599999994</v>
      </c>
      <c r="E866" s="68">
        <v>0</v>
      </c>
      <c r="F866" s="68">
        <f t="shared" si="139"/>
        <v>761.77258559999996</v>
      </c>
      <c r="G866" s="86"/>
      <c r="H866" s="87"/>
      <c r="I866" s="36"/>
      <c r="L866" s="77"/>
      <c r="M866" s="77"/>
      <c r="N866" s="36"/>
    </row>
    <row r="867" spans="1:14" s="37" customFormat="1" ht="15.75" customHeight="1" x14ac:dyDescent="0.3">
      <c r="A867" s="78">
        <v>8</v>
      </c>
      <c r="B867" s="79"/>
      <c r="C867" s="68" t="s">
        <v>192</v>
      </c>
      <c r="D867" s="52">
        <f t="shared" ref="D867:D878" si="140">(5.1*9.85+3.3*1.65+1.2*1.5+0.45*0.9)*(10.764)</f>
        <v>623.07413999999983</v>
      </c>
      <c r="E867" s="68">
        <v>0</v>
      </c>
      <c r="F867" s="68">
        <f t="shared" si="139"/>
        <v>996.9186239999998</v>
      </c>
      <c r="G867" s="86"/>
      <c r="H867" s="87"/>
      <c r="I867" s="36"/>
      <c r="L867" s="77"/>
      <c r="M867" s="77"/>
      <c r="N867" s="36"/>
    </row>
    <row r="868" spans="1:14" s="37" customFormat="1" ht="15.75" customHeight="1" x14ac:dyDescent="0.3">
      <c r="A868" s="78">
        <v>9</v>
      </c>
      <c r="B868" s="79"/>
      <c r="C868" s="68" t="s">
        <v>192</v>
      </c>
      <c r="D868" s="52">
        <f t="shared" si="140"/>
        <v>623.07413999999983</v>
      </c>
      <c r="E868" s="68">
        <v>0</v>
      </c>
      <c r="F868" s="68">
        <f t="shared" si="139"/>
        <v>996.9186239999998</v>
      </c>
      <c r="G868" s="86"/>
      <c r="H868" s="87"/>
      <c r="I868" s="36"/>
      <c r="L868" s="77"/>
      <c r="M868" s="77"/>
      <c r="N868" s="36"/>
    </row>
    <row r="869" spans="1:14" s="37" customFormat="1" ht="15.75" customHeight="1" x14ac:dyDescent="0.3">
      <c r="A869" s="78">
        <v>10</v>
      </c>
      <c r="B869" s="79"/>
      <c r="C869" s="68" t="s">
        <v>192</v>
      </c>
      <c r="D869" s="52">
        <f t="shared" si="140"/>
        <v>623.07413999999983</v>
      </c>
      <c r="E869" s="68">
        <v>0</v>
      </c>
      <c r="F869" s="68">
        <f t="shared" si="139"/>
        <v>996.9186239999998</v>
      </c>
      <c r="G869" s="86"/>
      <c r="H869" s="87"/>
      <c r="I869" s="36"/>
      <c r="L869" s="77"/>
      <c r="M869" s="77"/>
      <c r="N869" s="36"/>
    </row>
    <row r="870" spans="1:14" s="37" customFormat="1" ht="15.75" customHeight="1" x14ac:dyDescent="0.3">
      <c r="A870" s="78">
        <v>11</v>
      </c>
      <c r="B870" s="79"/>
      <c r="C870" s="68" t="s">
        <v>192</v>
      </c>
      <c r="D870" s="52">
        <f t="shared" si="140"/>
        <v>623.07413999999983</v>
      </c>
      <c r="E870" s="68">
        <v>0</v>
      </c>
      <c r="F870" s="68">
        <f t="shared" si="139"/>
        <v>996.9186239999998</v>
      </c>
      <c r="G870" s="86"/>
      <c r="H870" s="87"/>
      <c r="I870" s="36"/>
      <c r="L870" s="77"/>
      <c r="M870" s="77"/>
      <c r="N870" s="36"/>
    </row>
    <row r="871" spans="1:14" s="37" customFormat="1" ht="15.75" customHeight="1" x14ac:dyDescent="0.3">
      <c r="A871" s="78">
        <v>12</v>
      </c>
      <c r="B871" s="79"/>
      <c r="C871" s="68" t="s">
        <v>192</v>
      </c>
      <c r="D871" s="52">
        <f t="shared" si="140"/>
        <v>623.07413999999983</v>
      </c>
      <c r="E871" s="68">
        <v>0</v>
      </c>
      <c r="F871" s="68">
        <f t="shared" si="139"/>
        <v>996.9186239999998</v>
      </c>
      <c r="G871" s="86"/>
      <c r="H871" s="87"/>
      <c r="I871" s="36"/>
      <c r="L871" s="77"/>
      <c r="M871" s="77"/>
      <c r="N871" s="36"/>
    </row>
    <row r="872" spans="1:14" s="37" customFormat="1" ht="15.75" customHeight="1" x14ac:dyDescent="0.3">
      <c r="A872" s="78">
        <v>14</v>
      </c>
      <c r="B872" s="79"/>
      <c r="C872" s="68" t="s">
        <v>192</v>
      </c>
      <c r="D872" s="52">
        <f t="shared" si="140"/>
        <v>623.07413999999983</v>
      </c>
      <c r="E872" s="68">
        <v>0</v>
      </c>
      <c r="F872" s="68">
        <f t="shared" si="139"/>
        <v>996.9186239999998</v>
      </c>
      <c r="G872" s="86"/>
      <c r="H872" s="87"/>
      <c r="I872" s="36"/>
      <c r="L872" s="77"/>
      <c r="M872" s="77"/>
      <c r="N872" s="36"/>
    </row>
    <row r="873" spans="1:14" s="37" customFormat="1" ht="15.75" customHeight="1" x14ac:dyDescent="0.3">
      <c r="A873" s="78">
        <v>15</v>
      </c>
      <c r="B873" s="79"/>
      <c r="C873" s="68" t="s">
        <v>192</v>
      </c>
      <c r="D873" s="52">
        <f t="shared" si="140"/>
        <v>623.07413999999983</v>
      </c>
      <c r="E873" s="68">
        <v>0</v>
      </c>
      <c r="F873" s="68">
        <f t="shared" si="139"/>
        <v>996.9186239999998</v>
      </c>
      <c r="G873" s="86"/>
      <c r="H873" s="87"/>
      <c r="I873" s="36"/>
      <c r="L873" s="77"/>
      <c r="M873" s="77"/>
      <c r="N873" s="36"/>
    </row>
    <row r="874" spans="1:14" s="37" customFormat="1" ht="15.75" customHeight="1" x14ac:dyDescent="0.3">
      <c r="A874" s="78">
        <v>16</v>
      </c>
      <c r="B874" s="79"/>
      <c r="C874" s="68" t="s">
        <v>192</v>
      </c>
      <c r="D874" s="52">
        <f t="shared" si="140"/>
        <v>623.07413999999983</v>
      </c>
      <c r="E874" s="68">
        <v>0</v>
      </c>
      <c r="F874" s="68">
        <f t="shared" si="139"/>
        <v>996.9186239999998</v>
      </c>
      <c r="G874" s="86"/>
      <c r="H874" s="87"/>
      <c r="I874" s="36"/>
      <c r="L874" s="77"/>
      <c r="M874" s="77"/>
      <c r="N874" s="36"/>
    </row>
    <row r="875" spans="1:14" s="37" customFormat="1" ht="15.75" customHeight="1" x14ac:dyDescent="0.3">
      <c r="A875" s="78">
        <v>17</v>
      </c>
      <c r="B875" s="79"/>
      <c r="C875" s="68" t="s">
        <v>192</v>
      </c>
      <c r="D875" s="52">
        <f t="shared" si="140"/>
        <v>623.07413999999983</v>
      </c>
      <c r="E875" s="68">
        <v>0</v>
      </c>
      <c r="F875" s="68">
        <f t="shared" si="139"/>
        <v>996.9186239999998</v>
      </c>
      <c r="G875" s="86"/>
      <c r="H875" s="87"/>
      <c r="I875" s="36"/>
      <c r="L875" s="77"/>
      <c r="M875" s="77"/>
      <c r="N875" s="36"/>
    </row>
    <row r="876" spans="1:14" s="37" customFormat="1" ht="15.75" customHeight="1" x14ac:dyDescent="0.3">
      <c r="A876" s="78">
        <v>18</v>
      </c>
      <c r="B876" s="79"/>
      <c r="C876" s="68" t="s">
        <v>192</v>
      </c>
      <c r="D876" s="52">
        <f t="shared" si="140"/>
        <v>623.07413999999983</v>
      </c>
      <c r="E876" s="68">
        <v>0</v>
      </c>
      <c r="F876" s="68">
        <f t="shared" si="139"/>
        <v>996.9186239999998</v>
      </c>
      <c r="G876" s="86"/>
      <c r="H876" s="87"/>
      <c r="I876" s="36"/>
      <c r="L876" s="77"/>
      <c r="M876" s="77"/>
      <c r="N876" s="36"/>
    </row>
    <row r="877" spans="1:14" s="37" customFormat="1" ht="15.75" customHeight="1" x14ac:dyDescent="0.3">
      <c r="A877" s="78">
        <v>19</v>
      </c>
      <c r="B877" s="79"/>
      <c r="C877" s="68" t="s">
        <v>192</v>
      </c>
      <c r="D877" s="52">
        <f t="shared" si="140"/>
        <v>623.07413999999983</v>
      </c>
      <c r="E877" s="68">
        <v>0</v>
      </c>
      <c r="F877" s="68">
        <f t="shared" si="139"/>
        <v>996.9186239999998</v>
      </c>
      <c r="G877" s="86"/>
      <c r="H877" s="87"/>
      <c r="I877" s="36"/>
      <c r="L877" s="77"/>
      <c r="M877" s="77"/>
      <c r="N877" s="36"/>
    </row>
    <row r="878" spans="1:14" s="37" customFormat="1" ht="15.75" customHeight="1" x14ac:dyDescent="0.3">
      <c r="A878" s="78">
        <v>20</v>
      </c>
      <c r="B878" s="79"/>
      <c r="C878" s="68" t="s">
        <v>192</v>
      </c>
      <c r="D878" s="52">
        <f t="shared" si="140"/>
        <v>623.07413999999983</v>
      </c>
      <c r="E878" s="68">
        <v>0</v>
      </c>
      <c r="F878" s="68">
        <f t="shared" si="139"/>
        <v>996.9186239999998</v>
      </c>
      <c r="G878" s="86"/>
      <c r="H878" s="87"/>
      <c r="J878" s="36"/>
      <c r="L878" s="77"/>
      <c r="M878" s="77"/>
      <c r="N878" s="36"/>
    </row>
    <row r="879" spans="1:14" s="37" customFormat="1" ht="15.75" customHeight="1" x14ac:dyDescent="0.3">
      <c r="A879" s="88" t="s">
        <v>207</v>
      </c>
      <c r="B879" s="89"/>
      <c r="C879" s="89"/>
      <c r="D879" s="89"/>
      <c r="E879" s="89"/>
      <c r="F879" s="89"/>
      <c r="G879" s="89"/>
      <c r="H879" s="90"/>
      <c r="I879" s="36"/>
      <c r="L879" s="77"/>
      <c r="M879" s="77"/>
      <c r="N879" s="36"/>
    </row>
    <row r="880" spans="1:14" s="37" customFormat="1" ht="15.75" customHeight="1" x14ac:dyDescent="0.3">
      <c r="A880" s="78">
        <v>1</v>
      </c>
      <c r="B880" s="79"/>
      <c r="C880" s="68" t="s">
        <v>192</v>
      </c>
      <c r="D880" s="52">
        <f>(5*6.4+3.1*1.65+5.25*1.05+1.3*1.5+0.45*0.9)*(10.764)</f>
        <v>484.19163000000009</v>
      </c>
      <c r="E880" s="68">
        <v>0</v>
      </c>
      <c r="F880" s="68">
        <f t="shared" ref="F880:F898" si="141">(D880+E880)*(($F$130)+1)</f>
        <v>774.70660800000019</v>
      </c>
      <c r="G880" s="86" t="str">
        <f>A879</f>
        <v>24 Floor (25th Floor as per Builder)</v>
      </c>
      <c r="H880" s="87"/>
      <c r="I880" s="36"/>
      <c r="L880" s="77"/>
      <c r="M880" s="77"/>
      <c r="N880" s="36"/>
    </row>
    <row r="881" spans="1:14" s="37" customFormat="1" ht="15.75" customHeight="1" x14ac:dyDescent="0.3">
      <c r="A881" s="78">
        <v>2</v>
      </c>
      <c r="B881" s="79"/>
      <c r="C881" s="68" t="s">
        <v>192</v>
      </c>
      <c r="D881" s="52">
        <f>(5.1*7.45+3.13*1.65+1.37*1.5+0.45*0.9)*(10.764)</f>
        <v>491.04829799999993</v>
      </c>
      <c r="E881" s="68">
        <v>0</v>
      </c>
      <c r="F881" s="68">
        <f t="shared" si="141"/>
        <v>785.67727679999996</v>
      </c>
      <c r="G881" s="86"/>
      <c r="H881" s="87"/>
      <c r="I881" s="36"/>
      <c r="L881" s="77"/>
      <c r="M881" s="77"/>
      <c r="N881" s="36"/>
    </row>
    <row r="882" spans="1:14" s="37" customFormat="1" ht="15.75" customHeight="1" x14ac:dyDescent="0.3">
      <c r="A882" s="78">
        <v>3</v>
      </c>
      <c r="B882" s="79"/>
      <c r="C882" s="68" t="s">
        <v>192</v>
      </c>
      <c r="D882" s="52">
        <f>(5.1*7.45+3.3*1.65+1.2*1.5+0.45*0.9)*(10.764)</f>
        <v>491.32277999999991</v>
      </c>
      <c r="E882" s="68">
        <v>0</v>
      </c>
      <c r="F882" s="68">
        <f t="shared" si="141"/>
        <v>786.11644799999988</v>
      </c>
      <c r="G882" s="86"/>
      <c r="H882" s="87"/>
      <c r="I882" s="36"/>
      <c r="L882" s="77"/>
      <c r="M882" s="77"/>
      <c r="N882" s="36"/>
    </row>
    <row r="883" spans="1:14" s="37" customFormat="1" ht="15.75" customHeight="1" x14ac:dyDescent="0.3">
      <c r="A883" s="78">
        <v>4</v>
      </c>
      <c r="B883" s="79"/>
      <c r="C883" s="68" t="s">
        <v>192</v>
      </c>
      <c r="D883" s="52">
        <f>(5.1*7.45+3.13*1.65+1.37*1.5+0.45*0.9)*(10.764)</f>
        <v>491.04829799999993</v>
      </c>
      <c r="E883" s="68">
        <v>0</v>
      </c>
      <c r="F883" s="68">
        <f t="shared" si="141"/>
        <v>785.67727679999996</v>
      </c>
      <c r="G883" s="86"/>
      <c r="H883" s="87"/>
      <c r="I883" s="36"/>
      <c r="L883" s="77"/>
      <c r="M883" s="77"/>
      <c r="N883" s="36"/>
    </row>
    <row r="884" spans="1:14" s="37" customFormat="1" x14ac:dyDescent="0.3">
      <c r="A884" s="78">
        <v>5</v>
      </c>
      <c r="B884" s="79"/>
      <c r="C884" s="68" t="s">
        <v>192</v>
      </c>
      <c r="D884" s="52">
        <f>(5.1*7.45+3.3*1.65+1.2*1.5+0.45*0.9)*(10.764)</f>
        <v>491.32277999999991</v>
      </c>
      <c r="E884" s="68">
        <v>0</v>
      </c>
      <c r="F884" s="68">
        <f t="shared" si="141"/>
        <v>786.11644799999988</v>
      </c>
      <c r="G884" s="86"/>
      <c r="H884" s="87"/>
      <c r="I884" s="36"/>
      <c r="K884" s="36"/>
    </row>
    <row r="885" spans="1:14" s="37" customFormat="1" ht="15.75" customHeight="1" x14ac:dyDescent="0.3">
      <c r="A885" s="78">
        <v>6</v>
      </c>
      <c r="B885" s="79"/>
      <c r="C885" s="68" t="s">
        <v>192</v>
      </c>
      <c r="D885" s="52">
        <f>(5.1*7.45+3.12*1.65+1.3*1.5+0.45*0.9)*(10.764)</f>
        <v>489.74047200000001</v>
      </c>
      <c r="E885" s="68">
        <v>0</v>
      </c>
      <c r="F885" s="68">
        <f t="shared" si="141"/>
        <v>783.58475520000002</v>
      </c>
      <c r="G885" s="86"/>
      <c r="H885" s="87"/>
      <c r="I885" s="36"/>
      <c r="L885" s="77"/>
      <c r="M885" s="77"/>
      <c r="N885" s="36"/>
    </row>
    <row r="886" spans="1:14" s="37" customFormat="1" ht="15.75" customHeight="1" x14ac:dyDescent="0.3">
      <c r="A886" s="78">
        <v>7</v>
      </c>
      <c r="B886" s="79"/>
      <c r="C886" s="68" t="s">
        <v>192</v>
      </c>
      <c r="D886" s="52">
        <f>(4.93*7.45+3.12*1.65+1.3*1.5+0.45*0.9)*(10.764)</f>
        <v>476.10786599999994</v>
      </c>
      <c r="E886" s="68">
        <v>0</v>
      </c>
      <c r="F886" s="68">
        <f t="shared" si="141"/>
        <v>761.77258559999996</v>
      </c>
      <c r="G886" s="86"/>
      <c r="H886" s="87"/>
      <c r="I886" s="36"/>
      <c r="L886" s="77"/>
      <c r="M886" s="77"/>
      <c r="N886" s="36"/>
    </row>
    <row r="887" spans="1:14" s="37" customFormat="1" ht="15.75" customHeight="1" x14ac:dyDescent="0.3">
      <c r="A887" s="78">
        <v>8</v>
      </c>
      <c r="B887" s="79"/>
      <c r="C887" s="68" t="s">
        <v>192</v>
      </c>
      <c r="D887" s="52">
        <f t="shared" ref="D887:D898" si="142">(5.1*9.85+3.3*1.65+1.2*1.5+0.45*0.9)*(10.764)</f>
        <v>623.07413999999983</v>
      </c>
      <c r="E887" s="68">
        <v>0</v>
      </c>
      <c r="F887" s="68">
        <f t="shared" si="141"/>
        <v>996.9186239999998</v>
      </c>
      <c r="G887" s="86"/>
      <c r="H887" s="87"/>
      <c r="I887" s="36"/>
      <c r="L887" s="77"/>
      <c r="M887" s="77"/>
      <c r="N887" s="36"/>
    </row>
    <row r="888" spans="1:14" s="37" customFormat="1" ht="15.75" customHeight="1" x14ac:dyDescent="0.3">
      <c r="A888" s="78">
        <v>9</v>
      </c>
      <c r="B888" s="79"/>
      <c r="C888" s="68" t="s">
        <v>192</v>
      </c>
      <c r="D888" s="52">
        <f t="shared" si="142"/>
        <v>623.07413999999983</v>
      </c>
      <c r="E888" s="68">
        <v>0</v>
      </c>
      <c r="F888" s="68">
        <f t="shared" si="141"/>
        <v>996.9186239999998</v>
      </c>
      <c r="G888" s="86"/>
      <c r="H888" s="87"/>
      <c r="I888" s="36"/>
      <c r="L888" s="77"/>
      <c r="M888" s="77"/>
      <c r="N888" s="36"/>
    </row>
    <row r="889" spans="1:14" s="37" customFormat="1" ht="15.75" customHeight="1" x14ac:dyDescent="0.3">
      <c r="A889" s="78">
        <v>10</v>
      </c>
      <c r="B889" s="79"/>
      <c r="C889" s="68" t="s">
        <v>192</v>
      </c>
      <c r="D889" s="52">
        <f t="shared" si="142"/>
        <v>623.07413999999983</v>
      </c>
      <c r="E889" s="68">
        <v>0</v>
      </c>
      <c r="F889" s="68">
        <f t="shared" si="141"/>
        <v>996.9186239999998</v>
      </c>
      <c r="G889" s="86"/>
      <c r="H889" s="87"/>
      <c r="I889" s="36"/>
      <c r="L889" s="77"/>
      <c r="M889" s="77"/>
      <c r="N889" s="36"/>
    </row>
    <row r="890" spans="1:14" s="37" customFormat="1" ht="15.75" customHeight="1" x14ac:dyDescent="0.3">
      <c r="A890" s="78">
        <v>11</v>
      </c>
      <c r="B890" s="79"/>
      <c r="C890" s="68" t="s">
        <v>192</v>
      </c>
      <c r="D890" s="52">
        <f t="shared" si="142"/>
        <v>623.07413999999983</v>
      </c>
      <c r="E890" s="68">
        <v>0</v>
      </c>
      <c r="F890" s="68">
        <f t="shared" si="141"/>
        <v>996.9186239999998</v>
      </c>
      <c r="G890" s="86"/>
      <c r="H890" s="87"/>
      <c r="I890" s="36"/>
      <c r="L890" s="77"/>
      <c r="M890" s="77"/>
      <c r="N890" s="36"/>
    </row>
    <row r="891" spans="1:14" s="37" customFormat="1" ht="15.75" customHeight="1" x14ac:dyDescent="0.3">
      <c r="A891" s="78">
        <v>12</v>
      </c>
      <c r="B891" s="79"/>
      <c r="C891" s="68" t="s">
        <v>192</v>
      </c>
      <c r="D891" s="52">
        <f t="shared" si="142"/>
        <v>623.07413999999983</v>
      </c>
      <c r="E891" s="68">
        <v>0</v>
      </c>
      <c r="F891" s="68">
        <f t="shared" si="141"/>
        <v>996.9186239999998</v>
      </c>
      <c r="G891" s="86"/>
      <c r="H891" s="87"/>
      <c r="I891" s="36"/>
      <c r="L891" s="77"/>
      <c r="M891" s="77"/>
      <c r="N891" s="36"/>
    </row>
    <row r="892" spans="1:14" s="37" customFormat="1" ht="15.75" customHeight="1" x14ac:dyDescent="0.3">
      <c r="A892" s="78">
        <v>14</v>
      </c>
      <c r="B892" s="79"/>
      <c r="C892" s="68" t="s">
        <v>192</v>
      </c>
      <c r="D892" s="52">
        <f t="shared" si="142"/>
        <v>623.07413999999983</v>
      </c>
      <c r="E892" s="68">
        <v>0</v>
      </c>
      <c r="F892" s="68">
        <f t="shared" si="141"/>
        <v>996.9186239999998</v>
      </c>
      <c r="G892" s="86"/>
      <c r="H892" s="87"/>
      <c r="I892" s="36"/>
      <c r="L892" s="77"/>
      <c r="M892" s="77"/>
      <c r="N892" s="36"/>
    </row>
    <row r="893" spans="1:14" s="37" customFormat="1" ht="15.75" customHeight="1" x14ac:dyDescent="0.3">
      <c r="A893" s="78">
        <v>15</v>
      </c>
      <c r="B893" s="79"/>
      <c r="C893" s="68" t="s">
        <v>192</v>
      </c>
      <c r="D893" s="52">
        <f t="shared" si="142"/>
        <v>623.07413999999983</v>
      </c>
      <c r="E893" s="68">
        <v>0</v>
      </c>
      <c r="F893" s="68">
        <f t="shared" si="141"/>
        <v>996.9186239999998</v>
      </c>
      <c r="G893" s="86"/>
      <c r="H893" s="87"/>
      <c r="I893" s="36"/>
      <c r="L893" s="77"/>
      <c r="M893" s="77"/>
      <c r="N893" s="36"/>
    </row>
    <row r="894" spans="1:14" s="37" customFormat="1" ht="15.75" customHeight="1" x14ac:dyDescent="0.3">
      <c r="A894" s="78">
        <v>16</v>
      </c>
      <c r="B894" s="79"/>
      <c r="C894" s="68" t="s">
        <v>192</v>
      </c>
      <c r="D894" s="52">
        <f t="shared" si="142"/>
        <v>623.07413999999983</v>
      </c>
      <c r="E894" s="68">
        <v>0</v>
      </c>
      <c r="F894" s="68">
        <f t="shared" si="141"/>
        <v>996.9186239999998</v>
      </c>
      <c r="G894" s="86"/>
      <c r="H894" s="87"/>
      <c r="I894" s="36"/>
      <c r="L894" s="77"/>
      <c r="M894" s="77"/>
      <c r="N894" s="36"/>
    </row>
    <row r="895" spans="1:14" s="37" customFormat="1" ht="15.75" customHeight="1" x14ac:dyDescent="0.3">
      <c r="A895" s="78">
        <v>17</v>
      </c>
      <c r="B895" s="79"/>
      <c r="C895" s="68" t="s">
        <v>192</v>
      </c>
      <c r="D895" s="52">
        <f t="shared" si="142"/>
        <v>623.07413999999983</v>
      </c>
      <c r="E895" s="68">
        <v>0</v>
      </c>
      <c r="F895" s="68">
        <f t="shared" si="141"/>
        <v>996.9186239999998</v>
      </c>
      <c r="G895" s="86"/>
      <c r="H895" s="87"/>
      <c r="I895" s="36"/>
      <c r="L895" s="77"/>
      <c r="M895" s="77"/>
      <c r="N895" s="36"/>
    </row>
    <row r="896" spans="1:14" s="37" customFormat="1" ht="15.75" customHeight="1" x14ac:dyDescent="0.3">
      <c r="A896" s="78">
        <v>18</v>
      </c>
      <c r="B896" s="79"/>
      <c r="C896" s="68" t="s">
        <v>192</v>
      </c>
      <c r="D896" s="52">
        <f t="shared" si="142"/>
        <v>623.07413999999983</v>
      </c>
      <c r="E896" s="68">
        <v>0</v>
      </c>
      <c r="F896" s="68">
        <f t="shared" si="141"/>
        <v>996.9186239999998</v>
      </c>
      <c r="G896" s="86"/>
      <c r="H896" s="87"/>
      <c r="I896" s="36"/>
      <c r="L896" s="77"/>
      <c r="M896" s="77"/>
      <c r="N896" s="36"/>
    </row>
    <row r="897" spans="1:14" s="37" customFormat="1" ht="15.75" customHeight="1" x14ac:dyDescent="0.3">
      <c r="A897" s="78">
        <v>19</v>
      </c>
      <c r="B897" s="79"/>
      <c r="C897" s="68" t="s">
        <v>192</v>
      </c>
      <c r="D897" s="52">
        <f t="shared" si="142"/>
        <v>623.07413999999983</v>
      </c>
      <c r="E897" s="68">
        <v>0</v>
      </c>
      <c r="F897" s="68">
        <f t="shared" si="141"/>
        <v>996.9186239999998</v>
      </c>
      <c r="G897" s="86"/>
      <c r="H897" s="87"/>
      <c r="I897" s="36"/>
      <c r="L897" s="77"/>
      <c r="M897" s="77"/>
      <c r="N897" s="36"/>
    </row>
    <row r="898" spans="1:14" s="37" customFormat="1" ht="15.75" customHeight="1" x14ac:dyDescent="0.3">
      <c r="A898" s="78">
        <v>20</v>
      </c>
      <c r="B898" s="79"/>
      <c r="C898" s="68" t="s">
        <v>192</v>
      </c>
      <c r="D898" s="52">
        <f t="shared" si="142"/>
        <v>623.07413999999983</v>
      </c>
      <c r="E898" s="68">
        <v>0</v>
      </c>
      <c r="F898" s="68">
        <f t="shared" si="141"/>
        <v>996.9186239999998</v>
      </c>
      <c r="G898" s="86"/>
      <c r="H898" s="87"/>
      <c r="J898" s="36"/>
      <c r="L898" s="77"/>
      <c r="M898" s="77"/>
      <c r="N898" s="36"/>
    </row>
    <row r="899" spans="1:14" s="37" customFormat="1" ht="15.75" customHeight="1" x14ac:dyDescent="0.3">
      <c r="A899" s="83" t="s">
        <v>288</v>
      </c>
      <c r="B899" s="84"/>
      <c r="C899" s="84"/>
      <c r="D899" s="84"/>
      <c r="E899" s="84"/>
      <c r="F899" s="84"/>
      <c r="G899" s="84"/>
      <c r="H899" s="85"/>
      <c r="I899" s="36" t="s">
        <v>273</v>
      </c>
      <c r="L899" s="77"/>
      <c r="M899" s="77"/>
      <c r="N899" s="36"/>
    </row>
    <row r="900" spans="1:14" s="37" customFormat="1" ht="15.75" customHeight="1" x14ac:dyDescent="0.3">
      <c r="A900" s="78">
        <v>1</v>
      </c>
      <c r="B900" s="79"/>
      <c r="C900" s="68" t="s">
        <v>192</v>
      </c>
      <c r="D900" s="52">
        <f>(5*6.4+3.1*1.65+5.25*1.05+1.3*1.5+0.45*0.9)*(10.764)</f>
        <v>484.19163000000009</v>
      </c>
      <c r="E900" s="68">
        <v>0</v>
      </c>
      <c r="F900" s="68">
        <f t="shared" ref="F900:F918" si="143">(D900+E900)*(($F$130)+1)</f>
        <v>774.70660800000019</v>
      </c>
      <c r="G900" s="86" t="str">
        <f>A899</f>
        <v>25th Floor (26th Floor as per Builder)</v>
      </c>
      <c r="H900" s="87"/>
      <c r="I900" s="36"/>
      <c r="L900" s="77"/>
      <c r="M900" s="77"/>
      <c r="N900" s="36"/>
    </row>
    <row r="901" spans="1:14" s="37" customFormat="1" ht="15.75" customHeight="1" x14ac:dyDescent="0.3">
      <c r="A901" s="78">
        <v>2</v>
      </c>
      <c r="B901" s="79"/>
      <c r="C901" s="68" t="s">
        <v>192</v>
      </c>
      <c r="D901" s="52">
        <f>(5.1*7.45+3.13*1.65+1.37*1.5+0.45*0.9)*(10.764)</f>
        <v>491.04829799999993</v>
      </c>
      <c r="E901" s="68">
        <v>0</v>
      </c>
      <c r="F901" s="68">
        <f t="shared" si="143"/>
        <v>785.67727679999996</v>
      </c>
      <c r="G901" s="86"/>
      <c r="H901" s="87"/>
      <c r="I901" s="36"/>
      <c r="L901" s="77"/>
      <c r="M901" s="77"/>
      <c r="N901" s="36"/>
    </row>
    <row r="902" spans="1:14" s="37" customFormat="1" ht="15.75" customHeight="1" x14ac:dyDescent="0.3">
      <c r="A902" s="78">
        <v>3</v>
      </c>
      <c r="B902" s="79"/>
      <c r="C902" s="68" t="s">
        <v>192</v>
      </c>
      <c r="D902" s="52">
        <f>(5.1*7.45+3.3*1.65+1.2*1.5+0.45*0.9)*(10.764)</f>
        <v>491.32277999999991</v>
      </c>
      <c r="E902" s="68">
        <v>0</v>
      </c>
      <c r="F902" s="68">
        <f t="shared" si="143"/>
        <v>786.11644799999988</v>
      </c>
      <c r="G902" s="86"/>
      <c r="H902" s="87"/>
      <c r="I902" s="36"/>
      <c r="L902" s="77"/>
      <c r="M902" s="77"/>
      <c r="N902" s="36"/>
    </row>
    <row r="903" spans="1:14" s="37" customFormat="1" ht="15.75" customHeight="1" x14ac:dyDescent="0.3">
      <c r="A903" s="78">
        <v>4</v>
      </c>
      <c r="B903" s="79"/>
      <c r="C903" s="68" t="s">
        <v>192</v>
      </c>
      <c r="D903" s="52">
        <f>(5.1*7.45+3.13*1.65+1.37*1.5+0.45*0.9)*(10.764)</f>
        <v>491.04829799999993</v>
      </c>
      <c r="E903" s="68">
        <v>0</v>
      </c>
      <c r="F903" s="68">
        <f t="shared" si="143"/>
        <v>785.67727679999996</v>
      </c>
      <c r="G903" s="86"/>
      <c r="H903" s="87"/>
      <c r="I903" s="36"/>
      <c r="L903" s="77"/>
      <c r="M903" s="77"/>
      <c r="N903" s="36"/>
    </row>
    <row r="904" spans="1:14" s="37" customFormat="1" x14ac:dyDescent="0.3">
      <c r="A904" s="78">
        <v>5</v>
      </c>
      <c r="B904" s="79"/>
      <c r="C904" s="68" t="s">
        <v>192</v>
      </c>
      <c r="D904" s="52">
        <f>(5.1*7.45+3.3*1.65+1.2*1.5+0.45*0.9)*(10.764)</f>
        <v>491.32277999999991</v>
      </c>
      <c r="E904" s="68">
        <v>0</v>
      </c>
      <c r="F904" s="68">
        <f t="shared" si="143"/>
        <v>786.11644799999988</v>
      </c>
      <c r="G904" s="86"/>
      <c r="H904" s="87"/>
      <c r="I904" s="36"/>
      <c r="K904" s="36"/>
    </row>
    <row r="905" spans="1:14" s="37" customFormat="1" ht="15.75" customHeight="1" x14ac:dyDescent="0.3">
      <c r="A905" s="78">
        <v>6</v>
      </c>
      <c r="B905" s="79"/>
      <c r="C905" s="68" t="s">
        <v>192</v>
      </c>
      <c r="D905" s="52">
        <f>(5.1*7.45+3.12*1.65+1.3*1.5+0.45*0.9)*(10.764)</f>
        <v>489.74047200000001</v>
      </c>
      <c r="E905" s="68">
        <v>0</v>
      </c>
      <c r="F905" s="68">
        <f t="shared" si="143"/>
        <v>783.58475520000002</v>
      </c>
      <c r="G905" s="86"/>
      <c r="H905" s="87"/>
      <c r="I905" s="36"/>
      <c r="L905" s="77"/>
      <c r="M905" s="77"/>
      <c r="N905" s="36"/>
    </row>
    <row r="906" spans="1:14" s="37" customFormat="1" ht="15.75" customHeight="1" x14ac:dyDescent="0.3">
      <c r="A906" s="78">
        <v>7</v>
      </c>
      <c r="B906" s="79"/>
      <c r="C906" s="68" t="s">
        <v>192</v>
      </c>
      <c r="D906" s="52">
        <f>(4.93*7.45+3.12*1.65+1.3*1.5+0.45*0.9)*(10.764)</f>
        <v>476.10786599999994</v>
      </c>
      <c r="E906" s="68">
        <v>0</v>
      </c>
      <c r="F906" s="68">
        <f t="shared" si="143"/>
        <v>761.77258559999996</v>
      </c>
      <c r="G906" s="86"/>
      <c r="H906" s="87"/>
      <c r="I906" s="36"/>
      <c r="L906" s="77"/>
      <c r="M906" s="77"/>
      <c r="N906" s="36"/>
    </row>
    <row r="907" spans="1:14" s="37" customFormat="1" ht="15.75" customHeight="1" x14ac:dyDescent="0.3">
      <c r="A907" s="78">
        <v>8</v>
      </c>
      <c r="B907" s="79"/>
      <c r="C907" s="68" t="s">
        <v>192</v>
      </c>
      <c r="D907" s="52">
        <f t="shared" ref="D907:D918" si="144">(5.1*9.85+3.3*1.65+1.2*1.5+0.45*0.9)*(10.764)</f>
        <v>623.07413999999983</v>
      </c>
      <c r="E907" s="68">
        <v>0</v>
      </c>
      <c r="F907" s="68">
        <f t="shared" si="143"/>
        <v>996.9186239999998</v>
      </c>
      <c r="G907" s="86"/>
      <c r="H907" s="87"/>
      <c r="I907" s="36"/>
      <c r="L907" s="77"/>
      <c r="M907" s="77"/>
      <c r="N907" s="36"/>
    </row>
    <row r="908" spans="1:14" s="37" customFormat="1" ht="15.75" customHeight="1" x14ac:dyDescent="0.3">
      <c r="A908" s="78">
        <v>9</v>
      </c>
      <c r="B908" s="79"/>
      <c r="C908" s="68" t="s">
        <v>192</v>
      </c>
      <c r="D908" s="52">
        <f t="shared" si="144"/>
        <v>623.07413999999983</v>
      </c>
      <c r="E908" s="68">
        <v>0</v>
      </c>
      <c r="F908" s="68">
        <f t="shared" si="143"/>
        <v>996.9186239999998</v>
      </c>
      <c r="G908" s="86"/>
      <c r="H908" s="87"/>
      <c r="I908" s="36"/>
      <c r="L908" s="77"/>
      <c r="M908" s="77"/>
      <c r="N908" s="36"/>
    </row>
    <row r="909" spans="1:14" s="37" customFormat="1" ht="15.75" customHeight="1" x14ac:dyDescent="0.3">
      <c r="A909" s="78">
        <v>10</v>
      </c>
      <c r="B909" s="79"/>
      <c r="C909" s="68" t="s">
        <v>192</v>
      </c>
      <c r="D909" s="52">
        <f t="shared" si="144"/>
        <v>623.07413999999983</v>
      </c>
      <c r="E909" s="68">
        <v>0</v>
      </c>
      <c r="F909" s="68">
        <f t="shared" si="143"/>
        <v>996.9186239999998</v>
      </c>
      <c r="G909" s="86"/>
      <c r="H909" s="87"/>
      <c r="I909" s="36"/>
      <c r="L909" s="77"/>
      <c r="M909" s="77"/>
      <c r="N909" s="36"/>
    </row>
    <row r="910" spans="1:14" s="37" customFormat="1" ht="15.75" customHeight="1" x14ac:dyDescent="0.3">
      <c r="A910" s="78">
        <v>11</v>
      </c>
      <c r="B910" s="79"/>
      <c r="C910" s="68" t="s">
        <v>192</v>
      </c>
      <c r="D910" s="52">
        <f t="shared" si="144"/>
        <v>623.07413999999983</v>
      </c>
      <c r="E910" s="68">
        <v>0</v>
      </c>
      <c r="F910" s="68">
        <f t="shared" si="143"/>
        <v>996.9186239999998</v>
      </c>
      <c r="G910" s="86"/>
      <c r="H910" s="87"/>
      <c r="I910" s="36"/>
      <c r="L910" s="77"/>
      <c r="M910" s="77"/>
      <c r="N910" s="36"/>
    </row>
    <row r="911" spans="1:14" s="37" customFormat="1" ht="15.75" customHeight="1" x14ac:dyDescent="0.3">
      <c r="A911" s="78">
        <v>12</v>
      </c>
      <c r="B911" s="79"/>
      <c r="C911" s="68" t="s">
        <v>192</v>
      </c>
      <c r="D911" s="52">
        <f t="shared" si="144"/>
        <v>623.07413999999983</v>
      </c>
      <c r="E911" s="68">
        <v>0</v>
      </c>
      <c r="F911" s="68">
        <f t="shared" si="143"/>
        <v>996.9186239999998</v>
      </c>
      <c r="G911" s="86"/>
      <c r="H911" s="87"/>
      <c r="I911" s="36"/>
      <c r="L911" s="77"/>
      <c r="M911" s="77"/>
      <c r="N911" s="36"/>
    </row>
    <row r="912" spans="1:14" s="37" customFormat="1" ht="15.75" customHeight="1" x14ac:dyDescent="0.3">
      <c r="A912" s="78">
        <v>14</v>
      </c>
      <c r="B912" s="79"/>
      <c r="C912" s="68" t="s">
        <v>192</v>
      </c>
      <c r="D912" s="52">
        <f t="shared" si="144"/>
        <v>623.07413999999983</v>
      </c>
      <c r="E912" s="68">
        <v>0</v>
      </c>
      <c r="F912" s="68">
        <f t="shared" si="143"/>
        <v>996.9186239999998</v>
      </c>
      <c r="G912" s="86"/>
      <c r="H912" s="87"/>
      <c r="I912" s="36"/>
      <c r="L912" s="77"/>
      <c r="M912" s="77"/>
      <c r="N912" s="36"/>
    </row>
    <row r="913" spans="1:14" s="37" customFormat="1" ht="15.75" customHeight="1" x14ac:dyDescent="0.3">
      <c r="A913" s="78">
        <v>15</v>
      </c>
      <c r="B913" s="79"/>
      <c r="C913" s="68" t="s">
        <v>192</v>
      </c>
      <c r="D913" s="52">
        <f t="shared" si="144"/>
        <v>623.07413999999983</v>
      </c>
      <c r="E913" s="68">
        <v>0</v>
      </c>
      <c r="F913" s="68">
        <f t="shared" si="143"/>
        <v>996.9186239999998</v>
      </c>
      <c r="G913" s="86"/>
      <c r="H913" s="87"/>
      <c r="I913" s="36"/>
      <c r="L913" s="77"/>
      <c r="M913" s="77"/>
      <c r="N913" s="36"/>
    </row>
    <row r="914" spans="1:14" s="37" customFormat="1" ht="15.75" customHeight="1" x14ac:dyDescent="0.3">
      <c r="A914" s="78">
        <v>16</v>
      </c>
      <c r="B914" s="79"/>
      <c r="C914" s="68" t="s">
        <v>192</v>
      </c>
      <c r="D914" s="52">
        <f t="shared" si="144"/>
        <v>623.07413999999983</v>
      </c>
      <c r="E914" s="68">
        <v>0</v>
      </c>
      <c r="F914" s="68">
        <f t="shared" si="143"/>
        <v>996.9186239999998</v>
      </c>
      <c r="G914" s="86"/>
      <c r="H914" s="87"/>
      <c r="I914" s="36"/>
      <c r="L914" s="77"/>
      <c r="M914" s="77"/>
      <c r="N914" s="36"/>
    </row>
    <row r="915" spans="1:14" s="37" customFormat="1" ht="15.75" customHeight="1" x14ac:dyDescent="0.3">
      <c r="A915" s="78">
        <v>17</v>
      </c>
      <c r="B915" s="79"/>
      <c r="C915" s="68" t="s">
        <v>192</v>
      </c>
      <c r="D915" s="52">
        <f t="shared" si="144"/>
        <v>623.07413999999983</v>
      </c>
      <c r="E915" s="68">
        <v>0</v>
      </c>
      <c r="F915" s="68">
        <f t="shared" si="143"/>
        <v>996.9186239999998</v>
      </c>
      <c r="G915" s="86"/>
      <c r="H915" s="87"/>
      <c r="I915" s="36"/>
      <c r="L915" s="77"/>
      <c r="M915" s="77"/>
      <c r="N915" s="36"/>
    </row>
    <row r="916" spans="1:14" s="37" customFormat="1" ht="15.75" customHeight="1" x14ac:dyDescent="0.3">
      <c r="A916" s="78">
        <v>18</v>
      </c>
      <c r="B916" s="79"/>
      <c r="C916" s="68" t="s">
        <v>192</v>
      </c>
      <c r="D916" s="52">
        <f t="shared" si="144"/>
        <v>623.07413999999983</v>
      </c>
      <c r="E916" s="68">
        <v>0</v>
      </c>
      <c r="F916" s="68">
        <f t="shared" si="143"/>
        <v>996.9186239999998</v>
      </c>
      <c r="G916" s="86"/>
      <c r="H916" s="87"/>
      <c r="I916" s="36"/>
      <c r="L916" s="77"/>
      <c r="M916" s="77"/>
      <c r="N916" s="36"/>
    </row>
    <row r="917" spans="1:14" s="37" customFormat="1" ht="15.75" customHeight="1" x14ac:dyDescent="0.3">
      <c r="A917" s="78">
        <v>19</v>
      </c>
      <c r="B917" s="79"/>
      <c r="C917" s="68" t="s">
        <v>192</v>
      </c>
      <c r="D917" s="52">
        <f t="shared" si="144"/>
        <v>623.07413999999983</v>
      </c>
      <c r="E917" s="68">
        <v>0</v>
      </c>
      <c r="F917" s="68">
        <f t="shared" si="143"/>
        <v>996.9186239999998</v>
      </c>
      <c r="G917" s="86"/>
      <c r="H917" s="87"/>
      <c r="I917" s="36"/>
      <c r="L917" s="77"/>
      <c r="M917" s="77"/>
      <c r="N917" s="36"/>
    </row>
    <row r="918" spans="1:14" s="37" customFormat="1" ht="15.75" customHeight="1" x14ac:dyDescent="0.3">
      <c r="A918" s="78">
        <v>20</v>
      </c>
      <c r="B918" s="79"/>
      <c r="C918" s="68" t="s">
        <v>192</v>
      </c>
      <c r="D918" s="52">
        <f t="shared" si="144"/>
        <v>623.07413999999983</v>
      </c>
      <c r="E918" s="68">
        <v>0</v>
      </c>
      <c r="F918" s="68">
        <f t="shared" si="143"/>
        <v>996.9186239999998</v>
      </c>
      <c r="G918" s="86"/>
      <c r="H918" s="87"/>
      <c r="J918" s="36"/>
      <c r="L918" s="77"/>
      <c r="M918" s="77"/>
      <c r="N918" s="36"/>
    </row>
    <row r="919" spans="1:14" s="37" customFormat="1" ht="15.75" customHeight="1" x14ac:dyDescent="0.3">
      <c r="A919" s="88" t="s">
        <v>208</v>
      </c>
      <c r="B919" s="89"/>
      <c r="C919" s="89"/>
      <c r="D919" s="89"/>
      <c r="E919" s="89"/>
      <c r="F919" s="89"/>
      <c r="G919" s="89"/>
      <c r="H919" s="90"/>
      <c r="I919" s="36" t="s">
        <v>277</v>
      </c>
      <c r="L919" s="77"/>
      <c r="M919" s="77"/>
      <c r="N919" s="36"/>
    </row>
    <row r="920" spans="1:14" s="37" customFormat="1" ht="15.75" customHeight="1" x14ac:dyDescent="0.3">
      <c r="A920" s="78">
        <v>1</v>
      </c>
      <c r="B920" s="79"/>
      <c r="C920" s="68" t="s">
        <v>192</v>
      </c>
      <c r="D920" s="52">
        <f>(5*6.4+3.1*1.65+5.25*1.05+1.3*1.5+0.45*0.9)*(10.764)</f>
        <v>484.19163000000009</v>
      </c>
      <c r="E920" s="68">
        <v>0</v>
      </c>
      <c r="F920" s="68">
        <f t="shared" ref="F920:F938" si="145">(D920+E920)*(($F$130)+1)</f>
        <v>774.70660800000019</v>
      </c>
      <c r="G920" s="86" t="str">
        <f>A919</f>
        <v>26th Floor (27th Floor as per Builder)</v>
      </c>
      <c r="H920" s="87"/>
      <c r="I920" s="36"/>
      <c r="L920" s="77"/>
      <c r="M920" s="77"/>
      <c r="N920" s="36"/>
    </row>
    <row r="921" spans="1:14" s="37" customFormat="1" ht="15.75" customHeight="1" x14ac:dyDescent="0.3">
      <c r="A921" s="78">
        <v>2</v>
      </c>
      <c r="B921" s="79"/>
      <c r="C921" s="68" t="s">
        <v>192</v>
      </c>
      <c r="D921" s="52">
        <f>(5.1*7.45+3.13*1.65+1.37*1.5+0.45*0.9)*(10.764)</f>
        <v>491.04829799999993</v>
      </c>
      <c r="E921" s="68">
        <v>0</v>
      </c>
      <c r="F921" s="68">
        <f t="shared" si="145"/>
        <v>785.67727679999996</v>
      </c>
      <c r="G921" s="86"/>
      <c r="H921" s="87"/>
      <c r="I921" s="36"/>
      <c r="L921" s="77"/>
      <c r="M921" s="77"/>
      <c r="N921" s="36"/>
    </row>
    <row r="922" spans="1:14" s="37" customFormat="1" ht="15.75" customHeight="1" x14ac:dyDescent="0.3">
      <c r="A922" s="78">
        <v>3</v>
      </c>
      <c r="B922" s="79"/>
      <c r="C922" s="68" t="s">
        <v>192</v>
      </c>
      <c r="D922" s="52">
        <f>(5.1*7.45+3.3*1.65+1.2*1.5+0.45*0.9)*(10.764)</f>
        <v>491.32277999999991</v>
      </c>
      <c r="E922" s="68">
        <v>0</v>
      </c>
      <c r="F922" s="68">
        <f t="shared" si="145"/>
        <v>786.11644799999988</v>
      </c>
      <c r="G922" s="86"/>
      <c r="H922" s="87"/>
      <c r="I922" s="36"/>
      <c r="L922" s="77"/>
      <c r="M922" s="77"/>
      <c r="N922" s="36"/>
    </row>
    <row r="923" spans="1:14" s="37" customFormat="1" ht="15.75" customHeight="1" x14ac:dyDescent="0.3">
      <c r="A923" s="78">
        <v>4</v>
      </c>
      <c r="B923" s="79"/>
      <c r="C923" s="68" t="s">
        <v>192</v>
      </c>
      <c r="D923" s="52">
        <f>(5.1*7.45+3.13*1.65+1.37*1.5+0.45*0.9)*(10.764)</f>
        <v>491.04829799999993</v>
      </c>
      <c r="E923" s="68">
        <v>0</v>
      </c>
      <c r="F923" s="68">
        <f t="shared" si="145"/>
        <v>785.67727679999996</v>
      </c>
      <c r="G923" s="86"/>
      <c r="H923" s="87"/>
      <c r="I923" s="36"/>
      <c r="L923" s="77"/>
      <c r="M923" s="77"/>
      <c r="N923" s="36"/>
    </row>
    <row r="924" spans="1:14" s="35" customFormat="1" x14ac:dyDescent="0.3">
      <c r="A924" s="78">
        <v>5</v>
      </c>
      <c r="B924" s="79"/>
      <c r="C924" s="68" t="s">
        <v>192</v>
      </c>
      <c r="D924" s="52">
        <f>(5.1*7.45+3.3*1.65+1.2*1.5+0.45*0.9)*(10.764)</f>
        <v>491.32277999999991</v>
      </c>
      <c r="E924" s="68">
        <v>0</v>
      </c>
      <c r="F924" s="68">
        <f t="shared" si="145"/>
        <v>786.11644799999988</v>
      </c>
      <c r="G924" s="86"/>
      <c r="H924" s="87"/>
      <c r="I924" s="36"/>
      <c r="J924" s="37"/>
    </row>
    <row r="925" spans="1:14" s="35" customFormat="1" x14ac:dyDescent="0.3">
      <c r="A925" s="78">
        <v>6</v>
      </c>
      <c r="B925" s="79"/>
      <c r="C925" s="68" t="s">
        <v>192</v>
      </c>
      <c r="D925" s="52">
        <f>(5.1*7.45+3.12*1.65+1.3*1.5+0.45*0.9)*(10.764)</f>
        <v>489.74047200000001</v>
      </c>
      <c r="E925" s="68">
        <v>0</v>
      </c>
      <c r="F925" s="68">
        <f t="shared" si="145"/>
        <v>783.58475520000002</v>
      </c>
      <c r="G925" s="86"/>
      <c r="H925" s="87"/>
      <c r="I925" s="36"/>
      <c r="J925" s="37"/>
    </row>
    <row r="926" spans="1:14" s="35" customFormat="1" x14ac:dyDescent="0.3">
      <c r="A926" s="78">
        <v>7</v>
      </c>
      <c r="B926" s="79"/>
      <c r="C926" s="68" t="s">
        <v>192</v>
      </c>
      <c r="D926" s="52">
        <f>(4.93*7.45+3.12*1.65+1.3*1.5+0.45*0.9)*(10.764)</f>
        <v>476.10786599999994</v>
      </c>
      <c r="E926" s="68">
        <v>0</v>
      </c>
      <c r="F926" s="68">
        <f t="shared" si="145"/>
        <v>761.77258559999996</v>
      </c>
      <c r="G926" s="86"/>
      <c r="H926" s="87"/>
      <c r="I926" s="36"/>
      <c r="J926" s="37"/>
    </row>
    <row r="927" spans="1:14" s="35" customFormat="1" x14ac:dyDescent="0.3">
      <c r="A927" s="78">
        <v>8</v>
      </c>
      <c r="B927" s="79"/>
      <c r="C927" s="68" t="s">
        <v>192</v>
      </c>
      <c r="D927" s="52">
        <f>(15.6*9.65+3.3*(1.65+1.65+1.65)+(1.2*1.5+0.45*0.9)*3)*(10.764)</f>
        <v>1867.4463599999999</v>
      </c>
      <c r="E927" s="68">
        <v>0</v>
      </c>
      <c r="F927" s="68">
        <f t="shared" si="145"/>
        <v>2987.9141760000002</v>
      </c>
      <c r="G927" s="86"/>
      <c r="H927" s="87"/>
      <c r="I927" s="36"/>
      <c r="J927" s="37"/>
    </row>
    <row r="928" spans="1:14" s="35" customFormat="1" x14ac:dyDescent="0.3">
      <c r="A928" s="78">
        <v>9</v>
      </c>
      <c r="B928" s="79"/>
      <c r="C928" s="68" t="s">
        <v>192</v>
      </c>
      <c r="D928" s="52">
        <f>(5.1*9.85+3.3*1.65+1.2*1.5+0.45*0.9)*(10.764)</f>
        <v>623.07413999999983</v>
      </c>
      <c r="E928" s="68">
        <v>0</v>
      </c>
      <c r="F928" s="68">
        <f t="shared" si="145"/>
        <v>996.9186239999998</v>
      </c>
      <c r="G928" s="86"/>
      <c r="H928" s="87"/>
      <c r="I928" s="36"/>
      <c r="J928" s="37"/>
    </row>
    <row r="929" spans="1:10" s="35" customFormat="1" x14ac:dyDescent="0.3">
      <c r="A929" s="78">
        <v>10</v>
      </c>
      <c r="B929" s="79"/>
      <c r="C929" s="68" t="s">
        <v>192</v>
      </c>
      <c r="D929" s="52">
        <f t="shared" ref="D929:D937" si="146">(5.1*9.85+3.3*1.65+1.2*1.5+0.45*0.9)*(10.764)</f>
        <v>623.07413999999983</v>
      </c>
      <c r="E929" s="68">
        <v>0</v>
      </c>
      <c r="F929" s="68">
        <f t="shared" si="145"/>
        <v>996.9186239999998</v>
      </c>
      <c r="G929" s="86"/>
      <c r="H929" s="87"/>
      <c r="I929" s="36"/>
      <c r="J929" s="37"/>
    </row>
    <row r="930" spans="1:10" s="35" customFormat="1" x14ac:dyDescent="0.3">
      <c r="A930" s="78">
        <v>11</v>
      </c>
      <c r="B930" s="79"/>
      <c r="C930" s="68" t="s">
        <v>192</v>
      </c>
      <c r="D930" s="52">
        <f t="shared" si="146"/>
        <v>623.07413999999983</v>
      </c>
      <c r="E930" s="68">
        <v>0</v>
      </c>
      <c r="F930" s="68">
        <f t="shared" si="145"/>
        <v>996.9186239999998</v>
      </c>
      <c r="G930" s="86"/>
      <c r="H930" s="87"/>
      <c r="I930" s="36"/>
      <c r="J930" s="37"/>
    </row>
    <row r="931" spans="1:10" s="35" customFormat="1" x14ac:dyDescent="0.3">
      <c r="A931" s="78">
        <v>12</v>
      </c>
      <c r="B931" s="79"/>
      <c r="C931" s="68" t="s">
        <v>192</v>
      </c>
      <c r="D931" s="52">
        <f t="shared" si="146"/>
        <v>623.07413999999983</v>
      </c>
      <c r="E931" s="68">
        <v>0</v>
      </c>
      <c r="F931" s="68">
        <f t="shared" si="145"/>
        <v>996.9186239999998</v>
      </c>
      <c r="G931" s="86"/>
      <c r="H931" s="87"/>
      <c r="I931" s="36"/>
      <c r="J931" s="37"/>
    </row>
    <row r="932" spans="1:10" s="35" customFormat="1" x14ac:dyDescent="0.3">
      <c r="A932" s="78">
        <v>14</v>
      </c>
      <c r="B932" s="79"/>
      <c r="C932" s="68" t="s">
        <v>192</v>
      </c>
      <c r="D932" s="52">
        <f t="shared" si="146"/>
        <v>623.07413999999983</v>
      </c>
      <c r="E932" s="68">
        <v>0</v>
      </c>
      <c r="F932" s="68">
        <f t="shared" si="145"/>
        <v>996.9186239999998</v>
      </c>
      <c r="G932" s="86"/>
      <c r="H932" s="87"/>
      <c r="I932" s="36"/>
      <c r="J932" s="37"/>
    </row>
    <row r="933" spans="1:10" s="35" customFormat="1" x14ac:dyDescent="0.3">
      <c r="A933" s="78">
        <v>15</v>
      </c>
      <c r="B933" s="79"/>
      <c r="C933" s="68" t="s">
        <v>192</v>
      </c>
      <c r="D933" s="52">
        <f t="shared" si="146"/>
        <v>623.07413999999983</v>
      </c>
      <c r="E933" s="68">
        <v>0</v>
      </c>
      <c r="F933" s="68">
        <f t="shared" si="145"/>
        <v>996.9186239999998</v>
      </c>
      <c r="G933" s="86"/>
      <c r="H933" s="87"/>
      <c r="I933" s="36"/>
      <c r="J933" s="37"/>
    </row>
    <row r="934" spans="1:10" s="35" customFormat="1" x14ac:dyDescent="0.3">
      <c r="A934" s="78">
        <v>16</v>
      </c>
      <c r="B934" s="79"/>
      <c r="C934" s="68" t="s">
        <v>192</v>
      </c>
      <c r="D934" s="52">
        <f t="shared" si="146"/>
        <v>623.07413999999983</v>
      </c>
      <c r="E934" s="68">
        <v>0</v>
      </c>
      <c r="F934" s="68">
        <f t="shared" si="145"/>
        <v>996.9186239999998</v>
      </c>
      <c r="G934" s="86"/>
      <c r="H934" s="87"/>
      <c r="I934" s="36"/>
      <c r="J934" s="37"/>
    </row>
    <row r="935" spans="1:10" s="35" customFormat="1" x14ac:dyDescent="0.3">
      <c r="A935" s="78">
        <v>17</v>
      </c>
      <c r="B935" s="79"/>
      <c r="C935" s="68" t="s">
        <v>192</v>
      </c>
      <c r="D935" s="52">
        <f t="shared" si="146"/>
        <v>623.07413999999983</v>
      </c>
      <c r="E935" s="68">
        <v>0</v>
      </c>
      <c r="F935" s="68">
        <f t="shared" si="145"/>
        <v>996.9186239999998</v>
      </c>
      <c r="G935" s="86"/>
      <c r="H935" s="87"/>
      <c r="I935" s="36"/>
      <c r="J935" s="37"/>
    </row>
    <row r="936" spans="1:10" x14ac:dyDescent="0.3">
      <c r="A936" s="78">
        <v>18</v>
      </c>
      <c r="B936" s="79"/>
      <c r="C936" s="68" t="s">
        <v>192</v>
      </c>
      <c r="D936" s="52">
        <f t="shared" si="146"/>
        <v>623.07413999999983</v>
      </c>
      <c r="E936" s="68">
        <v>0</v>
      </c>
      <c r="F936" s="68">
        <f t="shared" si="145"/>
        <v>996.9186239999998</v>
      </c>
      <c r="G936" s="86"/>
      <c r="H936" s="87"/>
      <c r="I936" s="36"/>
      <c r="J936" s="37"/>
    </row>
    <row r="937" spans="1:10" x14ac:dyDescent="0.3">
      <c r="A937" s="78">
        <v>19</v>
      </c>
      <c r="B937" s="79"/>
      <c r="C937" s="68" t="s">
        <v>192</v>
      </c>
      <c r="D937" s="52">
        <f t="shared" si="146"/>
        <v>623.07413999999983</v>
      </c>
      <c r="E937" s="68">
        <v>0</v>
      </c>
      <c r="F937" s="68">
        <f t="shared" si="145"/>
        <v>996.9186239999998</v>
      </c>
      <c r="G937" s="86"/>
      <c r="H937" s="87"/>
      <c r="I937" s="36"/>
      <c r="J937" s="37"/>
    </row>
    <row r="938" spans="1:10" hidden="1" x14ac:dyDescent="0.3">
      <c r="A938" s="78">
        <v>20</v>
      </c>
      <c r="B938" s="79"/>
      <c r="C938" s="68" t="s">
        <v>192</v>
      </c>
      <c r="D938" s="52">
        <f t="shared" ref="D938:D939" si="147">(5.1*11.6)*(10.764)</f>
        <v>636.79823999999996</v>
      </c>
      <c r="E938" s="68">
        <v>0</v>
      </c>
      <c r="F938" s="68">
        <f t="shared" si="145"/>
        <v>1018.8771839999999</v>
      </c>
      <c r="G938" s="86"/>
      <c r="H938" s="87"/>
      <c r="I938" s="35"/>
      <c r="J938" s="35"/>
    </row>
    <row r="939" spans="1:10" x14ac:dyDescent="0.3">
      <c r="A939" s="78">
        <v>19</v>
      </c>
      <c r="B939" s="79"/>
      <c r="C939" s="68" t="s">
        <v>192</v>
      </c>
      <c r="D939" s="52">
        <f t="shared" si="147"/>
        <v>636.79823999999996</v>
      </c>
      <c r="E939" s="68">
        <v>0</v>
      </c>
      <c r="F939" s="68">
        <f t="shared" ref="F939" si="148">(D939+E939)*(($F$130)+1)</f>
        <v>1018.8771839999999</v>
      </c>
      <c r="G939" s="73"/>
      <c r="H939" s="69"/>
      <c r="I939" s="36"/>
      <c r="J939" s="37"/>
    </row>
    <row r="940" spans="1:10" x14ac:dyDescent="0.3">
      <c r="A940" s="88" t="s">
        <v>209</v>
      </c>
      <c r="B940" s="89"/>
      <c r="C940" s="89"/>
      <c r="D940" s="89"/>
      <c r="E940" s="89"/>
      <c r="F940" s="89"/>
      <c r="G940" s="89"/>
      <c r="H940" s="90"/>
      <c r="I940" s="36" t="s">
        <v>257</v>
      </c>
      <c r="J940" s="35"/>
    </row>
    <row r="941" spans="1:10" ht="15.75" customHeight="1" x14ac:dyDescent="0.3">
      <c r="A941" s="78">
        <v>1</v>
      </c>
      <c r="B941" s="79"/>
      <c r="C941" s="68" t="s">
        <v>192</v>
      </c>
      <c r="D941" s="52">
        <f>(5*6.4+3.1*1.65+5.25*1.05+1.3*1.5+0.45*0.9)*(10.764)</f>
        <v>484.19163000000009</v>
      </c>
      <c r="E941" s="68">
        <v>0</v>
      </c>
      <c r="F941" s="68">
        <f t="shared" ref="F941:F947" si="149">(D941+E941)*(($F$130)+1)</f>
        <v>774.70660800000019</v>
      </c>
      <c r="G941" s="91" t="str">
        <f>A940</f>
        <v>27th Floor (28th Floor as per Builder)</v>
      </c>
      <c r="H941" s="92"/>
      <c r="I941" s="35"/>
      <c r="J941" s="35"/>
    </row>
    <row r="942" spans="1:10" x14ac:dyDescent="0.3">
      <c r="A942" s="78">
        <f>A941+1</f>
        <v>2</v>
      </c>
      <c r="B942" s="79"/>
      <c r="C942" s="68" t="s">
        <v>192</v>
      </c>
      <c r="D942" s="52">
        <f>(5.1*7.45+3.13*1.65+1.37*1.5+0.45*0.9)*(10.764)</f>
        <v>491.04829799999993</v>
      </c>
      <c r="E942" s="68">
        <v>0</v>
      </c>
      <c r="F942" s="68">
        <f t="shared" si="149"/>
        <v>785.67727679999996</v>
      </c>
      <c r="G942" s="86"/>
      <c r="H942" s="87"/>
      <c r="I942" s="35"/>
      <c r="J942" s="35"/>
    </row>
    <row r="943" spans="1:10" x14ac:dyDescent="0.3">
      <c r="A943" s="78">
        <f t="shared" ref="A943:A958" si="150">A942+1</f>
        <v>3</v>
      </c>
      <c r="B943" s="79"/>
      <c r="C943" s="68" t="s">
        <v>192</v>
      </c>
      <c r="D943" s="52">
        <f>(5.1*7.45+3.3*1.65+1.2*1.5+0.45*0.9)*(10.764)</f>
        <v>491.32277999999991</v>
      </c>
      <c r="E943" s="68">
        <v>0</v>
      </c>
      <c r="F943" s="68">
        <f t="shared" si="149"/>
        <v>786.11644799999988</v>
      </c>
      <c r="G943" s="86"/>
      <c r="H943" s="87"/>
      <c r="I943" s="35"/>
      <c r="J943" s="35"/>
    </row>
    <row r="944" spans="1:10" ht="15" customHeight="1" x14ac:dyDescent="0.3">
      <c r="A944" s="78">
        <f t="shared" si="150"/>
        <v>4</v>
      </c>
      <c r="B944" s="79"/>
      <c r="C944" s="68" t="s">
        <v>192</v>
      </c>
      <c r="D944" s="52">
        <f>(5.1*7.45+3.13*1.65+1.37*1.5+0.45*0.9)*(10.764)</f>
        <v>491.04829799999993</v>
      </c>
      <c r="E944" s="68">
        <v>0</v>
      </c>
      <c r="F944" s="68">
        <f t="shared" si="149"/>
        <v>785.67727679999996</v>
      </c>
      <c r="G944" s="86"/>
      <c r="H944" s="87"/>
      <c r="I944" s="35"/>
      <c r="J944" s="35"/>
    </row>
    <row r="945" spans="1:14" x14ac:dyDescent="0.3">
      <c r="A945" s="78">
        <f t="shared" si="150"/>
        <v>5</v>
      </c>
      <c r="B945" s="79"/>
      <c r="C945" s="68" t="s">
        <v>192</v>
      </c>
      <c r="D945" s="52">
        <f>(5.1*7.45+3.3*1.65+1.2*1.5+0.45*0.9)*(10.764)</f>
        <v>491.32277999999991</v>
      </c>
      <c r="E945" s="68">
        <v>0</v>
      </c>
      <c r="F945" s="68">
        <f t="shared" si="149"/>
        <v>786.11644799999988</v>
      </c>
      <c r="G945" s="86"/>
      <c r="H945" s="87"/>
      <c r="I945" s="35"/>
      <c r="J945" s="35"/>
    </row>
    <row r="946" spans="1:14" x14ac:dyDescent="0.3">
      <c r="A946" s="78">
        <f t="shared" si="150"/>
        <v>6</v>
      </c>
      <c r="B946" s="79"/>
      <c r="C946" s="68" t="s">
        <v>192</v>
      </c>
      <c r="D946" s="52">
        <f>(5.1*7.45+3.12*1.65+1.3*1.5+0.45*0.9)*(10.764)</f>
        <v>489.74047200000001</v>
      </c>
      <c r="E946" s="68">
        <v>0</v>
      </c>
      <c r="F946" s="68">
        <f t="shared" si="149"/>
        <v>783.58475520000002</v>
      </c>
      <c r="G946" s="86"/>
      <c r="H946" s="87"/>
      <c r="I946" s="35"/>
      <c r="J946" s="35"/>
    </row>
    <row r="947" spans="1:14" x14ac:dyDescent="0.3">
      <c r="A947" s="78">
        <f t="shared" si="150"/>
        <v>7</v>
      </c>
      <c r="B947" s="79"/>
      <c r="C947" s="68" t="s">
        <v>192</v>
      </c>
      <c r="D947" s="52">
        <f>(4.93*7.45+3.12*1.65+1.3*1.5+0.45*0.9)*(10.764)</f>
        <v>476.10786599999994</v>
      </c>
      <c r="E947" s="68">
        <v>0</v>
      </c>
      <c r="F947" s="68">
        <f t="shared" si="149"/>
        <v>761.77258559999996</v>
      </c>
      <c r="G947" s="86"/>
      <c r="H947" s="87"/>
      <c r="I947" s="35"/>
      <c r="J947" s="35"/>
    </row>
    <row r="948" spans="1:14" x14ac:dyDescent="0.3">
      <c r="A948" s="78">
        <f t="shared" si="150"/>
        <v>8</v>
      </c>
      <c r="B948" s="79"/>
      <c r="C948" s="68" t="s">
        <v>192</v>
      </c>
      <c r="D948" s="52">
        <f>(15.6*9.65+3.3*(1.65+1.65+1.65)+(1.2*1.5+0.45*0.9)*3)*(10.764)</f>
        <v>1867.4463599999999</v>
      </c>
      <c r="E948" s="68">
        <v>0</v>
      </c>
      <c r="F948" s="68">
        <f t="shared" ref="F948:F950" si="151">(D948+E948)*(($F$130)+1)</f>
        <v>2987.9141760000002</v>
      </c>
      <c r="G948" s="86"/>
      <c r="H948" s="87"/>
      <c r="I948" s="35"/>
      <c r="J948" s="35"/>
    </row>
    <row r="949" spans="1:14" x14ac:dyDescent="0.3">
      <c r="A949" s="78">
        <v>11</v>
      </c>
      <c r="B949" s="79"/>
      <c r="C949" s="68" t="s">
        <v>192</v>
      </c>
      <c r="D949" s="52">
        <f>(5.1*9.85+3.3*1.65+1.2*1.5+0.45*0.9)*(10.764)</f>
        <v>623.07413999999983</v>
      </c>
      <c r="E949" s="68">
        <v>0</v>
      </c>
      <c r="F949" s="68">
        <f t="shared" si="151"/>
        <v>996.9186239999998</v>
      </c>
      <c r="G949" s="86"/>
      <c r="H949" s="87"/>
      <c r="I949" s="35"/>
      <c r="J949" s="35"/>
    </row>
    <row r="950" spans="1:14" x14ac:dyDescent="0.3">
      <c r="A950" s="78">
        <f t="shared" si="150"/>
        <v>12</v>
      </c>
      <c r="B950" s="79"/>
      <c r="C950" s="68" t="s">
        <v>192</v>
      </c>
      <c r="D950" s="52">
        <f t="shared" ref="D950:D958" si="152">(5.1*9.85+3.3*1.65+1.2*1.5+0.45*0.9)*(10.764)</f>
        <v>623.07413999999983</v>
      </c>
      <c r="E950" s="68">
        <v>0</v>
      </c>
      <c r="F950" s="68">
        <f t="shared" si="151"/>
        <v>996.9186239999998</v>
      </c>
      <c r="G950" s="86"/>
      <c r="H950" s="87"/>
      <c r="I950" s="35"/>
      <c r="J950" s="35"/>
    </row>
    <row r="951" spans="1:14" x14ac:dyDescent="0.3">
      <c r="A951" s="78">
        <f t="shared" si="150"/>
        <v>13</v>
      </c>
      <c r="B951" s="79"/>
      <c r="C951" s="68" t="s">
        <v>192</v>
      </c>
      <c r="D951" s="52">
        <f t="shared" si="152"/>
        <v>623.07413999999983</v>
      </c>
      <c r="E951" s="68">
        <v>0</v>
      </c>
      <c r="F951" s="68">
        <f t="shared" ref="F951:F958" si="153">(D951+E951)*(($F$130)+1)</f>
        <v>996.9186239999998</v>
      </c>
      <c r="G951" s="86"/>
      <c r="H951" s="87"/>
      <c r="I951" s="35"/>
      <c r="J951" s="35"/>
    </row>
    <row r="952" spans="1:14" x14ac:dyDescent="0.3">
      <c r="A952" s="78">
        <f t="shared" si="150"/>
        <v>14</v>
      </c>
      <c r="B952" s="79"/>
      <c r="C952" s="68" t="s">
        <v>192</v>
      </c>
      <c r="D952" s="52">
        <f t="shared" si="152"/>
        <v>623.07413999999983</v>
      </c>
      <c r="E952" s="68">
        <v>0</v>
      </c>
      <c r="F952" s="68">
        <f t="shared" si="153"/>
        <v>996.9186239999998</v>
      </c>
      <c r="G952" s="86"/>
      <c r="H952" s="87"/>
      <c r="I952" s="35"/>
      <c r="J952" s="35"/>
    </row>
    <row r="953" spans="1:14" x14ac:dyDescent="0.3">
      <c r="A953" s="78">
        <f>A952+1</f>
        <v>15</v>
      </c>
      <c r="B953" s="79"/>
      <c r="C953" s="68" t="s">
        <v>192</v>
      </c>
      <c r="D953" s="52">
        <f t="shared" si="152"/>
        <v>623.07413999999983</v>
      </c>
      <c r="E953" s="68">
        <v>0</v>
      </c>
      <c r="F953" s="68">
        <f t="shared" si="153"/>
        <v>996.9186239999998</v>
      </c>
      <c r="G953" s="86"/>
      <c r="H953" s="87"/>
      <c r="I953" s="35"/>
      <c r="J953" s="35"/>
    </row>
    <row r="954" spans="1:14" x14ac:dyDescent="0.3">
      <c r="A954" s="78">
        <f t="shared" si="150"/>
        <v>16</v>
      </c>
      <c r="B954" s="79"/>
      <c r="C954" s="68" t="s">
        <v>192</v>
      </c>
      <c r="D954" s="52">
        <f t="shared" si="152"/>
        <v>623.07413999999983</v>
      </c>
      <c r="E954" s="68">
        <v>0</v>
      </c>
      <c r="F954" s="68">
        <f t="shared" si="153"/>
        <v>996.9186239999998</v>
      </c>
      <c r="G954" s="86"/>
      <c r="H954" s="87"/>
      <c r="I954" s="35"/>
      <c r="J954" s="35"/>
    </row>
    <row r="955" spans="1:14" x14ac:dyDescent="0.3">
      <c r="A955" s="78">
        <f t="shared" si="150"/>
        <v>17</v>
      </c>
      <c r="B955" s="79"/>
      <c r="C955" s="68" t="s">
        <v>192</v>
      </c>
      <c r="D955" s="52">
        <f t="shared" si="152"/>
        <v>623.07413999999983</v>
      </c>
      <c r="E955" s="68">
        <v>0</v>
      </c>
      <c r="F955" s="68">
        <f t="shared" si="153"/>
        <v>996.9186239999998</v>
      </c>
      <c r="G955" s="86"/>
      <c r="H955" s="87"/>
      <c r="I955" s="35"/>
      <c r="J955" s="35"/>
    </row>
    <row r="956" spans="1:14" x14ac:dyDescent="0.3">
      <c r="A956" s="78">
        <f t="shared" si="150"/>
        <v>18</v>
      </c>
      <c r="B956" s="79"/>
      <c r="C956" s="68" t="s">
        <v>192</v>
      </c>
      <c r="D956" s="52">
        <f t="shared" si="152"/>
        <v>623.07413999999983</v>
      </c>
      <c r="E956" s="68">
        <v>0</v>
      </c>
      <c r="F956" s="68">
        <f t="shared" si="153"/>
        <v>996.9186239999998</v>
      </c>
      <c r="G956" s="86"/>
      <c r="H956" s="87"/>
      <c r="I956" s="35"/>
      <c r="J956" s="35"/>
    </row>
    <row r="957" spans="1:14" x14ac:dyDescent="0.3">
      <c r="A957" s="78">
        <f t="shared" si="150"/>
        <v>19</v>
      </c>
      <c r="B957" s="79"/>
      <c r="C957" s="68" t="s">
        <v>192</v>
      </c>
      <c r="D957" s="52">
        <f t="shared" si="152"/>
        <v>623.07413999999983</v>
      </c>
      <c r="E957" s="68">
        <v>0</v>
      </c>
      <c r="F957" s="68">
        <f t="shared" si="153"/>
        <v>996.9186239999998</v>
      </c>
      <c r="G957" s="86"/>
      <c r="H957" s="87"/>
      <c r="I957" s="35"/>
      <c r="J957" s="35"/>
    </row>
    <row r="958" spans="1:14" x14ac:dyDescent="0.3">
      <c r="A958" s="78">
        <f t="shared" si="150"/>
        <v>20</v>
      </c>
      <c r="B958" s="79"/>
      <c r="C958" s="68" t="s">
        <v>192</v>
      </c>
      <c r="D958" s="52">
        <f t="shared" si="152"/>
        <v>623.07413999999983</v>
      </c>
      <c r="E958" s="68">
        <v>0</v>
      </c>
      <c r="F958" s="68">
        <f t="shared" si="153"/>
        <v>996.9186239999998</v>
      </c>
      <c r="G958" s="86"/>
      <c r="H958" s="87"/>
      <c r="I958" s="35"/>
      <c r="J958" s="35"/>
    </row>
    <row r="959" spans="1:14" s="37" customFormat="1" ht="15.75" customHeight="1" x14ac:dyDescent="0.3">
      <c r="A959" s="83" t="s">
        <v>266</v>
      </c>
      <c r="B959" s="84"/>
      <c r="C959" s="84"/>
      <c r="D959" s="84"/>
      <c r="E959" s="84"/>
      <c r="F959" s="84"/>
      <c r="G959" s="84"/>
      <c r="H959" s="85"/>
      <c r="I959" s="36" t="s">
        <v>273</v>
      </c>
      <c r="L959" s="77"/>
      <c r="M959" s="77"/>
      <c r="N959" s="36"/>
    </row>
    <row r="960" spans="1:14" s="37" customFormat="1" ht="15.75" customHeight="1" x14ac:dyDescent="0.3">
      <c r="A960" s="78">
        <v>1</v>
      </c>
      <c r="B960" s="79"/>
      <c r="C960" s="68" t="s">
        <v>192</v>
      </c>
      <c r="D960" s="52">
        <f>(5*6.4+3.1*1.65+5.25*1.05+1.3*1.5+0.45*0.9)*(10.764)</f>
        <v>484.19163000000009</v>
      </c>
      <c r="E960" s="68">
        <v>0</v>
      </c>
      <c r="F960" s="68">
        <f t="shared" ref="F960:F978" si="154">(D960+E960)*(($F$130)+1)</f>
        <v>774.70660800000019</v>
      </c>
      <c r="G960" s="86" t="str">
        <f>A959</f>
        <v>28th Floor (29th Floor as per Builder)</v>
      </c>
      <c r="H960" s="87"/>
      <c r="I960" s="36"/>
      <c r="L960" s="77"/>
      <c r="M960" s="77"/>
      <c r="N960" s="36"/>
    </row>
    <row r="961" spans="1:14" s="37" customFormat="1" ht="15.75" customHeight="1" x14ac:dyDescent="0.3">
      <c r="A961" s="78">
        <v>2</v>
      </c>
      <c r="B961" s="79"/>
      <c r="C961" s="68" t="s">
        <v>192</v>
      </c>
      <c r="D961" s="52">
        <f>(5.1*7.45+3.13*1.65+1.37*1.5+0.45*0.9)*(10.764)</f>
        <v>491.04829799999993</v>
      </c>
      <c r="E961" s="68">
        <v>0</v>
      </c>
      <c r="F961" s="68">
        <f t="shared" si="154"/>
        <v>785.67727679999996</v>
      </c>
      <c r="G961" s="86"/>
      <c r="H961" s="87"/>
      <c r="I961" s="36"/>
      <c r="L961" s="77"/>
      <c r="M961" s="77"/>
      <c r="N961" s="36"/>
    </row>
    <row r="962" spans="1:14" s="37" customFormat="1" ht="15.75" customHeight="1" x14ac:dyDescent="0.3">
      <c r="A962" s="78">
        <v>3</v>
      </c>
      <c r="B962" s="79"/>
      <c r="C962" s="68" t="s">
        <v>192</v>
      </c>
      <c r="D962" s="52">
        <f>(5.1*7.45+3.3*1.65+1.2*1.5+0.45*0.9)*(10.764)</f>
        <v>491.32277999999991</v>
      </c>
      <c r="E962" s="68">
        <v>0</v>
      </c>
      <c r="F962" s="68">
        <f t="shared" si="154"/>
        <v>786.11644799999988</v>
      </c>
      <c r="G962" s="86"/>
      <c r="H962" s="87"/>
      <c r="I962" s="36"/>
      <c r="L962" s="77"/>
      <c r="M962" s="77"/>
      <c r="N962" s="36"/>
    </row>
    <row r="963" spans="1:14" s="37" customFormat="1" ht="15.75" customHeight="1" x14ac:dyDescent="0.3">
      <c r="A963" s="78">
        <v>4</v>
      </c>
      <c r="B963" s="79"/>
      <c r="C963" s="68" t="s">
        <v>192</v>
      </c>
      <c r="D963" s="52">
        <f>(5.1*7.45+3.13*1.65+1.37*1.5+0.45*0.9)*(10.764)</f>
        <v>491.04829799999993</v>
      </c>
      <c r="E963" s="68">
        <v>0</v>
      </c>
      <c r="F963" s="68">
        <f t="shared" si="154"/>
        <v>785.67727679999996</v>
      </c>
      <c r="G963" s="86"/>
      <c r="H963" s="87"/>
      <c r="I963" s="36"/>
      <c r="L963" s="77"/>
      <c r="M963" s="77"/>
      <c r="N963" s="36"/>
    </row>
    <row r="964" spans="1:14" s="37" customFormat="1" x14ac:dyDescent="0.3">
      <c r="A964" s="78">
        <v>5</v>
      </c>
      <c r="B964" s="79"/>
      <c r="C964" s="68" t="s">
        <v>192</v>
      </c>
      <c r="D964" s="52">
        <f>(5.1*7.45+3.3*1.65+1.2*1.5+0.45*0.9)*(10.764)</f>
        <v>491.32277999999991</v>
      </c>
      <c r="E964" s="68">
        <v>0</v>
      </c>
      <c r="F964" s="68">
        <f t="shared" si="154"/>
        <v>786.11644799999988</v>
      </c>
      <c r="G964" s="86"/>
      <c r="H964" s="87"/>
      <c r="I964" s="36"/>
      <c r="K964" s="36"/>
    </row>
    <row r="965" spans="1:14" s="37" customFormat="1" ht="15.75" customHeight="1" x14ac:dyDescent="0.3">
      <c r="A965" s="78">
        <v>6</v>
      </c>
      <c r="B965" s="79"/>
      <c r="C965" s="68" t="s">
        <v>192</v>
      </c>
      <c r="D965" s="52">
        <f>(5.1*7.45+3.12*1.65+1.3*1.5+0.45*0.9)*(10.764)</f>
        <v>489.74047200000001</v>
      </c>
      <c r="E965" s="68">
        <v>0</v>
      </c>
      <c r="F965" s="68">
        <f t="shared" si="154"/>
        <v>783.58475520000002</v>
      </c>
      <c r="G965" s="86"/>
      <c r="H965" s="87"/>
      <c r="I965" s="36"/>
      <c r="L965" s="77"/>
      <c r="M965" s="77"/>
      <c r="N965" s="36"/>
    </row>
    <row r="966" spans="1:14" s="37" customFormat="1" ht="15.75" customHeight="1" x14ac:dyDescent="0.3">
      <c r="A966" s="78">
        <v>7</v>
      </c>
      <c r="B966" s="79"/>
      <c r="C966" s="68" t="s">
        <v>192</v>
      </c>
      <c r="D966" s="52">
        <f>(4.93*7.45+3.12*1.65+1.3*1.5+0.45*0.9)*(10.764)</f>
        <v>476.10786599999994</v>
      </c>
      <c r="E966" s="68">
        <v>0</v>
      </c>
      <c r="F966" s="68">
        <f t="shared" si="154"/>
        <v>761.77258559999996</v>
      </c>
      <c r="G966" s="86"/>
      <c r="H966" s="87"/>
      <c r="I966" s="36"/>
      <c r="L966" s="77"/>
      <c r="M966" s="77"/>
      <c r="N966" s="36"/>
    </row>
    <row r="967" spans="1:14" s="37" customFormat="1" ht="15.75" customHeight="1" x14ac:dyDescent="0.3">
      <c r="A967" s="78">
        <v>8</v>
      </c>
      <c r="B967" s="79"/>
      <c r="C967" s="68" t="s">
        <v>192</v>
      </c>
      <c r="D967" s="52">
        <f t="shared" ref="D967:D978" si="155">(5.1*9.85+3.3*1.65+1.2*1.5+0.45*0.9)*(10.764)</f>
        <v>623.07413999999983</v>
      </c>
      <c r="E967" s="68">
        <v>0</v>
      </c>
      <c r="F967" s="68">
        <f t="shared" si="154"/>
        <v>996.9186239999998</v>
      </c>
      <c r="G967" s="86"/>
      <c r="H967" s="87"/>
      <c r="I967" s="36"/>
      <c r="L967" s="77"/>
      <c r="M967" s="77"/>
      <c r="N967" s="36"/>
    </row>
    <row r="968" spans="1:14" s="37" customFormat="1" ht="15.75" customHeight="1" x14ac:dyDescent="0.3">
      <c r="A968" s="78">
        <v>9</v>
      </c>
      <c r="B968" s="79"/>
      <c r="C968" s="68" t="s">
        <v>192</v>
      </c>
      <c r="D968" s="52">
        <f t="shared" si="155"/>
        <v>623.07413999999983</v>
      </c>
      <c r="E968" s="68">
        <v>0</v>
      </c>
      <c r="F968" s="68">
        <f t="shared" si="154"/>
        <v>996.9186239999998</v>
      </c>
      <c r="G968" s="86"/>
      <c r="H968" s="87"/>
      <c r="I968" s="36"/>
      <c r="L968" s="77"/>
      <c r="M968" s="77"/>
      <c r="N968" s="36"/>
    </row>
    <row r="969" spans="1:14" s="37" customFormat="1" ht="15.75" customHeight="1" x14ac:dyDescent="0.3">
      <c r="A969" s="78">
        <v>10</v>
      </c>
      <c r="B969" s="79"/>
      <c r="C969" s="68" t="s">
        <v>192</v>
      </c>
      <c r="D969" s="52">
        <f t="shared" si="155"/>
        <v>623.07413999999983</v>
      </c>
      <c r="E969" s="68">
        <v>0</v>
      </c>
      <c r="F969" s="68">
        <f t="shared" si="154"/>
        <v>996.9186239999998</v>
      </c>
      <c r="G969" s="86"/>
      <c r="H969" s="87"/>
      <c r="I969" s="36"/>
      <c r="L969" s="77"/>
      <c r="M969" s="77"/>
      <c r="N969" s="36"/>
    </row>
    <row r="970" spans="1:14" s="37" customFormat="1" ht="15.75" customHeight="1" x14ac:dyDescent="0.3">
      <c r="A970" s="78">
        <v>11</v>
      </c>
      <c r="B970" s="79"/>
      <c r="C970" s="68" t="s">
        <v>192</v>
      </c>
      <c r="D970" s="52">
        <f t="shared" si="155"/>
        <v>623.07413999999983</v>
      </c>
      <c r="E970" s="68">
        <v>0</v>
      </c>
      <c r="F970" s="68">
        <f t="shared" si="154"/>
        <v>996.9186239999998</v>
      </c>
      <c r="G970" s="86"/>
      <c r="H970" s="87"/>
      <c r="I970" s="36"/>
      <c r="L970" s="77"/>
      <c r="M970" s="77"/>
      <c r="N970" s="36"/>
    </row>
    <row r="971" spans="1:14" s="37" customFormat="1" ht="15.75" customHeight="1" x14ac:dyDescent="0.3">
      <c r="A971" s="78">
        <v>12</v>
      </c>
      <c r="B971" s="79"/>
      <c r="C971" s="68" t="s">
        <v>192</v>
      </c>
      <c r="D971" s="52">
        <f t="shared" si="155"/>
        <v>623.07413999999983</v>
      </c>
      <c r="E971" s="68">
        <v>0</v>
      </c>
      <c r="F971" s="68">
        <f t="shared" si="154"/>
        <v>996.9186239999998</v>
      </c>
      <c r="G971" s="86"/>
      <c r="H971" s="87"/>
      <c r="I971" s="36"/>
      <c r="L971" s="77"/>
      <c r="M971" s="77"/>
      <c r="N971" s="36"/>
    </row>
    <row r="972" spans="1:14" s="37" customFormat="1" ht="15.75" customHeight="1" x14ac:dyDescent="0.3">
      <c r="A972" s="78">
        <v>14</v>
      </c>
      <c r="B972" s="79"/>
      <c r="C972" s="68" t="s">
        <v>192</v>
      </c>
      <c r="D972" s="52">
        <f t="shared" si="155"/>
        <v>623.07413999999983</v>
      </c>
      <c r="E972" s="68">
        <v>0</v>
      </c>
      <c r="F972" s="68">
        <f t="shared" si="154"/>
        <v>996.9186239999998</v>
      </c>
      <c r="G972" s="86"/>
      <c r="H972" s="87"/>
      <c r="I972" s="36"/>
      <c r="L972" s="77"/>
      <c r="M972" s="77"/>
      <c r="N972" s="36"/>
    </row>
    <row r="973" spans="1:14" s="37" customFormat="1" ht="15.75" customHeight="1" x14ac:dyDescent="0.3">
      <c r="A973" s="78">
        <v>15</v>
      </c>
      <c r="B973" s="79"/>
      <c r="C973" s="68" t="s">
        <v>192</v>
      </c>
      <c r="D973" s="52">
        <f t="shared" si="155"/>
        <v>623.07413999999983</v>
      </c>
      <c r="E973" s="68">
        <v>0</v>
      </c>
      <c r="F973" s="68">
        <f t="shared" si="154"/>
        <v>996.9186239999998</v>
      </c>
      <c r="G973" s="86"/>
      <c r="H973" s="87"/>
      <c r="I973" s="36"/>
      <c r="L973" s="77"/>
      <c r="M973" s="77"/>
      <c r="N973" s="36"/>
    </row>
    <row r="974" spans="1:14" s="37" customFormat="1" ht="15.75" customHeight="1" x14ac:dyDescent="0.3">
      <c r="A974" s="78">
        <v>16</v>
      </c>
      <c r="B974" s="79"/>
      <c r="C974" s="68" t="s">
        <v>192</v>
      </c>
      <c r="D974" s="52">
        <f t="shared" si="155"/>
        <v>623.07413999999983</v>
      </c>
      <c r="E974" s="68">
        <v>0</v>
      </c>
      <c r="F974" s="68">
        <f t="shared" si="154"/>
        <v>996.9186239999998</v>
      </c>
      <c r="G974" s="86"/>
      <c r="H974" s="87"/>
      <c r="I974" s="36"/>
      <c r="L974" s="77"/>
      <c r="M974" s="77"/>
      <c r="N974" s="36"/>
    </row>
    <row r="975" spans="1:14" s="37" customFormat="1" ht="15.75" customHeight="1" x14ac:dyDescent="0.3">
      <c r="A975" s="78">
        <v>17</v>
      </c>
      <c r="B975" s="79"/>
      <c r="C975" s="68" t="s">
        <v>192</v>
      </c>
      <c r="D975" s="52">
        <f t="shared" si="155"/>
        <v>623.07413999999983</v>
      </c>
      <c r="E975" s="68">
        <v>0</v>
      </c>
      <c r="F975" s="68">
        <f t="shared" si="154"/>
        <v>996.9186239999998</v>
      </c>
      <c r="G975" s="86"/>
      <c r="H975" s="87"/>
      <c r="I975" s="36"/>
      <c r="L975" s="77"/>
      <c r="M975" s="77"/>
      <c r="N975" s="36"/>
    </row>
    <row r="976" spans="1:14" s="37" customFormat="1" ht="15.75" customHeight="1" x14ac:dyDescent="0.3">
      <c r="A976" s="78">
        <v>18</v>
      </c>
      <c r="B976" s="79"/>
      <c r="C976" s="68" t="s">
        <v>192</v>
      </c>
      <c r="D976" s="52">
        <f t="shared" si="155"/>
        <v>623.07413999999983</v>
      </c>
      <c r="E976" s="68">
        <v>0</v>
      </c>
      <c r="F976" s="68">
        <f t="shared" si="154"/>
        <v>996.9186239999998</v>
      </c>
      <c r="G976" s="86"/>
      <c r="H976" s="87"/>
      <c r="I976" s="36"/>
      <c r="L976" s="77"/>
      <c r="M976" s="77"/>
      <c r="N976" s="36"/>
    </row>
    <row r="977" spans="1:14" s="37" customFormat="1" ht="15.75" customHeight="1" x14ac:dyDescent="0.3">
      <c r="A977" s="78">
        <v>19</v>
      </c>
      <c r="B977" s="79"/>
      <c r="C977" s="68" t="s">
        <v>192</v>
      </c>
      <c r="D977" s="52">
        <f t="shared" si="155"/>
        <v>623.07413999999983</v>
      </c>
      <c r="E977" s="68">
        <v>0</v>
      </c>
      <c r="F977" s="68">
        <f t="shared" si="154"/>
        <v>996.9186239999998</v>
      </c>
      <c r="G977" s="86"/>
      <c r="H977" s="87"/>
      <c r="I977" s="36"/>
      <c r="L977" s="77"/>
      <c r="M977" s="77"/>
      <c r="N977" s="36"/>
    </row>
    <row r="978" spans="1:14" s="37" customFormat="1" ht="15.75" customHeight="1" x14ac:dyDescent="0.3">
      <c r="A978" s="78">
        <v>20</v>
      </c>
      <c r="B978" s="79"/>
      <c r="C978" s="68" t="s">
        <v>192</v>
      </c>
      <c r="D978" s="52">
        <f t="shared" si="155"/>
        <v>623.07413999999983</v>
      </c>
      <c r="E978" s="68">
        <v>0</v>
      </c>
      <c r="F978" s="68">
        <f t="shared" si="154"/>
        <v>996.9186239999998</v>
      </c>
      <c r="G978" s="86"/>
      <c r="H978" s="87"/>
      <c r="J978" s="36"/>
      <c r="L978" s="77"/>
      <c r="M978" s="77"/>
      <c r="N978" s="36"/>
    </row>
    <row r="979" spans="1:14" s="37" customFormat="1" ht="15.75" customHeight="1" x14ac:dyDescent="0.3">
      <c r="A979" s="83" t="s">
        <v>274</v>
      </c>
      <c r="B979" s="84"/>
      <c r="C979" s="84"/>
      <c r="D979" s="84"/>
      <c r="E979" s="84"/>
      <c r="F979" s="84"/>
      <c r="G979" s="84"/>
      <c r="H979" s="85"/>
      <c r="I979" s="36" t="s">
        <v>273</v>
      </c>
      <c r="L979" s="77"/>
      <c r="M979" s="77"/>
      <c r="N979" s="36"/>
    </row>
    <row r="980" spans="1:14" s="37" customFormat="1" ht="15.75" customHeight="1" x14ac:dyDescent="0.3">
      <c r="A980" s="78">
        <v>1</v>
      </c>
      <c r="B980" s="79"/>
      <c r="C980" s="68" t="s">
        <v>192</v>
      </c>
      <c r="D980" s="52">
        <f>(5*6.4+3.1*1.65+5.25*1.05+1.3*1.5+0.45*0.9)*(10.764)</f>
        <v>484.19163000000009</v>
      </c>
      <c r="E980" s="68">
        <v>0</v>
      </c>
      <c r="F980" s="68">
        <f t="shared" ref="F980:F998" si="156">(D980+E980)*(($F$130)+1)</f>
        <v>774.70660800000019</v>
      </c>
      <c r="G980" s="86" t="str">
        <f>A979</f>
        <v>29th Floor (30th Floor as per Builder)</v>
      </c>
      <c r="H980" s="87"/>
      <c r="I980" s="36"/>
      <c r="L980" s="77"/>
      <c r="M980" s="77"/>
      <c r="N980" s="36"/>
    </row>
    <row r="981" spans="1:14" s="37" customFormat="1" ht="15.75" customHeight="1" x14ac:dyDescent="0.3">
      <c r="A981" s="78">
        <v>2</v>
      </c>
      <c r="B981" s="79"/>
      <c r="C981" s="68" t="s">
        <v>192</v>
      </c>
      <c r="D981" s="52">
        <f>(5.1*7.45+3.13*1.65+1.37*1.5+0.45*0.9)*(10.764)</f>
        <v>491.04829799999993</v>
      </c>
      <c r="E981" s="68">
        <v>0</v>
      </c>
      <c r="F981" s="68">
        <f t="shared" si="156"/>
        <v>785.67727679999996</v>
      </c>
      <c r="G981" s="86"/>
      <c r="H981" s="87"/>
      <c r="I981" s="36"/>
      <c r="L981" s="77"/>
      <c r="M981" s="77"/>
      <c r="N981" s="36"/>
    </row>
    <row r="982" spans="1:14" s="37" customFormat="1" ht="15.75" customHeight="1" x14ac:dyDescent="0.3">
      <c r="A982" s="78">
        <v>3</v>
      </c>
      <c r="B982" s="79"/>
      <c r="C982" s="68" t="s">
        <v>192</v>
      </c>
      <c r="D982" s="52">
        <f>(5.1*7.45+3.3*1.65+1.2*1.5+0.45*0.9)*(10.764)</f>
        <v>491.32277999999991</v>
      </c>
      <c r="E982" s="68">
        <v>0</v>
      </c>
      <c r="F982" s="68">
        <f t="shared" si="156"/>
        <v>786.11644799999988</v>
      </c>
      <c r="G982" s="86"/>
      <c r="H982" s="87"/>
      <c r="I982" s="36"/>
      <c r="L982" s="77"/>
      <c r="M982" s="77"/>
      <c r="N982" s="36"/>
    </row>
    <row r="983" spans="1:14" s="37" customFormat="1" ht="15.75" customHeight="1" x14ac:dyDescent="0.3">
      <c r="A983" s="78">
        <v>4</v>
      </c>
      <c r="B983" s="79"/>
      <c r="C983" s="68" t="s">
        <v>192</v>
      </c>
      <c r="D983" s="52">
        <f>(5.1*7.45+3.13*1.65+1.37*1.5+0.45*0.9)*(10.764)</f>
        <v>491.04829799999993</v>
      </c>
      <c r="E983" s="68">
        <v>0</v>
      </c>
      <c r="F983" s="68">
        <f t="shared" si="156"/>
        <v>785.67727679999996</v>
      </c>
      <c r="G983" s="86"/>
      <c r="H983" s="87"/>
      <c r="I983" s="36"/>
      <c r="L983" s="77"/>
      <c r="M983" s="77"/>
      <c r="N983" s="36"/>
    </row>
    <row r="984" spans="1:14" s="37" customFormat="1" x14ac:dyDescent="0.3">
      <c r="A984" s="78">
        <v>5</v>
      </c>
      <c r="B984" s="79"/>
      <c r="C984" s="68" t="s">
        <v>192</v>
      </c>
      <c r="D984" s="52">
        <f>(5.1*7.45+3.3*1.65+1.2*1.5+0.45*0.9)*(10.764)</f>
        <v>491.32277999999991</v>
      </c>
      <c r="E984" s="68">
        <v>0</v>
      </c>
      <c r="F984" s="68">
        <f t="shared" si="156"/>
        <v>786.11644799999988</v>
      </c>
      <c r="G984" s="86"/>
      <c r="H984" s="87"/>
      <c r="I984" s="36"/>
      <c r="K984" s="36"/>
    </row>
    <row r="985" spans="1:14" s="37" customFormat="1" ht="15.75" customHeight="1" x14ac:dyDescent="0.3">
      <c r="A985" s="78">
        <v>6</v>
      </c>
      <c r="B985" s="79"/>
      <c r="C985" s="68" t="s">
        <v>192</v>
      </c>
      <c r="D985" s="52">
        <f>(5.1*7.45+3.12*1.65+1.3*1.5+0.45*0.9)*(10.764)</f>
        <v>489.74047200000001</v>
      </c>
      <c r="E985" s="68">
        <v>0</v>
      </c>
      <c r="F985" s="68">
        <f t="shared" si="156"/>
        <v>783.58475520000002</v>
      </c>
      <c r="G985" s="86"/>
      <c r="H985" s="87"/>
      <c r="I985" s="36"/>
      <c r="L985" s="77"/>
      <c r="M985" s="77"/>
      <c r="N985" s="36"/>
    </row>
    <row r="986" spans="1:14" s="37" customFormat="1" ht="15.75" customHeight="1" x14ac:dyDescent="0.3">
      <c r="A986" s="78">
        <v>7</v>
      </c>
      <c r="B986" s="79"/>
      <c r="C986" s="68" t="s">
        <v>192</v>
      </c>
      <c r="D986" s="52">
        <f>(4.93*7.45+3.12*1.65+1.3*1.5+0.45*0.9)*(10.764)</f>
        <v>476.10786599999994</v>
      </c>
      <c r="E986" s="68">
        <v>0</v>
      </c>
      <c r="F986" s="68">
        <f t="shared" si="156"/>
        <v>761.77258559999996</v>
      </c>
      <c r="G986" s="86"/>
      <c r="H986" s="87"/>
      <c r="I986" s="36"/>
      <c r="L986" s="77"/>
      <c r="M986" s="77"/>
      <c r="N986" s="36"/>
    </row>
    <row r="987" spans="1:14" s="37" customFormat="1" ht="15.75" customHeight="1" x14ac:dyDescent="0.3">
      <c r="A987" s="78">
        <v>8</v>
      </c>
      <c r="B987" s="79"/>
      <c r="C987" s="68" t="s">
        <v>192</v>
      </c>
      <c r="D987" s="52">
        <f t="shared" ref="D987:D998" si="157">(5.1*9.85+3.3*1.65+1.2*1.5+0.45*0.9)*(10.764)</f>
        <v>623.07413999999983</v>
      </c>
      <c r="E987" s="68">
        <v>0</v>
      </c>
      <c r="F987" s="68">
        <f t="shared" si="156"/>
        <v>996.9186239999998</v>
      </c>
      <c r="G987" s="86"/>
      <c r="H987" s="87"/>
      <c r="I987" s="36"/>
      <c r="L987" s="77"/>
      <c r="M987" s="77"/>
      <c r="N987" s="36"/>
    </row>
    <row r="988" spans="1:14" s="37" customFormat="1" ht="15.75" customHeight="1" x14ac:dyDescent="0.3">
      <c r="A988" s="78">
        <v>9</v>
      </c>
      <c r="B988" s="79"/>
      <c r="C988" s="68" t="s">
        <v>192</v>
      </c>
      <c r="D988" s="52">
        <f t="shared" si="157"/>
        <v>623.07413999999983</v>
      </c>
      <c r="E988" s="68">
        <v>0</v>
      </c>
      <c r="F988" s="68">
        <f t="shared" si="156"/>
        <v>996.9186239999998</v>
      </c>
      <c r="G988" s="86"/>
      <c r="H988" s="87"/>
      <c r="I988" s="36"/>
      <c r="L988" s="77"/>
      <c r="M988" s="77"/>
      <c r="N988" s="36"/>
    </row>
    <row r="989" spans="1:14" s="37" customFormat="1" ht="15.75" customHeight="1" x14ac:dyDescent="0.3">
      <c r="A989" s="78">
        <v>10</v>
      </c>
      <c r="B989" s="79"/>
      <c r="C989" s="68" t="s">
        <v>192</v>
      </c>
      <c r="D989" s="52">
        <f t="shared" si="157"/>
        <v>623.07413999999983</v>
      </c>
      <c r="E989" s="68">
        <v>0</v>
      </c>
      <c r="F989" s="68">
        <f t="shared" si="156"/>
        <v>996.9186239999998</v>
      </c>
      <c r="G989" s="86"/>
      <c r="H989" s="87"/>
      <c r="I989" s="36"/>
      <c r="L989" s="77"/>
      <c r="M989" s="77"/>
      <c r="N989" s="36"/>
    </row>
    <row r="990" spans="1:14" s="37" customFormat="1" ht="15.75" customHeight="1" x14ac:dyDescent="0.3">
      <c r="A990" s="78">
        <v>11</v>
      </c>
      <c r="B990" s="79"/>
      <c r="C990" s="68" t="s">
        <v>192</v>
      </c>
      <c r="D990" s="52">
        <f t="shared" si="157"/>
        <v>623.07413999999983</v>
      </c>
      <c r="E990" s="68">
        <v>0</v>
      </c>
      <c r="F990" s="68">
        <f t="shared" si="156"/>
        <v>996.9186239999998</v>
      </c>
      <c r="G990" s="86"/>
      <c r="H990" s="87"/>
      <c r="I990" s="36"/>
      <c r="L990" s="77"/>
      <c r="M990" s="77"/>
      <c r="N990" s="36"/>
    </row>
    <row r="991" spans="1:14" s="37" customFormat="1" ht="15.75" customHeight="1" x14ac:dyDescent="0.3">
      <c r="A991" s="78">
        <v>12</v>
      </c>
      <c r="B991" s="79"/>
      <c r="C991" s="68" t="s">
        <v>192</v>
      </c>
      <c r="D991" s="52">
        <f t="shared" si="157"/>
        <v>623.07413999999983</v>
      </c>
      <c r="E991" s="68">
        <v>0</v>
      </c>
      <c r="F991" s="68">
        <f t="shared" si="156"/>
        <v>996.9186239999998</v>
      </c>
      <c r="G991" s="86"/>
      <c r="H991" s="87"/>
      <c r="I991" s="36"/>
      <c r="L991" s="77"/>
      <c r="M991" s="77"/>
      <c r="N991" s="36"/>
    </row>
    <row r="992" spans="1:14" s="37" customFormat="1" ht="15.75" customHeight="1" x14ac:dyDescent="0.3">
      <c r="A992" s="78">
        <v>14</v>
      </c>
      <c r="B992" s="79"/>
      <c r="C992" s="68" t="s">
        <v>192</v>
      </c>
      <c r="D992" s="52">
        <f t="shared" si="157"/>
        <v>623.07413999999983</v>
      </c>
      <c r="E992" s="68">
        <v>0</v>
      </c>
      <c r="F992" s="68">
        <f t="shared" si="156"/>
        <v>996.9186239999998</v>
      </c>
      <c r="G992" s="86"/>
      <c r="H992" s="87"/>
      <c r="I992" s="36"/>
      <c r="L992" s="77"/>
      <c r="M992" s="77"/>
      <c r="N992" s="36"/>
    </row>
    <row r="993" spans="1:14" s="37" customFormat="1" ht="15.75" customHeight="1" x14ac:dyDescent="0.3">
      <c r="A993" s="78">
        <v>15</v>
      </c>
      <c r="B993" s="79"/>
      <c r="C993" s="68" t="s">
        <v>192</v>
      </c>
      <c r="D993" s="52">
        <f t="shared" si="157"/>
        <v>623.07413999999983</v>
      </c>
      <c r="E993" s="68">
        <v>0</v>
      </c>
      <c r="F993" s="68">
        <f t="shared" si="156"/>
        <v>996.9186239999998</v>
      </c>
      <c r="G993" s="86"/>
      <c r="H993" s="87"/>
      <c r="I993" s="36"/>
      <c r="L993" s="77"/>
      <c r="M993" s="77"/>
      <c r="N993" s="36"/>
    </row>
    <row r="994" spans="1:14" s="37" customFormat="1" ht="15.75" customHeight="1" x14ac:dyDescent="0.3">
      <c r="A994" s="78">
        <v>16</v>
      </c>
      <c r="B994" s="79"/>
      <c r="C994" s="68" t="s">
        <v>192</v>
      </c>
      <c r="D994" s="52">
        <f t="shared" si="157"/>
        <v>623.07413999999983</v>
      </c>
      <c r="E994" s="68">
        <v>0</v>
      </c>
      <c r="F994" s="68">
        <f t="shared" si="156"/>
        <v>996.9186239999998</v>
      </c>
      <c r="G994" s="86"/>
      <c r="H994" s="87"/>
      <c r="I994" s="36"/>
      <c r="L994" s="77"/>
      <c r="M994" s="77"/>
      <c r="N994" s="36"/>
    </row>
    <row r="995" spans="1:14" s="37" customFormat="1" ht="15.75" customHeight="1" x14ac:dyDescent="0.3">
      <c r="A995" s="78">
        <v>17</v>
      </c>
      <c r="B995" s="79"/>
      <c r="C995" s="68" t="s">
        <v>192</v>
      </c>
      <c r="D995" s="52">
        <f t="shared" si="157"/>
        <v>623.07413999999983</v>
      </c>
      <c r="E995" s="68">
        <v>0</v>
      </c>
      <c r="F995" s="68">
        <f t="shared" si="156"/>
        <v>996.9186239999998</v>
      </c>
      <c r="G995" s="86"/>
      <c r="H995" s="87"/>
      <c r="I995" s="36"/>
      <c r="L995" s="77"/>
      <c r="M995" s="77"/>
      <c r="N995" s="36"/>
    </row>
    <row r="996" spans="1:14" s="37" customFormat="1" ht="15.75" customHeight="1" x14ac:dyDescent="0.3">
      <c r="A996" s="78">
        <v>18</v>
      </c>
      <c r="B996" s="79"/>
      <c r="C996" s="68" t="s">
        <v>192</v>
      </c>
      <c r="D996" s="52">
        <f t="shared" si="157"/>
        <v>623.07413999999983</v>
      </c>
      <c r="E996" s="68">
        <v>0</v>
      </c>
      <c r="F996" s="68">
        <f t="shared" si="156"/>
        <v>996.9186239999998</v>
      </c>
      <c r="G996" s="86"/>
      <c r="H996" s="87"/>
      <c r="I996" s="36"/>
      <c r="L996" s="77"/>
      <c r="M996" s="77"/>
      <c r="N996" s="36"/>
    </row>
    <row r="997" spans="1:14" s="37" customFormat="1" ht="15.75" customHeight="1" x14ac:dyDescent="0.3">
      <c r="A997" s="78">
        <v>19</v>
      </c>
      <c r="B997" s="79"/>
      <c r="C997" s="68" t="s">
        <v>192</v>
      </c>
      <c r="D997" s="52">
        <f t="shared" si="157"/>
        <v>623.07413999999983</v>
      </c>
      <c r="E997" s="68">
        <v>0</v>
      </c>
      <c r="F997" s="68">
        <f t="shared" si="156"/>
        <v>996.9186239999998</v>
      </c>
      <c r="G997" s="86"/>
      <c r="H997" s="87"/>
      <c r="I997" s="36"/>
      <c r="L997" s="77"/>
      <c r="M997" s="77"/>
      <c r="N997" s="36"/>
    </row>
    <row r="998" spans="1:14" s="37" customFormat="1" ht="15.75" customHeight="1" x14ac:dyDescent="0.3">
      <c r="A998" s="78">
        <v>20</v>
      </c>
      <c r="B998" s="79"/>
      <c r="C998" s="68" t="s">
        <v>192</v>
      </c>
      <c r="D998" s="52">
        <f t="shared" si="157"/>
        <v>623.07413999999983</v>
      </c>
      <c r="E998" s="68">
        <v>0</v>
      </c>
      <c r="F998" s="68">
        <f t="shared" si="156"/>
        <v>996.9186239999998</v>
      </c>
      <c r="G998" s="86"/>
      <c r="H998" s="87"/>
      <c r="J998" s="36"/>
      <c r="L998" s="77"/>
      <c r="M998" s="77"/>
      <c r="N998" s="36"/>
    </row>
    <row r="999" spans="1:14" s="37" customFormat="1" ht="15.75" customHeight="1" x14ac:dyDescent="0.3">
      <c r="A999" s="83" t="s">
        <v>275</v>
      </c>
      <c r="B999" s="84"/>
      <c r="C999" s="84"/>
      <c r="D999" s="84"/>
      <c r="E999" s="84"/>
      <c r="F999" s="84"/>
      <c r="G999" s="84"/>
      <c r="H999" s="85"/>
      <c r="I999" s="36" t="s">
        <v>273</v>
      </c>
      <c r="L999" s="77"/>
      <c r="M999" s="77"/>
      <c r="N999" s="36"/>
    </row>
    <row r="1000" spans="1:14" s="37" customFormat="1" ht="15.75" customHeight="1" x14ac:dyDescent="0.3">
      <c r="A1000" s="78">
        <v>1</v>
      </c>
      <c r="B1000" s="79"/>
      <c r="C1000" s="68" t="s">
        <v>192</v>
      </c>
      <c r="D1000" s="52">
        <f>(5*6.4+3.1*1.65+5.25*1.05+1.3*1.5+0.45*0.9)*(10.764)</f>
        <v>484.19163000000009</v>
      </c>
      <c r="E1000" s="68">
        <v>0</v>
      </c>
      <c r="F1000" s="68">
        <f t="shared" ref="F1000:F1018" si="158">(D1000+E1000)*(($F$130)+1)</f>
        <v>774.70660800000019</v>
      </c>
      <c r="G1000" s="86" t="str">
        <f>A999</f>
        <v>30th Floor (31st Floor as per Builder)</v>
      </c>
      <c r="H1000" s="87"/>
      <c r="I1000" s="36"/>
      <c r="L1000" s="77"/>
      <c r="M1000" s="77"/>
      <c r="N1000" s="36"/>
    </row>
    <row r="1001" spans="1:14" s="37" customFormat="1" ht="15.75" customHeight="1" x14ac:dyDescent="0.3">
      <c r="A1001" s="78">
        <v>2</v>
      </c>
      <c r="B1001" s="79"/>
      <c r="C1001" s="68" t="s">
        <v>192</v>
      </c>
      <c r="D1001" s="52">
        <f>(5.1*7.45+3.13*1.65+1.37*1.5+0.45*0.9)*(10.764)</f>
        <v>491.04829799999993</v>
      </c>
      <c r="E1001" s="68">
        <v>0</v>
      </c>
      <c r="F1001" s="68">
        <f t="shared" si="158"/>
        <v>785.67727679999996</v>
      </c>
      <c r="G1001" s="86"/>
      <c r="H1001" s="87"/>
      <c r="I1001" s="36"/>
      <c r="L1001" s="77"/>
      <c r="M1001" s="77"/>
      <c r="N1001" s="36"/>
    </row>
    <row r="1002" spans="1:14" s="37" customFormat="1" ht="15.75" customHeight="1" x14ac:dyDescent="0.3">
      <c r="A1002" s="78">
        <v>3</v>
      </c>
      <c r="B1002" s="79"/>
      <c r="C1002" s="68" t="s">
        <v>192</v>
      </c>
      <c r="D1002" s="52">
        <f>(5.1*7.45+3.3*1.65+1.2*1.5+0.45*0.9)*(10.764)</f>
        <v>491.32277999999991</v>
      </c>
      <c r="E1002" s="68">
        <v>0</v>
      </c>
      <c r="F1002" s="68">
        <f t="shared" si="158"/>
        <v>786.11644799999988</v>
      </c>
      <c r="G1002" s="86"/>
      <c r="H1002" s="87"/>
      <c r="I1002" s="36"/>
      <c r="L1002" s="77"/>
      <c r="M1002" s="77"/>
      <c r="N1002" s="36"/>
    </row>
    <row r="1003" spans="1:14" s="37" customFormat="1" ht="15.75" customHeight="1" x14ac:dyDescent="0.3">
      <c r="A1003" s="78">
        <v>4</v>
      </c>
      <c r="B1003" s="79"/>
      <c r="C1003" s="68" t="s">
        <v>192</v>
      </c>
      <c r="D1003" s="52">
        <f>(5.1*7.45+3.13*1.65+1.37*1.5+0.45*0.9)*(10.764)</f>
        <v>491.04829799999993</v>
      </c>
      <c r="E1003" s="68">
        <v>0</v>
      </c>
      <c r="F1003" s="68">
        <f t="shared" si="158"/>
        <v>785.67727679999996</v>
      </c>
      <c r="G1003" s="86"/>
      <c r="H1003" s="87"/>
      <c r="I1003" s="36"/>
      <c r="L1003" s="77"/>
      <c r="M1003" s="77"/>
      <c r="N1003" s="36"/>
    </row>
    <row r="1004" spans="1:14" s="37" customFormat="1" x14ac:dyDescent="0.3">
      <c r="A1004" s="78">
        <v>5</v>
      </c>
      <c r="B1004" s="79"/>
      <c r="C1004" s="68" t="s">
        <v>192</v>
      </c>
      <c r="D1004" s="52">
        <f>(5.1*7.45+3.3*1.65+1.2*1.5+0.45*0.9)*(10.764)</f>
        <v>491.32277999999991</v>
      </c>
      <c r="E1004" s="68">
        <v>0</v>
      </c>
      <c r="F1004" s="68">
        <f t="shared" si="158"/>
        <v>786.11644799999988</v>
      </c>
      <c r="G1004" s="86"/>
      <c r="H1004" s="87"/>
      <c r="I1004" s="36"/>
      <c r="K1004" s="36"/>
    </row>
    <row r="1005" spans="1:14" s="37" customFormat="1" ht="15.75" customHeight="1" x14ac:dyDescent="0.3">
      <c r="A1005" s="78">
        <v>6</v>
      </c>
      <c r="B1005" s="79"/>
      <c r="C1005" s="68" t="s">
        <v>192</v>
      </c>
      <c r="D1005" s="52">
        <f>(5.1*7.45+3.12*1.65+1.3*1.5+0.45*0.9)*(10.764)</f>
        <v>489.74047200000001</v>
      </c>
      <c r="E1005" s="68">
        <v>0</v>
      </c>
      <c r="F1005" s="68">
        <f t="shared" si="158"/>
        <v>783.58475520000002</v>
      </c>
      <c r="G1005" s="86"/>
      <c r="H1005" s="87"/>
      <c r="I1005" s="36"/>
      <c r="L1005" s="77"/>
      <c r="M1005" s="77"/>
      <c r="N1005" s="36"/>
    </row>
    <row r="1006" spans="1:14" s="37" customFormat="1" ht="15.75" customHeight="1" x14ac:dyDescent="0.3">
      <c r="A1006" s="78">
        <v>7</v>
      </c>
      <c r="B1006" s="79"/>
      <c r="C1006" s="68" t="s">
        <v>192</v>
      </c>
      <c r="D1006" s="52">
        <f>(4.93*7.45+3.12*1.65+1.3*1.5+0.45*0.9)*(10.764)</f>
        <v>476.10786599999994</v>
      </c>
      <c r="E1006" s="68">
        <v>0</v>
      </c>
      <c r="F1006" s="68">
        <f t="shared" si="158"/>
        <v>761.77258559999996</v>
      </c>
      <c r="G1006" s="86"/>
      <c r="H1006" s="87"/>
      <c r="I1006" s="36"/>
      <c r="L1006" s="77"/>
      <c r="M1006" s="77"/>
      <c r="N1006" s="36"/>
    </row>
    <row r="1007" spans="1:14" s="37" customFormat="1" ht="15.75" customHeight="1" x14ac:dyDescent="0.3">
      <c r="A1007" s="78">
        <v>8</v>
      </c>
      <c r="B1007" s="79"/>
      <c r="C1007" s="68" t="s">
        <v>192</v>
      </c>
      <c r="D1007" s="52">
        <f t="shared" ref="D1007:D1018" si="159">(5.1*9.85+3.3*1.65+1.2*1.5+0.45*0.9)*(10.764)</f>
        <v>623.07413999999983</v>
      </c>
      <c r="E1007" s="68">
        <v>0</v>
      </c>
      <c r="F1007" s="68">
        <f t="shared" si="158"/>
        <v>996.9186239999998</v>
      </c>
      <c r="G1007" s="86"/>
      <c r="H1007" s="87"/>
      <c r="I1007" s="36"/>
      <c r="L1007" s="77"/>
      <c r="M1007" s="77"/>
      <c r="N1007" s="36"/>
    </row>
    <row r="1008" spans="1:14" s="37" customFormat="1" ht="15.75" customHeight="1" x14ac:dyDescent="0.3">
      <c r="A1008" s="78">
        <v>9</v>
      </c>
      <c r="B1008" s="79"/>
      <c r="C1008" s="68" t="s">
        <v>192</v>
      </c>
      <c r="D1008" s="52">
        <f t="shared" si="159"/>
        <v>623.07413999999983</v>
      </c>
      <c r="E1008" s="68">
        <v>0</v>
      </c>
      <c r="F1008" s="68">
        <f t="shared" si="158"/>
        <v>996.9186239999998</v>
      </c>
      <c r="G1008" s="86"/>
      <c r="H1008" s="87"/>
      <c r="I1008" s="36"/>
      <c r="L1008" s="77"/>
      <c r="M1008" s="77"/>
      <c r="N1008" s="36"/>
    </row>
    <row r="1009" spans="1:14" s="37" customFormat="1" ht="15.75" customHeight="1" x14ac:dyDescent="0.3">
      <c r="A1009" s="78">
        <v>10</v>
      </c>
      <c r="B1009" s="79"/>
      <c r="C1009" s="68" t="s">
        <v>192</v>
      </c>
      <c r="D1009" s="52">
        <f t="shared" si="159"/>
        <v>623.07413999999983</v>
      </c>
      <c r="E1009" s="68">
        <v>0</v>
      </c>
      <c r="F1009" s="68">
        <f t="shared" si="158"/>
        <v>996.9186239999998</v>
      </c>
      <c r="G1009" s="86"/>
      <c r="H1009" s="87"/>
      <c r="I1009" s="36"/>
      <c r="L1009" s="77"/>
      <c r="M1009" s="77"/>
      <c r="N1009" s="36"/>
    </row>
    <row r="1010" spans="1:14" s="37" customFormat="1" ht="15.75" customHeight="1" x14ac:dyDescent="0.3">
      <c r="A1010" s="78">
        <v>11</v>
      </c>
      <c r="B1010" s="79"/>
      <c r="C1010" s="68" t="s">
        <v>192</v>
      </c>
      <c r="D1010" s="52">
        <f t="shared" si="159"/>
        <v>623.07413999999983</v>
      </c>
      <c r="E1010" s="68">
        <v>0</v>
      </c>
      <c r="F1010" s="68">
        <f t="shared" si="158"/>
        <v>996.9186239999998</v>
      </c>
      <c r="G1010" s="86"/>
      <c r="H1010" s="87"/>
      <c r="I1010" s="36"/>
      <c r="L1010" s="77"/>
      <c r="M1010" s="77"/>
      <c r="N1010" s="36"/>
    </row>
    <row r="1011" spans="1:14" s="37" customFormat="1" ht="15.75" customHeight="1" x14ac:dyDescent="0.3">
      <c r="A1011" s="78">
        <v>12</v>
      </c>
      <c r="B1011" s="79"/>
      <c r="C1011" s="68" t="s">
        <v>192</v>
      </c>
      <c r="D1011" s="52">
        <f t="shared" si="159"/>
        <v>623.07413999999983</v>
      </c>
      <c r="E1011" s="68">
        <v>0</v>
      </c>
      <c r="F1011" s="68">
        <f t="shared" si="158"/>
        <v>996.9186239999998</v>
      </c>
      <c r="G1011" s="86"/>
      <c r="H1011" s="87"/>
      <c r="I1011" s="36"/>
      <c r="L1011" s="77"/>
      <c r="M1011" s="77"/>
      <c r="N1011" s="36"/>
    </row>
    <row r="1012" spans="1:14" s="37" customFormat="1" ht="15.75" customHeight="1" x14ac:dyDescent="0.3">
      <c r="A1012" s="78">
        <v>14</v>
      </c>
      <c r="B1012" s="79"/>
      <c r="C1012" s="68" t="s">
        <v>192</v>
      </c>
      <c r="D1012" s="52">
        <f t="shared" si="159"/>
        <v>623.07413999999983</v>
      </c>
      <c r="E1012" s="68">
        <v>0</v>
      </c>
      <c r="F1012" s="68">
        <f t="shared" si="158"/>
        <v>996.9186239999998</v>
      </c>
      <c r="G1012" s="86"/>
      <c r="H1012" s="87"/>
      <c r="I1012" s="36"/>
      <c r="L1012" s="77"/>
      <c r="M1012" s="77"/>
      <c r="N1012" s="36"/>
    </row>
    <row r="1013" spans="1:14" s="37" customFormat="1" ht="15.75" customHeight="1" x14ac:dyDescent="0.3">
      <c r="A1013" s="78">
        <v>15</v>
      </c>
      <c r="B1013" s="79"/>
      <c r="C1013" s="68" t="s">
        <v>192</v>
      </c>
      <c r="D1013" s="52">
        <f t="shared" si="159"/>
        <v>623.07413999999983</v>
      </c>
      <c r="E1013" s="68">
        <v>0</v>
      </c>
      <c r="F1013" s="68">
        <f t="shared" si="158"/>
        <v>996.9186239999998</v>
      </c>
      <c r="G1013" s="86"/>
      <c r="H1013" s="87"/>
      <c r="I1013" s="36"/>
      <c r="L1013" s="77"/>
      <c r="M1013" s="77"/>
      <c r="N1013" s="36"/>
    </row>
    <row r="1014" spans="1:14" s="37" customFormat="1" ht="15.75" customHeight="1" x14ac:dyDescent="0.3">
      <c r="A1014" s="78">
        <v>16</v>
      </c>
      <c r="B1014" s="79"/>
      <c r="C1014" s="68" t="s">
        <v>192</v>
      </c>
      <c r="D1014" s="52">
        <f t="shared" si="159"/>
        <v>623.07413999999983</v>
      </c>
      <c r="E1014" s="68">
        <v>0</v>
      </c>
      <c r="F1014" s="68">
        <f t="shared" si="158"/>
        <v>996.9186239999998</v>
      </c>
      <c r="G1014" s="86"/>
      <c r="H1014" s="87"/>
      <c r="I1014" s="36"/>
      <c r="L1014" s="77"/>
      <c r="M1014" s="77"/>
      <c r="N1014" s="36"/>
    </row>
    <row r="1015" spans="1:14" s="37" customFormat="1" ht="15.75" customHeight="1" x14ac:dyDescent="0.3">
      <c r="A1015" s="78">
        <v>17</v>
      </c>
      <c r="B1015" s="79"/>
      <c r="C1015" s="68" t="s">
        <v>192</v>
      </c>
      <c r="D1015" s="52">
        <f t="shared" si="159"/>
        <v>623.07413999999983</v>
      </c>
      <c r="E1015" s="68">
        <v>0</v>
      </c>
      <c r="F1015" s="68">
        <f t="shared" si="158"/>
        <v>996.9186239999998</v>
      </c>
      <c r="G1015" s="86"/>
      <c r="H1015" s="87"/>
      <c r="I1015" s="36"/>
      <c r="L1015" s="77"/>
      <c r="M1015" s="77"/>
      <c r="N1015" s="36"/>
    </row>
    <row r="1016" spans="1:14" s="37" customFormat="1" ht="15.75" customHeight="1" x14ac:dyDescent="0.3">
      <c r="A1016" s="78">
        <v>18</v>
      </c>
      <c r="B1016" s="79"/>
      <c r="C1016" s="68" t="s">
        <v>192</v>
      </c>
      <c r="D1016" s="52">
        <f t="shared" si="159"/>
        <v>623.07413999999983</v>
      </c>
      <c r="E1016" s="68">
        <v>0</v>
      </c>
      <c r="F1016" s="68">
        <f t="shared" si="158"/>
        <v>996.9186239999998</v>
      </c>
      <c r="G1016" s="86"/>
      <c r="H1016" s="87"/>
      <c r="I1016" s="36"/>
      <c r="L1016" s="77"/>
      <c r="M1016" s="77"/>
      <c r="N1016" s="36"/>
    </row>
    <row r="1017" spans="1:14" s="37" customFormat="1" ht="15.75" customHeight="1" x14ac:dyDescent="0.3">
      <c r="A1017" s="78">
        <v>19</v>
      </c>
      <c r="B1017" s="79"/>
      <c r="C1017" s="68" t="s">
        <v>192</v>
      </c>
      <c r="D1017" s="52">
        <f t="shared" si="159"/>
        <v>623.07413999999983</v>
      </c>
      <c r="E1017" s="68">
        <v>0</v>
      </c>
      <c r="F1017" s="68">
        <f t="shared" si="158"/>
        <v>996.9186239999998</v>
      </c>
      <c r="G1017" s="86"/>
      <c r="H1017" s="87"/>
      <c r="I1017" s="36"/>
      <c r="L1017" s="77"/>
      <c r="M1017" s="77"/>
      <c r="N1017" s="36"/>
    </row>
    <row r="1018" spans="1:14" s="37" customFormat="1" ht="15.75" customHeight="1" x14ac:dyDescent="0.3">
      <c r="A1018" s="78">
        <v>20</v>
      </c>
      <c r="B1018" s="79"/>
      <c r="C1018" s="68" t="s">
        <v>192</v>
      </c>
      <c r="D1018" s="52">
        <f t="shared" si="159"/>
        <v>623.07413999999983</v>
      </c>
      <c r="E1018" s="68">
        <v>0</v>
      </c>
      <c r="F1018" s="68">
        <f t="shared" si="158"/>
        <v>996.9186239999998</v>
      </c>
      <c r="G1018" s="86"/>
      <c r="H1018" s="87"/>
      <c r="J1018" s="36"/>
      <c r="L1018" s="77"/>
      <c r="M1018" s="77"/>
      <c r="N1018" s="36"/>
    </row>
    <row r="1019" spans="1:14" s="37" customFormat="1" ht="15.75" customHeight="1" x14ac:dyDescent="0.3">
      <c r="A1019" s="83" t="s">
        <v>276</v>
      </c>
      <c r="B1019" s="84"/>
      <c r="C1019" s="84"/>
      <c r="D1019" s="84"/>
      <c r="E1019" s="84"/>
      <c r="F1019" s="84"/>
      <c r="G1019" s="84"/>
      <c r="H1019" s="85"/>
      <c r="I1019" s="36" t="s">
        <v>273</v>
      </c>
      <c r="L1019" s="77"/>
      <c r="M1019" s="77"/>
      <c r="N1019" s="36"/>
    </row>
    <row r="1020" spans="1:14" s="37" customFormat="1" ht="15.75" customHeight="1" x14ac:dyDescent="0.3">
      <c r="A1020" s="78">
        <v>1</v>
      </c>
      <c r="B1020" s="79"/>
      <c r="C1020" s="68" t="s">
        <v>192</v>
      </c>
      <c r="D1020" s="52">
        <f>(5*6.4+3.1*1.65+5.25*1.05+1.3*1.5+0.45*0.9)*(10.764)</f>
        <v>484.19163000000009</v>
      </c>
      <c r="E1020" s="68">
        <v>0</v>
      </c>
      <c r="F1020" s="68">
        <f t="shared" ref="F1020:F1038" si="160">(D1020+E1020)*(($F$130)+1)</f>
        <v>774.70660800000019</v>
      </c>
      <c r="G1020" s="86" t="str">
        <f>A1019</f>
        <v>31st Floor (32nd Floor as per Builder)</v>
      </c>
      <c r="H1020" s="87"/>
      <c r="I1020" s="36"/>
      <c r="L1020" s="77"/>
      <c r="M1020" s="77"/>
      <c r="N1020" s="36"/>
    </row>
    <row r="1021" spans="1:14" s="37" customFormat="1" ht="15.75" customHeight="1" x14ac:dyDescent="0.3">
      <c r="A1021" s="78">
        <v>2</v>
      </c>
      <c r="B1021" s="79"/>
      <c r="C1021" s="68" t="s">
        <v>192</v>
      </c>
      <c r="D1021" s="52">
        <f>(5.1*7.45+3.13*1.65+1.37*1.5+0.45*0.9)*(10.764)</f>
        <v>491.04829799999993</v>
      </c>
      <c r="E1021" s="68">
        <v>0</v>
      </c>
      <c r="F1021" s="68">
        <f t="shared" si="160"/>
        <v>785.67727679999996</v>
      </c>
      <c r="G1021" s="86"/>
      <c r="H1021" s="87"/>
      <c r="I1021" s="36"/>
      <c r="L1021" s="77"/>
      <c r="M1021" s="77"/>
      <c r="N1021" s="36"/>
    </row>
    <row r="1022" spans="1:14" s="37" customFormat="1" ht="15.75" customHeight="1" x14ac:dyDescent="0.3">
      <c r="A1022" s="78">
        <v>3</v>
      </c>
      <c r="B1022" s="79"/>
      <c r="C1022" s="68" t="s">
        <v>192</v>
      </c>
      <c r="D1022" s="52">
        <f>(5.1*7.45+3.3*1.65+1.2*1.5+0.45*0.9)*(10.764)</f>
        <v>491.32277999999991</v>
      </c>
      <c r="E1022" s="68">
        <v>0</v>
      </c>
      <c r="F1022" s="68">
        <f t="shared" si="160"/>
        <v>786.11644799999988</v>
      </c>
      <c r="G1022" s="86"/>
      <c r="H1022" s="87"/>
      <c r="I1022" s="36"/>
      <c r="L1022" s="77"/>
      <c r="M1022" s="77"/>
      <c r="N1022" s="36"/>
    </row>
    <row r="1023" spans="1:14" s="37" customFormat="1" ht="15.75" customHeight="1" x14ac:dyDescent="0.3">
      <c r="A1023" s="78">
        <v>4</v>
      </c>
      <c r="B1023" s="79"/>
      <c r="C1023" s="68" t="s">
        <v>192</v>
      </c>
      <c r="D1023" s="52">
        <f>(5.1*7.45+3.13*1.65+1.37*1.5+0.45*0.9)*(10.764)</f>
        <v>491.04829799999993</v>
      </c>
      <c r="E1023" s="68">
        <v>0</v>
      </c>
      <c r="F1023" s="68">
        <f t="shared" si="160"/>
        <v>785.67727679999996</v>
      </c>
      <c r="G1023" s="86"/>
      <c r="H1023" s="87"/>
      <c r="I1023" s="36"/>
      <c r="L1023" s="77"/>
      <c r="M1023" s="77"/>
      <c r="N1023" s="36"/>
    </row>
    <row r="1024" spans="1:14" s="37" customFormat="1" x14ac:dyDescent="0.3">
      <c r="A1024" s="78">
        <v>5</v>
      </c>
      <c r="B1024" s="79"/>
      <c r="C1024" s="68" t="s">
        <v>192</v>
      </c>
      <c r="D1024" s="52">
        <f>(5.1*7.45+3.3*1.65+1.2*1.5+0.45*0.9)*(10.764)</f>
        <v>491.32277999999991</v>
      </c>
      <c r="E1024" s="68">
        <v>0</v>
      </c>
      <c r="F1024" s="68">
        <f t="shared" si="160"/>
        <v>786.11644799999988</v>
      </c>
      <c r="G1024" s="86"/>
      <c r="H1024" s="87"/>
      <c r="I1024" s="36"/>
      <c r="K1024" s="36"/>
    </row>
    <row r="1025" spans="1:14" s="37" customFormat="1" ht="15.75" customHeight="1" x14ac:dyDescent="0.3">
      <c r="A1025" s="78">
        <v>6</v>
      </c>
      <c r="B1025" s="79"/>
      <c r="C1025" s="68" t="s">
        <v>192</v>
      </c>
      <c r="D1025" s="52">
        <f>(5.1*7.45+3.12*1.65+1.3*1.5+0.45*0.9)*(10.764)</f>
        <v>489.74047200000001</v>
      </c>
      <c r="E1025" s="68">
        <v>0</v>
      </c>
      <c r="F1025" s="68">
        <f t="shared" si="160"/>
        <v>783.58475520000002</v>
      </c>
      <c r="G1025" s="86"/>
      <c r="H1025" s="87"/>
      <c r="I1025" s="36"/>
      <c r="L1025" s="77"/>
      <c r="M1025" s="77"/>
      <c r="N1025" s="36"/>
    </row>
    <row r="1026" spans="1:14" s="37" customFormat="1" ht="15.75" customHeight="1" x14ac:dyDescent="0.3">
      <c r="A1026" s="78">
        <v>7</v>
      </c>
      <c r="B1026" s="79"/>
      <c r="C1026" s="68" t="s">
        <v>192</v>
      </c>
      <c r="D1026" s="52">
        <f>(4.93*7.45+3.12*1.65+1.3*1.5+0.45*0.9)*(10.764)</f>
        <v>476.10786599999994</v>
      </c>
      <c r="E1026" s="68">
        <v>0</v>
      </c>
      <c r="F1026" s="68">
        <f t="shared" si="160"/>
        <v>761.77258559999996</v>
      </c>
      <c r="G1026" s="86"/>
      <c r="H1026" s="87"/>
      <c r="I1026" s="36"/>
      <c r="L1026" s="77"/>
      <c r="M1026" s="77"/>
      <c r="N1026" s="36"/>
    </row>
    <row r="1027" spans="1:14" s="37" customFormat="1" ht="15.75" customHeight="1" x14ac:dyDescent="0.3">
      <c r="A1027" s="78">
        <v>8</v>
      </c>
      <c r="B1027" s="79"/>
      <c r="C1027" s="68" t="s">
        <v>192</v>
      </c>
      <c r="D1027" s="52">
        <f t="shared" ref="D1027:D1038" si="161">(5.1*9.85+3.3*1.65+1.2*1.5+0.45*0.9)*(10.764)</f>
        <v>623.07413999999983</v>
      </c>
      <c r="E1027" s="68">
        <v>0</v>
      </c>
      <c r="F1027" s="68">
        <f t="shared" si="160"/>
        <v>996.9186239999998</v>
      </c>
      <c r="G1027" s="86"/>
      <c r="H1027" s="87"/>
      <c r="I1027" s="36"/>
      <c r="L1027" s="77"/>
      <c r="M1027" s="77"/>
      <c r="N1027" s="36"/>
    </row>
    <row r="1028" spans="1:14" s="37" customFormat="1" ht="15.75" customHeight="1" x14ac:dyDescent="0.3">
      <c r="A1028" s="78">
        <v>9</v>
      </c>
      <c r="B1028" s="79"/>
      <c r="C1028" s="68" t="s">
        <v>192</v>
      </c>
      <c r="D1028" s="52">
        <f t="shared" si="161"/>
        <v>623.07413999999983</v>
      </c>
      <c r="E1028" s="68">
        <v>0</v>
      </c>
      <c r="F1028" s="68">
        <f t="shared" si="160"/>
        <v>996.9186239999998</v>
      </c>
      <c r="G1028" s="86"/>
      <c r="H1028" s="87"/>
      <c r="I1028" s="36"/>
      <c r="L1028" s="77"/>
      <c r="M1028" s="77"/>
      <c r="N1028" s="36"/>
    </row>
    <row r="1029" spans="1:14" s="37" customFormat="1" ht="15.75" customHeight="1" x14ac:dyDescent="0.3">
      <c r="A1029" s="78">
        <v>10</v>
      </c>
      <c r="B1029" s="79"/>
      <c r="C1029" s="68" t="s">
        <v>192</v>
      </c>
      <c r="D1029" s="52">
        <f t="shared" si="161"/>
        <v>623.07413999999983</v>
      </c>
      <c r="E1029" s="68">
        <v>0</v>
      </c>
      <c r="F1029" s="68">
        <f t="shared" si="160"/>
        <v>996.9186239999998</v>
      </c>
      <c r="G1029" s="86"/>
      <c r="H1029" s="87"/>
      <c r="I1029" s="36"/>
      <c r="L1029" s="77"/>
      <c r="M1029" s="77"/>
      <c r="N1029" s="36"/>
    </row>
    <row r="1030" spans="1:14" s="37" customFormat="1" ht="15.75" customHeight="1" x14ac:dyDescent="0.3">
      <c r="A1030" s="78">
        <v>11</v>
      </c>
      <c r="B1030" s="79"/>
      <c r="C1030" s="68" t="s">
        <v>192</v>
      </c>
      <c r="D1030" s="52">
        <f t="shared" si="161"/>
        <v>623.07413999999983</v>
      </c>
      <c r="E1030" s="68">
        <v>0</v>
      </c>
      <c r="F1030" s="68">
        <f t="shared" si="160"/>
        <v>996.9186239999998</v>
      </c>
      <c r="G1030" s="86"/>
      <c r="H1030" s="87"/>
      <c r="I1030" s="36"/>
      <c r="L1030" s="77"/>
      <c r="M1030" s="77"/>
      <c r="N1030" s="36"/>
    </row>
    <row r="1031" spans="1:14" s="37" customFormat="1" ht="15.75" customHeight="1" x14ac:dyDescent="0.3">
      <c r="A1031" s="78">
        <v>12</v>
      </c>
      <c r="B1031" s="79"/>
      <c r="C1031" s="68" t="s">
        <v>192</v>
      </c>
      <c r="D1031" s="52">
        <f t="shared" si="161"/>
        <v>623.07413999999983</v>
      </c>
      <c r="E1031" s="68">
        <v>0</v>
      </c>
      <c r="F1031" s="68">
        <f t="shared" si="160"/>
        <v>996.9186239999998</v>
      </c>
      <c r="G1031" s="86"/>
      <c r="H1031" s="87"/>
      <c r="I1031" s="36"/>
      <c r="L1031" s="77"/>
      <c r="M1031" s="77"/>
      <c r="N1031" s="36"/>
    </row>
    <row r="1032" spans="1:14" s="37" customFormat="1" ht="15.75" customHeight="1" x14ac:dyDescent="0.3">
      <c r="A1032" s="78">
        <v>14</v>
      </c>
      <c r="B1032" s="79"/>
      <c r="C1032" s="68" t="s">
        <v>192</v>
      </c>
      <c r="D1032" s="52">
        <f t="shared" si="161"/>
        <v>623.07413999999983</v>
      </c>
      <c r="E1032" s="68">
        <v>0</v>
      </c>
      <c r="F1032" s="68">
        <f t="shared" si="160"/>
        <v>996.9186239999998</v>
      </c>
      <c r="G1032" s="86"/>
      <c r="H1032" s="87"/>
      <c r="I1032" s="36"/>
      <c r="L1032" s="77"/>
      <c r="M1032" s="77"/>
      <c r="N1032" s="36"/>
    </row>
    <row r="1033" spans="1:14" s="37" customFormat="1" ht="15.75" customHeight="1" x14ac:dyDescent="0.3">
      <c r="A1033" s="78">
        <v>15</v>
      </c>
      <c r="B1033" s="79"/>
      <c r="C1033" s="68" t="s">
        <v>192</v>
      </c>
      <c r="D1033" s="52">
        <f t="shared" si="161"/>
        <v>623.07413999999983</v>
      </c>
      <c r="E1033" s="68">
        <v>0</v>
      </c>
      <c r="F1033" s="68">
        <f t="shared" si="160"/>
        <v>996.9186239999998</v>
      </c>
      <c r="G1033" s="86"/>
      <c r="H1033" s="87"/>
      <c r="I1033" s="36"/>
      <c r="L1033" s="77"/>
      <c r="M1033" s="77"/>
      <c r="N1033" s="36"/>
    </row>
    <row r="1034" spans="1:14" s="37" customFormat="1" ht="15.75" customHeight="1" x14ac:dyDescent="0.3">
      <c r="A1034" s="78">
        <v>16</v>
      </c>
      <c r="B1034" s="79"/>
      <c r="C1034" s="68" t="s">
        <v>192</v>
      </c>
      <c r="D1034" s="52">
        <f t="shared" si="161"/>
        <v>623.07413999999983</v>
      </c>
      <c r="E1034" s="68">
        <v>0</v>
      </c>
      <c r="F1034" s="68">
        <f t="shared" si="160"/>
        <v>996.9186239999998</v>
      </c>
      <c r="G1034" s="86"/>
      <c r="H1034" s="87"/>
      <c r="I1034" s="36"/>
      <c r="L1034" s="77"/>
      <c r="M1034" s="77"/>
      <c r="N1034" s="36"/>
    </row>
    <row r="1035" spans="1:14" s="37" customFormat="1" ht="15.75" customHeight="1" x14ac:dyDescent="0.3">
      <c r="A1035" s="78">
        <v>17</v>
      </c>
      <c r="B1035" s="79"/>
      <c r="C1035" s="68" t="s">
        <v>192</v>
      </c>
      <c r="D1035" s="52">
        <f t="shared" si="161"/>
        <v>623.07413999999983</v>
      </c>
      <c r="E1035" s="68">
        <v>0</v>
      </c>
      <c r="F1035" s="68">
        <f t="shared" si="160"/>
        <v>996.9186239999998</v>
      </c>
      <c r="G1035" s="86"/>
      <c r="H1035" s="87"/>
      <c r="I1035" s="36"/>
      <c r="L1035" s="77"/>
      <c r="M1035" s="77"/>
      <c r="N1035" s="36"/>
    </row>
    <row r="1036" spans="1:14" s="37" customFormat="1" ht="15.75" customHeight="1" x14ac:dyDescent="0.3">
      <c r="A1036" s="78">
        <v>18</v>
      </c>
      <c r="B1036" s="79"/>
      <c r="C1036" s="68" t="s">
        <v>192</v>
      </c>
      <c r="D1036" s="52">
        <f t="shared" si="161"/>
        <v>623.07413999999983</v>
      </c>
      <c r="E1036" s="68">
        <v>0</v>
      </c>
      <c r="F1036" s="68">
        <f t="shared" si="160"/>
        <v>996.9186239999998</v>
      </c>
      <c r="G1036" s="86"/>
      <c r="H1036" s="87"/>
      <c r="I1036" s="36"/>
      <c r="L1036" s="77"/>
      <c r="M1036" s="77"/>
      <c r="N1036" s="36"/>
    </row>
    <row r="1037" spans="1:14" s="37" customFormat="1" ht="15.75" customHeight="1" x14ac:dyDescent="0.3">
      <c r="A1037" s="78">
        <v>19</v>
      </c>
      <c r="B1037" s="79"/>
      <c r="C1037" s="68" t="s">
        <v>192</v>
      </c>
      <c r="D1037" s="52">
        <f t="shared" si="161"/>
        <v>623.07413999999983</v>
      </c>
      <c r="E1037" s="68">
        <v>0</v>
      </c>
      <c r="F1037" s="68">
        <f t="shared" si="160"/>
        <v>996.9186239999998</v>
      </c>
      <c r="G1037" s="86"/>
      <c r="H1037" s="87"/>
      <c r="I1037" s="36"/>
      <c r="L1037" s="77"/>
      <c r="M1037" s="77"/>
      <c r="N1037" s="36"/>
    </row>
    <row r="1038" spans="1:14" s="37" customFormat="1" ht="15.75" customHeight="1" x14ac:dyDescent="0.3">
      <c r="A1038" s="78">
        <v>20</v>
      </c>
      <c r="B1038" s="79"/>
      <c r="C1038" s="68" t="s">
        <v>192</v>
      </c>
      <c r="D1038" s="52">
        <f t="shared" si="161"/>
        <v>623.07413999999983</v>
      </c>
      <c r="E1038" s="68">
        <v>0</v>
      </c>
      <c r="F1038" s="68">
        <f t="shared" si="160"/>
        <v>996.9186239999998</v>
      </c>
      <c r="G1038" s="86"/>
      <c r="H1038" s="87"/>
      <c r="J1038" s="36"/>
      <c r="L1038" s="77"/>
      <c r="M1038" s="77"/>
      <c r="N1038" s="36"/>
    </row>
    <row r="1039" spans="1:14" x14ac:dyDescent="0.3">
      <c r="A1039" s="239" t="s">
        <v>65</v>
      </c>
      <c r="B1039" s="239"/>
      <c r="C1039" s="239"/>
      <c r="D1039" s="239"/>
      <c r="E1039" s="239"/>
      <c r="F1039" s="239"/>
      <c r="G1039" s="239"/>
      <c r="H1039" s="239"/>
    </row>
    <row r="1040" spans="1:14" ht="30.75" customHeight="1" x14ac:dyDescent="0.3">
      <c r="A1040" s="46" t="s">
        <v>146</v>
      </c>
      <c r="B1040" s="247" t="s">
        <v>294</v>
      </c>
      <c r="C1040" s="248"/>
      <c r="D1040" s="248"/>
      <c r="E1040" s="248"/>
      <c r="F1040" s="248"/>
      <c r="G1040" s="248"/>
      <c r="H1040" s="249"/>
    </row>
    <row r="1041" spans="1:8" hidden="1" x14ac:dyDescent="0.3">
      <c r="A1041" s="46" t="s">
        <v>146</v>
      </c>
      <c r="B1041" s="80" t="e">
        <f>(IF(#REF!="Saleable area Loading :","We have considered Saleable area of Flats as per our Calculation.","We considered Saleable area of Flat as per Builder area Sheet."))</f>
        <v>#REF!</v>
      </c>
      <c r="C1041" s="81"/>
      <c r="D1041" s="81"/>
      <c r="E1041" s="81"/>
      <c r="F1041" s="81"/>
      <c r="G1041" s="81"/>
      <c r="H1041" s="82"/>
    </row>
    <row r="1042" spans="1:8" x14ac:dyDescent="0.3">
      <c r="A1042" s="46" t="s">
        <v>146</v>
      </c>
      <c r="B1042" s="80" t="str">
        <f>(IF(F129="Saleable area Loading :","We have considered Saleable area of Commercial as per our Calculation.","We considered Saleable area of Commercial as per Builder area Sheet."))</f>
        <v>We have considered Saleable area of Commercial as per our Calculation.</v>
      </c>
      <c r="C1042" s="81"/>
      <c r="D1042" s="81"/>
      <c r="E1042" s="81"/>
      <c r="F1042" s="81"/>
      <c r="G1042" s="81"/>
      <c r="H1042" s="82"/>
    </row>
    <row r="1043" spans="1:8" x14ac:dyDescent="0.3">
      <c r="A1043" s="46" t="s">
        <v>146</v>
      </c>
      <c r="B1043" s="236" t="s">
        <v>116</v>
      </c>
      <c r="C1043" s="237"/>
      <c r="D1043" s="237"/>
      <c r="E1043" s="237"/>
      <c r="F1043" s="237"/>
      <c r="G1043" s="237"/>
      <c r="H1043" s="238"/>
    </row>
    <row r="1044" spans="1:8" x14ac:dyDescent="0.3">
      <c r="A1044" s="46" t="s">
        <v>146</v>
      </c>
      <c r="B1044" s="236" t="s">
        <v>194</v>
      </c>
      <c r="C1044" s="237"/>
      <c r="D1044" s="237"/>
      <c r="E1044" s="237"/>
      <c r="F1044" s="237"/>
      <c r="G1044" s="237"/>
      <c r="H1044" s="238"/>
    </row>
    <row r="1045" spans="1:8" x14ac:dyDescent="0.3">
      <c r="A1045" s="46" t="s">
        <v>146</v>
      </c>
      <c r="B1045" s="236" t="s">
        <v>145</v>
      </c>
      <c r="C1045" s="237"/>
      <c r="D1045" s="237"/>
      <c r="E1045" s="237"/>
      <c r="F1045" s="237"/>
      <c r="G1045" s="237"/>
      <c r="H1045" s="238"/>
    </row>
    <row r="1046" spans="1:8" x14ac:dyDescent="0.3">
      <c r="A1046" s="46" t="s">
        <v>146</v>
      </c>
      <c r="B1046" s="236" t="s">
        <v>117</v>
      </c>
      <c r="C1046" s="237"/>
      <c r="D1046" s="237"/>
      <c r="E1046" s="237"/>
      <c r="F1046" s="237"/>
      <c r="G1046" s="237"/>
      <c r="H1046" s="238"/>
    </row>
    <row r="1047" spans="1:8" x14ac:dyDescent="0.3">
      <c r="A1047" s="46" t="s">
        <v>146</v>
      </c>
      <c r="B1047" s="236" t="s">
        <v>147</v>
      </c>
      <c r="C1047" s="237"/>
      <c r="D1047" s="237"/>
      <c r="E1047" s="237"/>
      <c r="F1047" s="237"/>
      <c r="G1047" s="237"/>
      <c r="H1047" s="238"/>
    </row>
    <row r="1048" spans="1:8" x14ac:dyDescent="0.3">
      <c r="A1048" s="46" t="s">
        <v>146</v>
      </c>
      <c r="B1048" s="236" t="s">
        <v>118</v>
      </c>
      <c r="C1048" s="237"/>
      <c r="D1048" s="237"/>
      <c r="E1048" s="237"/>
      <c r="F1048" s="237"/>
      <c r="G1048" s="237"/>
      <c r="H1048" s="238"/>
    </row>
    <row r="1049" spans="1:8" hidden="1" x14ac:dyDescent="0.3">
      <c r="A1049" s="46" t="s">
        <v>146</v>
      </c>
      <c r="B1049" s="80" t="s">
        <v>197</v>
      </c>
      <c r="C1049" s="81"/>
      <c r="D1049" s="81"/>
      <c r="E1049" s="81"/>
      <c r="F1049" s="81"/>
      <c r="G1049" s="81"/>
      <c r="H1049" s="82"/>
    </row>
    <row r="1050" spans="1:8" hidden="1" x14ac:dyDescent="0.3">
      <c r="A1050" s="46" t="s">
        <v>146</v>
      </c>
      <c r="B1050" s="80" t="s">
        <v>241</v>
      </c>
      <c r="C1050" s="81"/>
      <c r="D1050" s="81"/>
      <c r="E1050" s="81"/>
      <c r="F1050" s="81"/>
      <c r="G1050" s="81"/>
      <c r="H1050" s="82"/>
    </row>
    <row r="1051" spans="1:8" x14ac:dyDescent="0.3">
      <c r="A1051" s="46" t="s">
        <v>146</v>
      </c>
      <c r="B1051" s="80" t="s">
        <v>289</v>
      </c>
      <c r="C1051" s="81"/>
      <c r="D1051" s="81"/>
      <c r="E1051" s="81"/>
      <c r="F1051" s="81"/>
      <c r="G1051" s="81"/>
      <c r="H1051" s="82"/>
    </row>
    <row r="1052" spans="1:8" x14ac:dyDescent="0.3">
      <c r="A1052" s="46" t="s">
        <v>146</v>
      </c>
      <c r="B1052" s="80" t="s">
        <v>295</v>
      </c>
      <c r="C1052" s="81"/>
      <c r="D1052" s="81"/>
      <c r="E1052" s="81"/>
      <c r="F1052" s="81"/>
      <c r="G1052" s="81"/>
      <c r="H1052" s="82"/>
    </row>
    <row r="1053" spans="1:8" ht="50.25" hidden="1" customHeight="1" x14ac:dyDescent="0.3">
      <c r="A1053" s="46" t="s">
        <v>146</v>
      </c>
      <c r="B1053" s="250" t="s">
        <v>281</v>
      </c>
      <c r="C1053" s="251"/>
      <c r="D1053" s="251"/>
      <c r="E1053" s="251"/>
      <c r="F1053" s="251"/>
      <c r="G1053" s="251"/>
      <c r="H1053" s="252"/>
    </row>
    <row r="1054" spans="1:8" ht="34.5" hidden="1" customHeight="1" x14ac:dyDescent="0.3">
      <c r="A1054" s="46" t="s">
        <v>146</v>
      </c>
      <c r="B1054" s="112" t="s">
        <v>248</v>
      </c>
      <c r="C1054" s="113"/>
      <c r="D1054" s="113"/>
      <c r="E1054" s="113"/>
      <c r="F1054" s="113"/>
      <c r="G1054" s="113"/>
      <c r="H1054" s="114"/>
    </row>
    <row r="1055" spans="1:8" x14ac:dyDescent="0.3">
      <c r="A1055" s="46" t="s">
        <v>146</v>
      </c>
      <c r="B1055" s="80" t="s">
        <v>290</v>
      </c>
      <c r="C1055" s="81"/>
      <c r="D1055" s="81"/>
      <c r="E1055" s="81"/>
      <c r="F1055" s="81"/>
      <c r="G1055" s="81"/>
      <c r="H1055" s="82"/>
    </row>
    <row r="1056" spans="1:8" x14ac:dyDescent="0.3">
      <c r="A1056" s="207" t="s">
        <v>58</v>
      </c>
      <c r="B1056" s="207"/>
      <c r="C1056" s="207"/>
      <c r="D1056" s="207"/>
      <c r="E1056" s="207"/>
      <c r="F1056" s="207"/>
      <c r="G1056" s="207"/>
      <c r="H1056" s="207"/>
    </row>
    <row r="1057" spans="1:8" x14ac:dyDescent="0.3">
      <c r="A1057" s="138" t="s">
        <v>59</v>
      </c>
      <c r="B1057" s="138"/>
      <c r="C1057" s="138"/>
      <c r="D1057" s="138"/>
      <c r="E1057" s="138"/>
      <c r="F1057" s="138"/>
      <c r="G1057" s="138"/>
      <c r="H1057" s="138"/>
    </row>
    <row r="1058" spans="1:8" x14ac:dyDescent="0.3">
      <c r="A1058" s="232" t="s">
        <v>60</v>
      </c>
      <c r="B1058" s="232"/>
      <c r="C1058" s="232"/>
      <c r="D1058" s="232"/>
      <c r="E1058" s="232"/>
      <c r="F1058" s="232"/>
      <c r="G1058" s="232"/>
      <c r="H1058" s="232"/>
    </row>
    <row r="1059" spans="1:8" x14ac:dyDescent="0.3">
      <c r="A1059" s="138" t="s">
        <v>61</v>
      </c>
      <c r="B1059" s="138"/>
      <c r="C1059" s="138"/>
      <c r="D1059" s="138"/>
      <c r="E1059" s="138"/>
      <c r="F1059" s="138"/>
      <c r="G1059" s="138"/>
      <c r="H1059" s="138"/>
    </row>
    <row r="1060" spans="1:8" x14ac:dyDescent="0.3">
      <c r="A1060" s="138" t="s">
        <v>62</v>
      </c>
      <c r="B1060" s="138"/>
      <c r="C1060" s="138"/>
      <c r="D1060" s="138"/>
      <c r="E1060" s="138"/>
      <c r="F1060" s="138"/>
      <c r="G1060" s="138"/>
      <c r="H1060" s="138"/>
    </row>
    <row r="1061" spans="1:8" x14ac:dyDescent="0.3">
      <c r="A1061" s="138" t="s">
        <v>119</v>
      </c>
      <c r="B1061" s="138"/>
      <c r="C1061" s="138"/>
      <c r="D1061" s="138"/>
      <c r="E1061" s="138"/>
      <c r="F1061" s="138"/>
      <c r="G1061" s="138"/>
      <c r="H1061" s="138"/>
    </row>
    <row r="1062" spans="1:8" x14ac:dyDescent="0.3">
      <c r="A1062" s="153" t="s">
        <v>120</v>
      </c>
      <c r="B1062" s="153"/>
      <c r="C1062" s="153"/>
      <c r="D1062" s="153"/>
      <c r="E1062" s="153"/>
      <c r="F1062" s="153"/>
      <c r="G1062" s="153"/>
      <c r="H1062" s="153"/>
    </row>
    <row r="1063" spans="1:8" x14ac:dyDescent="0.3">
      <c r="A1063" s="243" t="s">
        <v>74</v>
      </c>
      <c r="B1063" s="243"/>
      <c r="C1063" s="243" t="s">
        <v>251</v>
      </c>
      <c r="D1063" s="243"/>
      <c r="E1063" s="243" t="s">
        <v>100</v>
      </c>
      <c r="F1063" s="243"/>
      <c r="G1063" s="243" t="s">
        <v>250</v>
      </c>
      <c r="H1063" s="243"/>
    </row>
    <row r="1064" spans="1:8" x14ac:dyDescent="0.3">
      <c r="A1064" s="242" t="s">
        <v>76</v>
      </c>
      <c r="B1064" s="242"/>
      <c r="C1064" s="242"/>
      <c r="D1064" s="242"/>
      <c r="E1064" s="242"/>
      <c r="F1064" s="242"/>
      <c r="G1064" s="242"/>
      <c r="H1064" s="242"/>
    </row>
    <row r="1065" spans="1:8" x14ac:dyDescent="0.3">
      <c r="A1065" s="242"/>
      <c r="B1065" s="242"/>
      <c r="C1065" s="242"/>
      <c r="D1065" s="242"/>
      <c r="E1065" s="242"/>
      <c r="F1065" s="242"/>
      <c r="G1065" s="242"/>
      <c r="H1065" s="242"/>
    </row>
    <row r="1066" spans="1:8" x14ac:dyDescent="0.3">
      <c r="A1066" s="242"/>
      <c r="B1066" s="242"/>
      <c r="C1066" s="242"/>
      <c r="D1066" s="242"/>
      <c r="E1066" s="242"/>
      <c r="F1066" s="242"/>
      <c r="G1066" s="242"/>
      <c r="H1066" s="242"/>
    </row>
    <row r="1067" spans="1:8" x14ac:dyDescent="0.3">
      <c r="A1067" s="242"/>
      <c r="B1067" s="242"/>
      <c r="C1067" s="242"/>
      <c r="D1067" s="242"/>
      <c r="E1067" s="242"/>
      <c r="F1067" s="242"/>
      <c r="G1067" s="242"/>
      <c r="H1067" s="242"/>
    </row>
    <row r="1068" spans="1:8" x14ac:dyDescent="0.3">
      <c r="A1068" s="38" t="s">
        <v>63</v>
      </c>
      <c r="B1068" s="39"/>
      <c r="C1068" s="39"/>
      <c r="D1068" s="38" t="str">
        <f>E8</f>
        <v>Lodha Vikhroli Signet</v>
      </c>
      <c r="F1068" s="39"/>
      <c r="G1068" s="39"/>
      <c r="H1068" s="39"/>
    </row>
    <row r="1069" spans="1:8" x14ac:dyDescent="0.3">
      <c r="A1069" s="39"/>
      <c r="B1069" s="39"/>
      <c r="C1069" s="39"/>
      <c r="D1069" s="39"/>
      <c r="E1069" s="39"/>
      <c r="F1069" s="39"/>
      <c r="G1069" s="39"/>
      <c r="H1069" s="39"/>
    </row>
    <row r="1070" spans="1:8" x14ac:dyDescent="0.3">
      <c r="A1070" s="39"/>
      <c r="B1070" s="39"/>
      <c r="C1070" s="39"/>
      <c r="D1070" s="39"/>
      <c r="E1070" s="39"/>
      <c r="F1070" s="39"/>
      <c r="G1070" s="39"/>
      <c r="H1070" s="39"/>
    </row>
    <row r="1102" spans="1:1" x14ac:dyDescent="0.3">
      <c r="A1102" s="41" t="s">
        <v>159</v>
      </c>
    </row>
    <row r="1144" spans="1:1" x14ac:dyDescent="0.3">
      <c r="A1144" s="41" t="s">
        <v>64</v>
      </c>
    </row>
  </sheetData>
  <mergeCells count="2098">
    <mergeCell ref="A1036:B1036"/>
    <mergeCell ref="L1036:M1036"/>
    <mergeCell ref="A1037:B1037"/>
    <mergeCell ref="L1037:M1037"/>
    <mergeCell ref="A1038:B1038"/>
    <mergeCell ref="L1038:M1038"/>
    <mergeCell ref="A939:B939"/>
    <mergeCell ref="K620:N620"/>
    <mergeCell ref="I54:M54"/>
    <mergeCell ref="B1052:H1052"/>
    <mergeCell ref="B1053:H1053"/>
    <mergeCell ref="A1020:B1020"/>
    <mergeCell ref="G1020:H1038"/>
    <mergeCell ref="L1020:M1020"/>
    <mergeCell ref="A1021:B1021"/>
    <mergeCell ref="L1021:M1021"/>
    <mergeCell ref="A1022:B1022"/>
    <mergeCell ref="L1022:M1022"/>
    <mergeCell ref="A1023:B1023"/>
    <mergeCell ref="L1023:M1023"/>
    <mergeCell ref="A1024:B1024"/>
    <mergeCell ref="A1025:B1025"/>
    <mergeCell ref="L1025:M1025"/>
    <mergeCell ref="A1026:B1026"/>
    <mergeCell ref="L1026:M1026"/>
    <mergeCell ref="A1027:B1027"/>
    <mergeCell ref="L1027:M1027"/>
    <mergeCell ref="A1028:B1028"/>
    <mergeCell ref="L1028:M1028"/>
    <mergeCell ref="A1029:B1029"/>
    <mergeCell ref="L1029:M1029"/>
    <mergeCell ref="A1030:B1030"/>
    <mergeCell ref="L1030:M1030"/>
    <mergeCell ref="A1031:B1031"/>
    <mergeCell ref="L1031:M1031"/>
    <mergeCell ref="A1032:B1032"/>
    <mergeCell ref="L1032:M1032"/>
    <mergeCell ref="A1033:B1033"/>
    <mergeCell ref="L1033:M1033"/>
    <mergeCell ref="A1034:B1034"/>
    <mergeCell ref="L1034:M1034"/>
    <mergeCell ref="A1035:B1035"/>
    <mergeCell ref="L1035:M1035"/>
    <mergeCell ref="A1011:B1011"/>
    <mergeCell ref="L1011:M1011"/>
    <mergeCell ref="A1012:B1012"/>
    <mergeCell ref="L1012:M1012"/>
    <mergeCell ref="A1013:B1013"/>
    <mergeCell ref="L1013:M1013"/>
    <mergeCell ref="A1014:B1014"/>
    <mergeCell ref="L1014:M1014"/>
    <mergeCell ref="A1015:B1015"/>
    <mergeCell ref="L1015:M1015"/>
    <mergeCell ref="A1016:B1016"/>
    <mergeCell ref="L1016:M1016"/>
    <mergeCell ref="A1017:B1017"/>
    <mergeCell ref="L1017:M1017"/>
    <mergeCell ref="A1018:B1018"/>
    <mergeCell ref="L1018:M1018"/>
    <mergeCell ref="A1019:H1019"/>
    <mergeCell ref="L1019:M1019"/>
    <mergeCell ref="A995:B995"/>
    <mergeCell ref="L995:M995"/>
    <mergeCell ref="A996:B996"/>
    <mergeCell ref="L996:M996"/>
    <mergeCell ref="A997:B997"/>
    <mergeCell ref="L997:M997"/>
    <mergeCell ref="A998:B998"/>
    <mergeCell ref="L998:M998"/>
    <mergeCell ref="A999:H999"/>
    <mergeCell ref="L999:M999"/>
    <mergeCell ref="A1000:B1000"/>
    <mergeCell ref="G1000:H1018"/>
    <mergeCell ref="L1000:M1000"/>
    <mergeCell ref="A1001:B1001"/>
    <mergeCell ref="L1001:M1001"/>
    <mergeCell ref="A1002:B1002"/>
    <mergeCell ref="L1002:M1002"/>
    <mergeCell ref="A1003:B1003"/>
    <mergeCell ref="L1003:M1003"/>
    <mergeCell ref="A1004:B1004"/>
    <mergeCell ref="A1005:B1005"/>
    <mergeCell ref="L1005:M1005"/>
    <mergeCell ref="A1006:B1006"/>
    <mergeCell ref="L1006:M1006"/>
    <mergeCell ref="A1007:B1007"/>
    <mergeCell ref="L1007:M1007"/>
    <mergeCell ref="A1008:B1008"/>
    <mergeCell ref="L1008:M1008"/>
    <mergeCell ref="A1009:B1009"/>
    <mergeCell ref="L1009:M1009"/>
    <mergeCell ref="A1010:B1010"/>
    <mergeCell ref="L1010:M1010"/>
    <mergeCell ref="A979:H979"/>
    <mergeCell ref="L979:M979"/>
    <mergeCell ref="A980:B980"/>
    <mergeCell ref="G980:H998"/>
    <mergeCell ref="L980:M980"/>
    <mergeCell ref="A981:B981"/>
    <mergeCell ref="L981:M981"/>
    <mergeCell ref="A982:B982"/>
    <mergeCell ref="L982:M982"/>
    <mergeCell ref="A983:B983"/>
    <mergeCell ref="L983:M983"/>
    <mergeCell ref="A984:B984"/>
    <mergeCell ref="A985:B985"/>
    <mergeCell ref="L985:M985"/>
    <mergeCell ref="A986:B986"/>
    <mergeCell ref="L986:M986"/>
    <mergeCell ref="A987:B987"/>
    <mergeCell ref="L987:M987"/>
    <mergeCell ref="A988:B988"/>
    <mergeCell ref="L988:M988"/>
    <mergeCell ref="A989:B989"/>
    <mergeCell ref="L989:M989"/>
    <mergeCell ref="A990:B990"/>
    <mergeCell ref="L990:M990"/>
    <mergeCell ref="A991:B991"/>
    <mergeCell ref="L991:M991"/>
    <mergeCell ref="A992:B992"/>
    <mergeCell ref="L992:M992"/>
    <mergeCell ref="A993:B993"/>
    <mergeCell ref="L993:M993"/>
    <mergeCell ref="A994:B994"/>
    <mergeCell ref="L994:M994"/>
    <mergeCell ref="L970:M970"/>
    <mergeCell ref="A971:B971"/>
    <mergeCell ref="L971:M971"/>
    <mergeCell ref="A972:B972"/>
    <mergeCell ref="L972:M972"/>
    <mergeCell ref="A973:B973"/>
    <mergeCell ref="L973:M973"/>
    <mergeCell ref="A974:B974"/>
    <mergeCell ref="L974:M974"/>
    <mergeCell ref="A975:B975"/>
    <mergeCell ref="L975:M975"/>
    <mergeCell ref="A976:B976"/>
    <mergeCell ref="L976:M976"/>
    <mergeCell ref="A977:B977"/>
    <mergeCell ref="L977:M977"/>
    <mergeCell ref="A978:B978"/>
    <mergeCell ref="L978:M978"/>
    <mergeCell ref="A951:B951"/>
    <mergeCell ref="A952:B952"/>
    <mergeCell ref="A953:B953"/>
    <mergeCell ref="A954:B954"/>
    <mergeCell ref="A955:B955"/>
    <mergeCell ref="A956:B956"/>
    <mergeCell ref="A957:B957"/>
    <mergeCell ref="A958:B958"/>
    <mergeCell ref="G941:H958"/>
    <mergeCell ref="A959:H959"/>
    <mergeCell ref="L959:M959"/>
    <mergeCell ref="A960:B960"/>
    <mergeCell ref="G960:H978"/>
    <mergeCell ref="L960:M960"/>
    <mergeCell ref="A961:B961"/>
    <mergeCell ref="L961:M961"/>
    <mergeCell ref="A962:B962"/>
    <mergeCell ref="L962:M962"/>
    <mergeCell ref="A963:B963"/>
    <mergeCell ref="L963:M963"/>
    <mergeCell ref="A964:B964"/>
    <mergeCell ref="A965:B965"/>
    <mergeCell ref="L965:M965"/>
    <mergeCell ref="A966:B966"/>
    <mergeCell ref="L966:M966"/>
    <mergeCell ref="A967:B967"/>
    <mergeCell ref="L967:M967"/>
    <mergeCell ref="A968:B968"/>
    <mergeCell ref="L968:M968"/>
    <mergeCell ref="A969:B969"/>
    <mergeCell ref="L969:M969"/>
    <mergeCell ref="A970:B970"/>
    <mergeCell ref="B1050:H1050"/>
    <mergeCell ref="B1051:H1051"/>
    <mergeCell ref="A948:B948"/>
    <mergeCell ref="L912:M912"/>
    <mergeCell ref="A949:B949"/>
    <mergeCell ref="L913:M913"/>
    <mergeCell ref="A950:B950"/>
    <mergeCell ref="L914:M914"/>
    <mergeCell ref="L915:M915"/>
    <mergeCell ref="L916:M916"/>
    <mergeCell ref="L917:M917"/>
    <mergeCell ref="L918:M918"/>
    <mergeCell ref="L919:M919"/>
    <mergeCell ref="L920:M920"/>
    <mergeCell ref="L921:M921"/>
    <mergeCell ref="L922:M922"/>
    <mergeCell ref="L923:M923"/>
    <mergeCell ref="A942:B942"/>
    <mergeCell ref="A943:B943"/>
    <mergeCell ref="A944:B944"/>
    <mergeCell ref="B1049:H1049"/>
    <mergeCell ref="A945:B945"/>
    <mergeCell ref="A946:B946"/>
    <mergeCell ref="A947:B947"/>
    <mergeCell ref="A941:B941"/>
    <mergeCell ref="A930:B930"/>
    <mergeCell ref="A931:B931"/>
    <mergeCell ref="A932:B932"/>
    <mergeCell ref="A933:B933"/>
    <mergeCell ref="A934:B934"/>
    <mergeCell ref="A935:B935"/>
    <mergeCell ref="B1040:H1040"/>
    <mergeCell ref="L900:M900"/>
    <mergeCell ref="A936:B936"/>
    <mergeCell ref="L901:M901"/>
    <mergeCell ref="A937:B937"/>
    <mergeCell ref="L902:M902"/>
    <mergeCell ref="A938:B938"/>
    <mergeCell ref="L903:M903"/>
    <mergeCell ref="A940:H940"/>
    <mergeCell ref="A923:B923"/>
    <mergeCell ref="L905:M905"/>
    <mergeCell ref="A924:B924"/>
    <mergeCell ref="A918:B918"/>
    <mergeCell ref="A919:H919"/>
    <mergeCell ref="G920:H938"/>
    <mergeCell ref="A925:B925"/>
    <mergeCell ref="A926:B926"/>
    <mergeCell ref="A927:B927"/>
    <mergeCell ref="A928:B928"/>
    <mergeCell ref="A929:B929"/>
    <mergeCell ref="A920:B920"/>
    <mergeCell ref="A921:B921"/>
    <mergeCell ref="A922:B922"/>
    <mergeCell ref="A905:B905"/>
    <mergeCell ref="L906:M906"/>
    <mergeCell ref="A906:B906"/>
    <mergeCell ref="L907:M907"/>
    <mergeCell ref="A907:B907"/>
    <mergeCell ref="G900:H918"/>
    <mergeCell ref="A901:B901"/>
    <mergeCell ref="A902:B902"/>
    <mergeCell ref="A903:B903"/>
    <mergeCell ref="A904:B904"/>
    <mergeCell ref="L908:M908"/>
    <mergeCell ref="A908:B908"/>
    <mergeCell ref="L909:M909"/>
    <mergeCell ref="L910:M910"/>
    <mergeCell ref="L911:M911"/>
    <mergeCell ref="A917:B917"/>
    <mergeCell ref="L899:M899"/>
    <mergeCell ref="A909:B909"/>
    <mergeCell ref="A910:B910"/>
    <mergeCell ref="A911:B911"/>
    <mergeCell ref="L856:M856"/>
    <mergeCell ref="A912:B912"/>
    <mergeCell ref="L857:M857"/>
    <mergeCell ref="A913:B913"/>
    <mergeCell ref="L858:M858"/>
    <mergeCell ref="A914:B914"/>
    <mergeCell ref="L879:M879"/>
    <mergeCell ref="A915:B915"/>
    <mergeCell ref="L880:M880"/>
    <mergeCell ref="A916:B916"/>
    <mergeCell ref="L881:M881"/>
    <mergeCell ref="L882:M882"/>
    <mergeCell ref="A897:B897"/>
    <mergeCell ref="L888:M888"/>
    <mergeCell ref="A898:B898"/>
    <mergeCell ref="L889:M889"/>
    <mergeCell ref="A899:H899"/>
    <mergeCell ref="L883:M883"/>
    <mergeCell ref="L890:M890"/>
    <mergeCell ref="L891:M891"/>
    <mergeCell ref="A886:B886"/>
    <mergeCell ref="L892:M892"/>
    <mergeCell ref="A887:B887"/>
    <mergeCell ref="L893:M893"/>
    <mergeCell ref="A888:B888"/>
    <mergeCell ref="L894:M894"/>
    <mergeCell ref="L895:M895"/>
    <mergeCell ref="L896:M896"/>
    <mergeCell ref="L897:M897"/>
    <mergeCell ref="A889:B889"/>
    <mergeCell ref="L898:M898"/>
    <mergeCell ref="A851:B851"/>
    <mergeCell ref="L834:M834"/>
    <mergeCell ref="A890:B890"/>
    <mergeCell ref="L835:M835"/>
    <mergeCell ref="A900:B900"/>
    <mergeCell ref="L845:M845"/>
    <mergeCell ref="L846:M846"/>
    <mergeCell ref="L847:M847"/>
    <mergeCell ref="L848:M848"/>
    <mergeCell ref="L849:M849"/>
    <mergeCell ref="A891:B891"/>
    <mergeCell ref="L850:M850"/>
    <mergeCell ref="A880:B880"/>
    <mergeCell ref="L851:M851"/>
    <mergeCell ref="A881:B881"/>
    <mergeCell ref="L852:M852"/>
    <mergeCell ref="A882:B882"/>
    <mergeCell ref="L853:M853"/>
    <mergeCell ref="A853:B853"/>
    <mergeCell ref="L885:M885"/>
    <mergeCell ref="A854:B854"/>
    <mergeCell ref="L886:M886"/>
    <mergeCell ref="A855:B855"/>
    <mergeCell ref="L887:M887"/>
    <mergeCell ref="A856:B856"/>
    <mergeCell ref="L854:M854"/>
    <mergeCell ref="A857:B857"/>
    <mergeCell ref="L855:M855"/>
    <mergeCell ref="A843:B843"/>
    <mergeCell ref="L822:M822"/>
    <mergeCell ref="A858:B858"/>
    <mergeCell ref="L823:M823"/>
    <mergeCell ref="A879:H879"/>
    <mergeCell ref="G880:H898"/>
    <mergeCell ref="A892:B892"/>
    <mergeCell ref="L837:M837"/>
    <mergeCell ref="A893:B893"/>
    <mergeCell ref="L838:M838"/>
    <mergeCell ref="A894:B894"/>
    <mergeCell ref="L839:M839"/>
    <mergeCell ref="A895:B895"/>
    <mergeCell ref="L840:M840"/>
    <mergeCell ref="A896:B896"/>
    <mergeCell ref="L841:M841"/>
    <mergeCell ref="A839:H839"/>
    <mergeCell ref="L842:M842"/>
    <mergeCell ref="A844:B844"/>
    <mergeCell ref="L843:M843"/>
    <mergeCell ref="A845:B845"/>
    <mergeCell ref="A883:B883"/>
    <mergeCell ref="A846:B846"/>
    <mergeCell ref="A884:B884"/>
    <mergeCell ref="A847:B847"/>
    <mergeCell ref="A885:B885"/>
    <mergeCell ref="A849:B849"/>
    <mergeCell ref="A850:B850"/>
    <mergeCell ref="L833:M833"/>
    <mergeCell ref="A828:B828"/>
    <mergeCell ref="L825:M825"/>
    <mergeCell ref="A829:B829"/>
    <mergeCell ref="L826:M826"/>
    <mergeCell ref="L828:M828"/>
    <mergeCell ref="A830:B830"/>
    <mergeCell ref="L827:M827"/>
    <mergeCell ref="L829:M829"/>
    <mergeCell ref="A831:B831"/>
    <mergeCell ref="L818:M818"/>
    <mergeCell ref="L830:M830"/>
    <mergeCell ref="A840:B840"/>
    <mergeCell ref="L819:M819"/>
    <mergeCell ref="A841:B841"/>
    <mergeCell ref="L820:M820"/>
    <mergeCell ref="A842:B842"/>
    <mergeCell ref="L821:M821"/>
    <mergeCell ref="A834:B834"/>
    <mergeCell ref="G820:H838"/>
    <mergeCell ref="A823:B823"/>
    <mergeCell ref="A832:B832"/>
    <mergeCell ref="A833:B833"/>
    <mergeCell ref="A835:B835"/>
    <mergeCell ref="A836:B836"/>
    <mergeCell ref="A837:B837"/>
    <mergeCell ref="L802:M802"/>
    <mergeCell ref="A838:B838"/>
    <mergeCell ref="L803:M803"/>
    <mergeCell ref="A811:B811"/>
    <mergeCell ref="G840:H858"/>
    <mergeCell ref="A812:B812"/>
    <mergeCell ref="L809:M809"/>
    <mergeCell ref="A820:B820"/>
    <mergeCell ref="L810:M810"/>
    <mergeCell ref="A821:B821"/>
    <mergeCell ref="L811:M811"/>
    <mergeCell ref="A822:B822"/>
    <mergeCell ref="L812:M812"/>
    <mergeCell ref="A813:B813"/>
    <mergeCell ref="L813:M813"/>
    <mergeCell ref="A814:B814"/>
    <mergeCell ref="L814:M814"/>
    <mergeCell ref="A815:B815"/>
    <mergeCell ref="L815:M815"/>
    <mergeCell ref="A816:B816"/>
    <mergeCell ref="L816:M816"/>
    <mergeCell ref="A852:B852"/>
    <mergeCell ref="L817:M817"/>
    <mergeCell ref="A827:B827"/>
    <mergeCell ref="L836:M836"/>
    <mergeCell ref="A819:H819"/>
    <mergeCell ref="A848:B848"/>
    <mergeCell ref="A824:B824"/>
    <mergeCell ref="L831:M831"/>
    <mergeCell ref="A825:B825"/>
    <mergeCell ref="L832:M832"/>
    <mergeCell ref="A826:B826"/>
    <mergeCell ref="L791:M791"/>
    <mergeCell ref="A802:B802"/>
    <mergeCell ref="L792:M792"/>
    <mergeCell ref="A803:B803"/>
    <mergeCell ref="L793:M793"/>
    <mergeCell ref="A799:H799"/>
    <mergeCell ref="L794:M794"/>
    <mergeCell ref="A804:B804"/>
    <mergeCell ref="L795:M795"/>
    <mergeCell ref="L796:M796"/>
    <mergeCell ref="A807:B807"/>
    <mergeCell ref="L805:M805"/>
    <mergeCell ref="A808:B808"/>
    <mergeCell ref="L806:M806"/>
    <mergeCell ref="A809:B809"/>
    <mergeCell ref="L807:M807"/>
    <mergeCell ref="A810:B810"/>
    <mergeCell ref="A801:B801"/>
    <mergeCell ref="L808:M808"/>
    <mergeCell ref="L797:M797"/>
    <mergeCell ref="L798:M798"/>
    <mergeCell ref="L799:M799"/>
    <mergeCell ref="L800:M800"/>
    <mergeCell ref="A792:B792"/>
    <mergeCell ref="L801:M801"/>
    <mergeCell ref="A800:B800"/>
    <mergeCell ref="L782:M782"/>
    <mergeCell ref="G800:H818"/>
    <mergeCell ref="A805:B805"/>
    <mergeCell ref="A806:B806"/>
    <mergeCell ref="L783:M783"/>
    <mergeCell ref="A817:B817"/>
    <mergeCell ref="L784:M784"/>
    <mergeCell ref="A818:B818"/>
    <mergeCell ref="L785:M785"/>
    <mergeCell ref="A781:H781"/>
    <mergeCell ref="G782:H798"/>
    <mergeCell ref="A782:B782"/>
    <mergeCell ref="A787:B787"/>
    <mergeCell ref="A783:B783"/>
    <mergeCell ref="A793:B793"/>
    <mergeCell ref="L790:M790"/>
    <mergeCell ref="A794:B794"/>
    <mergeCell ref="L761:M761"/>
    <mergeCell ref="A795:B795"/>
    <mergeCell ref="L762:M762"/>
    <mergeCell ref="A796:B796"/>
    <mergeCell ref="L763:M763"/>
    <mergeCell ref="A797:B797"/>
    <mergeCell ref="L764:M764"/>
    <mergeCell ref="A798:B798"/>
    <mergeCell ref="A784:B784"/>
    <mergeCell ref="L771:M771"/>
    <mergeCell ref="L772:M772"/>
    <mergeCell ref="A785:B785"/>
    <mergeCell ref="L774:M774"/>
    <mergeCell ref="A786:B786"/>
    <mergeCell ref="L775:M775"/>
    <mergeCell ref="A772:B772"/>
    <mergeCell ref="L776:M776"/>
    <mergeCell ref="A773:B773"/>
    <mergeCell ref="L777:M777"/>
    <mergeCell ref="A788:B788"/>
    <mergeCell ref="L778:M778"/>
    <mergeCell ref="A789:B789"/>
    <mergeCell ref="A774:B774"/>
    <mergeCell ref="L787:M787"/>
    <mergeCell ref="L788:M788"/>
    <mergeCell ref="A790:B790"/>
    <mergeCell ref="A775:B775"/>
    <mergeCell ref="L789:M789"/>
    <mergeCell ref="A791:B791"/>
    <mergeCell ref="A763:H763"/>
    <mergeCell ref="L781:M781"/>
    <mergeCell ref="L739:M739"/>
    <mergeCell ref="A753:B753"/>
    <mergeCell ref="L740:M740"/>
    <mergeCell ref="A776:B776"/>
    <mergeCell ref="L741:M741"/>
    <mergeCell ref="A777:B777"/>
    <mergeCell ref="L742:M742"/>
    <mergeCell ref="A778:B778"/>
    <mergeCell ref="L743:M743"/>
    <mergeCell ref="A779:B779"/>
    <mergeCell ref="L744:M744"/>
    <mergeCell ref="L751:M751"/>
    <mergeCell ref="L752:M752"/>
    <mergeCell ref="A764:B764"/>
    <mergeCell ref="L753:M753"/>
    <mergeCell ref="L754:M754"/>
    <mergeCell ref="L765:M765"/>
    <mergeCell ref="L755:M755"/>
    <mergeCell ref="L757:M757"/>
    <mergeCell ref="L773:M773"/>
    <mergeCell ref="A765:B765"/>
    <mergeCell ref="L758:M758"/>
    <mergeCell ref="A766:B766"/>
    <mergeCell ref="L759:M759"/>
    <mergeCell ref="A767:B767"/>
    <mergeCell ref="L767:M767"/>
    <mergeCell ref="A768:B768"/>
    <mergeCell ref="L768:M768"/>
    <mergeCell ref="L779:M779"/>
    <mergeCell ref="A769:B769"/>
    <mergeCell ref="L760:M760"/>
    <mergeCell ref="G764:H780"/>
    <mergeCell ref="A754:B754"/>
    <mergeCell ref="A755:B755"/>
    <mergeCell ref="A756:B756"/>
    <mergeCell ref="A757:B757"/>
    <mergeCell ref="A758:B758"/>
    <mergeCell ref="A759:B759"/>
    <mergeCell ref="A760:B760"/>
    <mergeCell ref="A761:B761"/>
    <mergeCell ref="A780:B780"/>
    <mergeCell ref="L745:M745"/>
    <mergeCell ref="A744:B744"/>
    <mergeCell ref="L747:M747"/>
    <mergeCell ref="L756:M756"/>
    <mergeCell ref="A742:B742"/>
    <mergeCell ref="L748:M748"/>
    <mergeCell ref="A743:B743"/>
    <mergeCell ref="L749:M749"/>
    <mergeCell ref="A745:B745"/>
    <mergeCell ref="L750:M750"/>
    <mergeCell ref="A762:B762"/>
    <mergeCell ref="A771:B771"/>
    <mergeCell ref="A750:B750"/>
    <mergeCell ref="A751:B751"/>
    <mergeCell ref="L769:M769"/>
    <mergeCell ref="A770:B770"/>
    <mergeCell ref="G731:H748"/>
    <mergeCell ref="A737:B737"/>
    <mergeCell ref="L770:M770"/>
    <mergeCell ref="L780:M780"/>
    <mergeCell ref="A746:B746"/>
    <mergeCell ref="L738:M738"/>
    <mergeCell ref="A747:B747"/>
    <mergeCell ref="L712:M712"/>
    <mergeCell ref="A748:B748"/>
    <mergeCell ref="L713:M713"/>
    <mergeCell ref="A749:H749"/>
    <mergeCell ref="G750:H762"/>
    <mergeCell ref="L719:M719"/>
    <mergeCell ref="L720:M720"/>
    <mergeCell ref="L721:M721"/>
    <mergeCell ref="L722:M722"/>
    <mergeCell ref="L723:M723"/>
    <mergeCell ref="L724:M724"/>
    <mergeCell ref="A726:B726"/>
    <mergeCell ref="L725:M725"/>
    <mergeCell ref="A727:B727"/>
    <mergeCell ref="L726:M726"/>
    <mergeCell ref="A731:B731"/>
    <mergeCell ref="L729:M729"/>
    <mergeCell ref="A732:B732"/>
    <mergeCell ref="L730:M730"/>
    <mergeCell ref="A733:B733"/>
    <mergeCell ref="L731:M731"/>
    <mergeCell ref="A734:B734"/>
    <mergeCell ref="L732:M732"/>
    <mergeCell ref="A735:B735"/>
    <mergeCell ref="L733:M733"/>
    <mergeCell ref="A736:B736"/>
    <mergeCell ref="L734:M734"/>
    <mergeCell ref="A730:H730"/>
    <mergeCell ref="L735:M735"/>
    <mergeCell ref="A738:B738"/>
    <mergeCell ref="A752:B752"/>
    <mergeCell ref="A739:B739"/>
    <mergeCell ref="L684:M684"/>
    <mergeCell ref="A740:B740"/>
    <mergeCell ref="L685:M685"/>
    <mergeCell ref="A741:B741"/>
    <mergeCell ref="L686:M686"/>
    <mergeCell ref="A711:B711"/>
    <mergeCell ref="L687:M687"/>
    <mergeCell ref="A712:B712"/>
    <mergeCell ref="L688:M688"/>
    <mergeCell ref="A718:B718"/>
    <mergeCell ref="L689:M689"/>
    <mergeCell ref="A713:B713"/>
    <mergeCell ref="L710:M710"/>
    <mergeCell ref="A714:B714"/>
    <mergeCell ref="L727:M727"/>
    <mergeCell ref="A715:B715"/>
    <mergeCell ref="L715:M715"/>
    <mergeCell ref="A716:B716"/>
    <mergeCell ref="L716:M716"/>
    <mergeCell ref="A717:B717"/>
    <mergeCell ref="L717:M717"/>
    <mergeCell ref="A710:H710"/>
    <mergeCell ref="G711:H729"/>
    <mergeCell ref="A719:B719"/>
    <mergeCell ref="A728:B728"/>
    <mergeCell ref="A729:B729"/>
    <mergeCell ref="L718:M718"/>
    <mergeCell ref="L736:M736"/>
    <mergeCell ref="L737:M737"/>
    <mergeCell ref="A720:B720"/>
    <mergeCell ref="L711:M711"/>
    <mergeCell ref="A721:B721"/>
    <mergeCell ref="L663:M663"/>
    <mergeCell ref="A722:B722"/>
    <mergeCell ref="L664:M664"/>
    <mergeCell ref="A723:B723"/>
    <mergeCell ref="L665:M665"/>
    <mergeCell ref="A724:B724"/>
    <mergeCell ref="L666:M666"/>
    <mergeCell ref="A725:B725"/>
    <mergeCell ref="A681:B681"/>
    <mergeCell ref="L671:M671"/>
    <mergeCell ref="A685:B685"/>
    <mergeCell ref="L672:M672"/>
    <mergeCell ref="A686:B686"/>
    <mergeCell ref="L677:M677"/>
    <mergeCell ref="L678:M678"/>
    <mergeCell ref="L679:M679"/>
    <mergeCell ref="L680:M680"/>
    <mergeCell ref="L681:M681"/>
    <mergeCell ref="L673:M673"/>
    <mergeCell ref="L674:M674"/>
    <mergeCell ref="L682:M682"/>
    <mergeCell ref="L700:M700"/>
    <mergeCell ref="A701:B701"/>
    <mergeCell ref="L701:M701"/>
    <mergeCell ref="A702:B702"/>
    <mergeCell ref="L702:M702"/>
    <mergeCell ref="A703:B703"/>
    <mergeCell ref="L703:M703"/>
    <mergeCell ref="A704:B704"/>
    <mergeCell ref="L704:M704"/>
    <mergeCell ref="L683:M683"/>
    <mergeCell ref="A657:B657"/>
    <mergeCell ref="L652:M652"/>
    <mergeCell ref="A688:B688"/>
    <mergeCell ref="L670:M670"/>
    <mergeCell ref="G671:H689"/>
    <mergeCell ref="A672:B672"/>
    <mergeCell ref="A673:B673"/>
    <mergeCell ref="A674:B674"/>
    <mergeCell ref="A675:B675"/>
    <mergeCell ref="A676:B676"/>
    <mergeCell ref="A677:B677"/>
    <mergeCell ref="A678:B678"/>
    <mergeCell ref="A679:B679"/>
    <mergeCell ref="A680:B680"/>
    <mergeCell ref="L653:M653"/>
    <mergeCell ref="L654:M654"/>
    <mergeCell ref="A687:B687"/>
    <mergeCell ref="L676:M676"/>
    <mergeCell ref="A659:B659"/>
    <mergeCell ref="L655:M655"/>
    <mergeCell ref="L656:M656"/>
    <mergeCell ref="L657:M657"/>
    <mergeCell ref="L658:M658"/>
    <mergeCell ref="L659:M659"/>
    <mergeCell ref="L660:M660"/>
    <mergeCell ref="A689:B689"/>
    <mergeCell ref="L661:M661"/>
    <mergeCell ref="A660:B660"/>
    <mergeCell ref="A661:B661"/>
    <mergeCell ref="A662:B662"/>
    <mergeCell ref="L662:M662"/>
    <mergeCell ref="L636:M636"/>
    <mergeCell ref="A663:B663"/>
    <mergeCell ref="L637:M637"/>
    <mergeCell ref="A664:B664"/>
    <mergeCell ref="A665:B665"/>
    <mergeCell ref="L638:M638"/>
    <mergeCell ref="A666:B666"/>
    <mergeCell ref="A671:B671"/>
    <mergeCell ref="L640:M640"/>
    <mergeCell ref="L641:M641"/>
    <mergeCell ref="L642:M642"/>
    <mergeCell ref="L643:M643"/>
    <mergeCell ref="L644:M644"/>
    <mergeCell ref="L645:M645"/>
    <mergeCell ref="A647:B647"/>
    <mergeCell ref="A651:B651"/>
    <mergeCell ref="L646:M646"/>
    <mergeCell ref="L647:M647"/>
    <mergeCell ref="L648:M648"/>
    <mergeCell ref="L649:M649"/>
    <mergeCell ref="L650:M650"/>
    <mergeCell ref="G637:H652"/>
    <mergeCell ref="A667:B667"/>
    <mergeCell ref="L667:M667"/>
    <mergeCell ref="A668:B668"/>
    <mergeCell ref="L668:M668"/>
    <mergeCell ref="A669:B669"/>
    <mergeCell ref="L669:M669"/>
    <mergeCell ref="G655:H669"/>
    <mergeCell ref="C667:F669"/>
    <mergeCell ref="L651:M651"/>
    <mergeCell ref="A656:B656"/>
    <mergeCell ref="L623:M623"/>
    <mergeCell ref="A526:B526"/>
    <mergeCell ref="L624:M624"/>
    <mergeCell ref="A527:B527"/>
    <mergeCell ref="L625:M625"/>
    <mergeCell ref="A528:B528"/>
    <mergeCell ref="L626:M626"/>
    <mergeCell ref="A529:B529"/>
    <mergeCell ref="L627:M627"/>
    <mergeCell ref="A636:H636"/>
    <mergeCell ref="A653:H653"/>
    <mergeCell ref="A620:H620"/>
    <mergeCell ref="A609:H609"/>
    <mergeCell ref="A610:H610"/>
    <mergeCell ref="A530:B530"/>
    <mergeCell ref="L628:M628"/>
    <mergeCell ref="A531:B531"/>
    <mergeCell ref="L629:M629"/>
    <mergeCell ref="A532:B532"/>
    <mergeCell ref="L630:M630"/>
    <mergeCell ref="A533:B533"/>
    <mergeCell ref="L631:M631"/>
    <mergeCell ref="G612:H619"/>
    <mergeCell ref="L615:M615"/>
    <mergeCell ref="A648:B648"/>
    <mergeCell ref="A649:B649"/>
    <mergeCell ref="L635:M635"/>
    <mergeCell ref="L616:M616"/>
    <mergeCell ref="A619:B619"/>
    <mergeCell ref="A650:B650"/>
    <mergeCell ref="A652:B652"/>
    <mergeCell ref="L548:M548"/>
    <mergeCell ref="L619:M619"/>
    <mergeCell ref="A522:B522"/>
    <mergeCell ref="A523:B523"/>
    <mergeCell ref="L621:M621"/>
    <mergeCell ref="A524:B524"/>
    <mergeCell ref="L622:M622"/>
    <mergeCell ref="A525:B525"/>
    <mergeCell ref="L531:M531"/>
    <mergeCell ref="A510:B510"/>
    <mergeCell ref="L532:M532"/>
    <mergeCell ref="A511:B511"/>
    <mergeCell ref="L533:M533"/>
    <mergeCell ref="A512:B512"/>
    <mergeCell ref="L609:M609"/>
    <mergeCell ref="A513:B513"/>
    <mergeCell ref="L610:M610"/>
    <mergeCell ref="A514:B514"/>
    <mergeCell ref="L611:M611"/>
    <mergeCell ref="A515:B515"/>
    <mergeCell ref="L612:M612"/>
    <mergeCell ref="A516:B516"/>
    <mergeCell ref="L613:M613"/>
    <mergeCell ref="L614:M614"/>
    <mergeCell ref="A518:B518"/>
    <mergeCell ref="L523:M523"/>
    <mergeCell ref="L522:M522"/>
    <mergeCell ref="L543:M543"/>
    <mergeCell ref="A544:B544"/>
    <mergeCell ref="A618:B618"/>
    <mergeCell ref="A611:H611"/>
    <mergeCell ref="L513:M513"/>
    <mergeCell ref="A519:B519"/>
    <mergeCell ref="L514:M514"/>
    <mergeCell ref="L515:M515"/>
    <mergeCell ref="L516:M516"/>
    <mergeCell ref="L617:M617"/>
    <mergeCell ref="A520:B520"/>
    <mergeCell ref="L618:M618"/>
    <mergeCell ref="A521:B521"/>
    <mergeCell ref="L521:M521"/>
    <mergeCell ref="L518:M518"/>
    <mergeCell ref="L519:M519"/>
    <mergeCell ref="A546:B546"/>
    <mergeCell ref="L546:M546"/>
    <mergeCell ref="A547:B547"/>
    <mergeCell ref="L547:M547"/>
    <mergeCell ref="A548:B548"/>
    <mergeCell ref="A549:B549"/>
    <mergeCell ref="L549:M549"/>
    <mergeCell ref="A550:B550"/>
    <mergeCell ref="L550:M550"/>
    <mergeCell ref="L511:M511"/>
    <mergeCell ref="L512:M512"/>
    <mergeCell ref="A517:B517"/>
    <mergeCell ref="A509:B509"/>
    <mergeCell ref="G509:H533"/>
    <mergeCell ref="L527:M527"/>
    <mergeCell ref="L525:M525"/>
    <mergeCell ref="L520:M520"/>
    <mergeCell ref="L544:M544"/>
    <mergeCell ref="A545:B545"/>
    <mergeCell ref="L545:M545"/>
    <mergeCell ref="L529:M529"/>
    <mergeCell ref="L498:M498"/>
    <mergeCell ref="L499:M499"/>
    <mergeCell ref="A615:B615"/>
    <mergeCell ref="A616:B616"/>
    <mergeCell ref="A617:B617"/>
    <mergeCell ref="L508:M508"/>
    <mergeCell ref="L501:M501"/>
    <mergeCell ref="A491:B491"/>
    <mergeCell ref="L490:M490"/>
    <mergeCell ref="A495:H495"/>
    <mergeCell ref="G496:H507"/>
    <mergeCell ref="L481:M481"/>
    <mergeCell ref="L484:M484"/>
    <mergeCell ref="L496:M496"/>
    <mergeCell ref="L485:M485"/>
    <mergeCell ref="A490:B490"/>
    <mergeCell ref="L486:M486"/>
    <mergeCell ref="A492:B492"/>
    <mergeCell ref="A487:B487"/>
    <mergeCell ref="L493:M493"/>
    <mergeCell ref="A503:B503"/>
    <mergeCell ref="L495:M495"/>
    <mergeCell ref="A496:B496"/>
    <mergeCell ref="A505:B505"/>
    <mergeCell ref="L503:M503"/>
    <mergeCell ref="A499:B499"/>
    <mergeCell ref="A497:B497"/>
    <mergeCell ref="A500:B500"/>
    <mergeCell ref="L506:M506"/>
    <mergeCell ref="L507:M507"/>
    <mergeCell ref="L488:M488"/>
    <mergeCell ref="A501:B501"/>
    <mergeCell ref="A498:B498"/>
    <mergeCell ref="A502:B502"/>
    <mergeCell ref="L500:M500"/>
    <mergeCell ref="L505:M505"/>
    <mergeCell ref="L502:M502"/>
    <mergeCell ref="A504:B504"/>
    <mergeCell ref="L497:M497"/>
    <mergeCell ref="A493:B493"/>
    <mergeCell ref="L468:M468"/>
    <mergeCell ref="L473:M473"/>
    <mergeCell ref="L469:M469"/>
    <mergeCell ref="A468:H468"/>
    <mergeCell ref="A469:B469"/>
    <mergeCell ref="G469:H494"/>
    <mergeCell ref="L470:M470"/>
    <mergeCell ref="A470:B470"/>
    <mergeCell ref="L471:M471"/>
    <mergeCell ref="A471:B471"/>
    <mergeCell ref="L494:M494"/>
    <mergeCell ref="A472:B472"/>
    <mergeCell ref="L474:M474"/>
    <mergeCell ref="A473:B473"/>
    <mergeCell ref="A494:B494"/>
    <mergeCell ref="A489:B489"/>
    <mergeCell ref="A479:B479"/>
    <mergeCell ref="L475:M475"/>
    <mergeCell ref="A480:B480"/>
    <mergeCell ref="A488:B488"/>
    <mergeCell ref="L483:M483"/>
    <mergeCell ref="A481:B481"/>
    <mergeCell ref="L492:M492"/>
    <mergeCell ref="A482:B482"/>
    <mergeCell ref="A483:B483"/>
    <mergeCell ref="L472:M472"/>
    <mergeCell ref="L487:M487"/>
    <mergeCell ref="A475:B475"/>
    <mergeCell ref="L489:M489"/>
    <mergeCell ref="A476:B476"/>
    <mergeCell ref="A477:B477"/>
    <mergeCell ref="C464:F464"/>
    <mergeCell ref="L446:M446"/>
    <mergeCell ref="A466:B466"/>
    <mergeCell ref="L465:M465"/>
    <mergeCell ref="A467:B467"/>
    <mergeCell ref="L466:M466"/>
    <mergeCell ref="L464:M464"/>
    <mergeCell ref="A458:B458"/>
    <mergeCell ref="L456:M456"/>
    <mergeCell ref="A459:B459"/>
    <mergeCell ref="L482:M482"/>
    <mergeCell ref="A460:B460"/>
    <mergeCell ref="L457:M457"/>
    <mergeCell ref="A461:B461"/>
    <mergeCell ref="L458:M458"/>
    <mergeCell ref="A462:B462"/>
    <mergeCell ref="A463:B463"/>
    <mergeCell ref="A465:B465"/>
    <mergeCell ref="L459:M459"/>
    <mergeCell ref="L460:M460"/>
    <mergeCell ref="A474:B474"/>
    <mergeCell ref="L461:M461"/>
    <mergeCell ref="L478:M478"/>
    <mergeCell ref="L479:M479"/>
    <mergeCell ref="L480:M480"/>
    <mergeCell ref="A478:B478"/>
    <mergeCell ref="L476:M476"/>
    <mergeCell ref="L477:M477"/>
    <mergeCell ref="L462:M462"/>
    <mergeCell ref="A409:B409"/>
    <mergeCell ref="L463:M463"/>
    <mergeCell ref="A410:B410"/>
    <mergeCell ref="L444:M444"/>
    <mergeCell ref="L448:M448"/>
    <mergeCell ref="L450:M450"/>
    <mergeCell ref="A443:H443"/>
    <mergeCell ref="L452:M452"/>
    <mergeCell ref="A445:B445"/>
    <mergeCell ref="L454:M454"/>
    <mergeCell ref="A446:B446"/>
    <mergeCell ref="L455:M455"/>
    <mergeCell ref="L447:M447"/>
    <mergeCell ref="A447:B447"/>
    <mergeCell ref="A450:B450"/>
    <mergeCell ref="A444:B444"/>
    <mergeCell ref="G444:H467"/>
    <mergeCell ref="L453:M453"/>
    <mergeCell ref="A451:B451"/>
    <mergeCell ref="A453:B453"/>
    <mergeCell ref="A454:B454"/>
    <mergeCell ref="A455:B455"/>
    <mergeCell ref="A456:B456"/>
    <mergeCell ref="A457:B457"/>
    <mergeCell ref="A411:B411"/>
    <mergeCell ref="L445:M445"/>
    <mergeCell ref="L451:M451"/>
    <mergeCell ref="A448:B448"/>
    <mergeCell ref="L426:M426"/>
    <mergeCell ref="A427:B427"/>
    <mergeCell ref="A464:B464"/>
    <mergeCell ref="L373:M373"/>
    <mergeCell ref="L396:M396"/>
    <mergeCell ref="L379:M379"/>
    <mergeCell ref="A392:B392"/>
    <mergeCell ref="L390:M390"/>
    <mergeCell ref="A403:B403"/>
    <mergeCell ref="L397:M397"/>
    <mergeCell ref="L395:M395"/>
    <mergeCell ref="L383:M383"/>
    <mergeCell ref="L384:M384"/>
    <mergeCell ref="A399:B399"/>
    <mergeCell ref="A400:B400"/>
    <mergeCell ref="A395:B395"/>
    <mergeCell ref="A396:B396"/>
    <mergeCell ref="L385:M385"/>
    <mergeCell ref="A401:B401"/>
    <mergeCell ref="L386:M386"/>
    <mergeCell ref="A384:B384"/>
    <mergeCell ref="A385:B385"/>
    <mergeCell ref="A387:B387"/>
    <mergeCell ref="A388:B388"/>
    <mergeCell ref="A389:B389"/>
    <mergeCell ref="L398:M398"/>
    <mergeCell ref="A382:B382"/>
    <mergeCell ref="A374:B374"/>
    <mergeCell ref="L399:M399"/>
    <mergeCell ref="A377:B377"/>
    <mergeCell ref="L400:M400"/>
    <mergeCell ref="A393:B393"/>
    <mergeCell ref="L401:M401"/>
    <mergeCell ref="A394:B394"/>
    <mergeCell ref="L402:M402"/>
    <mergeCell ref="L403:M403"/>
    <mergeCell ref="A381:B381"/>
    <mergeCell ref="L404:M404"/>
    <mergeCell ref="A402:B402"/>
    <mergeCell ref="L391:M391"/>
    <mergeCell ref="L392:M392"/>
    <mergeCell ref="L393:M393"/>
    <mergeCell ref="L394:M394"/>
    <mergeCell ref="A404:B404"/>
    <mergeCell ref="L409:M409"/>
    <mergeCell ref="L407:M407"/>
    <mergeCell ref="L408:M408"/>
    <mergeCell ref="L406:M406"/>
    <mergeCell ref="L410:M410"/>
    <mergeCell ref="L411:M411"/>
    <mergeCell ref="A405:B405"/>
    <mergeCell ref="L405:M405"/>
    <mergeCell ref="A406:B406"/>
    <mergeCell ref="A407:B407"/>
    <mergeCell ref="L387:M387"/>
    <mergeCell ref="L388:M388"/>
    <mergeCell ref="A408:B408"/>
    <mergeCell ref="C18:D18"/>
    <mergeCell ref="A355:B355"/>
    <mergeCell ref="L380:M380"/>
    <mergeCell ref="A356:B356"/>
    <mergeCell ref="L381:M381"/>
    <mergeCell ref="A357:B357"/>
    <mergeCell ref="L382:M382"/>
    <mergeCell ref="L343:M343"/>
    <mergeCell ref="A321:B321"/>
    <mergeCell ref="L344:M344"/>
    <mergeCell ref="A322:B322"/>
    <mergeCell ref="L345:M345"/>
    <mergeCell ref="A323:B323"/>
    <mergeCell ref="L346:M346"/>
    <mergeCell ref="C326:F326"/>
    <mergeCell ref="A330:H330"/>
    <mergeCell ref="A331:B331"/>
    <mergeCell ref="G331:H339"/>
    <mergeCell ref="L354:M354"/>
    <mergeCell ref="E20:F20"/>
    <mergeCell ref="G20:H20"/>
    <mergeCell ref="E25:H25"/>
    <mergeCell ref="A27:D27"/>
    <mergeCell ref="L351:M351"/>
    <mergeCell ref="A329:B329"/>
    <mergeCell ref="L352:M352"/>
    <mergeCell ref="C331:F331"/>
    <mergeCell ref="L357:M357"/>
    <mergeCell ref="A335:B335"/>
    <mergeCell ref="A337:B337"/>
    <mergeCell ref="A338:B338"/>
    <mergeCell ref="L307:M307"/>
    <mergeCell ref="L372:M372"/>
    <mergeCell ref="A336:B336"/>
    <mergeCell ref="L359:M359"/>
    <mergeCell ref="L347:M347"/>
    <mergeCell ref="A325:B325"/>
    <mergeCell ref="L348:M348"/>
    <mergeCell ref="A326:B326"/>
    <mergeCell ref="L349:M349"/>
    <mergeCell ref="A359:B359"/>
    <mergeCell ref="L350:M350"/>
    <mergeCell ref="A362:B362"/>
    <mergeCell ref="L363:M363"/>
    <mergeCell ref="A363:B363"/>
    <mergeCell ref="L364:M364"/>
    <mergeCell ref="A368:B368"/>
    <mergeCell ref="A369:B369"/>
    <mergeCell ref="A370:B370"/>
    <mergeCell ref="A371:B371"/>
    <mergeCell ref="A372:B372"/>
    <mergeCell ref="L355:M355"/>
    <mergeCell ref="A333:B333"/>
    <mergeCell ref="L369:M369"/>
    <mergeCell ref="L370:M370"/>
    <mergeCell ref="L371:M371"/>
    <mergeCell ref="A365:B365"/>
    <mergeCell ref="L330:M330"/>
    <mergeCell ref="A364:B364"/>
    <mergeCell ref="A339:B339"/>
    <mergeCell ref="L366:M366"/>
    <mergeCell ref="L367:M367"/>
    <mergeCell ref="L368:M368"/>
    <mergeCell ref="L356:M356"/>
    <mergeCell ref="A1064:H1067"/>
    <mergeCell ref="A1063:B1063"/>
    <mergeCell ref="E1063:F1063"/>
    <mergeCell ref="C1063:D1063"/>
    <mergeCell ref="G1063:H1063"/>
    <mergeCell ref="A1056:H1056"/>
    <mergeCell ref="A1057:H1057"/>
    <mergeCell ref="A1062:H1062"/>
    <mergeCell ref="A366:H366"/>
    <mergeCell ref="B1048:H1048"/>
    <mergeCell ref="B1046:H1046"/>
    <mergeCell ref="B1042:H1042"/>
    <mergeCell ref="B1047:H1047"/>
    <mergeCell ref="A373:B373"/>
    <mergeCell ref="A375:B375"/>
    <mergeCell ref="A376:B376"/>
    <mergeCell ref="A386:B386"/>
    <mergeCell ref="A637:B637"/>
    <mergeCell ref="A642:B642"/>
    <mergeCell ref="A643:B643"/>
    <mergeCell ref="A644:B644"/>
    <mergeCell ref="A645:B645"/>
    <mergeCell ref="A646:B646"/>
    <mergeCell ref="A612:B612"/>
    <mergeCell ref="A378:B378"/>
    <mergeCell ref="A390:H390"/>
    <mergeCell ref="A391:B391"/>
    <mergeCell ref="G391:H415"/>
    <mergeCell ref="A398:B398"/>
    <mergeCell ref="A452:B452"/>
    <mergeCell ref="A379:B379"/>
    <mergeCell ref="A380:B380"/>
    <mergeCell ref="A1061:H1061"/>
    <mergeCell ref="A316:B316"/>
    <mergeCell ref="A317:B317"/>
    <mergeCell ref="A318:B318"/>
    <mergeCell ref="A319:B319"/>
    <mergeCell ref="A310:B310"/>
    <mergeCell ref="A311:B311"/>
    <mergeCell ref="A312:B312"/>
    <mergeCell ref="A313:B313"/>
    <mergeCell ref="A314:B314"/>
    <mergeCell ref="A508:H508"/>
    <mergeCell ref="A328:B328"/>
    <mergeCell ref="A397:B397"/>
    <mergeCell ref="A682:B682"/>
    <mergeCell ref="A683:B683"/>
    <mergeCell ref="A684:B684"/>
    <mergeCell ref="A1060:H1060"/>
    <mergeCell ref="A1059:H1059"/>
    <mergeCell ref="A334:B334"/>
    <mergeCell ref="A349:B349"/>
    <mergeCell ref="A358:B358"/>
    <mergeCell ref="A345:B345"/>
    <mergeCell ref="A346:B346"/>
    <mergeCell ref="C386:F386"/>
    <mergeCell ref="A352:B352"/>
    <mergeCell ref="A353:B353"/>
    <mergeCell ref="A354:B354"/>
    <mergeCell ref="A484:B484"/>
    <mergeCell ref="A485:B485"/>
    <mergeCell ref="A486:B486"/>
    <mergeCell ref="A613:B613"/>
    <mergeCell ref="A614:B614"/>
    <mergeCell ref="B1041:H1041"/>
    <mergeCell ref="B1043:H1043"/>
    <mergeCell ref="B1044:H1044"/>
    <mergeCell ref="A1039:H1039"/>
    <mergeCell ref="A367:B367"/>
    <mergeCell ref="G367:H389"/>
    <mergeCell ref="A383:B383"/>
    <mergeCell ref="A327:B327"/>
    <mergeCell ref="A658:B658"/>
    <mergeCell ref="A670:H670"/>
    <mergeCell ref="B1045:H1045"/>
    <mergeCell ref="A278:B278"/>
    <mergeCell ref="A183:B183"/>
    <mergeCell ref="A635:B635"/>
    <mergeCell ref="A630:B630"/>
    <mergeCell ref="A622:B622"/>
    <mergeCell ref="A632:B632"/>
    <mergeCell ref="A633:B633"/>
    <mergeCell ref="A347:B347"/>
    <mergeCell ref="A348:B348"/>
    <mergeCell ref="A332:B332"/>
    <mergeCell ref="A282:B282"/>
    <mergeCell ref="A627:B627"/>
    <mergeCell ref="A621:B621"/>
    <mergeCell ref="G621:H635"/>
    <mergeCell ref="A199:B199"/>
    <mergeCell ref="A286:B286"/>
    <mergeCell ref="A343:B343"/>
    <mergeCell ref="A315:B315"/>
    <mergeCell ref="A284:B284"/>
    <mergeCell ref="A640:B640"/>
    <mergeCell ref="A641:B641"/>
    <mergeCell ref="A16:B16"/>
    <mergeCell ref="C16:H16"/>
    <mergeCell ref="A21:D22"/>
    <mergeCell ref="A23:D23"/>
    <mergeCell ref="E23:H23"/>
    <mergeCell ref="A17:B17"/>
    <mergeCell ref="C17:D17"/>
    <mergeCell ref="E17:F17"/>
    <mergeCell ref="G17:H17"/>
    <mergeCell ref="A1058:H1058"/>
    <mergeCell ref="A654:H654"/>
    <mergeCell ref="A655:B655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72:B72"/>
    <mergeCell ref="E68:F68"/>
    <mergeCell ref="A61:C61"/>
    <mergeCell ref="D61:H61"/>
    <mergeCell ref="A64:C64"/>
    <mergeCell ref="D64:H64"/>
    <mergeCell ref="A62:C62"/>
    <mergeCell ref="D62:H62"/>
    <mergeCell ref="A63:C63"/>
    <mergeCell ref="D63:H63"/>
    <mergeCell ref="A11:D11"/>
    <mergeCell ref="E11:H11"/>
    <mergeCell ref="A5:D5"/>
    <mergeCell ref="E5:H5"/>
    <mergeCell ref="A6:D6"/>
    <mergeCell ref="E6:H6"/>
    <mergeCell ref="A7:D7"/>
    <mergeCell ref="E7:H7"/>
    <mergeCell ref="A15:B15"/>
    <mergeCell ref="A12:D12"/>
    <mergeCell ref="E12:H12"/>
    <mergeCell ref="A13:D13"/>
    <mergeCell ref="A10:D10"/>
    <mergeCell ref="E10:H10"/>
    <mergeCell ref="E13:H13"/>
    <mergeCell ref="A14:B14"/>
    <mergeCell ref="C14:H14"/>
    <mergeCell ref="C15:H15"/>
    <mergeCell ref="E18:F18"/>
    <mergeCell ref="A28:D28"/>
    <mergeCell ref="E28:H28"/>
    <mergeCell ref="A25:D25"/>
    <mergeCell ref="A34:B34"/>
    <mergeCell ref="C34:E34"/>
    <mergeCell ref="A29:D29"/>
    <mergeCell ref="E29:H29"/>
    <mergeCell ref="A30:D30"/>
    <mergeCell ref="E30:H30"/>
    <mergeCell ref="A26:D26"/>
    <mergeCell ref="E26:H26"/>
    <mergeCell ref="C31:E31"/>
    <mergeCell ref="F34:H34"/>
    <mergeCell ref="F31:H31"/>
    <mergeCell ref="A32:B32"/>
    <mergeCell ref="A31:B31"/>
    <mergeCell ref="C32:E32"/>
    <mergeCell ref="A33:B33"/>
    <mergeCell ref="C33:E33"/>
    <mergeCell ref="E27:H27"/>
    <mergeCell ref="C20:D20"/>
    <mergeCell ref="E21:H22"/>
    <mergeCell ref="A24:D24"/>
    <mergeCell ref="E24:H24"/>
    <mergeCell ref="E19:F19"/>
    <mergeCell ref="G19:H19"/>
    <mergeCell ref="A20:B20"/>
    <mergeCell ref="G18:H18"/>
    <mergeCell ref="A19:B19"/>
    <mergeCell ref="C19:D19"/>
    <mergeCell ref="A18:B18"/>
    <mergeCell ref="A36:H36"/>
    <mergeCell ref="A35:B35"/>
    <mergeCell ref="C35:E35"/>
    <mergeCell ref="A40:D40"/>
    <mergeCell ref="E40:H40"/>
    <mergeCell ref="F32:H32"/>
    <mergeCell ref="F33:H33"/>
    <mergeCell ref="A39:H39"/>
    <mergeCell ref="A58:C58"/>
    <mergeCell ref="F35:H35"/>
    <mergeCell ref="A37:B37"/>
    <mergeCell ref="A38:B38"/>
    <mergeCell ref="C38:H38"/>
    <mergeCell ref="A44:D44"/>
    <mergeCell ref="A45:D45"/>
    <mergeCell ref="A46:H46"/>
    <mergeCell ref="D56:H56"/>
    <mergeCell ref="A56:C56"/>
    <mergeCell ref="A50:B51"/>
    <mergeCell ref="A52:B52"/>
    <mergeCell ref="A57:C57"/>
    <mergeCell ref="D57:H57"/>
    <mergeCell ref="E41:H41"/>
    <mergeCell ref="A41:D41"/>
    <mergeCell ref="A48:B48"/>
    <mergeCell ref="C48:E48"/>
    <mergeCell ref="G48:H48"/>
    <mergeCell ref="G50:H50"/>
    <mergeCell ref="D54:H54"/>
    <mergeCell ref="C50:E50"/>
    <mergeCell ref="A42:D42"/>
    <mergeCell ref="E42:H42"/>
    <mergeCell ref="E43:H43"/>
    <mergeCell ref="E44:H44"/>
    <mergeCell ref="E45:H45"/>
    <mergeCell ref="A43:D43"/>
    <mergeCell ref="A75:B75"/>
    <mergeCell ref="A68:B68"/>
    <mergeCell ref="A71:B71"/>
    <mergeCell ref="A67:B67"/>
    <mergeCell ref="A65:B65"/>
    <mergeCell ref="C65:H65"/>
    <mergeCell ref="A73:B73"/>
    <mergeCell ref="A60:C60"/>
    <mergeCell ref="D60:H60"/>
    <mergeCell ref="C67:H67"/>
    <mergeCell ref="A70:B70"/>
    <mergeCell ref="A49:B49"/>
    <mergeCell ref="C49:E49"/>
    <mergeCell ref="G49:H49"/>
    <mergeCell ref="A59:C59"/>
    <mergeCell ref="D58:H58"/>
    <mergeCell ref="A47:B47"/>
    <mergeCell ref="C47:H47"/>
    <mergeCell ref="C52:E52"/>
    <mergeCell ref="A53:H53"/>
    <mergeCell ref="D59:H59"/>
    <mergeCell ref="G52:H52"/>
    <mergeCell ref="C51:H51"/>
    <mergeCell ref="A74:B74"/>
    <mergeCell ref="A69:B69"/>
    <mergeCell ref="G68:H68"/>
    <mergeCell ref="E69:F78"/>
    <mergeCell ref="G69:H78"/>
    <mergeCell ref="E83:F92"/>
    <mergeCell ref="G83:H92"/>
    <mergeCell ref="F95:H95"/>
    <mergeCell ref="A95:E95"/>
    <mergeCell ref="A98:E98"/>
    <mergeCell ref="A99:E99"/>
    <mergeCell ref="A105:E105"/>
    <mergeCell ref="A100:E100"/>
    <mergeCell ref="F100:H100"/>
    <mergeCell ref="A84:B84"/>
    <mergeCell ref="A85:B85"/>
    <mergeCell ref="A86:B86"/>
    <mergeCell ref="A87:B87"/>
    <mergeCell ref="A88:B88"/>
    <mergeCell ref="A89:B89"/>
    <mergeCell ref="A90:B90"/>
    <mergeCell ref="A91:B91"/>
    <mergeCell ref="L128:M128"/>
    <mergeCell ref="A144:B144"/>
    <mergeCell ref="L129:M129"/>
    <mergeCell ref="L124:M124"/>
    <mergeCell ref="A140:B140"/>
    <mergeCell ref="L125:M125"/>
    <mergeCell ref="L126:M126"/>
    <mergeCell ref="L127:M127"/>
    <mergeCell ref="L120:M120"/>
    <mergeCell ref="L121:M121"/>
    <mergeCell ref="A137:B137"/>
    <mergeCell ref="L122:M122"/>
    <mergeCell ref="A138:B138"/>
    <mergeCell ref="G129:H130"/>
    <mergeCell ref="F99:H99"/>
    <mergeCell ref="F102:H102"/>
    <mergeCell ref="A123:B123"/>
    <mergeCell ref="G113:H113"/>
    <mergeCell ref="A108:H108"/>
    <mergeCell ref="G125:H125"/>
    <mergeCell ref="C123:D123"/>
    <mergeCell ref="G123:H123"/>
    <mergeCell ref="A124:B124"/>
    <mergeCell ref="A122:H122"/>
    <mergeCell ref="A128:H128"/>
    <mergeCell ref="B129:B130"/>
    <mergeCell ref="A101:E101"/>
    <mergeCell ref="A103:E103"/>
    <mergeCell ref="E124:F124"/>
    <mergeCell ref="C120:D120"/>
    <mergeCell ref="E120:F120"/>
    <mergeCell ref="A136:B136"/>
    <mergeCell ref="A115:B115"/>
    <mergeCell ref="A146:B146"/>
    <mergeCell ref="G135:H144"/>
    <mergeCell ref="C125:D125"/>
    <mergeCell ref="E125:F125"/>
    <mergeCell ref="G117:H117"/>
    <mergeCell ref="C117:D117"/>
    <mergeCell ref="A102:E102"/>
    <mergeCell ref="C129:C130"/>
    <mergeCell ref="A76:B76"/>
    <mergeCell ref="A96:E96"/>
    <mergeCell ref="F93:H93"/>
    <mergeCell ref="F103:H103"/>
    <mergeCell ref="G111:H111"/>
    <mergeCell ref="A104:E104"/>
    <mergeCell ref="C113:D113"/>
    <mergeCell ref="E113:F113"/>
    <mergeCell ref="F104:H104"/>
    <mergeCell ref="E111:F111"/>
    <mergeCell ref="A111:B111"/>
    <mergeCell ref="A94:E94"/>
    <mergeCell ref="F94:H94"/>
    <mergeCell ref="A77:B77"/>
    <mergeCell ref="A78:B78"/>
    <mergeCell ref="A79:B79"/>
    <mergeCell ref="C79:H79"/>
    <mergeCell ref="A81:B81"/>
    <mergeCell ref="C81:H81"/>
    <mergeCell ref="A82:B82"/>
    <mergeCell ref="E82:F82"/>
    <mergeCell ref="G82:H82"/>
    <mergeCell ref="A83:B83"/>
    <mergeCell ref="L329:M329"/>
    <mergeCell ref="L326:M326"/>
    <mergeCell ref="A169:B169"/>
    <mergeCell ref="A170:B170"/>
    <mergeCell ref="A171:B171"/>
    <mergeCell ref="A341:B341"/>
    <mergeCell ref="G341:H365"/>
    <mergeCell ref="A342:B342"/>
    <mergeCell ref="A304:H304"/>
    <mergeCell ref="A305:B305"/>
    <mergeCell ref="G305:H329"/>
    <mergeCell ref="L328:M328"/>
    <mergeCell ref="A306:B306"/>
    <mergeCell ref="A344:B344"/>
    <mergeCell ref="L332:M332"/>
    <mergeCell ref="L333:M333"/>
    <mergeCell ref="L334:M334"/>
    <mergeCell ref="L335:M335"/>
    <mergeCell ref="L336:M336"/>
    <mergeCell ref="A320:B320"/>
    <mergeCell ref="A245:B245"/>
    <mergeCell ref="L173:M173"/>
    <mergeCell ref="L175:M175"/>
    <mergeCell ref="L176:M176"/>
    <mergeCell ref="L177:M177"/>
    <mergeCell ref="L178:M178"/>
    <mergeCell ref="L179:M179"/>
    <mergeCell ref="A307:B307"/>
    <mergeCell ref="L171:M171"/>
    <mergeCell ref="L309:M309"/>
    <mergeCell ref="A277:H277"/>
    <mergeCell ref="L165:M165"/>
    <mergeCell ref="L166:M166"/>
    <mergeCell ref="L167:M167"/>
    <mergeCell ref="A152:B152"/>
    <mergeCell ref="A162:B162"/>
    <mergeCell ref="L161:M161"/>
    <mergeCell ref="A158:B158"/>
    <mergeCell ref="L162:M162"/>
    <mergeCell ref="A159:B159"/>
    <mergeCell ref="A160:B160"/>
    <mergeCell ref="L152:M152"/>
    <mergeCell ref="L160:M160"/>
    <mergeCell ref="L235:M235"/>
    <mergeCell ref="A188:B188"/>
    <mergeCell ref="A228:B228"/>
    <mergeCell ref="L188:M188"/>
    <mergeCell ref="L187:M187"/>
    <mergeCell ref="A197:B197"/>
    <mergeCell ref="A196:B196"/>
    <mergeCell ref="A195:B195"/>
    <mergeCell ref="A225:H225"/>
    <mergeCell ref="A226:B226"/>
    <mergeCell ref="A156:B156"/>
    <mergeCell ref="A155:H155"/>
    <mergeCell ref="A161:B161"/>
    <mergeCell ref="A157:B157"/>
    <mergeCell ref="C167:F167"/>
    <mergeCell ref="L147:M147"/>
    <mergeCell ref="L150:M150"/>
    <mergeCell ref="L148:M148"/>
    <mergeCell ref="L149:M149"/>
    <mergeCell ref="L135:M135"/>
    <mergeCell ref="A151:B151"/>
    <mergeCell ref="L136:M136"/>
    <mergeCell ref="L137:M137"/>
    <mergeCell ref="A141:B141"/>
    <mergeCell ref="A143:B143"/>
    <mergeCell ref="A132:H132"/>
    <mergeCell ref="A134:H134"/>
    <mergeCell ref="A147:B147"/>
    <mergeCell ref="A638:B638"/>
    <mergeCell ref="L169:M169"/>
    <mergeCell ref="A639:B639"/>
    <mergeCell ref="L170:M170"/>
    <mergeCell ref="A634:B634"/>
    <mergeCell ref="L338:M338"/>
    <mergeCell ref="L339:M339"/>
    <mergeCell ref="L340:M340"/>
    <mergeCell ref="L341:M341"/>
    <mergeCell ref="L342:M342"/>
    <mergeCell ref="L358:M358"/>
    <mergeCell ref="L362:M362"/>
    <mergeCell ref="A623:B623"/>
    <mergeCell ref="L261:M261"/>
    <mergeCell ref="A238:B238"/>
    <mergeCell ref="L308:M308"/>
    <mergeCell ref="L305:M305"/>
    <mergeCell ref="A187:B187"/>
    <mergeCell ref="L192:M192"/>
    <mergeCell ref="L337:M337"/>
    <mergeCell ref="L377:M377"/>
    <mergeCell ref="L378:M378"/>
    <mergeCell ref="A186:B186"/>
    <mergeCell ref="G156:H164"/>
    <mergeCell ref="A631:B631"/>
    <mergeCell ref="C115:D115"/>
    <mergeCell ref="E115:F115"/>
    <mergeCell ref="G115:H115"/>
    <mergeCell ref="F96:H96"/>
    <mergeCell ref="A628:B628"/>
    <mergeCell ref="A629:B629"/>
    <mergeCell ref="L142:M142"/>
    <mergeCell ref="L143:M143"/>
    <mergeCell ref="L144:M144"/>
    <mergeCell ref="L156:M156"/>
    <mergeCell ref="L157:M157"/>
    <mergeCell ref="L158:M158"/>
    <mergeCell ref="L180:M180"/>
    <mergeCell ref="L181:M181"/>
    <mergeCell ref="L182:M182"/>
    <mergeCell ref="A165:H165"/>
    <mergeCell ref="L168:M168"/>
    <mergeCell ref="A166:H166"/>
    <mergeCell ref="A167:B167"/>
    <mergeCell ref="L132:M132"/>
    <mergeCell ref="A148:B148"/>
    <mergeCell ref="A149:B149"/>
    <mergeCell ref="L151:M151"/>
    <mergeCell ref="A150:B150"/>
    <mergeCell ref="A142:B142"/>
    <mergeCell ref="L146:M146"/>
    <mergeCell ref="C37:H37"/>
    <mergeCell ref="L131:M131"/>
    <mergeCell ref="L141:M141"/>
    <mergeCell ref="A54:C54"/>
    <mergeCell ref="A55:C55"/>
    <mergeCell ref="D55:H55"/>
    <mergeCell ref="C111:D111"/>
    <mergeCell ref="F105:H105"/>
    <mergeCell ref="A129:A130"/>
    <mergeCell ref="A125:B125"/>
    <mergeCell ref="E123:F123"/>
    <mergeCell ref="A133:H133"/>
    <mergeCell ref="A139:B139"/>
    <mergeCell ref="C124:D124"/>
    <mergeCell ref="E117:F117"/>
    <mergeCell ref="A110:H110"/>
    <mergeCell ref="A93:E93"/>
    <mergeCell ref="F98:H98"/>
    <mergeCell ref="E121:F121"/>
    <mergeCell ref="G121:H121"/>
    <mergeCell ref="F97:H97"/>
    <mergeCell ref="A97:E97"/>
    <mergeCell ref="I48:K48"/>
    <mergeCell ref="L48:M48"/>
    <mergeCell ref="I56:M56"/>
    <mergeCell ref="L133:M133"/>
    <mergeCell ref="L134:M134"/>
    <mergeCell ref="L138:M138"/>
    <mergeCell ref="L139:M139"/>
    <mergeCell ref="L140:M140"/>
    <mergeCell ref="A113:B113"/>
    <mergeCell ref="A114:B114"/>
    <mergeCell ref="L246:M246"/>
    <mergeCell ref="L247:M247"/>
    <mergeCell ref="L239:M239"/>
    <mergeCell ref="L240:M240"/>
    <mergeCell ref="L241:M241"/>
    <mergeCell ref="A246:B246"/>
    <mergeCell ref="A247:B247"/>
    <mergeCell ref="A244:B244"/>
    <mergeCell ref="L236:M236"/>
    <mergeCell ref="A189:B189"/>
    <mergeCell ref="A193:B193"/>
    <mergeCell ref="A227:B227"/>
    <mergeCell ref="L199:M199"/>
    <mergeCell ref="A239:B239"/>
    <mergeCell ref="L230:M230"/>
    <mergeCell ref="A198:B198"/>
    <mergeCell ref="A240:B240"/>
    <mergeCell ref="A237:B237"/>
    <mergeCell ref="A206:B206"/>
    <mergeCell ref="L206:M206"/>
    <mergeCell ref="A207:B207"/>
    <mergeCell ref="L207:M207"/>
    <mergeCell ref="A208:B208"/>
    <mergeCell ref="L208:M208"/>
    <mergeCell ref="A209:B209"/>
    <mergeCell ref="L209:M209"/>
    <mergeCell ref="L197:M197"/>
    <mergeCell ref="L189:M189"/>
    <mergeCell ref="L190:M190"/>
    <mergeCell ref="L194:M194"/>
    <mergeCell ref="L195:M195"/>
    <mergeCell ref="L186:M186"/>
    <mergeCell ref="L185:M185"/>
    <mergeCell ref="L184:M184"/>
    <mergeCell ref="L183:M183"/>
    <mergeCell ref="L226:M226"/>
    <mergeCell ref="L227:M227"/>
    <mergeCell ref="L228:M228"/>
    <mergeCell ref="L229:M229"/>
    <mergeCell ref="L196:M196"/>
    <mergeCell ref="L193:M193"/>
    <mergeCell ref="L225:M225"/>
    <mergeCell ref="A308:B308"/>
    <mergeCell ref="L331:M331"/>
    <mergeCell ref="L301:M301"/>
    <mergeCell ref="L242:M242"/>
    <mergeCell ref="L294:M294"/>
    <mergeCell ref="L295:M295"/>
    <mergeCell ref="A229:B229"/>
    <mergeCell ref="A230:B230"/>
    <mergeCell ref="A231:B231"/>
    <mergeCell ref="A232:B232"/>
    <mergeCell ref="A233:B233"/>
    <mergeCell ref="L257:M257"/>
    <mergeCell ref="A234:B234"/>
    <mergeCell ref="A235:B235"/>
    <mergeCell ref="A236:B236"/>
    <mergeCell ref="L252:M252"/>
    <mergeCell ref="A241:B241"/>
    <mergeCell ref="A242:B242"/>
    <mergeCell ref="A243:B243"/>
    <mergeCell ref="L237:M237"/>
    <mergeCell ref="L238:M238"/>
    <mergeCell ref="L374:M374"/>
    <mergeCell ref="A350:B350"/>
    <mergeCell ref="L375:M375"/>
    <mergeCell ref="A351:B351"/>
    <mergeCell ref="L376:M376"/>
    <mergeCell ref="L245:M245"/>
    <mergeCell ref="L251:M251"/>
    <mergeCell ref="L270:M270"/>
    <mergeCell ref="L271:M271"/>
    <mergeCell ref="L292:M292"/>
    <mergeCell ref="L293:M293"/>
    <mergeCell ref="L268:M268"/>
    <mergeCell ref="L269:M269"/>
    <mergeCell ref="L260:M260"/>
    <mergeCell ref="L243:M243"/>
    <mergeCell ref="L244:M244"/>
    <mergeCell ref="L250:M250"/>
    <mergeCell ref="A285:B285"/>
    <mergeCell ref="A340:H340"/>
    <mergeCell ref="A268:B268"/>
    <mergeCell ref="L258:M258"/>
    <mergeCell ref="A260:B260"/>
    <mergeCell ref="A261:B261"/>
    <mergeCell ref="L265:M265"/>
    <mergeCell ref="L266:M266"/>
    <mergeCell ref="A254:B254"/>
    <mergeCell ref="A269:B269"/>
    <mergeCell ref="A270:B270"/>
    <mergeCell ref="L253:M253"/>
    <mergeCell ref="L254:M254"/>
    <mergeCell ref="L255:M255"/>
    <mergeCell ref="L256:M256"/>
    <mergeCell ref="L279:M279"/>
    <mergeCell ref="L280:M280"/>
    <mergeCell ref="L281:M281"/>
    <mergeCell ref="L282:M282"/>
    <mergeCell ref="L287:M287"/>
    <mergeCell ref="L288:M288"/>
    <mergeCell ref="A295:B295"/>
    <mergeCell ref="L272:M272"/>
    <mergeCell ref="A250:B250"/>
    <mergeCell ref="L273:M273"/>
    <mergeCell ref="A251:H251"/>
    <mergeCell ref="A252:B252"/>
    <mergeCell ref="G252:H276"/>
    <mergeCell ref="L275:M275"/>
    <mergeCell ref="A253:B253"/>
    <mergeCell ref="A256:B256"/>
    <mergeCell ref="A257:B257"/>
    <mergeCell ref="A258:B258"/>
    <mergeCell ref="A259:B259"/>
    <mergeCell ref="A264:B264"/>
    <mergeCell ref="A265:B265"/>
    <mergeCell ref="A266:B266"/>
    <mergeCell ref="A267:B267"/>
    <mergeCell ref="L263:M263"/>
    <mergeCell ref="L259:M259"/>
    <mergeCell ref="A271:B271"/>
    <mergeCell ref="A272:B272"/>
    <mergeCell ref="G226:H250"/>
    <mergeCell ref="L231:M231"/>
    <mergeCell ref="L232:M232"/>
    <mergeCell ref="L233:M233"/>
    <mergeCell ref="L234:M234"/>
    <mergeCell ref="L314:M314"/>
    <mergeCell ref="A292:B292"/>
    <mergeCell ref="L315:M315"/>
    <mergeCell ref="A293:B293"/>
    <mergeCell ref="L316:M316"/>
    <mergeCell ref="A294:B294"/>
    <mergeCell ref="L317:M317"/>
    <mergeCell ref="A300:B300"/>
    <mergeCell ref="L306:M306"/>
    <mergeCell ref="L277:M277"/>
    <mergeCell ref="A255:B255"/>
    <mergeCell ref="L278:M278"/>
    <mergeCell ref="A273:B273"/>
    <mergeCell ref="L296:M296"/>
    <mergeCell ref="A274:B274"/>
    <mergeCell ref="L297:M297"/>
    <mergeCell ref="G278:H303"/>
    <mergeCell ref="A279:B279"/>
    <mergeCell ref="L302:M302"/>
    <mergeCell ref="A280:B280"/>
    <mergeCell ref="L303:M303"/>
    <mergeCell ref="A281:B281"/>
    <mergeCell ref="L310:M310"/>
    <mergeCell ref="A288:B288"/>
    <mergeCell ref="A275:B275"/>
    <mergeCell ref="L298:M298"/>
    <mergeCell ref="L262:M262"/>
    <mergeCell ref="L304:M304"/>
    <mergeCell ref="L276:M276"/>
    <mergeCell ref="A283:B283"/>
    <mergeCell ref="A276:B276"/>
    <mergeCell ref="L264:M264"/>
    <mergeCell ref="L323:M323"/>
    <mergeCell ref="A301:B301"/>
    <mergeCell ref="L324:M324"/>
    <mergeCell ref="A302:B302"/>
    <mergeCell ref="L325:M325"/>
    <mergeCell ref="A303:B303"/>
    <mergeCell ref="L322:M322"/>
    <mergeCell ref="L289:M289"/>
    <mergeCell ref="L290:M290"/>
    <mergeCell ref="L291:M291"/>
    <mergeCell ref="L283:M283"/>
    <mergeCell ref="L284:M284"/>
    <mergeCell ref="L285:M285"/>
    <mergeCell ref="L286:M286"/>
    <mergeCell ref="L299:M299"/>
    <mergeCell ref="A173:B173"/>
    <mergeCell ref="L311:M311"/>
    <mergeCell ref="A289:B289"/>
    <mergeCell ref="L312:M312"/>
    <mergeCell ref="A290:B290"/>
    <mergeCell ref="L318:M318"/>
    <mergeCell ref="A296:B296"/>
    <mergeCell ref="L267:M267"/>
    <mergeCell ref="A262:B262"/>
    <mergeCell ref="A263:B263"/>
    <mergeCell ref="L320:M320"/>
    <mergeCell ref="A298:B298"/>
    <mergeCell ref="L321:M321"/>
    <mergeCell ref="A299:B299"/>
    <mergeCell ref="A179:B179"/>
    <mergeCell ref="A192:B192"/>
    <mergeCell ref="L313:M313"/>
    <mergeCell ref="A624:B624"/>
    <mergeCell ref="A625:B625"/>
    <mergeCell ref="A626:B626"/>
    <mergeCell ref="G120:H120"/>
    <mergeCell ref="D129:D130"/>
    <mergeCell ref="G126:H126"/>
    <mergeCell ref="A120:B120"/>
    <mergeCell ref="A145:H145"/>
    <mergeCell ref="A106:E106"/>
    <mergeCell ref="F106:H106"/>
    <mergeCell ref="A107:E107"/>
    <mergeCell ref="F107:H107"/>
    <mergeCell ref="C118:D118"/>
    <mergeCell ref="E118:F118"/>
    <mergeCell ref="G118:H118"/>
    <mergeCell ref="A116:H116"/>
    <mergeCell ref="A117:B117"/>
    <mergeCell ref="A118:B118"/>
    <mergeCell ref="A121:B121"/>
    <mergeCell ref="C121:D121"/>
    <mergeCell ref="A287:B287"/>
    <mergeCell ref="A163:B163"/>
    <mergeCell ref="A361:B361"/>
    <mergeCell ref="A415:B415"/>
    <mergeCell ref="A412:B412"/>
    <mergeCell ref="A413:B413"/>
    <mergeCell ref="A414:B414"/>
    <mergeCell ref="A449:B449"/>
    <mergeCell ref="A291:B291"/>
    <mergeCell ref="A309:B309"/>
    <mergeCell ref="A249:B249"/>
    <mergeCell ref="A324:B324"/>
    <mergeCell ref="I10:L10"/>
    <mergeCell ref="A112:H112"/>
    <mergeCell ref="B1054:H1054"/>
    <mergeCell ref="A92:B92"/>
    <mergeCell ref="A131:H131"/>
    <mergeCell ref="A109:H109"/>
    <mergeCell ref="A194:B194"/>
    <mergeCell ref="A190:B190"/>
    <mergeCell ref="A185:B185"/>
    <mergeCell ref="A184:B184"/>
    <mergeCell ref="G176:H199"/>
    <mergeCell ref="G146:H154"/>
    <mergeCell ref="C126:D126"/>
    <mergeCell ref="A126:B126"/>
    <mergeCell ref="E126:F126"/>
    <mergeCell ref="A127:H127"/>
    <mergeCell ref="C114:D114"/>
    <mergeCell ref="E114:F114"/>
    <mergeCell ref="G114:H114"/>
    <mergeCell ref="E129:E130"/>
    <mergeCell ref="G124:H124"/>
    <mergeCell ref="F101:H101"/>
    <mergeCell ref="A135:B135"/>
    <mergeCell ref="A191:B191"/>
    <mergeCell ref="A180:B180"/>
    <mergeCell ref="A181:B181"/>
    <mergeCell ref="A182:B182"/>
    <mergeCell ref="A175:H175"/>
    <mergeCell ref="A176:B176"/>
    <mergeCell ref="A177:B177"/>
    <mergeCell ref="A178:B178"/>
    <mergeCell ref="L319:M319"/>
    <mergeCell ref="L163:M163"/>
    <mergeCell ref="A164:B164"/>
    <mergeCell ref="L164:M164"/>
    <mergeCell ref="J145:M145"/>
    <mergeCell ref="K155:N155"/>
    <mergeCell ref="A174:B174"/>
    <mergeCell ref="L174:M174"/>
    <mergeCell ref="A153:B153"/>
    <mergeCell ref="L153:M153"/>
    <mergeCell ref="A154:B154"/>
    <mergeCell ref="L154:M154"/>
    <mergeCell ref="A172:B172"/>
    <mergeCell ref="A168:B168"/>
    <mergeCell ref="L172:M172"/>
    <mergeCell ref="A248:B248"/>
    <mergeCell ref="C248:F248"/>
    <mergeCell ref="A360:B360"/>
    <mergeCell ref="A297:B297"/>
    <mergeCell ref="G167:H174"/>
    <mergeCell ref="A200:H200"/>
    <mergeCell ref="L200:M200"/>
    <mergeCell ref="A201:B201"/>
    <mergeCell ref="G201:H224"/>
    <mergeCell ref="L201:M201"/>
    <mergeCell ref="A202:B202"/>
    <mergeCell ref="L202:M202"/>
    <mergeCell ref="A203:B203"/>
    <mergeCell ref="L203:M203"/>
    <mergeCell ref="A204:B204"/>
    <mergeCell ref="L204:M204"/>
    <mergeCell ref="A205:B205"/>
    <mergeCell ref="L205:M205"/>
    <mergeCell ref="C496:F496"/>
    <mergeCell ref="C530:F530"/>
    <mergeCell ref="A534:H534"/>
    <mergeCell ref="L534:M534"/>
    <mergeCell ref="A535:B535"/>
    <mergeCell ref="G535:H560"/>
    <mergeCell ref="L535:M535"/>
    <mergeCell ref="A536:B536"/>
    <mergeCell ref="L536:M536"/>
    <mergeCell ref="A537:B537"/>
    <mergeCell ref="L537:M537"/>
    <mergeCell ref="A538:B538"/>
    <mergeCell ref="L538:M538"/>
    <mergeCell ref="A539:B539"/>
    <mergeCell ref="L539:M539"/>
    <mergeCell ref="A540:B540"/>
    <mergeCell ref="L540:M540"/>
    <mergeCell ref="A541:B541"/>
    <mergeCell ref="L541:M541"/>
    <mergeCell ref="A542:B542"/>
    <mergeCell ref="L542:M542"/>
    <mergeCell ref="A543:B543"/>
    <mergeCell ref="A560:B560"/>
    <mergeCell ref="L560:M560"/>
    <mergeCell ref="L524:M524"/>
    <mergeCell ref="L526:M526"/>
    <mergeCell ref="A506:B506"/>
    <mergeCell ref="L528:M528"/>
    <mergeCell ref="A507:B507"/>
    <mergeCell ref="L517:M517"/>
    <mergeCell ref="L509:M509"/>
    <mergeCell ref="L510:M510"/>
    <mergeCell ref="A561:H561"/>
    <mergeCell ref="L561:M561"/>
    <mergeCell ref="A562:B562"/>
    <mergeCell ref="A563:B563"/>
    <mergeCell ref="L563:M563"/>
    <mergeCell ref="A564:B564"/>
    <mergeCell ref="A551:B551"/>
    <mergeCell ref="L551:M551"/>
    <mergeCell ref="A552:B552"/>
    <mergeCell ref="L552:M552"/>
    <mergeCell ref="A553:B553"/>
    <mergeCell ref="L553:M553"/>
    <mergeCell ref="A554:B554"/>
    <mergeCell ref="L554:M554"/>
    <mergeCell ref="A555:B555"/>
    <mergeCell ref="L555:M555"/>
    <mergeCell ref="A556:B556"/>
    <mergeCell ref="L556:M556"/>
    <mergeCell ref="A557:B557"/>
    <mergeCell ref="A558:B558"/>
    <mergeCell ref="L558:M558"/>
    <mergeCell ref="A559:B559"/>
    <mergeCell ref="L559:M559"/>
    <mergeCell ref="A586:B586"/>
    <mergeCell ref="L586:M586"/>
    <mergeCell ref="A587:B587"/>
    <mergeCell ref="L564:M564"/>
    <mergeCell ref="A565:B565"/>
    <mergeCell ref="L565:M565"/>
    <mergeCell ref="A566:B566"/>
    <mergeCell ref="L566:M566"/>
    <mergeCell ref="A567:B567"/>
    <mergeCell ref="L567:M567"/>
    <mergeCell ref="A568:B568"/>
    <mergeCell ref="L568:M568"/>
    <mergeCell ref="A569:B569"/>
    <mergeCell ref="L569:M569"/>
    <mergeCell ref="A570:B570"/>
    <mergeCell ref="L570:M570"/>
    <mergeCell ref="A571:B571"/>
    <mergeCell ref="L571:M571"/>
    <mergeCell ref="A572:B572"/>
    <mergeCell ref="L572:M572"/>
    <mergeCell ref="A601:B601"/>
    <mergeCell ref="L601:M601"/>
    <mergeCell ref="A602:B602"/>
    <mergeCell ref="L602:M602"/>
    <mergeCell ref="A603:B603"/>
    <mergeCell ref="A573:B573"/>
    <mergeCell ref="A574:B574"/>
    <mergeCell ref="L574:M574"/>
    <mergeCell ref="A575:B575"/>
    <mergeCell ref="L575:M575"/>
    <mergeCell ref="A576:B576"/>
    <mergeCell ref="L576:M576"/>
    <mergeCell ref="G562:H576"/>
    <mergeCell ref="C562:F562"/>
    <mergeCell ref="A577:H577"/>
    <mergeCell ref="L577:M577"/>
    <mergeCell ref="A578:B578"/>
    <mergeCell ref="G578:H592"/>
    <mergeCell ref="A579:B579"/>
    <mergeCell ref="L579:M579"/>
    <mergeCell ref="A580:B580"/>
    <mergeCell ref="L580:M580"/>
    <mergeCell ref="A581:B581"/>
    <mergeCell ref="L581:M581"/>
    <mergeCell ref="A582:B582"/>
    <mergeCell ref="L582:M582"/>
    <mergeCell ref="A583:B583"/>
    <mergeCell ref="L583:M583"/>
    <mergeCell ref="A584:B584"/>
    <mergeCell ref="L584:M584"/>
    <mergeCell ref="A585:B585"/>
    <mergeCell ref="L585:M585"/>
    <mergeCell ref="L606:M606"/>
    <mergeCell ref="A607:B607"/>
    <mergeCell ref="L607:M607"/>
    <mergeCell ref="A608:B608"/>
    <mergeCell ref="L608:M608"/>
    <mergeCell ref="L587:M587"/>
    <mergeCell ref="A588:B588"/>
    <mergeCell ref="L588:M588"/>
    <mergeCell ref="A589:B589"/>
    <mergeCell ref="A590:B590"/>
    <mergeCell ref="L590:M590"/>
    <mergeCell ref="A591:B591"/>
    <mergeCell ref="L591:M591"/>
    <mergeCell ref="A592:B592"/>
    <mergeCell ref="L592:M592"/>
    <mergeCell ref="C589:F589"/>
    <mergeCell ref="A593:H593"/>
    <mergeCell ref="L593:M593"/>
    <mergeCell ref="A594:B594"/>
    <mergeCell ref="G594:H608"/>
    <mergeCell ref="A595:B595"/>
    <mergeCell ref="L595:M595"/>
    <mergeCell ref="A596:B596"/>
    <mergeCell ref="L596:M596"/>
    <mergeCell ref="A597:B597"/>
    <mergeCell ref="L597:M597"/>
    <mergeCell ref="A598:B598"/>
    <mergeCell ref="L598:M598"/>
    <mergeCell ref="A599:B599"/>
    <mergeCell ref="L599:M599"/>
    <mergeCell ref="A600:B600"/>
    <mergeCell ref="L600:M600"/>
    <mergeCell ref="A210:B210"/>
    <mergeCell ref="L210:M210"/>
    <mergeCell ref="A211:B211"/>
    <mergeCell ref="L211:M211"/>
    <mergeCell ref="A212:B212"/>
    <mergeCell ref="L212:M212"/>
    <mergeCell ref="A213:B213"/>
    <mergeCell ref="L213:M213"/>
    <mergeCell ref="A214:B214"/>
    <mergeCell ref="L214:M214"/>
    <mergeCell ref="A215:B215"/>
    <mergeCell ref="L215:M215"/>
    <mergeCell ref="A216:B216"/>
    <mergeCell ref="A217:B217"/>
    <mergeCell ref="L217:M217"/>
    <mergeCell ref="A218:B218"/>
    <mergeCell ref="L218:M218"/>
    <mergeCell ref="A219:B219"/>
    <mergeCell ref="L219:M219"/>
    <mergeCell ref="A220:B220"/>
    <mergeCell ref="L220:M220"/>
    <mergeCell ref="A221:B221"/>
    <mergeCell ref="L221:M221"/>
    <mergeCell ref="A222:B222"/>
    <mergeCell ref="L222:M222"/>
    <mergeCell ref="A223:B223"/>
    <mergeCell ref="A224:B224"/>
    <mergeCell ref="L224:M224"/>
    <mergeCell ref="A690:H690"/>
    <mergeCell ref="L690:M690"/>
    <mergeCell ref="A691:B691"/>
    <mergeCell ref="G691:H709"/>
    <mergeCell ref="L691:M691"/>
    <mergeCell ref="A692:B692"/>
    <mergeCell ref="L692:M692"/>
    <mergeCell ref="A693:B693"/>
    <mergeCell ref="L693:M693"/>
    <mergeCell ref="A694:B694"/>
    <mergeCell ref="L694:M694"/>
    <mergeCell ref="A695:B695"/>
    <mergeCell ref="A696:B696"/>
    <mergeCell ref="L696:M696"/>
    <mergeCell ref="A697:B697"/>
    <mergeCell ref="L697:M697"/>
    <mergeCell ref="A698:B698"/>
    <mergeCell ref="L698:M698"/>
    <mergeCell ref="A699:B699"/>
    <mergeCell ref="L699:M699"/>
    <mergeCell ref="A700:B700"/>
    <mergeCell ref="L707:M707"/>
    <mergeCell ref="A708:B708"/>
    <mergeCell ref="L708:M708"/>
    <mergeCell ref="A709:B709"/>
    <mergeCell ref="L709:M709"/>
    <mergeCell ref="A416:H416"/>
    <mergeCell ref="L416:M416"/>
    <mergeCell ref="A417:B417"/>
    <mergeCell ref="G417:H442"/>
    <mergeCell ref="L417:M417"/>
    <mergeCell ref="A418:B418"/>
    <mergeCell ref="L418:M418"/>
    <mergeCell ref="A419:B419"/>
    <mergeCell ref="L419:M419"/>
    <mergeCell ref="A420:B420"/>
    <mergeCell ref="L420:M420"/>
    <mergeCell ref="A421:B421"/>
    <mergeCell ref="L421:M421"/>
    <mergeCell ref="A422:B422"/>
    <mergeCell ref="L422:M422"/>
    <mergeCell ref="A423:B423"/>
    <mergeCell ref="L423:M423"/>
    <mergeCell ref="A424:B424"/>
    <mergeCell ref="L424:M424"/>
    <mergeCell ref="A425:B425"/>
    <mergeCell ref="L425:M425"/>
    <mergeCell ref="A426:B426"/>
    <mergeCell ref="L603:M603"/>
    <mergeCell ref="A604:B604"/>
    <mergeCell ref="L604:M604"/>
    <mergeCell ref="A605:B605"/>
    <mergeCell ref="A606:B606"/>
    <mergeCell ref="L427:M427"/>
    <mergeCell ref="A428:B428"/>
    <mergeCell ref="L428:M428"/>
    <mergeCell ref="A429:B429"/>
    <mergeCell ref="L429:M429"/>
    <mergeCell ref="A430:B430"/>
    <mergeCell ref="L430:M430"/>
    <mergeCell ref="A431:B431"/>
    <mergeCell ref="L431:M431"/>
    <mergeCell ref="A432:B432"/>
    <mergeCell ref="L432:M432"/>
    <mergeCell ref="A433:B433"/>
    <mergeCell ref="L433:M433"/>
    <mergeCell ref="A434:B434"/>
    <mergeCell ref="L434:M434"/>
    <mergeCell ref="A435:B435"/>
    <mergeCell ref="L435:M435"/>
    <mergeCell ref="L438:M438"/>
    <mergeCell ref="A439:B439"/>
    <mergeCell ref="A440:B440"/>
    <mergeCell ref="L440:M440"/>
    <mergeCell ref="A441:B441"/>
    <mergeCell ref="L441:M441"/>
    <mergeCell ref="A442:B442"/>
    <mergeCell ref="L442:M442"/>
    <mergeCell ref="A859:H859"/>
    <mergeCell ref="L859:M859"/>
    <mergeCell ref="A860:B860"/>
    <mergeCell ref="G860:H878"/>
    <mergeCell ref="L860:M860"/>
    <mergeCell ref="A861:B861"/>
    <mergeCell ref="L861:M861"/>
    <mergeCell ref="A862:B862"/>
    <mergeCell ref="L862:M862"/>
    <mergeCell ref="A863:B863"/>
    <mergeCell ref="L863:M863"/>
    <mergeCell ref="A864:B864"/>
    <mergeCell ref="A865:B865"/>
    <mergeCell ref="L865:M865"/>
    <mergeCell ref="A866:B866"/>
    <mergeCell ref="L866:M866"/>
    <mergeCell ref="A867:B867"/>
    <mergeCell ref="L867:M867"/>
    <mergeCell ref="A868:B868"/>
    <mergeCell ref="A705:B705"/>
    <mergeCell ref="L705:M705"/>
    <mergeCell ref="A706:B706"/>
    <mergeCell ref="L706:M706"/>
    <mergeCell ref="A707:B707"/>
    <mergeCell ref="A119:B119"/>
    <mergeCell ref="C119:D119"/>
    <mergeCell ref="E119:F119"/>
    <mergeCell ref="G119:H119"/>
    <mergeCell ref="L119:M119"/>
    <mergeCell ref="A877:B877"/>
    <mergeCell ref="L877:M877"/>
    <mergeCell ref="A878:B878"/>
    <mergeCell ref="L878:M878"/>
    <mergeCell ref="B1055:H1055"/>
    <mergeCell ref="L868:M868"/>
    <mergeCell ref="A869:B869"/>
    <mergeCell ref="L869:M869"/>
    <mergeCell ref="A870:B870"/>
    <mergeCell ref="L870:M870"/>
    <mergeCell ref="A871:B871"/>
    <mergeCell ref="L871:M871"/>
    <mergeCell ref="A872:B872"/>
    <mergeCell ref="L872:M872"/>
    <mergeCell ref="A873:B873"/>
    <mergeCell ref="L873:M873"/>
    <mergeCell ref="A874:B874"/>
    <mergeCell ref="L874:M874"/>
    <mergeCell ref="A875:B875"/>
    <mergeCell ref="L875:M875"/>
    <mergeCell ref="A876:B876"/>
    <mergeCell ref="L876:M876"/>
    <mergeCell ref="A436:B436"/>
    <mergeCell ref="L436:M436"/>
    <mergeCell ref="A437:B437"/>
    <mergeCell ref="L437:M437"/>
    <mergeCell ref="A438:B438"/>
  </mergeCells>
  <hyperlinks>
    <hyperlink ref="C38" r:id="rId1" xr:uid="{00000000-0004-0000-0000-000000000000}"/>
    <hyperlink ref="I61" r:id="rId2" xr:uid="{00000000-0004-0000-0000-000001000000}"/>
  </hyperlinks>
  <printOptions horizontalCentered="1"/>
  <pageMargins left="0.39370078740157499" right="0.39370078740157499" top="0.82677165354330695" bottom="0.78740157480314998" header="0.15748031496063" footer="0.196850393700787"/>
  <pageSetup paperSize="2" fitToHeight="0" orientation="portrait" r:id="rId3"/>
  <headerFooter>
    <oddHeader>&amp;C&amp;G</oddHeader>
    <oddFooter>&amp;L&amp;"Times New Roman,Bold"&amp;12Ref No: &amp;F&amp;C&amp;G&amp;R&amp;"Times New Roman,Bold"&amp;12&amp;P</oddFooter>
  </headerFooter>
  <rowBreaks count="5" manualBreakCount="5">
    <brk id="64" max="16383" man="1"/>
    <brk id="1038" max="7" man="1"/>
    <brk id="1067" max="7" man="1"/>
    <brk id="1101" max="7" man="1"/>
    <brk id="1143" max="7" man="1"/>
  </rowBreaks>
  <drawing r:id="rId4"/>
  <legacyDrawingHF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1:I16"/>
  <sheetViews>
    <sheetView zoomScale="85" zoomScaleNormal="85" workbookViewId="0">
      <selection activeCell="J15" sqref="J15"/>
    </sheetView>
  </sheetViews>
  <sheetFormatPr defaultColWidth="8.6640625" defaultRowHeight="14.4" x14ac:dyDescent="0.3"/>
  <cols>
    <col min="1" max="1" width="8.6640625" style="1"/>
    <col min="2" max="2" width="22.109375" style="1" customWidth="1"/>
    <col min="3" max="3" width="37" style="1" customWidth="1"/>
    <col min="4" max="5" width="11.44140625" style="1" customWidth="1"/>
    <col min="6" max="6" width="14" style="1" customWidth="1"/>
    <col min="7" max="7" width="20" style="1" customWidth="1"/>
    <col min="8" max="8" width="16.44140625" style="1" customWidth="1"/>
    <col min="9" max="16384" width="8.6640625" style="1"/>
  </cols>
  <sheetData>
    <row r="1" spans="1:9" ht="15" customHeight="1" x14ac:dyDescent="0.3"/>
    <row r="2" spans="1:9" ht="15" customHeight="1" x14ac:dyDescent="0.3">
      <c r="A2" s="2"/>
      <c r="B2" s="2"/>
      <c r="C2" s="2"/>
      <c r="D2" s="2"/>
      <c r="E2" s="2"/>
      <c r="F2" s="2"/>
      <c r="G2" s="2"/>
      <c r="H2" s="2"/>
    </row>
    <row r="3" spans="1:9" ht="15.75" customHeight="1" x14ac:dyDescent="0.3">
      <c r="A3" s="2"/>
      <c r="B3" s="253" t="s">
        <v>101</v>
      </c>
      <c r="C3" s="253"/>
      <c r="D3" s="253"/>
      <c r="E3" s="253"/>
      <c r="F3" s="253"/>
      <c r="G3" s="253"/>
      <c r="H3" s="253"/>
    </row>
    <row r="4" spans="1:9" x14ac:dyDescent="0.3">
      <c r="A4" s="2"/>
      <c r="B4" s="3" t="s">
        <v>102</v>
      </c>
      <c r="C4" s="3" t="s">
        <v>103</v>
      </c>
      <c r="D4" s="3" t="s">
        <v>66</v>
      </c>
      <c r="E4" s="3" t="s">
        <v>104</v>
      </c>
      <c r="F4" s="3" t="s">
        <v>110</v>
      </c>
      <c r="G4" s="3" t="s">
        <v>111</v>
      </c>
      <c r="H4" s="3" t="s">
        <v>105</v>
      </c>
    </row>
    <row r="5" spans="1:9" ht="15" customHeight="1" x14ac:dyDescent="0.3">
      <c r="A5" s="2"/>
      <c r="B5" s="5" t="s">
        <v>106</v>
      </c>
      <c r="C5" s="6"/>
      <c r="D5" s="5"/>
      <c r="E5" s="5"/>
      <c r="F5" s="7">
        <f>E5*1.6</f>
        <v>0</v>
      </c>
      <c r="G5" s="7" t="e">
        <f>H5/F5</f>
        <v>#DIV/0!</v>
      </c>
      <c r="H5" s="8"/>
    </row>
    <row r="6" spans="1:9" x14ac:dyDescent="0.3">
      <c r="A6" s="2"/>
      <c r="B6" s="5" t="s">
        <v>106</v>
      </c>
      <c r="C6" s="9"/>
      <c r="D6" s="5"/>
      <c r="E6" s="5"/>
      <c r="F6" s="7">
        <f t="shared" ref="F6:F11" si="0">E6*1.6</f>
        <v>0</v>
      </c>
      <c r="G6" s="7" t="e">
        <f t="shared" ref="G6:G11" si="1">H6/F6</f>
        <v>#DIV/0!</v>
      </c>
      <c r="H6" s="8"/>
    </row>
    <row r="7" spans="1:9" ht="15" customHeight="1" x14ac:dyDescent="0.3">
      <c r="A7" s="2"/>
      <c r="B7" s="5" t="s">
        <v>106</v>
      </c>
      <c r="C7" s="6"/>
      <c r="D7" s="5"/>
      <c r="E7" s="5"/>
      <c r="F7" s="7">
        <f t="shared" si="0"/>
        <v>0</v>
      </c>
      <c r="G7" s="7" t="e">
        <f t="shared" si="1"/>
        <v>#DIV/0!</v>
      </c>
      <c r="H7" s="8"/>
    </row>
    <row r="8" spans="1:9" x14ac:dyDescent="0.3">
      <c r="A8" s="2"/>
      <c r="B8" s="5" t="s">
        <v>106</v>
      </c>
      <c r="C8" s="9"/>
      <c r="D8" s="5"/>
      <c r="E8" s="5"/>
      <c r="F8" s="7">
        <f t="shared" si="0"/>
        <v>0</v>
      </c>
      <c r="G8" s="7" t="e">
        <f t="shared" si="1"/>
        <v>#DIV/0!</v>
      </c>
      <c r="H8" s="8"/>
    </row>
    <row r="9" spans="1:9" ht="15" customHeight="1" x14ac:dyDescent="0.3">
      <c r="A9" s="2"/>
      <c r="B9" s="5" t="s">
        <v>106</v>
      </c>
      <c r="C9" s="9"/>
      <c r="D9" s="5"/>
      <c r="E9" s="5"/>
      <c r="F9" s="7">
        <f t="shared" si="0"/>
        <v>0</v>
      </c>
      <c r="G9" s="7" t="e">
        <f t="shared" si="1"/>
        <v>#DIV/0!</v>
      </c>
      <c r="H9" s="8"/>
    </row>
    <row r="10" spans="1:9" ht="15" customHeight="1" x14ac:dyDescent="0.3">
      <c r="A10" s="2"/>
      <c r="B10" s="5" t="s">
        <v>107</v>
      </c>
      <c r="C10" s="6"/>
      <c r="D10" s="5"/>
      <c r="E10" s="5"/>
      <c r="F10" s="7">
        <f t="shared" si="0"/>
        <v>0</v>
      </c>
      <c r="G10" s="7" t="e">
        <f t="shared" si="1"/>
        <v>#DIV/0!</v>
      </c>
      <c r="H10" s="8"/>
    </row>
    <row r="11" spans="1:9" ht="15" customHeight="1" x14ac:dyDescent="0.3">
      <c r="A11" s="2"/>
      <c r="B11" s="5" t="s">
        <v>107</v>
      </c>
      <c r="C11" s="6"/>
      <c r="D11" s="5"/>
      <c r="E11" s="5"/>
      <c r="F11" s="7">
        <f t="shared" si="0"/>
        <v>0</v>
      </c>
      <c r="G11" s="7" t="e">
        <f t="shared" si="1"/>
        <v>#DIV/0!</v>
      </c>
      <c r="H11" s="8"/>
    </row>
    <row r="12" spans="1:9" ht="15" customHeight="1" x14ac:dyDescent="0.3">
      <c r="A12" s="2"/>
      <c r="B12" s="10" t="s">
        <v>108</v>
      </c>
      <c r="C12" s="5"/>
      <c r="D12" s="5"/>
      <c r="E12" s="5"/>
      <c r="F12" s="5"/>
      <c r="G12" s="11" t="e">
        <f>AVERAGE(G5:G11)</f>
        <v>#DIV/0!</v>
      </c>
      <c r="H12" s="5"/>
    </row>
    <row r="13" spans="1:9" ht="15" customHeight="1" x14ac:dyDescent="0.3">
      <c r="B13" s="10" t="s">
        <v>109</v>
      </c>
      <c r="C13" s="5"/>
      <c r="D13" s="5"/>
      <c r="E13" s="5"/>
      <c r="F13" s="12"/>
      <c r="G13" s="10"/>
      <c r="H13" s="10"/>
      <c r="I13" s="4"/>
    </row>
    <row r="14" spans="1:9" ht="15" customHeight="1" x14ac:dyDescent="0.3"/>
    <row r="15" spans="1:9" ht="15" customHeight="1" x14ac:dyDescent="0.3"/>
    <row r="16" spans="1:9" ht="15" customHeight="1" x14ac:dyDescent="0.3"/>
  </sheetData>
  <mergeCells count="1">
    <mergeCell ref="B3:H3"/>
  </mergeCell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zoomScale="70" zoomScaleNormal="70" workbookViewId="0">
      <selection activeCell="E24" sqref="E24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2025-09-30T10:33:53Z</cp:lastPrinted>
  <dcterms:created xsi:type="dcterms:W3CDTF">2019-07-16T09:29:46Z</dcterms:created>
  <dcterms:modified xsi:type="dcterms:W3CDTF">2025-09-30T10:33:54Z</dcterms:modified>
</cp:coreProperties>
</file>