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23004 - Vedant Millenia Happiness Phase II\"/>
    </mc:Choice>
  </mc:AlternateContent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5" i="1" l="1"/>
  <c r="L236" i="1"/>
  <c r="L230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86" i="1"/>
  <c r="L205" i="1"/>
  <c r="L204" i="1"/>
  <c r="L203" i="1"/>
  <c r="L202" i="1"/>
  <c r="L19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69" i="1"/>
  <c r="J165" i="1"/>
  <c r="J169" i="1"/>
  <c r="K279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86" i="1"/>
  <c r="L360" i="1"/>
  <c r="L361" i="1"/>
  <c r="L350" i="1"/>
  <c r="L351" i="1"/>
  <c r="L352" i="1"/>
  <c r="L353" i="1"/>
  <c r="L354" i="1"/>
  <c r="L355" i="1"/>
  <c r="L356" i="1"/>
  <c r="L357" i="1"/>
  <c r="L358" i="1"/>
  <c r="L359" i="1"/>
  <c r="L349" i="1"/>
  <c r="F361" i="1"/>
  <c r="F358" i="1"/>
  <c r="F357" i="1"/>
  <c r="F356" i="1"/>
  <c r="F354" i="1"/>
  <c r="F351" i="1"/>
  <c r="F350" i="1"/>
  <c r="F349" i="1"/>
  <c r="F346" i="1"/>
  <c r="F345" i="1"/>
  <c r="F344" i="1"/>
  <c r="F343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8" i="1"/>
  <c r="F327" i="1"/>
  <c r="F326" i="1"/>
  <c r="F325" i="1"/>
  <c r="F324" i="1"/>
  <c r="F323" i="1"/>
  <c r="F322" i="1"/>
  <c r="F321" i="1"/>
  <c r="F319" i="1"/>
  <c r="F318" i="1"/>
  <c r="F317" i="1"/>
  <c r="F316" i="1"/>
  <c r="F315" i="1"/>
  <c r="F314" i="1"/>
  <c r="K314" i="1" s="1"/>
  <c r="F313" i="1"/>
  <c r="K313" i="1" s="1"/>
  <c r="F312" i="1"/>
  <c r="K312" i="1" s="1"/>
  <c r="F310" i="1"/>
  <c r="F309" i="1"/>
  <c r="F308" i="1"/>
  <c r="F307" i="1"/>
  <c r="F306" i="1"/>
  <c r="F305" i="1"/>
  <c r="F304" i="1"/>
  <c r="F303" i="1"/>
  <c r="G158" i="1" s="1"/>
  <c r="F301" i="1"/>
  <c r="F300" i="1"/>
  <c r="F299" i="1"/>
  <c r="F298" i="1"/>
  <c r="F297" i="1"/>
  <c r="F296" i="1"/>
  <c r="F295" i="1"/>
  <c r="F294" i="1"/>
  <c r="F290" i="1"/>
  <c r="F289" i="1"/>
  <c r="F288" i="1"/>
  <c r="F287" i="1"/>
  <c r="F286" i="1"/>
  <c r="F281" i="1"/>
  <c r="F280" i="1"/>
  <c r="F279" i="1"/>
  <c r="F278" i="1"/>
  <c r="F277" i="1"/>
  <c r="F275" i="1"/>
  <c r="F274" i="1"/>
  <c r="F272" i="1"/>
  <c r="F271" i="1"/>
  <c r="F270" i="1"/>
  <c r="F269" i="1"/>
  <c r="F268" i="1"/>
  <c r="F266" i="1"/>
  <c r="F265" i="1"/>
  <c r="F263" i="1"/>
  <c r="F262" i="1"/>
  <c r="F261" i="1"/>
  <c r="F260" i="1"/>
  <c r="F259" i="1"/>
  <c r="F258" i="1"/>
  <c r="F257" i="1"/>
  <c r="F256" i="1"/>
  <c r="F254" i="1"/>
  <c r="F253" i="1"/>
  <c r="F252" i="1"/>
  <c r="F251" i="1"/>
  <c r="F250" i="1"/>
  <c r="F249" i="1"/>
  <c r="F248" i="1"/>
  <c r="F247" i="1"/>
  <c r="F245" i="1"/>
  <c r="F244" i="1"/>
  <c r="F243" i="1"/>
  <c r="F242" i="1"/>
  <c r="F241" i="1"/>
  <c r="F240" i="1"/>
  <c r="F239" i="1"/>
  <c r="F238" i="1"/>
  <c r="F236" i="1"/>
  <c r="F231" i="1"/>
  <c r="L231" i="1" s="1"/>
  <c r="F232" i="1"/>
  <c r="L232" i="1" s="1"/>
  <c r="F233" i="1"/>
  <c r="L233" i="1" s="1"/>
  <c r="F234" i="1"/>
  <c r="L234" i="1" s="1"/>
  <c r="F235" i="1"/>
  <c r="F230" i="1"/>
  <c r="K315" i="1"/>
  <c r="K316" i="1"/>
  <c r="K317" i="1"/>
  <c r="K318" i="1"/>
  <c r="K319" i="1"/>
  <c r="J200" i="1"/>
  <c r="J201" i="1"/>
  <c r="J202" i="1"/>
  <c r="J203" i="1"/>
  <c r="J204" i="1"/>
  <c r="J205" i="1"/>
  <c r="J206" i="1"/>
  <c r="J207" i="1"/>
  <c r="J208" i="1"/>
  <c r="J209" i="1"/>
  <c r="J199" i="1"/>
  <c r="D61" i="1"/>
  <c r="J159" i="1"/>
  <c r="C161" i="1"/>
  <c r="E161" i="1"/>
  <c r="G160" i="1"/>
  <c r="E159" i="1"/>
  <c r="E158" i="1"/>
  <c r="C159" i="1"/>
  <c r="C158" i="1"/>
  <c r="J312" i="1" l="1"/>
  <c r="G159" i="1"/>
  <c r="D265" i="1"/>
  <c r="D274" i="1"/>
  <c r="D247" i="1"/>
  <c r="E40" i="1"/>
  <c r="G157" i="1" l="1"/>
  <c r="G161" i="1" s="1"/>
  <c r="D193" i="1"/>
  <c r="F193" i="1" s="1"/>
  <c r="H193" i="1" s="1"/>
  <c r="D192" i="1"/>
  <c r="D191" i="1"/>
  <c r="F191" i="1" s="1"/>
  <c r="H191" i="1" s="1"/>
  <c r="D190" i="1"/>
  <c r="F190" i="1" s="1"/>
  <c r="H190" i="1" s="1"/>
  <c r="D189" i="1"/>
  <c r="F189" i="1" s="1"/>
  <c r="H189" i="1" s="1"/>
  <c r="D188" i="1"/>
  <c r="F188" i="1" s="1"/>
  <c r="H188" i="1" s="1"/>
  <c r="D187" i="1"/>
  <c r="F187" i="1" s="1"/>
  <c r="H187" i="1" s="1"/>
  <c r="D186" i="1"/>
  <c r="F186" i="1" s="1"/>
  <c r="H186" i="1" s="1"/>
  <c r="D184" i="1"/>
  <c r="F184" i="1" s="1"/>
  <c r="H184" i="1" s="1"/>
  <c r="D183" i="1"/>
  <c r="F183" i="1" s="1"/>
  <c r="H183" i="1" s="1"/>
  <c r="D182" i="1"/>
  <c r="F182" i="1" s="1"/>
  <c r="H182" i="1" s="1"/>
  <c r="D181" i="1"/>
  <c r="F181" i="1" s="1"/>
  <c r="H181" i="1" s="1"/>
  <c r="D180" i="1"/>
  <c r="F180" i="1" s="1"/>
  <c r="H180" i="1" s="1"/>
  <c r="D179" i="1"/>
  <c r="F179" i="1" s="1"/>
  <c r="D178" i="1"/>
  <c r="F178" i="1" s="1"/>
  <c r="H178" i="1" s="1"/>
  <c r="D177" i="1"/>
  <c r="F177" i="1" s="1"/>
  <c r="H177" i="1" s="1"/>
  <c r="D176" i="1"/>
  <c r="F176" i="1" s="1"/>
  <c r="H176" i="1" s="1"/>
  <c r="D175" i="1"/>
  <c r="F175" i="1" s="1"/>
  <c r="H175" i="1" s="1"/>
  <c r="D174" i="1"/>
  <c r="F174" i="1" s="1"/>
  <c r="H174" i="1" s="1"/>
  <c r="D173" i="1"/>
  <c r="F173" i="1" s="1"/>
  <c r="H173" i="1" s="1"/>
  <c r="D172" i="1"/>
  <c r="F172" i="1" s="1"/>
  <c r="H172" i="1" s="1"/>
  <c r="D171" i="1"/>
  <c r="F171" i="1" s="1"/>
  <c r="H171" i="1" s="1"/>
  <c r="D170" i="1"/>
  <c r="F170" i="1" s="1"/>
  <c r="H170" i="1" s="1"/>
  <c r="D169" i="1"/>
  <c r="F169" i="1" s="1"/>
  <c r="H169" i="1" s="1"/>
  <c r="F192" i="1"/>
  <c r="H192" i="1" s="1"/>
  <c r="I169" i="1"/>
  <c r="A187" i="1"/>
  <c r="A188" i="1" s="1"/>
  <c r="A189" i="1" s="1"/>
  <c r="A190" i="1" s="1"/>
  <c r="A191" i="1" s="1"/>
  <c r="A192" i="1" s="1"/>
  <c r="A193" i="1" s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C152" i="1" l="1"/>
  <c r="E151" i="1"/>
  <c r="G152" i="1"/>
  <c r="H179" i="1"/>
  <c r="G151" i="1" s="1"/>
  <c r="C151" i="1"/>
  <c r="E152" i="1"/>
  <c r="E349" i="1"/>
  <c r="D361" i="1"/>
  <c r="E358" i="1"/>
  <c r="D358" i="1"/>
  <c r="E357" i="1"/>
  <c r="D357" i="1"/>
  <c r="E356" i="1"/>
  <c r="D356" i="1"/>
  <c r="E354" i="1"/>
  <c r="D354" i="1"/>
  <c r="D351" i="1"/>
  <c r="D350" i="1"/>
  <c r="D349" i="1"/>
  <c r="I351" i="1"/>
  <c r="A357" i="1"/>
  <c r="A358" i="1" s="1"/>
  <c r="A359" i="1" s="1"/>
  <c r="A360" i="1" s="1"/>
  <c r="A361" i="1" s="1"/>
  <c r="G356" i="1"/>
  <c r="A350" i="1"/>
  <c r="A351" i="1" s="1"/>
  <c r="A352" i="1" s="1"/>
  <c r="A353" i="1" s="1"/>
  <c r="A354" i="1" s="1"/>
  <c r="G349" i="1"/>
  <c r="D261" i="1"/>
  <c r="D260" i="1"/>
  <c r="D252" i="1"/>
  <c r="D251" i="1"/>
  <c r="D243" i="1"/>
  <c r="D242" i="1"/>
  <c r="D234" i="1"/>
  <c r="D233" i="1"/>
  <c r="D346" i="1"/>
  <c r="E346" i="1"/>
  <c r="E345" i="1"/>
  <c r="D345" i="1"/>
  <c r="D344" i="1"/>
  <c r="D343" i="1"/>
  <c r="D342" i="1"/>
  <c r="D341" i="1"/>
  <c r="D340" i="1"/>
  <c r="D339" i="1"/>
  <c r="D281" i="1"/>
  <c r="D280" i="1"/>
  <c r="D279" i="1"/>
  <c r="D278" i="1"/>
  <c r="D275" i="1"/>
  <c r="D277" i="1"/>
  <c r="E160" i="1" l="1"/>
  <c r="C160" i="1"/>
  <c r="D337" i="1"/>
  <c r="E337" i="1"/>
  <c r="E336" i="1"/>
  <c r="D336" i="1"/>
  <c r="D335" i="1"/>
  <c r="D334" i="1"/>
  <c r="D333" i="1"/>
  <c r="D332" i="1"/>
  <c r="D331" i="1"/>
  <c r="D330" i="1"/>
  <c r="D272" i="1"/>
  <c r="D271" i="1"/>
  <c r="D270" i="1"/>
  <c r="D269" i="1"/>
  <c r="D268" i="1"/>
  <c r="D266" i="1"/>
  <c r="E328" i="1" l="1"/>
  <c r="D328" i="1"/>
  <c r="E327" i="1"/>
  <c r="D327" i="1"/>
  <c r="D326" i="1"/>
  <c r="D325" i="1"/>
  <c r="D324" i="1"/>
  <c r="D323" i="1"/>
  <c r="D322" i="1"/>
  <c r="D321" i="1"/>
  <c r="D263" i="1"/>
  <c r="D262" i="1"/>
  <c r="D258" i="1"/>
  <c r="D257" i="1"/>
  <c r="I260" i="1"/>
  <c r="D259" i="1"/>
  <c r="D256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0" i="1"/>
  <c r="D310" i="1"/>
  <c r="E309" i="1"/>
  <c r="D309" i="1"/>
  <c r="D308" i="1"/>
  <c r="D307" i="1"/>
  <c r="D306" i="1"/>
  <c r="D305" i="1"/>
  <c r="D304" i="1"/>
  <c r="D303" i="1"/>
  <c r="D254" i="1"/>
  <c r="E254" i="1"/>
  <c r="E253" i="1"/>
  <c r="D253" i="1"/>
  <c r="D250" i="1"/>
  <c r="D249" i="1"/>
  <c r="D248" i="1"/>
  <c r="D245" i="1"/>
  <c r="D244" i="1"/>
  <c r="D239" i="1"/>
  <c r="D241" i="1"/>
  <c r="D240" i="1"/>
  <c r="E238" i="1"/>
  <c r="D301" i="1"/>
  <c r="E301" i="1"/>
  <c r="E300" i="1"/>
  <c r="D300" i="1"/>
  <c r="D299" i="1"/>
  <c r="D298" i="1"/>
  <c r="D297" i="1"/>
  <c r="D296" i="1"/>
  <c r="D295" i="1"/>
  <c r="E294" i="1" l="1"/>
  <c r="D294" i="1"/>
  <c r="E290" i="1"/>
  <c r="D290" i="1"/>
  <c r="E289" i="1"/>
  <c r="D289" i="1"/>
  <c r="E288" i="1"/>
  <c r="D288" i="1"/>
  <c r="E287" i="1"/>
  <c r="D287" i="1"/>
  <c r="E286" i="1"/>
  <c r="D286" i="1"/>
  <c r="D236" i="1"/>
  <c r="E236" i="1"/>
  <c r="E235" i="1"/>
  <c r="D235" i="1"/>
  <c r="D232" i="1"/>
  <c r="D231" i="1"/>
  <c r="D230" i="1"/>
  <c r="I230" i="1"/>
  <c r="E153" i="1" l="1"/>
  <c r="C153" i="1"/>
  <c r="C121" i="1"/>
  <c r="J132" i="1"/>
  <c r="J131" i="1"/>
  <c r="J130" i="1"/>
  <c r="J129" i="1"/>
  <c r="C57" i="1"/>
  <c r="G57" i="1"/>
  <c r="G56" i="1" l="1"/>
  <c r="C56" i="1"/>
  <c r="G339" i="1" l="1"/>
  <c r="E344" i="1"/>
  <c r="E343" i="1"/>
  <c r="E342" i="1"/>
  <c r="E341" i="1"/>
  <c r="E340" i="1"/>
  <c r="E339" i="1"/>
  <c r="E335" i="1"/>
  <c r="E334" i="1"/>
  <c r="E331" i="1"/>
  <c r="E330" i="1"/>
  <c r="E322" i="1"/>
  <c r="E323" i="1"/>
  <c r="E324" i="1"/>
  <c r="E325" i="1"/>
  <c r="E326" i="1"/>
  <c r="E321" i="1"/>
  <c r="G312" i="1"/>
  <c r="J311" i="1"/>
  <c r="J309" i="1"/>
  <c r="E307" i="1"/>
  <c r="E308" i="1"/>
  <c r="E305" i="1"/>
  <c r="E306" i="1"/>
  <c r="E304" i="1"/>
  <c r="E303" i="1"/>
  <c r="G303" i="1"/>
  <c r="J302" i="1"/>
  <c r="E296" i="1"/>
  <c r="E297" i="1"/>
  <c r="E298" i="1"/>
  <c r="E299" i="1"/>
  <c r="E295" i="1"/>
  <c r="J338" i="1"/>
  <c r="G330" i="1"/>
  <c r="J329" i="1"/>
  <c r="G321" i="1"/>
  <c r="J320" i="1"/>
  <c r="M295" i="1"/>
  <c r="G294" i="1"/>
  <c r="J293" i="1"/>
  <c r="J292" i="1"/>
  <c r="J291" i="1"/>
  <c r="A286" i="1"/>
  <c r="A287" i="1" s="1"/>
  <c r="A288" i="1" s="1"/>
  <c r="A289" i="1" s="1"/>
  <c r="A290" i="1" s="1"/>
  <c r="A291" i="1" s="1"/>
  <c r="A292" i="1" s="1"/>
  <c r="G285" i="1"/>
  <c r="E265" i="1"/>
  <c r="D238" i="1"/>
  <c r="M239" i="1"/>
  <c r="E157" i="1" l="1"/>
  <c r="C157" i="1"/>
  <c r="J313" i="1"/>
  <c r="J289" i="1"/>
  <c r="J337" i="1"/>
  <c r="J315" i="1"/>
  <c r="J343" i="1"/>
  <c r="J288" i="1"/>
  <c r="J336" i="1"/>
  <c r="J332" i="1"/>
  <c r="J298" i="1"/>
  <c r="J316" i="1"/>
  <c r="J323" i="1"/>
  <c r="K323" i="1" s="1"/>
  <c r="J344" i="1"/>
  <c r="J300" i="1"/>
  <c r="J301" i="1"/>
  <c r="J328" i="1"/>
  <c r="K328" i="1" s="1"/>
  <c r="J335" i="1"/>
  <c r="J318" i="1"/>
  <c r="J346" i="1"/>
  <c r="J306" i="1"/>
  <c r="J299" i="1"/>
  <c r="J319" i="1"/>
  <c r="J290" i="1"/>
  <c r="J303" i="1"/>
  <c r="J307" i="1"/>
  <c r="I321" i="1"/>
  <c r="J304" i="1"/>
  <c r="J308" i="1"/>
  <c r="J322" i="1"/>
  <c r="K322" i="1" s="1"/>
  <c r="J333" i="1"/>
  <c r="J330" i="1"/>
  <c r="J339" i="1"/>
  <c r="J294" i="1"/>
  <c r="J310" i="1"/>
  <c r="J325" i="1"/>
  <c r="K325" i="1" s="1"/>
  <c r="J331" i="1"/>
  <c r="J305" i="1"/>
  <c r="J314" i="1"/>
  <c r="J326" i="1"/>
  <c r="K326" i="1" s="1"/>
  <c r="J327" i="1"/>
  <c r="K327" i="1" s="1"/>
  <c r="J334" i="1"/>
  <c r="J340" i="1"/>
  <c r="J345" i="1"/>
  <c r="J341" i="1"/>
  <c r="J317" i="1"/>
  <c r="I330" i="1"/>
  <c r="C49" i="1"/>
  <c r="C52" i="1" s="1"/>
  <c r="G49" i="1"/>
  <c r="G52" i="1" s="1"/>
  <c r="C107" i="1"/>
  <c r="J118" i="1"/>
  <c r="J117" i="1"/>
  <c r="J116" i="1"/>
  <c r="J115" i="1"/>
  <c r="J287" i="1" l="1"/>
  <c r="J286" i="1"/>
  <c r="J342" i="1"/>
  <c r="I295" i="1"/>
  <c r="I322" i="1"/>
  <c r="J321" i="1"/>
  <c r="K321" i="1" s="1"/>
  <c r="I323" i="1"/>
  <c r="I297" i="1"/>
  <c r="J295" i="1"/>
  <c r="J324" i="1"/>
  <c r="K324" i="1" s="1"/>
  <c r="I324" i="1"/>
  <c r="J297" i="1"/>
  <c r="J157" i="1"/>
  <c r="J296" i="1"/>
  <c r="C80" i="1"/>
  <c r="G153" i="1" l="1"/>
  <c r="J237" i="1"/>
  <c r="J255" i="1"/>
  <c r="J246" i="1"/>
  <c r="J264" i="1"/>
  <c r="J267" i="1"/>
  <c r="J273" i="1"/>
  <c r="J276" i="1"/>
  <c r="C78" i="1" l="1"/>
  <c r="J90" i="1"/>
  <c r="J89" i="1"/>
  <c r="J88" i="1"/>
  <c r="J87" i="1"/>
  <c r="E225" i="1"/>
  <c r="D225" i="1"/>
  <c r="J225" i="1" s="1"/>
  <c r="A225" i="1"/>
  <c r="I224" i="1"/>
  <c r="I225" i="1" s="1"/>
  <c r="E224" i="1"/>
  <c r="D224" i="1"/>
  <c r="J224" i="1" s="1"/>
  <c r="J223" i="1"/>
  <c r="A223" i="1"/>
  <c r="I222" i="1"/>
  <c r="I223" i="1" s="1"/>
  <c r="G222" i="1"/>
  <c r="E222" i="1"/>
  <c r="D222" i="1"/>
  <c r="E220" i="1"/>
  <c r="D220" i="1"/>
  <c r="J220" i="1" s="1"/>
  <c r="A220" i="1"/>
  <c r="I219" i="1"/>
  <c r="I220" i="1" s="1"/>
  <c r="E219" i="1"/>
  <c r="D219" i="1"/>
  <c r="J219" i="1" s="1"/>
  <c r="J218" i="1"/>
  <c r="A218" i="1"/>
  <c r="I217" i="1"/>
  <c r="I218" i="1" s="1"/>
  <c r="G217" i="1"/>
  <c r="E217" i="1"/>
  <c r="D217" i="1"/>
  <c r="D210" i="1"/>
  <c r="J210" i="1" s="1"/>
  <c r="D209" i="1"/>
  <c r="D208" i="1"/>
  <c r="D207" i="1"/>
  <c r="E208" i="1"/>
  <c r="E209" i="1"/>
  <c r="E210" i="1"/>
  <c r="E207" i="1"/>
  <c r="A210" i="1"/>
  <c r="I209" i="1"/>
  <c r="I210" i="1" s="1"/>
  <c r="A208" i="1"/>
  <c r="I207" i="1"/>
  <c r="I208" i="1" s="1"/>
  <c r="G207" i="1"/>
  <c r="E205" i="1"/>
  <c r="E204" i="1"/>
  <c r="D205" i="1"/>
  <c r="A205" i="1"/>
  <c r="I204" i="1"/>
  <c r="I205" i="1" s="1"/>
  <c r="D204" i="1"/>
  <c r="E203" i="1"/>
  <c r="D203" i="1"/>
  <c r="A203" i="1"/>
  <c r="I202" i="1"/>
  <c r="I203" i="1" s="1"/>
  <c r="G202" i="1"/>
  <c r="E202" i="1"/>
  <c r="D202" i="1"/>
  <c r="D200" i="1"/>
  <c r="D215" i="1"/>
  <c r="J215" i="1" s="1"/>
  <c r="D212" i="1"/>
  <c r="J212" i="1" s="1"/>
  <c r="E213" i="1"/>
  <c r="E214" i="1"/>
  <c r="E215" i="1"/>
  <c r="E212" i="1"/>
  <c r="D214" i="1"/>
  <c r="J214" i="1" s="1"/>
  <c r="A215" i="1"/>
  <c r="I214" i="1"/>
  <c r="I215" i="1" s="1"/>
  <c r="D213" i="1"/>
  <c r="J213" i="1" s="1"/>
  <c r="A213" i="1"/>
  <c r="I212" i="1"/>
  <c r="I213" i="1" s="1"/>
  <c r="G212" i="1"/>
  <c r="D199" i="1"/>
  <c r="I199" i="1"/>
  <c r="I200" i="1" s="1"/>
  <c r="G199" i="1"/>
  <c r="E200" i="1"/>
  <c r="E199" i="1"/>
  <c r="A200" i="1"/>
  <c r="H79" i="1"/>
  <c r="F200" i="1" l="1"/>
  <c r="F199" i="1"/>
  <c r="F207" i="1"/>
  <c r="F202" i="1"/>
  <c r="C156" i="1"/>
  <c r="F204" i="1"/>
  <c r="F217" i="1"/>
  <c r="J217" i="1"/>
  <c r="F205" i="1"/>
  <c r="F222" i="1"/>
  <c r="J222" i="1"/>
  <c r="E156" i="1"/>
  <c r="E162" i="1" s="1"/>
  <c r="J85" i="1"/>
  <c r="J86" i="1" s="1"/>
  <c r="J91" i="1" s="1"/>
  <c r="J84" i="1"/>
  <c r="C83" i="1" s="1"/>
  <c r="D83" i="1" s="1"/>
  <c r="J82" i="1"/>
  <c r="D92" i="1"/>
  <c r="D91" i="1"/>
  <c r="D90" i="1"/>
  <c r="D89" i="1"/>
  <c r="D88" i="1"/>
  <c r="D87" i="1"/>
  <c r="D86" i="1"/>
  <c r="D85" i="1"/>
  <c r="J83" i="1"/>
  <c r="F224" i="1"/>
  <c r="F225" i="1"/>
  <c r="F219" i="1"/>
  <c r="F220" i="1"/>
  <c r="F208" i="1"/>
  <c r="F209" i="1"/>
  <c r="F210" i="1"/>
  <c r="F203" i="1"/>
  <c r="F214" i="1"/>
  <c r="F215" i="1"/>
  <c r="F212" i="1"/>
  <c r="F213" i="1"/>
  <c r="K240" i="1"/>
  <c r="H122" i="1"/>
  <c r="J126" i="1" l="1"/>
  <c r="D134" i="1"/>
  <c r="D130" i="1"/>
  <c r="J125" i="1"/>
  <c r="D133" i="1"/>
  <c r="D129" i="1"/>
  <c r="D132" i="1"/>
  <c r="D128" i="1"/>
  <c r="J127" i="1"/>
  <c r="J128" i="1" s="1"/>
  <c r="J133" i="1" s="1"/>
  <c r="J134" i="1" s="1"/>
  <c r="C126" i="1" s="1"/>
  <c r="E125" i="1" s="1"/>
  <c r="D127" i="1"/>
  <c r="D131" i="1"/>
  <c r="J124" i="1"/>
  <c r="M199" i="1"/>
  <c r="N199" i="1" s="1"/>
  <c r="J156" i="1"/>
  <c r="C162" i="1"/>
  <c r="J92" i="1"/>
  <c r="G156" i="1"/>
  <c r="G162" i="1" s="1"/>
  <c r="G83" i="1"/>
  <c r="G81" i="1" s="1"/>
  <c r="E258" i="1"/>
  <c r="D126" i="1" l="1"/>
  <c r="C125" i="1"/>
  <c r="J258" i="1"/>
  <c r="K258" i="1" s="1"/>
  <c r="E83" i="1"/>
  <c r="D84" i="1"/>
  <c r="I258" i="1"/>
  <c r="G256" i="1"/>
  <c r="H108" i="1"/>
  <c r="G125" i="1" l="1"/>
  <c r="D125" i="1"/>
  <c r="I121" i="1" s="1"/>
  <c r="C123" i="1" s="1"/>
  <c r="I78" i="1"/>
  <c r="C81" i="1"/>
  <c r="D120" i="1"/>
  <c r="D118" i="1"/>
  <c r="D116" i="1"/>
  <c r="D114" i="1"/>
  <c r="D112" i="1"/>
  <c r="J113" i="1"/>
  <c r="J114" i="1" s="1"/>
  <c r="J119" i="1" s="1"/>
  <c r="J120" i="1" s="1"/>
  <c r="D119" i="1"/>
  <c r="D115" i="1"/>
  <c r="J112" i="1"/>
  <c r="C111" i="1" s="1"/>
  <c r="G111" i="1" s="1"/>
  <c r="E111" i="1"/>
  <c r="J111" i="1"/>
  <c r="D117" i="1"/>
  <c r="D113" i="1"/>
  <c r="J110" i="1"/>
  <c r="E281" i="1"/>
  <c r="E280" i="1"/>
  <c r="E279" i="1"/>
  <c r="E278" i="1"/>
  <c r="E277" i="1"/>
  <c r="E275" i="1"/>
  <c r="G274" i="1"/>
  <c r="E274" i="1"/>
  <c r="E272" i="1"/>
  <c r="E271" i="1"/>
  <c r="E270" i="1"/>
  <c r="E269" i="1"/>
  <c r="E268" i="1"/>
  <c r="E266" i="1"/>
  <c r="E252" i="1"/>
  <c r="E251" i="1"/>
  <c r="E256" i="1"/>
  <c r="J256" i="1" s="1"/>
  <c r="E250" i="1"/>
  <c r="E249" i="1"/>
  <c r="E248" i="1"/>
  <c r="E247" i="1"/>
  <c r="E263" i="1"/>
  <c r="E262" i="1"/>
  <c r="E261" i="1"/>
  <c r="E260" i="1"/>
  <c r="E259" i="1"/>
  <c r="E257" i="1"/>
  <c r="E245" i="1"/>
  <c r="E244" i="1"/>
  <c r="E241" i="1"/>
  <c r="E243" i="1"/>
  <c r="E242" i="1"/>
  <c r="E240" i="1"/>
  <c r="E239" i="1"/>
  <c r="J238" i="1"/>
  <c r="G238" i="1"/>
  <c r="J235" i="1"/>
  <c r="E234" i="1"/>
  <c r="E233" i="1"/>
  <c r="J233" i="1" s="1"/>
  <c r="E232" i="1"/>
  <c r="E231" i="1"/>
  <c r="J231" i="1" s="1"/>
  <c r="E230" i="1"/>
  <c r="J230" i="1" s="1"/>
  <c r="I259" i="1" l="1"/>
  <c r="D111" i="1"/>
  <c r="I107" i="1" s="1"/>
  <c r="C109" i="1" s="1"/>
  <c r="J236" i="1"/>
  <c r="J250" i="1"/>
  <c r="J253" i="1"/>
  <c r="J268" i="1"/>
  <c r="J270" i="1"/>
  <c r="J272" i="1"/>
  <c r="J251" i="1"/>
  <c r="J245" i="1"/>
  <c r="I241" i="1"/>
  <c r="I257" i="1"/>
  <c r="J254" i="1"/>
  <c r="J266" i="1"/>
  <c r="J269" i="1"/>
  <c r="J271" i="1"/>
  <c r="J274" i="1"/>
  <c r="J234" i="1"/>
  <c r="J244" i="1"/>
  <c r="I281" i="1"/>
  <c r="K281" i="1" s="1"/>
  <c r="J281" i="1"/>
  <c r="J241" i="1"/>
  <c r="J260" i="1"/>
  <c r="K260" i="1" s="1"/>
  <c r="J261" i="1"/>
  <c r="K261" i="1" s="1"/>
  <c r="I239" i="1"/>
  <c r="K239" i="1" s="1"/>
  <c r="J239" i="1"/>
  <c r="J257" i="1"/>
  <c r="K257" i="1" s="1"/>
  <c r="J262" i="1"/>
  <c r="K262" i="1" s="1"/>
  <c r="I265" i="1"/>
  <c r="J265" i="1"/>
  <c r="J240" i="1"/>
  <c r="J242" i="1"/>
  <c r="J259" i="1"/>
  <c r="K259" i="1" s="1"/>
  <c r="J263" i="1"/>
  <c r="K263" i="1" s="1"/>
  <c r="J248" i="1"/>
  <c r="J252" i="1"/>
  <c r="J275" i="1"/>
  <c r="J278" i="1"/>
  <c r="J280" i="1"/>
  <c r="J232" i="1"/>
  <c r="J243" i="1"/>
  <c r="J247" i="1"/>
  <c r="J249" i="1"/>
  <c r="J277" i="1"/>
  <c r="J279" i="1"/>
  <c r="K256" i="1"/>
  <c r="I256" i="1"/>
  <c r="C14" i="1" l="1"/>
  <c r="E2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91" i="1"/>
  <c r="G265" i="1"/>
  <c r="G247" i="1"/>
  <c r="G229" i="1"/>
  <c r="A230" i="1"/>
  <c r="A231" i="1" s="1"/>
  <c r="A232" i="1" s="1"/>
  <c r="A233" i="1" s="1"/>
  <c r="A234" i="1" s="1"/>
  <c r="A235" i="1" s="1"/>
  <c r="A236" i="1" s="1"/>
  <c r="F148" i="1"/>
  <c r="J104" i="1"/>
  <c r="J103" i="1"/>
  <c r="J102" i="1"/>
  <c r="J101" i="1"/>
  <c r="C93" i="1"/>
  <c r="E41" i="1"/>
  <c r="E42" i="1" s="1"/>
  <c r="E25" i="1"/>
  <c r="E23" i="1"/>
  <c r="E3" i="1"/>
  <c r="H94" i="1"/>
  <c r="J97" i="1" l="1"/>
  <c r="D106" i="1"/>
  <c r="D104" i="1"/>
  <c r="D102" i="1"/>
  <c r="D100" i="1"/>
  <c r="J98" i="1"/>
  <c r="C97" i="1" s="1"/>
  <c r="D97" i="1" s="1"/>
  <c r="J96" i="1"/>
  <c r="J99" i="1"/>
  <c r="J100" i="1" s="1"/>
  <c r="J105" i="1" s="1"/>
  <c r="D105" i="1"/>
  <c r="D101" i="1"/>
  <c r="D103" i="1"/>
  <c r="D99" i="1"/>
  <c r="J106" i="1" l="1"/>
  <c r="D98" i="1"/>
  <c r="G97" i="1" l="1"/>
  <c r="D76" i="1" s="1"/>
  <c r="F77" i="1" s="1"/>
  <c r="E97" i="1"/>
  <c r="I93" i="1" s="1"/>
  <c r="C95" i="1" s="1"/>
  <c r="D77" i="1" l="1"/>
</calcChain>
</file>

<file path=xl/sharedStrings.xml><?xml version="1.0" encoding="utf-8"?>
<sst xmlns="http://schemas.openxmlformats.org/spreadsheetml/2006/main" count="663" uniqueCount="284">
  <si>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</si>
  <si>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</si>
  <si>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</si>
  <si>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</si>
  <si>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</si>
  <si>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</si>
  <si>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</si>
  <si>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</si>
  <si>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</si>
  <si>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</si>
  <si>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</si>
  <si>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</si>
  <si>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</si>
  <si>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</si>
  <si>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</si>
  <si>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</si>
  <si>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</si>
  <si>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</si>
  <si>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</si>
  <si>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</si>
  <si>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</si>
  <si>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</si>
  <si>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</si>
  <si>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</si>
  <si>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</si>
  <si>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</si>
  <si>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</si>
  <si>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</si>
  <si>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</si>
  <si>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</si>
  <si>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</si>
  <si>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</si>
  <si>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</si>
  <si>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</si>
  <si>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</si>
  <si>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</si>
  <si>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</si>
  <si>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</si>
  <si>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</si>
  <si>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</si>
  <si>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</si>
  <si>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</si>
  <si>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</si>
  <si>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</si>
  <si>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</si>
  <si>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</si>
  <si>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</si>
  <si>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</si>
  <si>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</si>
  <si>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</si>
  <si>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</si>
  <si>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</si>
  <si>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</si>
  <si>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</si>
  <si>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</si>
  <si>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</si>
  <si>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</si>
  <si>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</si>
  <si>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</si>
  <si>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</si>
  <si>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</si>
  <si>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</si>
  <si>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</si>
  <si>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</si>
  <si>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</si>
  <si>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</si>
  <si>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</si>
  <si>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</si>
  <si>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</si>
  <si>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</si>
  <si>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</si>
  <si>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</si>
  <si>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</si>
  <si>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</si>
  <si>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</si>
  <si>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</si>
  <si>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</si>
  <si>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</si>
  <si>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</si>
  <si>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</si>
  <si>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</si>
  <si>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</si>
  <si>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</si>
  <si>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</si>
  <si>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</si>
  <si>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</si>
  <si>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</si>
  <si>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</si>
  <si>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</si>
  <si>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</si>
  <si>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</si>
  <si>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</si>
  <si>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</si>
  <si>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</si>
  <si>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</si>
  <si>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</si>
  <si>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</si>
  <si>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</si>
  <si>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</si>
  <si>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</si>
  <si>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</si>
  <si>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</si>
  <si>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</si>
  <si>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</si>
  <si>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</si>
  <si>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</si>
  <si>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</si>
  <si>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</si>
  <si>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</si>
  <si>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</si>
  <si>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</si>
  <si>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</si>
  <si>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</si>
  <si>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</si>
  <si>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</si>
  <si>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</si>
  <si>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</si>
  <si>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</si>
  <si>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</si>
  <si>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</si>
  <si>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</si>
  <si>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</si>
  <si>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</si>
  <si>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</si>
  <si>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</si>
  <si>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</si>
  <si>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</si>
  <si>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</si>
  <si>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</si>
  <si>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</si>
  <si>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</si>
  <si>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</si>
  <si>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</si>
  <si>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</si>
  <si>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</si>
  <si>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</si>
  <si>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</si>
  <si>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</si>
  <si>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</si>
  <si>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</si>
  <si>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</si>
  <si>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</si>
  <si>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</si>
  <si>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</si>
  <si>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</si>
  <si>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</si>
  <si>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</si>
  <si>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</si>
  <si>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</si>
  <si>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</si>
  <si>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</si>
  <si>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</si>
  <si>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</si>
  <si>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</si>
  <si>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</si>
  <si>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</si>
  <si>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</si>
  <si>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should be considered as all inclusive rate if other charges are not mentioned. (Excluding GST &amp; other government Taxes)</t>
  </si>
  <si>
    <t>Axis Sanpada</t>
  </si>
  <si>
    <t>M/s. Mohan Hardasmal Tharwani</t>
  </si>
  <si>
    <t>Titwala</t>
  </si>
  <si>
    <t>Thane</t>
  </si>
  <si>
    <t>Kalyan</t>
  </si>
  <si>
    <t>KALYAN DOMBIVALI MUNICIPAL CORPORATION</t>
  </si>
  <si>
    <t>1st Floor for Residential</t>
  </si>
  <si>
    <t>Ground Floor for Parking</t>
  </si>
  <si>
    <t>Double Height Lobby</t>
  </si>
  <si>
    <t>2BHK</t>
  </si>
  <si>
    <t>1BHK</t>
  </si>
  <si>
    <t>8th &amp; 18th Floor (Part Refuge Area)</t>
  </si>
  <si>
    <t>Refuge Area</t>
  </si>
  <si>
    <t>Wing B</t>
  </si>
  <si>
    <t>Open Plot</t>
  </si>
  <si>
    <t>Internal Road</t>
  </si>
  <si>
    <t>Chatrapati Shivaji Maharaj Chowk</t>
  </si>
  <si>
    <t>Kdmc garden</t>
  </si>
  <si>
    <t>Swapna Nagari Road</t>
  </si>
  <si>
    <t>3.4 KM from Titwala Railway Station</t>
  </si>
  <si>
    <t>13th Floor (Part Refuge Area)</t>
  </si>
  <si>
    <t>20/- from 3rd Floor</t>
  </si>
  <si>
    <t>Mr. Vinod Sutar - 9920366940</t>
  </si>
  <si>
    <t>KDMP/NRV/BP/KV/2017-18/10</t>
  </si>
  <si>
    <t>Approved Floor plan No.  
A Wing</t>
  </si>
  <si>
    <t>Wing A = Gr/St + 1st to 21st Floor</t>
  </si>
  <si>
    <t>Vedant Millenia Happiness Phase II</t>
  </si>
  <si>
    <t>Survey No</t>
  </si>
  <si>
    <t>Name of the builder</t>
  </si>
  <si>
    <t>Mr. Mohan Hardasmal Tharwani</t>
  </si>
  <si>
    <t>Wing A</t>
  </si>
  <si>
    <t>3BHK</t>
  </si>
  <si>
    <t>2nd Floor for Residential</t>
  </si>
  <si>
    <t>1st Floor for Residential &amp; Double Height</t>
  </si>
  <si>
    <t>3rd, 5th, 7th, 9th, 11th, 13th, 15th, 17th, 19th &amp; 21st Floor for Residential</t>
  </si>
  <si>
    <t>Total</t>
  </si>
  <si>
    <t>4th, 6th, 10th, 12th, 14th, 16th &amp; 20th Floor for Residential</t>
  </si>
  <si>
    <t>5th &amp; 13th Floor (Part Refuge Area)</t>
  </si>
  <si>
    <t>We have updated approved plan &amp; C.C of A Wing on (15/02/2022).</t>
  </si>
  <si>
    <t xml:space="preserve">1. Vitrified tiles flooring 2. Granite Kitchen Platform 3. Decorative
Enternace etc.
</t>
  </si>
  <si>
    <t>Location Link</t>
  </si>
  <si>
    <t>KDMC/TPD/CC/KD/341
Approved upto : Wing A = Gr/St + 1st to 21st Floor</t>
  </si>
  <si>
    <t>On Site, we meet Miss. Leena - 8550998841</t>
  </si>
  <si>
    <t>We have updated OC from Rera for Wing A (On 15/05/2023).</t>
  </si>
  <si>
    <t>3 Wings</t>
  </si>
  <si>
    <t>Wing B = Gr/St + 1st to 25th Floor</t>
  </si>
  <si>
    <t>Wing C = Gr/St + 1st to 25th Floor</t>
  </si>
  <si>
    <t xml:space="preserve">Layout Approval No. 
</t>
  </si>
  <si>
    <t xml:space="preserve">Approved Floor plan No.  
B &amp; C Wing </t>
  </si>
  <si>
    <t>KDMC/TPD/BP/KD/2017-18/10/305</t>
  </si>
  <si>
    <t xml:space="preserve">Valid Up to: Building No. B = Gr/St + 1st to 25th Floor
                    Building No. C = Gr/St + 1st to 15th Floor
                    </t>
  </si>
  <si>
    <t xml:space="preserve">Valid Up to:    Building No. A = Gr/St + 1st to 21st Floor
                    </t>
  </si>
  <si>
    <t>3rd, 5th, 7th, 9th, 11th, 15th, 17th, 19th, 21st &amp; 25th Floor</t>
  </si>
  <si>
    <t xml:space="preserve"> 4th, 6th, 10th, 12th, 14th, 16th, 20th, 22nd &amp; 24th Floor</t>
  </si>
  <si>
    <t>13th &amp; 23rd Floor (Part Refuge Area)</t>
  </si>
  <si>
    <t>Wing C</t>
  </si>
  <si>
    <t xml:space="preserve">
(Sale &amp; Mhada)</t>
  </si>
  <si>
    <t>Society Office</t>
  </si>
  <si>
    <t>3rd &amp; 5th Floor</t>
  </si>
  <si>
    <t>1RK</t>
  </si>
  <si>
    <t>Residential Area Details : Flats</t>
  </si>
  <si>
    <t>Layout Plan:</t>
  </si>
  <si>
    <t>60 Years after completion</t>
  </si>
  <si>
    <t>Mangesh Laxman Bapardekar</t>
  </si>
  <si>
    <t xml:space="preserve">A, B, C &amp; D Wing </t>
  </si>
  <si>
    <t>A Wing =  P51700018689
B Wing = P51700030699
C Wing = P51700050205
D Wing = P51700055377</t>
  </si>
  <si>
    <t>Latitude &amp; Longitude</t>
  </si>
  <si>
    <t>https://maps.app.goo.gl/oSvbHVGhCt43QuXH9</t>
  </si>
  <si>
    <t>19.3035118,73.2237397</t>
  </si>
  <si>
    <t>15 M.W. D.P. Road</t>
  </si>
  <si>
    <t>Other Plot</t>
  </si>
  <si>
    <t>30 M.W. D.P. Road</t>
  </si>
  <si>
    <t>Club House</t>
  </si>
  <si>
    <t>KDMCC/RB/2025/APL/00157</t>
  </si>
  <si>
    <t>For Wing A</t>
  </si>
  <si>
    <t>For Wing B, C &amp; D</t>
  </si>
  <si>
    <t xml:space="preserve">Commencement Certificate No.
Valid Up to: </t>
  </si>
  <si>
    <t>Wing B = Gr/St + 1st to 25th Floor
Wing C = Gr/St + 1st to 21st Floor
Wing D = Gr/St + 1st to 3rd Floor</t>
  </si>
  <si>
    <t>As per RERA = A Wing = Completed
                          B Wing = 31/08/2025
                          C Wing = 31/12/2027
                          D Wing = 31/07/2028</t>
  </si>
  <si>
    <t>Wing D = Gr/St + 1st to 3rd Floor</t>
  </si>
  <si>
    <t>Ground Floor for Meter Room &amp; Parking</t>
  </si>
  <si>
    <t>-</t>
  </si>
  <si>
    <t>Utility</t>
  </si>
  <si>
    <t>1.6*0.6</t>
  </si>
  <si>
    <t>4th, 6th, 10th, 12th, 14th, 16th &amp; 20th Floor</t>
  </si>
  <si>
    <t>7th, 9th, 11th, 15th, 17th, 19th &amp; 21st Floor</t>
  </si>
  <si>
    <t>Wing D</t>
  </si>
  <si>
    <t>2.5BHK</t>
  </si>
  <si>
    <t>3rd Floor</t>
  </si>
  <si>
    <t>Terrace Area</t>
  </si>
  <si>
    <t>2nd Floor for Residential (Part Terrace Area)</t>
  </si>
  <si>
    <t>Terrace Below</t>
  </si>
  <si>
    <t>Shop No. (Sale Plan)</t>
  </si>
  <si>
    <t>Carpet area</t>
  </si>
  <si>
    <t>Attached Loft area</t>
  </si>
  <si>
    <t>Saleable area Loading :</t>
  </si>
  <si>
    <t>Shop</t>
  </si>
  <si>
    <t>1st Floor</t>
  </si>
  <si>
    <r>
      <t xml:space="preserve">Shop No.
</t>
    </r>
    <r>
      <rPr>
        <b/>
        <sz val="11"/>
        <rFont val="Times New Roman"/>
        <family val="1"/>
      </rPr>
      <t>(Approved Plan)</t>
    </r>
  </si>
  <si>
    <t>Shop
(Duplex with 1st Floor)</t>
  </si>
  <si>
    <t>Ground Floor for Commercial &amp; Parking</t>
  </si>
  <si>
    <t>Office</t>
  </si>
  <si>
    <t>Wing C = Gr/St + 1st to 21st Floor</t>
  </si>
  <si>
    <t>Commercial Area Details :</t>
  </si>
  <si>
    <t>Grand Total</t>
  </si>
  <si>
    <t>221, Hissa No.3/1, 221, Hissa No.3/2 (P), 221, Hissa No. 4(P), Survey No.221, Hissa No.6/A(P)</t>
  </si>
  <si>
    <t>Wing D = Gr/St + 1st to 25th Floor</t>
  </si>
  <si>
    <t>We have updated revised approved floor plans &amp; CC for Wing B, C &amp; D (On 26/09/2025).</t>
  </si>
  <si>
    <t>As per latest approved floor plans (dtd.29/04/2025), In wing C, 1st, 2nd (Pt), 3rd &amp; 5th floor flats are handed over to Mhada.</t>
  </si>
  <si>
    <t>Pooja Kawale</t>
  </si>
  <si>
    <t xml:space="preserve">Approved area of building (Sq.Mt)
Wing A to D </t>
  </si>
  <si>
    <t>Recommended rate of the Shop Per Sq. Ft. (on Saleable area)</t>
  </si>
  <si>
    <t>Recommended rate of the Office Per Sq. Ft. (on Saleable area)</t>
  </si>
  <si>
    <t>We considered Gross carpet area = Net carpet + Balcony + Enclose balcony + C.B Area + Utiltiy Area + AP Area.</t>
  </si>
  <si>
    <t xml:space="preserve">Approved Floor plan No.
Wing B, C &amp; D  </t>
  </si>
  <si>
    <t>Mhada</t>
  </si>
  <si>
    <t>Sale</t>
  </si>
  <si>
    <t>Mhada Flats = 22 , Sale Flats = 424, Shops = 16, Offices = 8</t>
  </si>
  <si>
    <t>Site Person - Contact Details ( Name &amp; Contact No.)</t>
  </si>
  <si>
    <t>Mr. Aniket Jadhav - 8550998822</t>
  </si>
  <si>
    <t>We considered Saleable area of Flat as per Builder area Sheet For Wing A.</t>
  </si>
  <si>
    <t>We have considered Saleable area of Flats as per our Calculation For e.g 50%Loading For Wing B, C &amp; D</t>
  </si>
  <si>
    <t xml:space="preserve">Wing A = All work Completed. OC Received.
Wing B, C &amp; D  = Construction work is in process at the time of Visit. 
</t>
  </si>
  <si>
    <t>We have updated revised approved floor plans &amp; C.C for B &amp; C Wing (on 13/02/2024).</t>
  </si>
  <si>
    <t xml:space="preserve">Office No. 1031, Wing J, Akshar Business Park, Plot No. 03 Sector 25, Near APMC Market, Vashi, 
Navi Mumbai, Maharashtra 400703 TEL: 022-46090378/79/80                                                                                                     Email : vsjcapf@gmail.com. Web site : www.vsjadon.com
</t>
  </si>
  <si>
    <t xml:space="preserve">As per RERA, completion period of project Vedant Millenia Happiness Phase II (Wing B) is expired on 31/08/2025 but still project is under construction.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</si>
</sst>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  <numFmt numFmtId="169" formatCode="0.000"/>
    <numFmt numFmtId="170" formatCode="0.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26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0" fontId="12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5" fillId="0" borderId="0" xfId="2" applyFont="1"/>
    <xf numFmtId="0" fontId="15" fillId="3" borderId="0" xfId="2" applyFont="1" applyFill="1"/>
    <xf numFmtId="1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70" fontId="7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8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center" wrapText="1"/>
      <protection locked="0"/>
    </xf>
    <xf numFmtId="9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9" fontId="13" fillId="0" borderId="18" xfId="10" applyFont="1" applyFill="1" applyBorder="1" applyAlignment="1" applyProtection="1">
      <alignment horizontal="center" vertical="top" wrapText="1"/>
      <protection locked="0"/>
    </xf>
    <xf numFmtId="1" fontId="6" fillId="0" borderId="1" xfId="2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left" vertical="top"/>
      <protection locked="0"/>
    </xf>
    <xf numFmtId="0" fontId="7" fillId="4" borderId="0" xfId="1" applyFont="1" applyFill="1"/>
    <xf numFmtId="0" fontId="12" fillId="4" borderId="1" xfId="1" applyFont="1" applyFill="1" applyBorder="1" applyAlignment="1" applyProtection="1">
      <alignment vertical="top"/>
      <protection locked="0"/>
    </xf>
    <xf numFmtId="0" fontId="12" fillId="4" borderId="0" xfId="1" applyFont="1" applyFill="1"/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0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4" borderId="1" xfId="1" applyNumberFormat="1" applyFont="1" applyFill="1" applyBorder="1" applyAlignment="1" applyProtection="1">
      <alignment horizontal="left" vertical="top" wrapText="1"/>
      <protection locked="0"/>
    </xf>
    <xf numFmtId="0" fontId="12" fillId="4" borderId="1" xfId="1" applyFont="1" applyFill="1" applyBorder="1" applyAlignment="1" applyProtection="1">
      <alignment horizontal="left" vertical="top" wrapText="1"/>
      <protection locked="0"/>
    </xf>
    <xf numFmtId="0" fontId="12" fillId="4" borderId="1" xfId="1" applyFont="1" applyFill="1" applyBorder="1" applyAlignment="1" applyProtection="1">
      <alignment horizontal="left" vertical="top"/>
      <protection locked="0"/>
    </xf>
    <xf numFmtId="0" fontId="12" fillId="4" borderId="8" xfId="1" applyFont="1" applyFill="1" applyBorder="1" applyAlignment="1" applyProtection="1">
      <alignment horizontal="left" vertical="top" wrapText="1"/>
      <protection locked="0"/>
    </xf>
    <xf numFmtId="0" fontId="12" fillId="4" borderId="23" xfId="1" applyFont="1" applyFill="1" applyBorder="1" applyAlignment="1" applyProtection="1">
      <alignment horizontal="left" vertical="top" wrapText="1"/>
      <protection locked="0"/>
    </xf>
    <xf numFmtId="0" fontId="12" fillId="4" borderId="9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3" fillId="4" borderId="8" xfId="1" applyFont="1" applyFill="1" applyBorder="1" applyAlignment="1" applyProtection="1">
      <alignment horizontal="center" vertical="top" wrapText="1"/>
      <protection locked="0"/>
    </xf>
    <xf numFmtId="0" fontId="13" fillId="4" borderId="23" xfId="1" applyFont="1" applyFill="1" applyBorder="1" applyAlignment="1" applyProtection="1">
      <alignment horizontal="center" vertical="top" wrapText="1"/>
      <protection locked="0"/>
    </xf>
    <xf numFmtId="0" fontId="13" fillId="4" borderId="9" xfId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2" borderId="1" xfId="8" applyNumberFormat="1" applyFont="1" applyFill="1" applyBorder="1" applyAlignment="1" applyProtection="1">
      <alignment horizontal="left" vertical="top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8" fontId="12" fillId="2" borderId="1" xfId="8" applyNumberFormat="1" applyFont="1" applyFill="1" applyBorder="1" applyAlignment="1" applyProtection="1">
      <alignment horizontal="right" vertical="top"/>
      <protection locked="0"/>
    </xf>
    <xf numFmtId="1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8" fillId="2" borderId="1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center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24" fillId="2" borderId="1" xfId="9" applyFill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/>
      <protection locked="0"/>
    </xf>
    <xf numFmtId="0" fontId="7" fillId="2" borderId="8" xfId="1" applyFont="1" applyFill="1" applyBorder="1" applyAlignment="1" applyProtection="1">
      <alignment horizontal="left" vertical="center"/>
      <protection locked="0"/>
    </xf>
    <xf numFmtId="0" fontId="7" fillId="2" borderId="23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3" fillId="0" borderId="35" xfId="1" applyFont="1" applyBorder="1" applyAlignment="1" applyProtection="1">
      <alignment horizontal="center" vertical="center"/>
      <protection locked="0"/>
    </xf>
    <xf numFmtId="9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13" fillId="0" borderId="37" xfId="1" applyFont="1" applyBorder="1" applyAlignment="1" applyProtection="1">
      <alignment horizontal="center" vertical="center" wrapText="1"/>
      <protection locked="0"/>
    </xf>
    <xf numFmtId="0" fontId="13" fillId="0" borderId="36" xfId="1" applyFont="1" applyBorder="1" applyAlignment="1" applyProtection="1">
      <alignment horizontal="center" vertical="center" wrapText="1"/>
      <protection locked="0"/>
    </xf>
    <xf numFmtId="0" fontId="13" fillId="0" borderId="38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6" fillId="2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39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0" fontId="8" fillId="0" borderId="40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center"/>
      <protection locked="0"/>
    </xf>
    <xf numFmtId="0" fontId="13" fillId="0" borderId="2" xfId="1" applyFont="1" applyBorder="1" applyAlignment="1" applyProtection="1">
      <alignment horizontal="left" vertical="center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3" fillId="0" borderId="31" xfId="1" applyFont="1" applyBorder="1" applyAlignment="1" applyProtection="1">
      <alignment horizontal="left" vertical="center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18" xfId="1" applyFont="1" applyBorder="1" applyAlignment="1" applyProtection="1">
      <alignment horizontal="center" vertical="top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18" xfId="1" applyNumberFormat="1" applyFont="1" applyBorder="1" applyAlignment="1" applyProtection="1">
      <alignment horizontal="center" vertical="top" wrapText="1"/>
      <protection locked="0"/>
    </xf>
    <xf numFmtId="1" fontId="26" fillId="0" borderId="2" xfId="1" applyNumberFormat="1" applyFont="1" applyBorder="1" applyAlignment="1" applyProtection="1">
      <alignment horizontal="center" vertical="top" wrapText="1"/>
      <protection locked="0"/>
    </xf>
    <xf numFmtId="1" fontId="26" fillId="0" borderId="18" xfId="1" applyNumberFormat="1" applyFont="1" applyBorder="1" applyAlignment="1" applyProtection="1">
      <alignment horizontal="center" vertical="top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3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25" fillId="0" borderId="8" xfId="0" applyNumberFormat="1" applyFont="1" applyBorder="1" applyAlignment="1" applyProtection="1">
      <alignment vertical="top" wrapText="1"/>
      <protection locked="0"/>
    </xf>
    <xf numFmtId="1" fontId="25" fillId="0" borderId="23" xfId="0" applyNumberFormat="1" applyFont="1" applyBorder="1" applyAlignment="1" applyProtection="1">
      <alignment vertical="top" wrapText="1"/>
      <protection locked="0"/>
    </xf>
    <xf numFmtId="1" fontId="25" fillId="0" borderId="9" xfId="0" applyNumberFormat="1" applyFont="1" applyBorder="1" applyAlignment="1" applyProtection="1">
      <alignment vertical="top" wrapText="1"/>
      <protection locked="0"/>
    </xf>
    <xf numFmtId="0" fontId="13" fillId="4" borderId="1" xfId="1" applyFont="1" applyFill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8" fontId="7" fillId="2" borderId="1" xfId="8" applyNumberFormat="1" applyFont="1" applyFill="1" applyBorder="1" applyAlignment="1" applyProtection="1">
      <alignment horizontal="left" vertical="top"/>
      <protection locked="0"/>
    </xf>
  </cellXfs>
  <cellStyles count="11">
    <cellStyle name="Comma" xfId="8" builtinId="3"/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358588</xdr:colOff>
      <xdr:row>433</xdr:row>
      <xdr:rowOff>145677</xdr:rowOff>
    </xdr:from>
    <xdr:to>
      <xdr:col>6</xdr:col>
      <xdr:colOff>495441</xdr:colOff>
      <xdr:row>475</xdr:row>
      <xdr:rowOff>80994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722866" y="77539189"/>
          <a:ext cx="8406965" cy="460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917555</xdr:colOff>
      <xdr:row>447</xdr:row>
      <xdr:rowOff>29323</xdr:rowOff>
    </xdr:from>
    <xdr:to>
      <xdr:col>5</xdr:col>
      <xdr:colOff>673098</xdr:colOff>
      <xdr:row>455</xdr:row>
      <xdr:rowOff>37442</xdr:rowOff>
    </xdr:to>
    <xdr:sp macro="" textlink="">
      <xdr:nvSpPr>
        <xdr:cNvPr id="32" name="Rectangle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3517320" y="78347235"/>
          <a:ext cx="1604513" cy="16217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1003819</xdr:colOff>
      <xdr:row>455</xdr:row>
      <xdr:rowOff>106453</xdr:rowOff>
    </xdr:from>
    <xdr:to>
      <xdr:col>5</xdr:col>
      <xdr:colOff>742109</xdr:colOff>
      <xdr:row>463</xdr:row>
      <xdr:rowOff>11055</xdr:rowOff>
    </xdr:to>
    <xdr:sp macro="" textlink="">
      <xdr:nvSpPr>
        <xdr:cNvPr id="33" name="Rectangle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3603584" y="80038012"/>
          <a:ext cx="1587260" cy="151824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133312</xdr:colOff>
      <xdr:row>463</xdr:row>
      <xdr:rowOff>45561</xdr:rowOff>
    </xdr:from>
    <xdr:to>
      <xdr:col>5</xdr:col>
      <xdr:colOff>448811</xdr:colOff>
      <xdr:row>468</xdr:row>
      <xdr:rowOff>175718</xdr:rowOff>
    </xdr:to>
    <xdr:sp macro="" textlink="">
      <xdr:nvSpPr>
        <xdr:cNvPr id="34" name="Rectangle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3741606" y="81590767"/>
          <a:ext cx="1155940" cy="113868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163166</xdr:colOff>
      <xdr:row>464</xdr:row>
      <xdr:rowOff>92108</xdr:rowOff>
    </xdr:from>
    <xdr:to>
      <xdr:col>4</xdr:col>
      <xdr:colOff>185070</xdr:colOff>
      <xdr:row>466</xdr:row>
      <xdr:rowOff>59709</xdr:rowOff>
    </xdr:to>
    <xdr:sp macro="" textlink="">
      <xdr:nvSpPr>
        <xdr:cNvPr id="35" name="Rectangle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2762931" y="81839020"/>
          <a:ext cx="1030433" cy="37101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800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3</xdr:col>
      <xdr:colOff>29416</xdr:colOff>
      <xdr:row>457</xdr:row>
      <xdr:rowOff>161213</xdr:rowOff>
    </xdr:from>
    <xdr:to>
      <xdr:col>3</xdr:col>
      <xdr:colOff>1003819</xdr:colOff>
      <xdr:row>459</xdr:row>
      <xdr:rowOff>130496</xdr:rowOff>
    </xdr:to>
    <xdr:sp macro="" textlink="">
      <xdr:nvSpPr>
        <xdr:cNvPr id="36" name="Rectangle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2629181" y="80496184"/>
          <a:ext cx="974403" cy="37269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800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3</xdr:col>
      <xdr:colOff>80096</xdr:colOff>
      <xdr:row>449</xdr:row>
      <xdr:rowOff>67462</xdr:rowOff>
    </xdr:from>
    <xdr:to>
      <xdr:col>4</xdr:col>
      <xdr:colOff>26</xdr:colOff>
      <xdr:row>451</xdr:row>
      <xdr:rowOff>33383</xdr:rowOff>
    </xdr:to>
    <xdr:sp macro="" textlink="">
      <xdr:nvSpPr>
        <xdr:cNvPr id="37" name="Rectangle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2679861" y="78788786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 editAs="oneCell">
    <xdr:from>
      <xdr:col>8</xdr:col>
      <xdr:colOff>209550</xdr:colOff>
      <xdr:row>53</xdr:row>
      <xdr:rowOff>95250</xdr:rowOff>
    </xdr:from>
    <xdr:to>
      <xdr:col>10</xdr:col>
      <xdr:colOff>350250</xdr:colOff>
      <xdr:row>57</xdr:row>
      <xdr:rowOff>361306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4850" y="13487400"/>
          <a:ext cx="2160000" cy="14185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508000</xdr:colOff>
      <xdr:row>226</xdr:row>
      <xdr:rowOff>12700</xdr:rowOff>
    </xdr:from>
    <xdr:to>
      <xdr:col>10</xdr:col>
      <xdr:colOff>288700</xdr:colOff>
      <xdr:row>233</xdr:row>
      <xdr:rowOff>124493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94575" y="47894875"/>
          <a:ext cx="1704750" cy="15119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85725</xdr:colOff>
      <xdr:row>283</xdr:row>
      <xdr:rowOff>190501</xdr:rowOff>
    </xdr:from>
    <xdr:to>
      <xdr:col>9</xdr:col>
      <xdr:colOff>628425</xdr:colOff>
      <xdr:row>291</xdr:row>
      <xdr:rowOff>75841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72300" y="59474101"/>
          <a:ext cx="1704750" cy="14855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209550</xdr:colOff>
      <xdr:row>293</xdr:row>
      <xdr:rowOff>3176</xdr:rowOff>
    </xdr:from>
    <xdr:to>
      <xdr:col>9</xdr:col>
      <xdr:colOff>752250</xdr:colOff>
      <xdr:row>300</xdr:row>
      <xdr:rowOff>109009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96125" y="61287026"/>
          <a:ext cx="1704750" cy="15060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527050</xdr:colOff>
      <xdr:row>236</xdr:row>
      <xdr:rowOff>158750</xdr:rowOff>
    </xdr:from>
    <xdr:to>
      <xdr:col>10</xdr:col>
      <xdr:colOff>307750</xdr:colOff>
      <xdr:row>244</xdr:row>
      <xdr:rowOff>53846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72350" y="48596550"/>
          <a:ext cx="1800000" cy="14698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692150</xdr:colOff>
      <xdr:row>245</xdr:row>
      <xdr:rowOff>190500</xdr:rowOff>
    </xdr:from>
    <xdr:to>
      <xdr:col>10</xdr:col>
      <xdr:colOff>472850</xdr:colOff>
      <xdr:row>253</xdr:row>
      <xdr:rowOff>94051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37450" y="50399950"/>
          <a:ext cx="1800000" cy="14783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806450</xdr:colOff>
      <xdr:row>302</xdr:row>
      <xdr:rowOff>146050</xdr:rowOff>
    </xdr:from>
    <xdr:to>
      <xdr:col>10</xdr:col>
      <xdr:colOff>587150</xdr:colOff>
      <xdr:row>310</xdr:row>
      <xdr:rowOff>55786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51750" y="54832250"/>
          <a:ext cx="1800000" cy="14845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603250</xdr:colOff>
      <xdr:row>255</xdr:row>
      <xdr:rowOff>82550</xdr:rowOff>
    </xdr:from>
    <xdr:to>
      <xdr:col>10</xdr:col>
      <xdr:colOff>383950</xdr:colOff>
      <xdr:row>262</xdr:row>
      <xdr:rowOff>173858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8550" y="52260500"/>
          <a:ext cx="1800000" cy="14692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590550</xdr:colOff>
      <xdr:row>319</xdr:row>
      <xdr:rowOff>190500</xdr:rowOff>
    </xdr:from>
    <xdr:to>
      <xdr:col>10</xdr:col>
      <xdr:colOff>371250</xdr:colOff>
      <xdr:row>327</xdr:row>
      <xdr:rowOff>42919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35850" y="58223150"/>
          <a:ext cx="1800000" cy="14272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425450</xdr:colOff>
      <xdr:row>264</xdr:row>
      <xdr:rowOff>177800</xdr:rowOff>
    </xdr:from>
    <xdr:to>
      <xdr:col>10</xdr:col>
      <xdr:colOff>206150</xdr:colOff>
      <xdr:row>271</xdr:row>
      <xdr:rowOff>195152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70750" y="47383700"/>
          <a:ext cx="1800000" cy="13953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501650</xdr:colOff>
      <xdr:row>329</xdr:row>
      <xdr:rowOff>69850</xdr:rowOff>
    </xdr:from>
    <xdr:to>
      <xdr:col>10</xdr:col>
      <xdr:colOff>282350</xdr:colOff>
      <xdr:row>336</xdr:row>
      <xdr:rowOff>63745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46950" y="60071000"/>
          <a:ext cx="1800000" cy="13718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225425</xdr:colOff>
      <xdr:row>272</xdr:row>
      <xdr:rowOff>53975</xdr:rowOff>
    </xdr:from>
    <xdr:to>
      <xdr:col>10</xdr:col>
      <xdr:colOff>6125</xdr:colOff>
      <xdr:row>279</xdr:row>
      <xdr:rowOff>85877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12000" y="57137300"/>
          <a:ext cx="1704750" cy="14320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454025</xdr:colOff>
      <xdr:row>337</xdr:row>
      <xdr:rowOff>82550</xdr:rowOff>
    </xdr:from>
    <xdr:to>
      <xdr:col>10</xdr:col>
      <xdr:colOff>266475</xdr:colOff>
      <xdr:row>344</xdr:row>
      <xdr:rowOff>167865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40600" y="70167500"/>
          <a:ext cx="1736500" cy="14854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368300</xdr:colOff>
      <xdr:row>348</xdr:row>
      <xdr:rowOff>139700</xdr:rowOff>
    </xdr:from>
    <xdr:to>
      <xdr:col>9</xdr:col>
      <xdr:colOff>589100</xdr:colOff>
      <xdr:row>354</xdr:row>
      <xdr:rowOff>42212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3600" y="63881000"/>
          <a:ext cx="1440000" cy="108361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400050</xdr:colOff>
      <xdr:row>355</xdr:row>
      <xdr:rowOff>127000</xdr:rowOff>
    </xdr:from>
    <xdr:to>
      <xdr:col>9</xdr:col>
      <xdr:colOff>620850</xdr:colOff>
      <xdr:row>361</xdr:row>
      <xdr:rowOff>13486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45350" y="65246250"/>
          <a:ext cx="1440000" cy="10675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374650</xdr:colOff>
      <xdr:row>166</xdr:row>
      <xdr:rowOff>177800</xdr:rowOff>
    </xdr:from>
    <xdr:to>
      <xdr:col>13</xdr:col>
      <xdr:colOff>583975</xdr:colOff>
      <xdr:row>180</xdr:row>
      <xdr:rowOff>20311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90125" y="35229800"/>
          <a:ext cx="1704750" cy="30714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965200</xdr:colOff>
      <xdr:row>184</xdr:row>
      <xdr:rowOff>107950</xdr:rowOff>
    </xdr:from>
    <xdr:to>
      <xdr:col>11</xdr:col>
      <xdr:colOff>38355</xdr:colOff>
      <xdr:row>194</xdr:row>
      <xdr:rowOff>244769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10500" y="39306500"/>
          <a:ext cx="1829055" cy="21053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254000</xdr:colOff>
      <xdr:row>12</xdr:row>
      <xdr:rowOff>666751</xdr:rowOff>
    </xdr:from>
    <xdr:to>
      <xdr:col>13</xdr:col>
      <xdr:colOff>256000</xdr:colOff>
      <xdr:row>16</xdr:row>
      <xdr:rowOff>43508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99300" y="3448051"/>
          <a:ext cx="4320000" cy="14468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222250</xdr:colOff>
      <xdr:row>390</xdr:row>
      <xdr:rowOff>69850</xdr:rowOff>
    </xdr:from>
    <xdr:to>
      <xdr:col>16</xdr:col>
      <xdr:colOff>170809</xdr:colOff>
      <xdr:row>428</xdr:row>
      <xdr:rowOff>12229</xdr:rowOff>
    </xdr:to>
    <xdr:grpSp>
      <xdr:nvGrpSpPr>
        <xdr:cNvPr id="98" name="Group 97">
          <a:extLst>
            <a:ext uri="{FF2B5EF4-FFF2-40B4-BE49-F238E27FC236}">
              <a16:creationId xmlns="" xmlns:a16="http://schemas.microsoft.com/office/drawing/2014/main" id="{0657452A-CFF2-4A40-AD66-801FAD165947}"/>
            </a:ext>
          </a:extLst>
        </xdr:cNvPr>
        <xdr:cNvGrpSpPr/>
      </xdr:nvGrpSpPr>
      <xdr:grpSpPr>
        <a:xfrm>
          <a:off x="7108825" y="81384775"/>
          <a:ext cx="6349359" cy="7533804"/>
          <a:chOff x="249558" y="805098"/>
          <a:chExt cx="6368409" cy="7533804"/>
        </a:xfrm>
      </xdr:grpSpPr>
      <xdr:pic>
        <xdr:nvPicPr>
          <xdr:cNvPr id="99" name="Picture 98">
            <a:extLst>
              <a:ext uri="{FF2B5EF4-FFF2-40B4-BE49-F238E27FC236}">
                <a16:creationId xmlns="" xmlns:a16="http://schemas.microsoft.com/office/drawing/2014/main" id="{A0991B9B-0FAB-4A18-A0CF-B767AEEA41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4446" y="805098"/>
            <a:ext cx="2292609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0" name="Picture 99">
            <a:extLst>
              <a:ext uri="{FF2B5EF4-FFF2-40B4-BE49-F238E27FC236}">
                <a16:creationId xmlns="" xmlns:a16="http://schemas.microsoft.com/office/drawing/2014/main" id="{48F7A378-4843-41B1-8013-5A33F5DC98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9663" y="805098"/>
            <a:ext cx="2292609" cy="30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1" name="Picture 100">
            <a:extLst>
              <a:ext uri="{FF2B5EF4-FFF2-40B4-BE49-F238E27FC236}">
                <a16:creationId xmlns="" xmlns:a16="http://schemas.microsoft.com/office/drawing/2014/main" id="{B7AD0D5A-ED2A-4AE2-A080-02C7058156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9558" y="40320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2" name="Picture 101">
            <a:extLst>
              <a:ext uri="{FF2B5EF4-FFF2-40B4-BE49-F238E27FC236}">
                <a16:creationId xmlns="" xmlns:a16="http://schemas.microsoft.com/office/drawing/2014/main" id="{D32641AC-F4A4-4769-AFA6-819F31D2D5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0142" y="40320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3" name="Picture 102">
            <a:extLst>
              <a:ext uri="{FF2B5EF4-FFF2-40B4-BE49-F238E27FC236}">
                <a16:creationId xmlns="" xmlns:a16="http://schemas.microsoft.com/office/drawing/2014/main" id="{F1CE62E0-12F6-4FE8-9BBA-B05DDFE4D5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0252" y="4032000"/>
            <a:ext cx="287771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4" name="Picture 103">
            <a:extLst>
              <a:ext uri="{FF2B5EF4-FFF2-40B4-BE49-F238E27FC236}">
                <a16:creationId xmlns="" xmlns:a16="http://schemas.microsoft.com/office/drawing/2014/main" id="{E9F92B80-A2A5-477C-A8B8-2DD7C4DAC8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3602" y="6358902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5" name="Picture 104">
            <a:extLst>
              <a:ext uri="{FF2B5EF4-FFF2-40B4-BE49-F238E27FC236}">
                <a16:creationId xmlns="" xmlns:a16="http://schemas.microsoft.com/office/drawing/2014/main" id="{F390C0F4-D57C-4BDD-8D64-7C89DF3FEE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419663" y="6358902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6" name="TextBox 102">
            <a:extLst>
              <a:ext uri="{FF2B5EF4-FFF2-40B4-BE49-F238E27FC236}">
                <a16:creationId xmlns="" xmlns:a16="http://schemas.microsoft.com/office/drawing/2014/main" id="{3FFBDE7D-C98A-430B-858A-7F45C5D89F25}"/>
              </a:ext>
            </a:extLst>
          </xdr:cNvPr>
          <xdr:cNvSpPr txBox="1"/>
        </xdr:nvSpPr>
        <xdr:spPr>
          <a:xfrm>
            <a:off x="2278073" y="942273"/>
            <a:ext cx="314510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</a:t>
            </a:r>
            <a:endParaRPr lang="en-IN" b="1"/>
          </a:p>
        </xdr:txBody>
      </xdr:sp>
      <xdr:sp macro="" textlink="">
        <xdr:nvSpPr>
          <xdr:cNvPr id="107" name="TextBox 103">
            <a:extLst>
              <a:ext uri="{FF2B5EF4-FFF2-40B4-BE49-F238E27FC236}">
                <a16:creationId xmlns="" xmlns:a16="http://schemas.microsoft.com/office/drawing/2014/main" id="{1CD0A4E1-EAFA-4F2A-BD63-E448259D98EF}"/>
              </a:ext>
            </a:extLst>
          </xdr:cNvPr>
          <xdr:cNvSpPr txBox="1"/>
        </xdr:nvSpPr>
        <xdr:spPr>
          <a:xfrm>
            <a:off x="884446" y="805098"/>
            <a:ext cx="324128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  <xdr:sp macro="" textlink="">
        <xdr:nvSpPr>
          <xdr:cNvPr id="108" name="TextBox 104">
            <a:extLst>
              <a:ext uri="{FF2B5EF4-FFF2-40B4-BE49-F238E27FC236}">
                <a16:creationId xmlns="" xmlns:a16="http://schemas.microsoft.com/office/drawing/2014/main" id="{1502DF57-BF49-4A40-9063-B4C0A2DF28AD}"/>
              </a:ext>
            </a:extLst>
          </xdr:cNvPr>
          <xdr:cNvSpPr txBox="1"/>
        </xdr:nvSpPr>
        <xdr:spPr>
          <a:xfrm>
            <a:off x="4565967" y="989764"/>
            <a:ext cx="314510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C</a:t>
            </a:r>
            <a:endParaRPr lang="en-IN" b="1"/>
          </a:p>
        </xdr:txBody>
      </xdr:sp>
      <xdr:sp macro="" textlink="">
        <xdr:nvSpPr>
          <xdr:cNvPr id="109" name="TextBox 105">
            <a:extLst>
              <a:ext uri="{FF2B5EF4-FFF2-40B4-BE49-F238E27FC236}">
                <a16:creationId xmlns="" xmlns:a16="http://schemas.microsoft.com/office/drawing/2014/main" id="{66EA564E-6783-4E0D-920C-40C3FD549659}"/>
              </a:ext>
            </a:extLst>
          </xdr:cNvPr>
          <xdr:cNvSpPr txBox="1"/>
        </xdr:nvSpPr>
        <xdr:spPr>
          <a:xfrm>
            <a:off x="3262408" y="4061266"/>
            <a:ext cx="314510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C</a:t>
            </a:r>
            <a:endParaRPr lang="en-IN" b="1"/>
          </a:p>
        </xdr:txBody>
      </xdr:sp>
      <xdr:sp macro="" textlink="">
        <xdr:nvSpPr>
          <xdr:cNvPr id="110" name="TextBox 106">
            <a:extLst>
              <a:ext uri="{FF2B5EF4-FFF2-40B4-BE49-F238E27FC236}">
                <a16:creationId xmlns="" xmlns:a16="http://schemas.microsoft.com/office/drawing/2014/main" id="{62985A96-2AA5-4EF3-9FDB-A53F27DFD86E}"/>
              </a:ext>
            </a:extLst>
          </xdr:cNvPr>
          <xdr:cNvSpPr txBox="1"/>
        </xdr:nvSpPr>
        <xdr:spPr>
          <a:xfrm>
            <a:off x="291372" y="2823016"/>
            <a:ext cx="314510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11" name="TextBox 107">
            <a:extLst>
              <a:ext uri="{FF2B5EF4-FFF2-40B4-BE49-F238E27FC236}">
                <a16:creationId xmlns="" xmlns:a16="http://schemas.microsoft.com/office/drawing/2014/main" id="{962A8593-A6D5-454D-937C-E2B49E0BD5E7}"/>
              </a:ext>
            </a:extLst>
          </xdr:cNvPr>
          <xdr:cNvSpPr txBox="1"/>
        </xdr:nvSpPr>
        <xdr:spPr>
          <a:xfrm>
            <a:off x="269775" y="4597500"/>
            <a:ext cx="324128" cy="369332"/>
          </a:xfrm>
          <a:prstGeom prst="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</a:t>
            </a:r>
            <a:endParaRPr lang="en-IN" b="1"/>
          </a:p>
        </xdr:txBody>
      </xdr:sp>
    </xdr:grpSp>
    <xdr:clientData/>
  </xdr:twoCellAnchor>
  <xdr:twoCellAnchor>
    <xdr:from>
      <xdr:col>4</xdr:col>
      <xdr:colOff>65367</xdr:colOff>
      <xdr:row>439</xdr:row>
      <xdr:rowOff>114300</xdr:rowOff>
    </xdr:from>
    <xdr:to>
      <xdr:col>5</xdr:col>
      <xdr:colOff>685800</xdr:colOff>
      <xdr:row>447</xdr:row>
      <xdr:rowOff>19325</xdr:rowOff>
    </xdr:to>
    <xdr:sp macro="" textlink="">
      <xdr:nvSpPr>
        <xdr:cNvPr id="113" name="Rectangle 112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3583267" y="89941400"/>
          <a:ext cx="1439583" cy="14798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376517</xdr:colOff>
      <xdr:row>440</xdr:row>
      <xdr:rowOff>0</xdr:rowOff>
    </xdr:from>
    <xdr:to>
      <xdr:col>5</xdr:col>
      <xdr:colOff>467897</xdr:colOff>
      <xdr:row>441</xdr:row>
      <xdr:rowOff>177291</xdr:rowOff>
    </xdr:to>
    <xdr:sp macro="" textlink="">
      <xdr:nvSpPr>
        <xdr:cNvPr id="115" name="Rectangle 114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3894417" y="90023950"/>
          <a:ext cx="910530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Wing </a:t>
          </a:r>
        </a:p>
      </xdr:txBody>
    </xdr:sp>
    <xdr:clientData/>
  </xdr:twoCellAnchor>
  <xdr:twoCellAnchor editAs="oneCell">
    <xdr:from>
      <xdr:col>13</xdr:col>
      <xdr:colOff>63500</xdr:colOff>
      <xdr:row>282</xdr:row>
      <xdr:rowOff>95250</xdr:rowOff>
    </xdr:from>
    <xdr:to>
      <xdr:col>18</xdr:col>
      <xdr:colOff>34475</xdr:colOff>
      <xdr:row>300</xdr:row>
      <xdr:rowOff>155125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74400" y="59178825"/>
          <a:ext cx="3466650" cy="3660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241300</xdr:colOff>
      <xdr:row>497</xdr:row>
      <xdr:rowOff>163361</xdr:rowOff>
    </xdr:from>
    <xdr:to>
      <xdr:col>6</xdr:col>
      <xdr:colOff>565200</xdr:colOff>
      <xdr:row>514</xdr:row>
      <xdr:rowOff>70706</xdr:rowOff>
    </xdr:to>
    <xdr:pic>
      <xdr:nvPicPr>
        <xdr:cNvPr id="117" name="Picture 116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1400" y="101407761"/>
          <a:ext cx="4680000" cy="32537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254000</xdr:colOff>
      <xdr:row>477</xdr:row>
      <xdr:rowOff>63500</xdr:rowOff>
    </xdr:from>
    <xdr:to>
      <xdr:col>6</xdr:col>
      <xdr:colOff>577900</xdr:colOff>
      <xdr:row>497</xdr:row>
      <xdr:rowOff>86500</xdr:rowOff>
    </xdr:to>
    <xdr:pic>
      <xdr:nvPicPr>
        <xdr:cNvPr id="118" name="Picture 117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4100" y="97370900"/>
          <a:ext cx="468000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774700</xdr:colOff>
      <xdr:row>500</xdr:row>
      <xdr:rowOff>4610</xdr:rowOff>
    </xdr:from>
    <xdr:to>
      <xdr:col>4</xdr:col>
      <xdr:colOff>698500</xdr:colOff>
      <xdr:row>508</xdr:row>
      <xdr:rowOff>120649</xdr:rowOff>
    </xdr:to>
    <xdr:sp macro="" textlink="">
      <xdr:nvSpPr>
        <xdr:cNvPr id="119" name="Rectangle 118"/>
        <xdr:cNvSpPr/>
      </xdr:nvSpPr>
      <xdr:spPr>
        <a:xfrm>
          <a:off x="3302000" y="101839560"/>
          <a:ext cx="914400" cy="169083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0</xdr:col>
      <xdr:colOff>104775</xdr:colOff>
      <xdr:row>392</xdr:row>
      <xdr:rowOff>9525</xdr:rowOff>
    </xdr:from>
    <xdr:to>
      <xdr:col>7</xdr:col>
      <xdr:colOff>1093951</xdr:colOff>
      <xdr:row>429</xdr:row>
      <xdr:rowOff>25815</xdr:rowOff>
    </xdr:to>
    <xdr:grpSp>
      <xdr:nvGrpSpPr>
        <xdr:cNvPr id="2" name="Group 1"/>
        <xdr:cNvGrpSpPr/>
      </xdr:nvGrpSpPr>
      <xdr:grpSpPr>
        <a:xfrm>
          <a:off x="104775" y="81724500"/>
          <a:ext cx="6685126" cy="7407690"/>
          <a:chOff x="142875" y="81267300"/>
          <a:chExt cx="6685126" cy="7407690"/>
        </a:xfrm>
      </xdr:grpSpPr>
      <xdr:pic>
        <xdr:nvPicPr>
          <xdr:cNvPr id="48" name="Picture 47" descr="insp-249404-15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209689" y="86514990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insp-249404-843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83197" y="81267300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insp-249404-84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31813" y="86514990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insp-249404-844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20751" y="81268968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insp-249404-862.jpg (1259×945)"/>
          <xdr:cNvPicPr>
            <a:picLocks noChangeAspect="1" noChangeArrowheads="1"/>
          </xdr:cNvPicPr>
        </xdr:nvPicPr>
        <xdr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937" y="84251979"/>
            <a:ext cx="28777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insp-249404-871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20751" y="86514990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insp-249404-874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2875" y="86514990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insp-249404-94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88275" y="84259413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insp-249404-88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7772" y="84259413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266700</xdr:colOff>
      <xdr:row>155</xdr:row>
      <xdr:rowOff>152400</xdr:rowOff>
    </xdr:from>
    <xdr:to>
      <xdr:col>20</xdr:col>
      <xdr:colOff>459525</xdr:colOff>
      <xdr:row>171</xdr:row>
      <xdr:rowOff>171000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782175" y="32623125"/>
          <a:ext cx="6403125" cy="3600000"/>
        </a:xfrm>
        <a:prstGeom prst="rect">
          <a:avLst/>
        </a:prstGeom>
      </xdr:spPr>
    </xdr:pic>
    <xdr:clientData/>
  </xdr:twoCellAnchor>
  <xdr:twoCellAnchor>
    <xdr:from>
      <xdr:col>4</xdr:col>
      <xdr:colOff>631825</xdr:colOff>
      <xdr:row>407</xdr:row>
      <xdr:rowOff>50800</xdr:rowOff>
    </xdr:from>
    <xdr:to>
      <xdr:col>5</xdr:col>
      <xdr:colOff>164344</xdr:colOff>
      <xdr:row>409</xdr:row>
      <xdr:rowOff>24891</xdr:rowOff>
    </xdr:to>
    <xdr:sp macro="" textlink="">
      <xdr:nvSpPr>
        <xdr:cNvPr id="63" name="TextBox 106">
          <a:extLst>
            <a:ext uri="{FF2B5EF4-FFF2-40B4-BE49-F238E27FC236}">
              <a16:creationId xmlns="" xmlns:a16="http://schemas.microsoft.com/office/drawing/2014/main" id="{62985A96-2AA5-4EF3-9FDB-A53F27DFD86E}"/>
            </a:ext>
          </a:extLst>
        </xdr:cNvPr>
        <xdr:cNvSpPr txBox="1"/>
      </xdr:nvSpPr>
      <xdr:spPr>
        <a:xfrm>
          <a:off x="3984625" y="84756625"/>
          <a:ext cx="313569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41275</xdr:colOff>
      <xdr:row>407</xdr:row>
      <xdr:rowOff>12700</xdr:rowOff>
    </xdr:from>
    <xdr:to>
      <xdr:col>7</xdr:col>
      <xdr:colOff>354844</xdr:colOff>
      <xdr:row>408</xdr:row>
      <xdr:rowOff>186816</xdr:rowOff>
    </xdr:to>
    <xdr:sp macro="" textlink="">
      <xdr:nvSpPr>
        <xdr:cNvPr id="64" name="TextBox 106">
          <a:extLst>
            <a:ext uri="{FF2B5EF4-FFF2-40B4-BE49-F238E27FC236}">
              <a16:creationId xmlns="" xmlns:a16="http://schemas.microsoft.com/office/drawing/2014/main" id="{62985A96-2AA5-4EF3-9FDB-A53F27DFD86E}"/>
            </a:ext>
          </a:extLst>
        </xdr:cNvPr>
        <xdr:cNvSpPr txBox="1"/>
      </xdr:nvSpPr>
      <xdr:spPr>
        <a:xfrm>
          <a:off x="5737225" y="84718525"/>
          <a:ext cx="313569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371475</xdr:colOff>
      <xdr:row>418</xdr:row>
      <xdr:rowOff>180975</xdr:rowOff>
    </xdr:from>
    <xdr:to>
      <xdr:col>1</xdr:col>
      <xdr:colOff>685044</xdr:colOff>
      <xdr:row>420</xdr:row>
      <xdr:rowOff>155066</xdr:rowOff>
    </xdr:to>
    <xdr:sp macro="" textlink="">
      <xdr:nvSpPr>
        <xdr:cNvPr id="65" name="TextBox 106">
          <a:extLst>
            <a:ext uri="{FF2B5EF4-FFF2-40B4-BE49-F238E27FC236}">
              <a16:creationId xmlns="" xmlns:a16="http://schemas.microsoft.com/office/drawing/2014/main" id="{62985A96-2AA5-4EF3-9FDB-A53F27DFD86E}"/>
            </a:ext>
          </a:extLst>
        </xdr:cNvPr>
        <xdr:cNvSpPr txBox="1"/>
      </xdr:nvSpPr>
      <xdr:spPr>
        <a:xfrm>
          <a:off x="1133475" y="87087075"/>
          <a:ext cx="313569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481852</xdr:colOff>
      <xdr:row>0</xdr:row>
      <xdr:rowOff>0</xdr:rowOff>
    </xdr:from>
    <xdr:to>
      <xdr:col>6</xdr:col>
      <xdr:colOff>486418</xdr:colOff>
      <xdr:row>18</xdr:row>
      <xdr:rowOff>159794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4558" y="0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oSvbHVGhCt43QuXH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477"/>
  <sheetViews>
    <sheetView tabSelected="1" view="pageBreakPreview" topLeftCell="A81" zoomScaleNormal="100" zoomScaleSheetLayoutView="100" zoomScalePageLayoutView="85" workbookViewId="0">
      <selection activeCell="M95" sqref="M95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7.8554687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209" t="s">
        <v>282</v>
      </c>
      <c r="B1" s="209"/>
      <c r="C1" s="209"/>
      <c r="D1" s="209"/>
      <c r="E1" s="209"/>
      <c r="F1" s="209"/>
      <c r="G1" s="209"/>
      <c r="H1" s="209"/>
    </row>
    <row r="2" spans="1:8" ht="16.5" customHeight="1" x14ac:dyDescent="0.25">
      <c r="A2" s="134" t="s">
        <v>0</v>
      </c>
      <c r="B2" s="134"/>
      <c r="C2" s="134"/>
      <c r="D2" s="134"/>
      <c r="E2" s="134"/>
      <c r="F2" s="134"/>
      <c r="G2" s="134"/>
      <c r="H2" s="134"/>
    </row>
    <row r="3" spans="1:8" x14ac:dyDescent="0.25">
      <c r="A3" s="93" t="s">
        <v>1</v>
      </c>
      <c r="B3" s="93"/>
      <c r="C3" s="93"/>
      <c r="D3" s="93"/>
      <c r="E3" s="210" t="str">
        <f ca="1">TEXT(TODAY(),"DD/MM/YYYY")</f>
        <v>29/09/2025</v>
      </c>
      <c r="F3" s="210"/>
      <c r="G3" s="210"/>
      <c r="H3" s="210"/>
    </row>
    <row r="4" spans="1:8" ht="15" customHeight="1" x14ac:dyDescent="0.25">
      <c r="A4" s="93" t="s">
        <v>2</v>
      </c>
      <c r="B4" s="93"/>
      <c r="C4" s="93"/>
      <c r="D4" s="93"/>
      <c r="E4" s="205" t="s">
        <v>158</v>
      </c>
      <c r="F4" s="205"/>
      <c r="G4" s="205"/>
      <c r="H4" s="205"/>
    </row>
    <row r="5" spans="1:8" x14ac:dyDescent="0.25">
      <c r="A5" s="93" t="s">
        <v>3</v>
      </c>
      <c r="B5" s="93"/>
      <c r="C5" s="93"/>
      <c r="D5" s="93"/>
      <c r="E5" s="208">
        <v>45929</v>
      </c>
      <c r="F5" s="208"/>
      <c r="G5" s="208"/>
      <c r="H5" s="208"/>
    </row>
    <row r="6" spans="1:8" ht="16.5" customHeight="1" x14ac:dyDescent="0.25">
      <c r="A6" s="93" t="s">
        <v>186</v>
      </c>
      <c r="B6" s="93"/>
      <c r="C6" s="93"/>
      <c r="D6" s="93"/>
      <c r="E6" s="103" t="s">
        <v>187</v>
      </c>
      <c r="F6" s="103"/>
      <c r="G6" s="103"/>
      <c r="H6" s="103"/>
    </row>
    <row r="7" spans="1:8" ht="15" customHeight="1" x14ac:dyDescent="0.25">
      <c r="A7" s="93" t="s">
        <v>4</v>
      </c>
      <c r="B7" s="93"/>
      <c r="C7" s="93"/>
      <c r="D7" s="93"/>
      <c r="E7" s="103" t="s">
        <v>159</v>
      </c>
      <c r="F7" s="103"/>
      <c r="G7" s="103"/>
      <c r="H7" s="103"/>
    </row>
    <row r="8" spans="1:8" x14ac:dyDescent="0.25">
      <c r="A8" s="93" t="s">
        <v>5</v>
      </c>
      <c r="B8" s="93"/>
      <c r="C8" s="93"/>
      <c r="D8" s="93"/>
      <c r="E8" s="191" t="s">
        <v>184</v>
      </c>
      <c r="F8" s="191"/>
      <c r="G8" s="191"/>
      <c r="H8" s="191"/>
    </row>
    <row r="9" spans="1:8" x14ac:dyDescent="0.25">
      <c r="A9" s="93" t="s">
        <v>125</v>
      </c>
      <c r="B9" s="93"/>
      <c r="C9" s="93"/>
      <c r="D9" s="93"/>
      <c r="E9" s="93" t="s">
        <v>180</v>
      </c>
      <c r="F9" s="93"/>
      <c r="G9" s="93"/>
      <c r="H9" s="93"/>
    </row>
    <row r="10" spans="1:8" x14ac:dyDescent="0.25">
      <c r="A10" s="93" t="s">
        <v>276</v>
      </c>
      <c r="B10" s="93"/>
      <c r="C10" s="93"/>
      <c r="D10" s="93"/>
      <c r="E10" s="93" t="s">
        <v>277</v>
      </c>
      <c r="F10" s="93"/>
      <c r="G10" s="93"/>
      <c r="H10" s="93"/>
    </row>
    <row r="11" spans="1:8" x14ac:dyDescent="0.25">
      <c r="A11" s="118" t="s">
        <v>6</v>
      </c>
      <c r="B11" s="118"/>
      <c r="C11" s="118"/>
      <c r="D11" s="118"/>
      <c r="E11" s="118" t="s">
        <v>222</v>
      </c>
      <c r="F11" s="118"/>
      <c r="G11" s="118"/>
      <c r="H11" s="118"/>
    </row>
    <row r="12" spans="1:8" ht="32.25" customHeight="1" x14ac:dyDescent="0.25">
      <c r="A12" s="93" t="s">
        <v>7</v>
      </c>
      <c r="B12" s="93"/>
      <c r="C12" s="93"/>
      <c r="D12" s="93"/>
      <c r="E12" s="111" t="s">
        <v>109</v>
      </c>
      <c r="F12" s="111"/>
      <c r="G12" s="111"/>
      <c r="H12" s="111"/>
    </row>
    <row r="13" spans="1:8" ht="63.95" customHeight="1" x14ac:dyDescent="0.25">
      <c r="A13" s="93" t="s">
        <v>8</v>
      </c>
      <c r="B13" s="93"/>
      <c r="C13" s="93"/>
      <c r="D13" s="93"/>
      <c r="E13" s="111" t="s">
        <v>223</v>
      </c>
      <c r="F13" s="118"/>
      <c r="G13" s="118"/>
      <c r="H13" s="118"/>
    </row>
    <row r="14" spans="1:8" ht="51" customHeight="1" x14ac:dyDescent="0.25">
      <c r="A14" s="206" t="s">
        <v>9</v>
      </c>
      <c r="B14" s="206"/>
      <c r="C14" s="206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Vedant Millenia Happiness Phase II, Survey No.221, Hissa No.3/1, 221, Hissa No.3/2 (P), 221, Hissa No. 4(P), Survey No.221, Hissa No.6/A(P), near Chatrapati Shivaji Maharaj Chowk, Swapna Nagari Road, Titwala, Titwala, Kalyan, Thane - 421605.</v>
      </c>
      <c r="D14" s="206"/>
      <c r="E14" s="206"/>
      <c r="F14" s="206"/>
      <c r="G14" s="206"/>
      <c r="H14" s="206"/>
    </row>
    <row r="15" spans="1:8" ht="32.1" customHeight="1" x14ac:dyDescent="0.25">
      <c r="A15" s="206" t="s">
        <v>185</v>
      </c>
      <c r="B15" s="206"/>
      <c r="C15" s="137" t="s">
        <v>263</v>
      </c>
      <c r="D15" s="137"/>
      <c r="E15" s="137"/>
      <c r="F15" s="137"/>
      <c r="G15" s="137"/>
      <c r="H15" s="137"/>
    </row>
    <row r="16" spans="1:8" ht="15.75" customHeight="1" x14ac:dyDescent="0.25">
      <c r="A16" s="206" t="s">
        <v>10</v>
      </c>
      <c r="B16" s="206"/>
      <c r="C16" s="138" t="s">
        <v>176</v>
      </c>
      <c r="D16" s="138"/>
      <c r="E16" s="206" t="s">
        <v>74</v>
      </c>
      <c r="F16" s="206"/>
      <c r="G16" s="137" t="s">
        <v>160</v>
      </c>
      <c r="H16" s="137"/>
    </row>
    <row r="17" spans="1:8" x14ac:dyDescent="0.25">
      <c r="A17" s="199" t="s">
        <v>12</v>
      </c>
      <c r="B17" s="199"/>
      <c r="C17" s="137" t="s">
        <v>160</v>
      </c>
      <c r="D17" s="137"/>
      <c r="E17" s="206" t="s">
        <v>11</v>
      </c>
      <c r="F17" s="206"/>
      <c r="G17" s="207" t="s">
        <v>161</v>
      </c>
      <c r="H17" s="207"/>
    </row>
    <row r="18" spans="1:8" x14ac:dyDescent="0.25">
      <c r="A18" s="199" t="s">
        <v>75</v>
      </c>
      <c r="B18" s="199"/>
      <c r="C18" s="137" t="s">
        <v>162</v>
      </c>
      <c r="D18" s="137"/>
      <c r="E18" s="206" t="s">
        <v>13</v>
      </c>
      <c r="F18" s="206"/>
      <c r="G18" s="137">
        <v>421605</v>
      </c>
      <c r="H18" s="137"/>
    </row>
    <row r="19" spans="1:8" ht="32.25" customHeight="1" x14ac:dyDescent="0.25">
      <c r="A19" s="199" t="s">
        <v>126</v>
      </c>
      <c r="B19" s="199"/>
      <c r="C19" s="206" t="s">
        <v>174</v>
      </c>
      <c r="D19" s="206"/>
      <c r="E19" s="206" t="s">
        <v>14</v>
      </c>
      <c r="F19" s="206"/>
      <c r="G19" s="137" t="s">
        <v>177</v>
      </c>
      <c r="H19" s="137"/>
    </row>
    <row r="20" spans="1:8" ht="15" customHeight="1" x14ac:dyDescent="0.25">
      <c r="A20" s="103" t="s">
        <v>77</v>
      </c>
      <c r="B20" s="103"/>
      <c r="C20" s="103"/>
      <c r="D20" s="103"/>
      <c r="E20" s="118" t="s">
        <v>15</v>
      </c>
      <c r="F20" s="118"/>
      <c r="G20" s="118"/>
      <c r="H20" s="118"/>
    </row>
    <row r="21" spans="1:8" ht="18.75" customHeight="1" x14ac:dyDescent="0.25">
      <c r="A21" s="103"/>
      <c r="B21" s="103"/>
      <c r="C21" s="103"/>
      <c r="D21" s="103"/>
      <c r="E21" s="118"/>
      <c r="F21" s="118"/>
      <c r="G21" s="118"/>
      <c r="H21" s="118"/>
    </row>
    <row r="22" spans="1:8" x14ac:dyDescent="0.25">
      <c r="A22" s="103" t="s">
        <v>16</v>
      </c>
      <c r="B22" s="103"/>
      <c r="C22" s="103"/>
      <c r="D22" s="103"/>
      <c r="E22" s="111" t="s">
        <v>17</v>
      </c>
      <c r="F22" s="111"/>
      <c r="G22" s="111"/>
      <c r="H22" s="111"/>
    </row>
    <row r="23" spans="1:8" ht="15" customHeight="1" x14ac:dyDescent="0.25">
      <c r="A23" s="93" t="s">
        <v>18</v>
      </c>
      <c r="B23" s="93"/>
      <c r="C23" s="93"/>
      <c r="D23" s="93"/>
      <c r="E23" s="111" t="str">
        <f>IF(AND(G17="Mumbai"),"Upper Class","Middle Class")</f>
        <v>Middle Class</v>
      </c>
      <c r="F23" s="111"/>
      <c r="G23" s="111"/>
      <c r="H23" s="111"/>
    </row>
    <row r="24" spans="1:8" x14ac:dyDescent="0.25">
      <c r="A24" s="93" t="s">
        <v>19</v>
      </c>
      <c r="B24" s="93"/>
      <c r="C24" s="93"/>
      <c r="D24" s="93"/>
      <c r="E24" s="111" t="s">
        <v>20</v>
      </c>
      <c r="F24" s="111"/>
      <c r="G24" s="111"/>
      <c r="H24" s="111"/>
    </row>
    <row r="25" spans="1:8" ht="15.75" customHeight="1" x14ac:dyDescent="0.25">
      <c r="A25" s="93" t="s">
        <v>21</v>
      </c>
      <c r="B25" s="93"/>
      <c r="C25" s="93"/>
      <c r="D25" s="93"/>
      <c r="E25" s="111" t="str">
        <f>IF(AND(G17="Mumbai"),"Developed","Developing")</f>
        <v>Developing</v>
      </c>
      <c r="F25" s="111"/>
      <c r="G25" s="111"/>
      <c r="H25" s="111"/>
    </row>
    <row r="26" spans="1:8" x14ac:dyDescent="0.25">
      <c r="A26" s="93" t="s">
        <v>22</v>
      </c>
      <c r="B26" s="93"/>
      <c r="C26" s="93"/>
      <c r="D26" s="93"/>
      <c r="E26" s="111" t="s">
        <v>23</v>
      </c>
      <c r="F26" s="111"/>
      <c r="G26" s="111"/>
      <c r="H26" s="111"/>
    </row>
    <row r="27" spans="1:8" x14ac:dyDescent="0.25">
      <c r="A27" s="93" t="s">
        <v>82</v>
      </c>
      <c r="B27" s="93"/>
      <c r="C27" s="93"/>
      <c r="D27" s="93"/>
      <c r="E27" s="111" t="s">
        <v>83</v>
      </c>
      <c r="F27" s="111"/>
      <c r="G27" s="111"/>
      <c r="H27" s="111"/>
    </row>
    <row r="28" spans="1:8" ht="15" customHeight="1" x14ac:dyDescent="0.25">
      <c r="A28" s="103" t="s">
        <v>32</v>
      </c>
      <c r="B28" s="103"/>
      <c r="C28" s="103"/>
      <c r="D28" s="103"/>
      <c r="E28" s="205" t="str">
        <f>IF(ISNUMBER(SEARCH("Shop",D62)),"Residential + Commercial",IF(ISNUMBER(SEARCH("Office",D62)),"Residential + Commercial",IF(SEARCH("Flats",D62),"Residential","")))</f>
        <v>Residential + Commercial</v>
      </c>
      <c r="F28" s="205"/>
      <c r="G28" s="205"/>
      <c r="H28" s="205"/>
    </row>
    <row r="29" spans="1:8" x14ac:dyDescent="0.25">
      <c r="A29" s="103" t="s">
        <v>93</v>
      </c>
      <c r="B29" s="103"/>
      <c r="C29" s="103"/>
      <c r="D29" s="103"/>
      <c r="E29" s="103" t="s">
        <v>33</v>
      </c>
      <c r="F29" s="103"/>
      <c r="G29" s="103"/>
      <c r="H29" s="103"/>
    </row>
    <row r="30" spans="1:8" s="6" customFormat="1" x14ac:dyDescent="0.25">
      <c r="A30" s="198" t="s">
        <v>94</v>
      </c>
      <c r="B30" s="198"/>
      <c r="C30" s="195" t="s">
        <v>28</v>
      </c>
      <c r="D30" s="195"/>
      <c r="E30" s="195"/>
      <c r="F30" s="195" t="s">
        <v>30</v>
      </c>
      <c r="G30" s="195"/>
      <c r="H30" s="195"/>
    </row>
    <row r="31" spans="1:8" s="6" customFormat="1" x14ac:dyDescent="0.25">
      <c r="A31" s="197" t="s">
        <v>24</v>
      </c>
      <c r="B31" s="197" t="s">
        <v>29</v>
      </c>
      <c r="C31" s="194" t="s">
        <v>227</v>
      </c>
      <c r="D31" s="194"/>
      <c r="E31" s="194"/>
      <c r="F31" s="194" t="s">
        <v>172</v>
      </c>
      <c r="G31" s="194"/>
      <c r="H31" s="194"/>
    </row>
    <row r="32" spans="1:8" x14ac:dyDescent="0.25">
      <c r="A32" s="197" t="s">
        <v>25</v>
      </c>
      <c r="B32" s="197" t="s">
        <v>29</v>
      </c>
      <c r="C32" s="194" t="s">
        <v>228</v>
      </c>
      <c r="D32" s="194"/>
      <c r="E32" s="194"/>
      <c r="F32" s="194" t="s">
        <v>173</v>
      </c>
      <c r="G32" s="194"/>
      <c r="H32" s="194"/>
    </row>
    <row r="33" spans="1:8" s="6" customFormat="1" x14ac:dyDescent="0.25">
      <c r="A33" s="197" t="s">
        <v>27</v>
      </c>
      <c r="B33" s="197" t="s">
        <v>29</v>
      </c>
      <c r="C33" s="194" t="s">
        <v>229</v>
      </c>
      <c r="D33" s="194"/>
      <c r="E33" s="194"/>
      <c r="F33" s="194" t="s">
        <v>175</v>
      </c>
      <c r="G33" s="194"/>
      <c r="H33" s="194"/>
    </row>
    <row r="34" spans="1:8" x14ac:dyDescent="0.25">
      <c r="A34" s="197" t="s">
        <v>26</v>
      </c>
      <c r="B34" s="197" t="s">
        <v>29</v>
      </c>
      <c r="C34" s="194" t="s">
        <v>230</v>
      </c>
      <c r="D34" s="194"/>
      <c r="E34" s="194"/>
      <c r="F34" s="194" t="s">
        <v>173</v>
      </c>
      <c r="G34" s="194"/>
      <c r="H34" s="194"/>
    </row>
    <row r="35" spans="1:8" x14ac:dyDescent="0.25">
      <c r="A35" s="199" t="s">
        <v>31</v>
      </c>
      <c r="B35" s="199"/>
      <c r="C35" s="199"/>
      <c r="D35" s="199"/>
      <c r="E35" s="199"/>
      <c r="F35" s="199"/>
      <c r="G35" s="199"/>
      <c r="H35" s="199"/>
    </row>
    <row r="36" spans="1:8" ht="15.75" customHeight="1" x14ac:dyDescent="0.25">
      <c r="A36" s="196" t="s">
        <v>224</v>
      </c>
      <c r="B36" s="196"/>
      <c r="C36" s="202" t="s">
        <v>226</v>
      </c>
      <c r="D36" s="203"/>
      <c r="E36" s="203"/>
      <c r="F36" s="203"/>
      <c r="G36" s="203"/>
      <c r="H36" s="204"/>
    </row>
    <row r="37" spans="1:8" ht="15.75" customHeight="1" x14ac:dyDescent="0.25">
      <c r="A37" s="196" t="s">
        <v>198</v>
      </c>
      <c r="B37" s="196"/>
      <c r="C37" s="200" t="s">
        <v>225</v>
      </c>
      <c r="D37" s="201"/>
      <c r="E37" s="201"/>
      <c r="F37" s="201"/>
      <c r="G37" s="201"/>
      <c r="H37" s="201"/>
    </row>
    <row r="38" spans="1:8" x14ac:dyDescent="0.25">
      <c r="A38" s="191" t="s">
        <v>34</v>
      </c>
      <c r="B38" s="191"/>
      <c r="C38" s="191"/>
      <c r="D38" s="191"/>
      <c r="E38" s="191"/>
      <c r="F38" s="191"/>
      <c r="G38" s="191"/>
      <c r="H38" s="191"/>
    </row>
    <row r="39" spans="1:8" x14ac:dyDescent="0.25">
      <c r="A39" s="93" t="s">
        <v>35</v>
      </c>
      <c r="B39" s="93"/>
      <c r="C39" s="93"/>
      <c r="D39" s="93"/>
      <c r="E39" s="193">
        <v>11372</v>
      </c>
      <c r="F39" s="193"/>
      <c r="G39" s="193"/>
      <c r="H39" s="193"/>
    </row>
    <row r="40" spans="1:8" x14ac:dyDescent="0.25">
      <c r="A40" s="93" t="s">
        <v>36</v>
      </c>
      <c r="B40" s="93"/>
      <c r="C40" s="93"/>
      <c r="D40" s="93"/>
      <c r="E40" s="211">
        <f>12509.2/E39</f>
        <v>1.1000000000000001</v>
      </c>
      <c r="F40" s="211"/>
      <c r="G40" s="211"/>
      <c r="H40" s="211"/>
    </row>
    <row r="41" spans="1:8" x14ac:dyDescent="0.25">
      <c r="A41" s="93" t="s">
        <v>37</v>
      </c>
      <c r="B41" s="93"/>
      <c r="C41" s="93"/>
      <c r="D41" s="93"/>
      <c r="E41" s="211">
        <f>E43/E39-E40</f>
        <v>1.6238797045374604</v>
      </c>
      <c r="F41" s="211"/>
      <c r="G41" s="211"/>
      <c r="H41" s="211"/>
    </row>
    <row r="42" spans="1:8" x14ac:dyDescent="0.25">
      <c r="A42" s="93" t="s">
        <v>38</v>
      </c>
      <c r="B42" s="93"/>
      <c r="C42" s="93"/>
      <c r="D42" s="93"/>
      <c r="E42" s="211">
        <f>E40+E41</f>
        <v>2.7238797045374605</v>
      </c>
      <c r="F42" s="211"/>
      <c r="G42" s="211"/>
      <c r="H42" s="211"/>
    </row>
    <row r="43" spans="1:8" x14ac:dyDescent="0.25">
      <c r="A43" s="93" t="s">
        <v>92</v>
      </c>
      <c r="B43" s="93"/>
      <c r="C43" s="93"/>
      <c r="D43" s="93"/>
      <c r="E43" s="212">
        <v>30975.96</v>
      </c>
      <c r="F43" s="212"/>
      <c r="G43" s="212"/>
      <c r="H43" s="212"/>
    </row>
    <row r="44" spans="1:8" x14ac:dyDescent="0.25">
      <c r="A44" s="118" t="s">
        <v>39</v>
      </c>
      <c r="B44" s="118"/>
      <c r="C44" s="118"/>
      <c r="D44" s="118"/>
      <c r="E44" s="118" t="s">
        <v>202</v>
      </c>
      <c r="F44" s="118"/>
      <c r="G44" s="118"/>
      <c r="H44" s="118"/>
    </row>
    <row r="45" spans="1:8" x14ac:dyDescent="0.25">
      <c r="A45" s="191" t="s">
        <v>40</v>
      </c>
      <c r="B45" s="191"/>
      <c r="C45" s="191"/>
      <c r="D45" s="191"/>
      <c r="E45" s="191"/>
      <c r="F45" s="191"/>
      <c r="G45" s="191"/>
      <c r="H45" s="191"/>
    </row>
    <row r="46" spans="1:8" ht="32.25" customHeight="1" x14ac:dyDescent="0.25">
      <c r="A46" s="164" t="s">
        <v>153</v>
      </c>
      <c r="B46" s="165"/>
      <c r="C46" s="166" t="s">
        <v>163</v>
      </c>
      <c r="D46" s="167"/>
      <c r="E46" s="167"/>
      <c r="F46" s="167"/>
      <c r="G46" s="167"/>
      <c r="H46" s="168"/>
    </row>
    <row r="47" spans="1:8" hidden="1" x14ac:dyDescent="0.25">
      <c r="A47" s="128" t="s">
        <v>232</v>
      </c>
      <c r="B47" s="129"/>
      <c r="C47" s="129"/>
      <c r="D47" s="129"/>
      <c r="E47" s="129"/>
      <c r="F47" s="129"/>
      <c r="G47" s="129"/>
      <c r="H47" s="130"/>
    </row>
    <row r="48" spans="1:8" ht="32.25" customHeight="1" x14ac:dyDescent="0.25">
      <c r="A48" s="111" t="s">
        <v>182</v>
      </c>
      <c r="B48" s="118"/>
      <c r="C48" s="137" t="s">
        <v>181</v>
      </c>
      <c r="D48" s="137"/>
      <c r="E48" s="137"/>
      <c r="F48" s="63" t="s">
        <v>41</v>
      </c>
      <c r="G48" s="139">
        <v>42851</v>
      </c>
      <c r="H48" s="139"/>
    </row>
    <row r="49" spans="1:9" ht="32.25" hidden="1" customHeight="1" x14ac:dyDescent="0.25">
      <c r="A49" s="111" t="s">
        <v>206</v>
      </c>
      <c r="B49" s="118"/>
      <c r="C49" s="137" t="e">
        <f>#REF!</f>
        <v>#REF!</v>
      </c>
      <c r="D49" s="137"/>
      <c r="E49" s="137"/>
      <c r="F49" s="63" t="s">
        <v>41</v>
      </c>
      <c r="G49" s="139" t="e">
        <f>#REF!</f>
        <v>#REF!</v>
      </c>
      <c r="H49" s="139"/>
    </row>
    <row r="50" spans="1:9" s="5" customFormat="1" x14ac:dyDescent="0.25">
      <c r="A50" s="111" t="s">
        <v>42</v>
      </c>
      <c r="B50" s="111"/>
      <c r="C50" s="137" t="s">
        <v>207</v>
      </c>
      <c r="D50" s="138"/>
      <c r="E50" s="138"/>
      <c r="F50" s="8" t="s">
        <v>41</v>
      </c>
      <c r="G50" s="139">
        <v>44875</v>
      </c>
      <c r="H50" s="139"/>
    </row>
    <row r="51" spans="1:9" s="5" customFormat="1" ht="15.75" customHeight="1" x14ac:dyDescent="0.25">
      <c r="A51" s="111"/>
      <c r="B51" s="111"/>
      <c r="C51" s="140" t="s">
        <v>209</v>
      </c>
      <c r="D51" s="141"/>
      <c r="E51" s="141"/>
      <c r="F51" s="141"/>
      <c r="G51" s="141"/>
      <c r="H51" s="142"/>
    </row>
    <row r="52" spans="1:9" s="5" customFormat="1" hidden="1" x14ac:dyDescent="0.25">
      <c r="A52" s="111" t="s">
        <v>42</v>
      </c>
      <c r="B52" s="111"/>
      <c r="C52" s="137" t="e">
        <f>C49</f>
        <v>#REF!</v>
      </c>
      <c r="D52" s="138"/>
      <c r="E52" s="138"/>
      <c r="F52" s="8" t="s">
        <v>41</v>
      </c>
      <c r="G52" s="139" t="e">
        <f>G49</f>
        <v>#REF!</v>
      </c>
      <c r="H52" s="139"/>
    </row>
    <row r="53" spans="1:9" s="5" customFormat="1" ht="31.5" hidden="1" customHeight="1" x14ac:dyDescent="0.25">
      <c r="A53" s="111"/>
      <c r="B53" s="111"/>
      <c r="C53" s="140" t="s">
        <v>208</v>
      </c>
      <c r="D53" s="141"/>
      <c r="E53" s="141"/>
      <c r="F53" s="141"/>
      <c r="G53" s="141"/>
      <c r="H53" s="142"/>
    </row>
    <row r="54" spans="1:9" hidden="1" x14ac:dyDescent="0.25">
      <c r="A54" s="128" t="s">
        <v>233</v>
      </c>
      <c r="B54" s="129"/>
      <c r="C54" s="129"/>
      <c r="D54" s="129"/>
      <c r="E54" s="129"/>
      <c r="F54" s="129"/>
      <c r="G54" s="129"/>
      <c r="H54" s="130"/>
    </row>
    <row r="55" spans="1:9" s="90" customFormat="1" ht="19.5" customHeight="1" x14ac:dyDescent="0.25">
      <c r="A55" s="113" t="s">
        <v>205</v>
      </c>
      <c r="B55" s="113"/>
      <c r="C55" s="113" t="s">
        <v>231</v>
      </c>
      <c r="D55" s="113"/>
      <c r="E55" s="113"/>
      <c r="F55" s="89" t="s">
        <v>41</v>
      </c>
      <c r="G55" s="112">
        <v>45776</v>
      </c>
      <c r="H55" s="112"/>
    </row>
    <row r="56" spans="1:9" s="90" customFormat="1" ht="33.75" customHeight="1" x14ac:dyDescent="0.25">
      <c r="A56" s="113" t="s">
        <v>272</v>
      </c>
      <c r="B56" s="113"/>
      <c r="C56" s="113" t="str">
        <f>C55</f>
        <v>KDMCC/RB/2025/APL/00157</v>
      </c>
      <c r="D56" s="113"/>
      <c r="E56" s="113"/>
      <c r="F56" s="89" t="s">
        <v>41</v>
      </c>
      <c r="G56" s="112">
        <f>G55</f>
        <v>45776</v>
      </c>
      <c r="H56" s="112"/>
    </row>
    <row r="57" spans="1:9" s="92" customFormat="1" ht="30.6" customHeight="1" x14ac:dyDescent="0.25">
      <c r="A57" s="113" t="s">
        <v>234</v>
      </c>
      <c r="B57" s="113"/>
      <c r="C57" s="113" t="str">
        <f>C55</f>
        <v>KDMCC/RB/2025/APL/00157</v>
      </c>
      <c r="D57" s="114"/>
      <c r="E57" s="114"/>
      <c r="F57" s="91" t="s">
        <v>41</v>
      </c>
      <c r="G57" s="112">
        <f>G55</f>
        <v>45776</v>
      </c>
      <c r="H57" s="112"/>
    </row>
    <row r="58" spans="1:9" s="92" customFormat="1" ht="47.45" customHeight="1" x14ac:dyDescent="0.25">
      <c r="A58" s="113"/>
      <c r="B58" s="113"/>
      <c r="C58" s="115" t="s">
        <v>235</v>
      </c>
      <c r="D58" s="116"/>
      <c r="E58" s="116"/>
      <c r="F58" s="116"/>
      <c r="G58" s="116"/>
      <c r="H58" s="117"/>
    </row>
    <row r="59" spans="1:9" ht="47.25" customHeight="1" x14ac:dyDescent="0.25">
      <c r="A59" s="109" t="s">
        <v>43</v>
      </c>
      <c r="B59" s="109"/>
      <c r="C59" s="235" t="s">
        <v>199</v>
      </c>
      <c r="D59" s="236"/>
      <c r="E59" s="236" t="s">
        <v>44</v>
      </c>
      <c r="F59" s="45" t="s">
        <v>41</v>
      </c>
      <c r="G59" s="238">
        <v>44918</v>
      </c>
      <c r="H59" s="238"/>
    </row>
    <row r="60" spans="1:9" x14ac:dyDescent="0.25">
      <c r="A60" s="237" t="s">
        <v>46</v>
      </c>
      <c r="B60" s="237"/>
      <c r="C60" s="237"/>
      <c r="D60" s="237"/>
      <c r="E60" s="237"/>
      <c r="F60" s="237"/>
      <c r="G60" s="237"/>
      <c r="H60" s="237"/>
    </row>
    <row r="61" spans="1:9" ht="32.450000000000003" customHeight="1" x14ac:dyDescent="0.25">
      <c r="A61" s="103" t="s">
        <v>268</v>
      </c>
      <c r="B61" s="103"/>
      <c r="C61" s="103"/>
      <c r="D61" s="267">
        <f>4876.47+12671.18+9030.74+1825.42</f>
        <v>28403.809999999998</v>
      </c>
      <c r="E61" s="267"/>
      <c r="F61" s="267"/>
      <c r="G61" s="267"/>
      <c r="H61" s="267"/>
    </row>
    <row r="62" spans="1:9" x14ac:dyDescent="0.25">
      <c r="A62" s="111" t="s">
        <v>47</v>
      </c>
      <c r="B62" s="118"/>
      <c r="C62" s="118"/>
      <c r="D62" s="118" t="s">
        <v>275</v>
      </c>
      <c r="E62" s="118"/>
      <c r="F62" s="118"/>
      <c r="G62" s="118"/>
      <c r="H62" s="118"/>
      <c r="I62" s="34"/>
    </row>
    <row r="63" spans="1:9" ht="15.75" customHeight="1" x14ac:dyDescent="0.25">
      <c r="A63" s="119" t="s">
        <v>48</v>
      </c>
      <c r="B63" s="120"/>
      <c r="C63" s="121"/>
      <c r="D63" s="118" t="s">
        <v>183</v>
      </c>
      <c r="E63" s="118"/>
      <c r="F63" s="118"/>
      <c r="G63" s="118"/>
      <c r="H63" s="118"/>
    </row>
    <row r="64" spans="1:9" ht="15.75" customHeight="1" x14ac:dyDescent="0.25">
      <c r="A64" s="122"/>
      <c r="B64" s="123"/>
      <c r="C64" s="124"/>
      <c r="D64" s="118" t="s">
        <v>203</v>
      </c>
      <c r="E64" s="118"/>
      <c r="F64" s="118"/>
      <c r="G64" s="118"/>
      <c r="H64" s="118"/>
    </row>
    <row r="65" spans="1:14" ht="15.75" customHeight="1" x14ac:dyDescent="0.25">
      <c r="A65" s="122"/>
      <c r="B65" s="123"/>
      <c r="C65" s="124"/>
      <c r="D65" s="118" t="s">
        <v>260</v>
      </c>
      <c r="E65" s="118"/>
      <c r="F65" s="118"/>
      <c r="G65" s="118"/>
      <c r="H65" s="118"/>
    </row>
    <row r="66" spans="1:14" ht="15.75" customHeight="1" x14ac:dyDescent="0.25">
      <c r="A66" s="125"/>
      <c r="B66" s="126"/>
      <c r="C66" s="127"/>
      <c r="D66" s="118" t="s">
        <v>237</v>
      </c>
      <c r="E66" s="118"/>
      <c r="F66" s="118"/>
      <c r="G66" s="118"/>
      <c r="H66" s="118"/>
    </row>
    <row r="67" spans="1:14" ht="15.75" customHeight="1" x14ac:dyDescent="0.25">
      <c r="A67" s="119" t="s">
        <v>90</v>
      </c>
      <c r="B67" s="120"/>
      <c r="C67" s="121"/>
      <c r="D67" s="118" t="s">
        <v>183</v>
      </c>
      <c r="E67" s="118"/>
      <c r="F67" s="118"/>
      <c r="G67" s="118"/>
      <c r="H67" s="118"/>
    </row>
    <row r="68" spans="1:14" ht="15.75" customHeight="1" x14ac:dyDescent="0.25">
      <c r="A68" s="122"/>
      <c r="B68" s="123"/>
      <c r="C68" s="124"/>
      <c r="D68" s="118" t="s">
        <v>203</v>
      </c>
      <c r="E68" s="118"/>
      <c r="F68" s="118"/>
      <c r="G68" s="118"/>
      <c r="H68" s="118"/>
    </row>
    <row r="69" spans="1:14" ht="15.75" customHeight="1" x14ac:dyDescent="0.25">
      <c r="A69" s="122"/>
      <c r="B69" s="123"/>
      <c r="C69" s="124"/>
      <c r="D69" s="118" t="s">
        <v>204</v>
      </c>
      <c r="E69" s="118"/>
      <c r="F69" s="118"/>
      <c r="G69" s="118"/>
      <c r="H69" s="118"/>
    </row>
    <row r="70" spans="1:14" ht="15.75" customHeight="1" x14ac:dyDescent="0.25">
      <c r="A70" s="125"/>
      <c r="B70" s="126"/>
      <c r="C70" s="127"/>
      <c r="D70" s="118" t="s">
        <v>264</v>
      </c>
      <c r="E70" s="118"/>
      <c r="F70" s="118"/>
      <c r="G70" s="118"/>
      <c r="H70" s="118"/>
    </row>
    <row r="71" spans="1:14" ht="62.1" customHeight="1" x14ac:dyDescent="0.25">
      <c r="A71" s="93" t="s">
        <v>45</v>
      </c>
      <c r="B71" s="93"/>
      <c r="C71" s="93"/>
      <c r="D71" s="103" t="s">
        <v>236</v>
      </c>
      <c r="E71" s="103"/>
      <c r="F71" s="103"/>
      <c r="G71" s="103"/>
      <c r="H71" s="103"/>
      <c r="J71" s="33"/>
      <c r="K71" s="34"/>
      <c r="N71" s="34"/>
    </row>
    <row r="72" spans="1:14" ht="15.75" customHeight="1" x14ac:dyDescent="0.25">
      <c r="A72" s="93" t="s">
        <v>88</v>
      </c>
      <c r="B72" s="93"/>
      <c r="C72" s="93"/>
      <c r="D72" s="108" t="s">
        <v>220</v>
      </c>
      <c r="E72" s="108"/>
      <c r="F72" s="108"/>
      <c r="G72" s="108"/>
      <c r="H72" s="108"/>
      <c r="N72" s="34"/>
    </row>
    <row r="73" spans="1:14" ht="15.75" customHeight="1" x14ac:dyDescent="0.25">
      <c r="A73" s="93" t="s">
        <v>89</v>
      </c>
      <c r="B73" s="93"/>
      <c r="C73" s="93"/>
      <c r="D73" s="103" t="s">
        <v>23</v>
      </c>
      <c r="E73" s="103"/>
      <c r="F73" s="103"/>
      <c r="G73" s="103"/>
      <c r="H73" s="103"/>
      <c r="J73" s="13"/>
      <c r="K73" s="13"/>
    </row>
    <row r="74" spans="1:14" ht="30.75" customHeight="1" x14ac:dyDescent="0.25">
      <c r="A74" s="93" t="s">
        <v>76</v>
      </c>
      <c r="B74" s="93"/>
      <c r="C74" s="93"/>
      <c r="D74" s="111" t="s">
        <v>197</v>
      </c>
      <c r="E74" s="103"/>
      <c r="F74" s="103"/>
      <c r="G74" s="103"/>
      <c r="H74" s="103"/>
    </row>
    <row r="75" spans="1:14" x14ac:dyDescent="0.25">
      <c r="A75" s="103" t="s">
        <v>152</v>
      </c>
      <c r="B75" s="103"/>
      <c r="C75" s="103"/>
      <c r="D75" s="103" t="s">
        <v>29</v>
      </c>
      <c r="E75" s="103"/>
      <c r="F75" s="103"/>
      <c r="G75" s="103"/>
      <c r="H75" s="103"/>
      <c r="I75" s="43"/>
      <c r="J75" s="43"/>
      <c r="K75" s="43"/>
      <c r="L75" s="43"/>
      <c r="M75" s="43"/>
      <c r="N75" s="43"/>
    </row>
    <row r="76" spans="1:14" ht="15.75" customHeight="1" x14ac:dyDescent="0.25">
      <c r="A76" s="93" t="s">
        <v>87</v>
      </c>
      <c r="B76" s="93"/>
      <c r="C76" s="93"/>
      <c r="D76" s="111" t="str">
        <f ca="1">(IF(G97&gt;95%,"Nothing",IF(G97&gt;0%,"Cement, Aggregate, Steel, etc",IF(G97=0%,"Work not yet Started"))))</f>
        <v>Cement, Aggregate, Steel, etc</v>
      </c>
      <c r="E76" s="111"/>
      <c r="F76" s="111"/>
      <c r="G76" s="111"/>
      <c r="H76" s="111"/>
      <c r="J76" s="13"/>
    </row>
    <row r="77" spans="1:14" ht="33.75" customHeight="1" thickBot="1" x14ac:dyDescent="0.3">
      <c r="A77" s="103" t="s">
        <v>122</v>
      </c>
      <c r="B77" s="103"/>
      <c r="C77" s="103"/>
      <c r="D77" s="111" t="str">
        <f ca="1">(IF(D76="Nothing","Yes",IF(D76="Cement, Aggregate, Steel, etc","Under Construction",IF(D76="Work not yet Started","Work not yet Started"))))</f>
        <v>Under Construction</v>
      </c>
      <c r="E77" s="111"/>
      <c r="F77" s="111" t="str">
        <f ca="1">(IF(D76="Nothing","Yes",IF(D76="Cement, Aggregate, Steel, etc","Under Construction",IF(D76="Work not yet Started","Work not yet Started"))))</f>
        <v>Under Construction</v>
      </c>
      <c r="G77" s="111"/>
      <c r="H77" s="111"/>
    </row>
    <row r="78" spans="1:14" ht="15.75" customHeight="1" x14ac:dyDescent="0.25">
      <c r="A78" s="239" t="s">
        <v>144</v>
      </c>
      <c r="B78" s="240"/>
      <c r="C78" s="241" t="str">
        <f>D67</f>
        <v>Wing A = Gr/St + 1st to 21st Floor</v>
      </c>
      <c r="D78" s="242"/>
      <c r="E78" s="242"/>
      <c r="F78" s="242"/>
      <c r="G78" s="242"/>
      <c r="H78" s="243"/>
      <c r="I78" s="36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completed","0")))))))))))&amp;(IF(C85=(D79+F79+H79),", RCC Slab Completed",IF(C85&gt;0,", RCC upto "&amp;C85&amp;" Slab Completed",""))&amp;(IF(C86=H79,", Brickwork Completed",IF(C86&gt;0,", Brickwork upto "&amp;C86&amp;" Floor Completed",""))&amp;(IF(C87=H79,", Internal Plaster Completed",IF(C87&gt;0,", Internal Plaster upto "&amp;C87&amp;" Floor Completed",""))&amp;(IF(C88=H79,", External Plaster Completed",IF(C88&gt;0,", External Plaster upto "&amp;C88&amp;" Floor Completed",""))&amp;(IF(C89=H79,", Flooring Completed",IF(C89&gt;0,", Flooring upto "&amp;C89&amp;" Floor Completed",""))&amp;(IF(C90=H79,", Painting Completed",IF(C90&gt;0,", Painting upto "&amp;C90&amp;" Floor Completed",""))&amp;(IF(C91&gt;0,", Finishing upto "&amp;C91&amp;" Floor Completed","")&amp;(IF(C85&gt;0.5,".",""))))))))))))))</f>
        <v>All work completed. Please provide OC.</v>
      </c>
      <c r="J78" s="15"/>
    </row>
    <row r="79" spans="1:14" x14ac:dyDescent="0.25">
      <c r="A79" s="41" t="s">
        <v>146</v>
      </c>
      <c r="B79" s="44">
        <v>0</v>
      </c>
      <c r="C79" s="44" t="s">
        <v>73</v>
      </c>
      <c r="D79" s="44">
        <v>1</v>
      </c>
      <c r="E79" s="44" t="s">
        <v>72</v>
      </c>
      <c r="F79" s="44">
        <v>0</v>
      </c>
      <c r="G79" s="44" t="s">
        <v>81</v>
      </c>
      <c r="H79" s="42">
        <f ca="1">--TRIM(RIGHT(SUBSTITUTE(LEFT(C78,_xlfn.AGGREGATE(16,6,FIND({0,1,2,3,4,5,6,7,8,9},C78,ROW(INDIRECT("1:"&amp;LEN(C78)))),1))," ",REPT(" ",LEN(C78))),LEN(C78)))</f>
        <v>21</v>
      </c>
      <c r="I79" s="13"/>
      <c r="J79" s="16"/>
    </row>
    <row r="80" spans="1:14" ht="21" customHeight="1" thickBot="1" x14ac:dyDescent="0.3">
      <c r="A80" s="244" t="s">
        <v>91</v>
      </c>
      <c r="B80" s="245"/>
      <c r="C80" s="246" t="str">
        <f>I80</f>
        <v>All work Completed. OC Received.</v>
      </c>
      <c r="D80" s="246"/>
      <c r="E80" s="246"/>
      <c r="F80" s="246"/>
      <c r="G80" s="246"/>
      <c r="H80" s="247"/>
      <c r="I80" s="13" t="s">
        <v>108</v>
      </c>
      <c r="J80" s="16"/>
    </row>
    <row r="81" spans="1:10" ht="30.6" customHeight="1" thickBot="1" x14ac:dyDescent="0.3">
      <c r="A81" s="213" t="s">
        <v>86</v>
      </c>
      <c r="B81" s="214"/>
      <c r="C81" s="215">
        <f ca="1">E83</f>
        <v>1</v>
      </c>
      <c r="D81" s="216"/>
      <c r="E81" s="217" t="s">
        <v>85</v>
      </c>
      <c r="F81" s="216"/>
      <c r="G81" s="215">
        <f ca="1">G83</f>
        <v>1</v>
      </c>
      <c r="H81" s="218"/>
      <c r="I81" s="13"/>
      <c r="J81" s="16"/>
    </row>
    <row r="82" spans="1:10" ht="15.75" hidden="1" customHeight="1" x14ac:dyDescent="0.25">
      <c r="A82" s="248" t="s">
        <v>49</v>
      </c>
      <c r="B82" s="249"/>
      <c r="C82" s="68" t="s">
        <v>143</v>
      </c>
      <c r="D82" s="68" t="s">
        <v>84</v>
      </c>
      <c r="E82" s="249" t="s">
        <v>86</v>
      </c>
      <c r="F82" s="249"/>
      <c r="G82" s="249" t="s">
        <v>85</v>
      </c>
      <c r="H82" s="250"/>
      <c r="I82" s="32" t="s">
        <v>145</v>
      </c>
      <c r="J82" s="17">
        <f ca="1">H79*25%</f>
        <v>5.25</v>
      </c>
    </row>
    <row r="83" spans="1:10" hidden="1" x14ac:dyDescent="0.25">
      <c r="A83" s="94" t="s">
        <v>132</v>
      </c>
      <c r="B83" s="95"/>
      <c r="C83" s="47">
        <f ca="1">J84</f>
        <v>21</v>
      </c>
      <c r="D83" s="48">
        <f ca="1">((100/H79)*C83)/100</f>
        <v>1</v>
      </c>
      <c r="E83" s="96">
        <f ca="1">(((C84/H79*10)+(40/(D79+F79+H79)*C85)+(7.5/(H79)*C86)+(7.5/(H79)*C87)+(10/H79*C88)+(10/H79*C89)+(5/H79*C90)+(5/H79*C91)+(5/H79*C92))/100)</f>
        <v>1</v>
      </c>
      <c r="F83" s="96"/>
      <c r="G83" s="96">
        <f ca="1">((((C83/H79)*20)+((C84/H79)*25)+(30/(H79+F79+D79)*C85)+(5/H79*C86)+(5/H79*C87)+(5/H79*C88)+(5/H79*C89)+(0/H79*C90)+(0/H79*C91)+(5/H79*C92))/100)</f>
        <v>1</v>
      </c>
      <c r="H83" s="98"/>
      <c r="I83" s="32" t="s">
        <v>103</v>
      </c>
      <c r="J83" s="35">
        <f ca="1">H79*50%</f>
        <v>10.5</v>
      </c>
    </row>
    <row r="84" spans="1:10" hidden="1" x14ac:dyDescent="0.25">
      <c r="A84" s="94" t="s">
        <v>50</v>
      </c>
      <c r="B84" s="95"/>
      <c r="C84" s="49">
        <v>21</v>
      </c>
      <c r="D84" s="48">
        <f ca="1">((100/H79)*C84)/100</f>
        <v>1</v>
      </c>
      <c r="E84" s="96"/>
      <c r="F84" s="96"/>
      <c r="G84" s="96"/>
      <c r="H84" s="98"/>
      <c r="I84" s="32" t="s">
        <v>104</v>
      </c>
      <c r="J84" s="35">
        <f ca="1">H79</f>
        <v>21</v>
      </c>
    </row>
    <row r="85" spans="1:10" ht="15.75" hidden="1" customHeight="1" x14ac:dyDescent="0.25">
      <c r="A85" s="94" t="s">
        <v>133</v>
      </c>
      <c r="B85" s="95"/>
      <c r="C85" s="49">
        <v>22</v>
      </c>
      <c r="D85" s="48">
        <f ca="1">((100/(D79+F79+H79))*C85)/100</f>
        <v>1.0000000000000002</v>
      </c>
      <c r="E85" s="96"/>
      <c r="F85" s="96"/>
      <c r="G85" s="96"/>
      <c r="H85" s="98"/>
      <c r="I85" s="32" t="s">
        <v>105</v>
      </c>
      <c r="J85" s="38">
        <f ca="1">(IF(B79&gt;1,(H79/(B79+2)),H79/4))</f>
        <v>5.25</v>
      </c>
    </row>
    <row r="86" spans="1:10" ht="15.75" hidden="1" customHeight="1" x14ac:dyDescent="0.25">
      <c r="A86" s="94" t="s">
        <v>140</v>
      </c>
      <c r="B86" s="95" t="s">
        <v>134</v>
      </c>
      <c r="C86" s="47">
        <v>21</v>
      </c>
      <c r="D86" s="48">
        <f ca="1">((100/H79)*C86)/100</f>
        <v>1</v>
      </c>
      <c r="E86" s="96"/>
      <c r="F86" s="96"/>
      <c r="G86" s="96"/>
      <c r="H86" s="98"/>
      <c r="I86" s="32" t="s">
        <v>106</v>
      </c>
      <c r="J86" s="38">
        <f ca="1">(IF(B79&gt;1,(H79/(B79+2)+J85),H79/4+J85))</f>
        <v>10.5</v>
      </c>
    </row>
    <row r="87" spans="1:10" ht="15.75" hidden="1" customHeight="1" x14ac:dyDescent="0.25">
      <c r="A87" s="94" t="s">
        <v>141</v>
      </c>
      <c r="B87" s="95" t="s">
        <v>134</v>
      </c>
      <c r="C87" s="47">
        <v>21</v>
      </c>
      <c r="D87" s="48">
        <f ca="1">((100/H79)*C87)/100</f>
        <v>1</v>
      </c>
      <c r="E87" s="96"/>
      <c r="F87" s="96"/>
      <c r="G87" s="96"/>
      <c r="H87" s="98"/>
      <c r="I87" s="32" t="s">
        <v>150</v>
      </c>
      <c r="J87" s="38">
        <f>(IF(B79&gt;1,(H79/(B79+2)+J86),0))</f>
        <v>0</v>
      </c>
    </row>
    <row r="88" spans="1:10" ht="15" hidden="1" customHeight="1" x14ac:dyDescent="0.25">
      <c r="A88" s="94" t="s">
        <v>139</v>
      </c>
      <c r="B88" s="95" t="s">
        <v>136</v>
      </c>
      <c r="C88" s="47">
        <v>21</v>
      </c>
      <c r="D88" s="48">
        <f ca="1">((100/(H79))*C88)/100</f>
        <v>1</v>
      </c>
      <c r="E88" s="96"/>
      <c r="F88" s="96"/>
      <c r="G88" s="96"/>
      <c r="H88" s="98"/>
      <c r="I88" s="32" t="s">
        <v>147</v>
      </c>
      <c r="J88" s="38">
        <f>(IF(B79&gt;2,(H79/(B79+2)+J87),0))</f>
        <v>0</v>
      </c>
    </row>
    <row r="89" spans="1:10" ht="15.75" hidden="1" customHeight="1" x14ac:dyDescent="0.25">
      <c r="A89" s="94" t="s">
        <v>135</v>
      </c>
      <c r="B89" s="95" t="s">
        <v>135</v>
      </c>
      <c r="C89" s="47">
        <v>21</v>
      </c>
      <c r="D89" s="48">
        <f ca="1">((100/H79)*C89)/100</f>
        <v>1</v>
      </c>
      <c r="E89" s="96"/>
      <c r="F89" s="96"/>
      <c r="G89" s="96"/>
      <c r="H89" s="98"/>
      <c r="I89" s="32" t="s">
        <v>148</v>
      </c>
      <c r="J89" s="39">
        <f>(IF(B79&gt;3,(H79/(B79+2)+J88),0))</f>
        <v>0</v>
      </c>
    </row>
    <row r="90" spans="1:10" ht="15.75" hidden="1" customHeight="1" x14ac:dyDescent="0.25">
      <c r="A90" s="94" t="s">
        <v>142</v>
      </c>
      <c r="B90" s="95"/>
      <c r="C90" s="47">
        <v>21</v>
      </c>
      <c r="D90" s="48">
        <f ca="1">((100/H79)*C90)/100</f>
        <v>1</v>
      </c>
      <c r="E90" s="96"/>
      <c r="F90" s="96"/>
      <c r="G90" s="96"/>
      <c r="H90" s="98"/>
      <c r="I90" s="32" t="s">
        <v>149</v>
      </c>
      <c r="J90" s="38">
        <f>(IF(B79&gt;4,(H79/(B79+2)+J89),0))</f>
        <v>0</v>
      </c>
    </row>
    <row r="91" spans="1:10" ht="15.75" hidden="1" customHeight="1" x14ac:dyDescent="0.25">
      <c r="A91" s="94" t="s">
        <v>137</v>
      </c>
      <c r="B91" s="95" t="s">
        <v>137</v>
      </c>
      <c r="C91" s="47">
        <v>21</v>
      </c>
      <c r="D91" s="48">
        <f ca="1">((100/(H79))*C91)/100</f>
        <v>1</v>
      </c>
      <c r="E91" s="96"/>
      <c r="F91" s="96"/>
      <c r="G91" s="96"/>
      <c r="H91" s="98"/>
      <c r="I91" s="32" t="s">
        <v>151</v>
      </c>
      <c r="J91" s="38">
        <f ca="1">(IF(B79=1,(H79/(B79+3)+J86),IF(B79=0,(H79/4+J86),IF(B79&gt;1,0))))</f>
        <v>15.75</v>
      </c>
    </row>
    <row r="92" spans="1:10" ht="16.5" hidden="1" thickBot="1" x14ac:dyDescent="0.3">
      <c r="A92" s="106" t="s">
        <v>138</v>
      </c>
      <c r="B92" s="107"/>
      <c r="C92" s="50">
        <v>21</v>
      </c>
      <c r="D92" s="51">
        <f ca="1">((100/(H79))*C92)/100</f>
        <v>1</v>
      </c>
      <c r="E92" s="104"/>
      <c r="F92" s="104"/>
      <c r="G92" s="104"/>
      <c r="H92" s="105"/>
      <c r="I92" s="37" t="s">
        <v>107</v>
      </c>
      <c r="J92" s="40">
        <f ca="1">(IF(B79&gt;1.5,(H79/(B79+2)+J86+MAX(0,J87-J86)+MAX(0,J88-J87)+MAX(0,J89-J88)+MAX(0,J90-J89)+MAX(0,J91-J90)),IF(B79=1,(H79/(B79+3)+J91),IF(B79=0,H79/4+J91))))</f>
        <v>21</v>
      </c>
    </row>
    <row r="93" spans="1:10" ht="15.75" customHeight="1" x14ac:dyDescent="0.25">
      <c r="A93" s="183" t="s">
        <v>144</v>
      </c>
      <c r="B93" s="184"/>
      <c r="C93" s="185" t="str">
        <f>D68</f>
        <v>Wing B = Gr/St + 1st to 25th Floor</v>
      </c>
      <c r="D93" s="186"/>
      <c r="E93" s="186"/>
      <c r="F93" s="186"/>
      <c r="G93" s="186"/>
      <c r="H93" s="187"/>
      <c r="I93" s="36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Slab Completed, Brickwork Completed, Internal Plaster Completed, External Plaster Completed, Flooring upto 24 Floor Completed, Painting upto 18 Floor Completed.</v>
      </c>
      <c r="J93" s="15"/>
    </row>
    <row r="94" spans="1:10" x14ac:dyDescent="0.25">
      <c r="A94" s="41" t="s">
        <v>146</v>
      </c>
      <c r="B94" s="44">
        <v>0</v>
      </c>
      <c r="C94" s="44" t="s">
        <v>73</v>
      </c>
      <c r="D94" s="44">
        <v>1</v>
      </c>
      <c r="E94" s="44" t="s">
        <v>72</v>
      </c>
      <c r="F94" s="44">
        <v>0</v>
      </c>
      <c r="G94" s="44" t="s">
        <v>81</v>
      </c>
      <c r="H94" s="42">
        <f ca="1">--TRIM(RIGHT(SUBSTITUTE(LEFT(C93,_xlfn.AGGREGATE(16,6,FIND({0,1,2,3,4,5,6,7,8,9},C93,ROW(INDIRECT("1:"&amp;LEN(C93)))),1))," ",REPT(" ",LEN(C93))),LEN(C93)))</f>
        <v>25</v>
      </c>
      <c r="I94" s="13"/>
      <c r="J94" s="16"/>
    </row>
    <row r="95" spans="1:10" ht="49.5" customHeight="1" x14ac:dyDescent="0.25">
      <c r="A95" s="188" t="s">
        <v>91</v>
      </c>
      <c r="B95" s="189"/>
      <c r="C95" s="109" t="str">
        <f ca="1">I93</f>
        <v>Excavation work Completed. Plinth work completed, RCC Slab Completed, Brickwork Completed, Internal Plaster Completed, External Plaster Completed, Flooring upto 24 Floor Completed, Painting upto 18 Floor Completed.</v>
      </c>
      <c r="D95" s="109"/>
      <c r="E95" s="109"/>
      <c r="F95" s="109"/>
      <c r="G95" s="109"/>
      <c r="H95" s="110"/>
      <c r="I95" s="13" t="s">
        <v>108</v>
      </c>
      <c r="J95" s="16"/>
    </row>
    <row r="96" spans="1:10" ht="15.75" customHeight="1" x14ac:dyDescent="0.25">
      <c r="A96" s="94" t="s">
        <v>49</v>
      </c>
      <c r="B96" s="95"/>
      <c r="C96" s="46" t="s">
        <v>143</v>
      </c>
      <c r="D96" s="46" t="s">
        <v>84</v>
      </c>
      <c r="E96" s="95" t="s">
        <v>86</v>
      </c>
      <c r="F96" s="95"/>
      <c r="G96" s="95" t="s">
        <v>85</v>
      </c>
      <c r="H96" s="102"/>
      <c r="I96" s="32" t="s">
        <v>145</v>
      </c>
      <c r="J96" s="17">
        <f ca="1">H94*25%</f>
        <v>6.25</v>
      </c>
    </row>
    <row r="97" spans="1:10" x14ac:dyDescent="0.25">
      <c r="A97" s="94" t="s">
        <v>132</v>
      </c>
      <c r="B97" s="95"/>
      <c r="C97" s="47">
        <f ca="1">J98</f>
        <v>25</v>
      </c>
      <c r="D97" s="48">
        <f ca="1">((100/H94)*C97)/100</f>
        <v>1</v>
      </c>
      <c r="E97" s="96">
        <f ca="1">(((C98/H94*10)+(40/(D94+F94+H94)*C99)+(7.5/(H94)*C100)+(7.5/(H94)*C101)+(10/H94*C102)+(10/H94*C103)+(5/H94*C104)+(5/H94*C105)+(5/H94*C106))/100)</f>
        <v>0.8819999999999999</v>
      </c>
      <c r="F97" s="96"/>
      <c r="G97" s="96">
        <f ca="1">((((C97/H94)*20)+((C98/H94)*25)+(30/(H94+F94+D94)*C99)+(5/H94*C100)+(5/H94*C101)+(5/H94*C102)+(5/H94*C103)+(0/H94*C104)+(0/H94*C105)+(5/H94*C106))/100)</f>
        <v>0.94799999999999995</v>
      </c>
      <c r="H97" s="98"/>
      <c r="I97" s="32" t="s">
        <v>103</v>
      </c>
      <c r="J97" s="35">
        <f ca="1">H94*50%</f>
        <v>12.5</v>
      </c>
    </row>
    <row r="98" spans="1:10" x14ac:dyDescent="0.25">
      <c r="A98" s="94" t="s">
        <v>50</v>
      </c>
      <c r="B98" s="95"/>
      <c r="C98" s="49">
        <v>25</v>
      </c>
      <c r="D98" s="48">
        <f ca="1">((100/H94)*C98)/100</f>
        <v>1</v>
      </c>
      <c r="E98" s="96"/>
      <c r="F98" s="96"/>
      <c r="G98" s="96"/>
      <c r="H98" s="98"/>
      <c r="I98" s="32" t="s">
        <v>104</v>
      </c>
      <c r="J98" s="35">
        <f ca="1">H94</f>
        <v>25</v>
      </c>
    </row>
    <row r="99" spans="1:10" ht="15.75" customHeight="1" x14ac:dyDescent="0.25">
      <c r="A99" s="94" t="s">
        <v>133</v>
      </c>
      <c r="B99" s="95"/>
      <c r="C99" s="49">
        <v>26</v>
      </c>
      <c r="D99" s="48">
        <f ca="1">((100/(D94+F94+H94))*C99)/100</f>
        <v>1</v>
      </c>
      <c r="E99" s="96"/>
      <c r="F99" s="96"/>
      <c r="G99" s="96"/>
      <c r="H99" s="98"/>
      <c r="I99" s="32" t="s">
        <v>105</v>
      </c>
      <c r="J99" s="38">
        <f ca="1">(IF(B94&gt;1,(H94/(B94+2)),H94/4))</f>
        <v>6.25</v>
      </c>
    </row>
    <row r="100" spans="1:10" ht="15.75" customHeight="1" x14ac:dyDescent="0.25">
      <c r="A100" s="94" t="s">
        <v>140</v>
      </c>
      <c r="B100" s="95" t="s">
        <v>134</v>
      </c>
      <c r="C100" s="47">
        <v>25</v>
      </c>
      <c r="D100" s="48">
        <f ca="1">((100/H94)*C100)/100</f>
        <v>1</v>
      </c>
      <c r="E100" s="96"/>
      <c r="F100" s="96"/>
      <c r="G100" s="96"/>
      <c r="H100" s="98"/>
      <c r="I100" s="32" t="s">
        <v>106</v>
      </c>
      <c r="J100" s="38">
        <f ca="1">(IF(B94&gt;1,(H94/(B94+2)+J99),H94/4+J99))</f>
        <v>12.5</v>
      </c>
    </row>
    <row r="101" spans="1:10" ht="15.75" customHeight="1" x14ac:dyDescent="0.25">
      <c r="A101" s="94" t="s">
        <v>141</v>
      </c>
      <c r="B101" s="95" t="s">
        <v>134</v>
      </c>
      <c r="C101" s="47">
        <v>25</v>
      </c>
      <c r="D101" s="48">
        <f ca="1">((100/H94)*C101)/100</f>
        <v>1</v>
      </c>
      <c r="E101" s="96"/>
      <c r="F101" s="96"/>
      <c r="G101" s="96"/>
      <c r="H101" s="98"/>
      <c r="I101" s="32" t="s">
        <v>150</v>
      </c>
      <c r="J101" s="38">
        <f>(IF(B94&gt;1,(H94/(B94+2)+J100),0))</f>
        <v>0</v>
      </c>
    </row>
    <row r="102" spans="1:10" ht="15" customHeight="1" x14ac:dyDescent="0.25">
      <c r="A102" s="94" t="s">
        <v>139</v>
      </c>
      <c r="B102" s="95" t="s">
        <v>136</v>
      </c>
      <c r="C102" s="47">
        <v>25</v>
      </c>
      <c r="D102" s="48">
        <f ca="1">((100/(H94))*C102)/100</f>
        <v>1</v>
      </c>
      <c r="E102" s="96"/>
      <c r="F102" s="96"/>
      <c r="G102" s="96"/>
      <c r="H102" s="98"/>
      <c r="I102" s="32" t="s">
        <v>147</v>
      </c>
      <c r="J102" s="38">
        <f>(IF(B94&gt;2,(H94/(B94+2)+J101),0))</f>
        <v>0</v>
      </c>
    </row>
    <row r="103" spans="1:10" ht="15.75" customHeight="1" x14ac:dyDescent="0.25">
      <c r="A103" s="94" t="s">
        <v>135</v>
      </c>
      <c r="B103" s="95" t="s">
        <v>135</v>
      </c>
      <c r="C103" s="47">
        <v>24</v>
      </c>
      <c r="D103" s="48">
        <f ca="1">((100/H94)*C103)/100</f>
        <v>0.96</v>
      </c>
      <c r="E103" s="96"/>
      <c r="F103" s="96"/>
      <c r="G103" s="96"/>
      <c r="H103" s="98"/>
      <c r="I103" s="32" t="s">
        <v>148</v>
      </c>
      <c r="J103" s="39">
        <f>(IF(B94&gt;3,(H94/(B94+2)+J102),0))</f>
        <v>0</v>
      </c>
    </row>
    <row r="104" spans="1:10" ht="15.75" customHeight="1" x14ac:dyDescent="0.25">
      <c r="A104" s="94" t="s">
        <v>142</v>
      </c>
      <c r="B104" s="95"/>
      <c r="C104" s="47">
        <v>18</v>
      </c>
      <c r="D104" s="48">
        <f ca="1">((100/H94)*C104)/100</f>
        <v>0.72</v>
      </c>
      <c r="E104" s="96"/>
      <c r="F104" s="96"/>
      <c r="G104" s="96"/>
      <c r="H104" s="98"/>
      <c r="I104" s="32" t="s">
        <v>149</v>
      </c>
      <c r="J104" s="38">
        <f>(IF(B94&gt;4,(H94/(B94+2)+J103),0))</f>
        <v>0</v>
      </c>
    </row>
    <row r="105" spans="1:10" ht="15.75" customHeight="1" x14ac:dyDescent="0.25">
      <c r="A105" s="94" t="s">
        <v>137</v>
      </c>
      <c r="B105" s="95" t="s">
        <v>137</v>
      </c>
      <c r="C105" s="47">
        <v>0</v>
      </c>
      <c r="D105" s="48">
        <f ca="1">((100/(H94))*C105)/100</f>
        <v>0</v>
      </c>
      <c r="E105" s="96"/>
      <c r="F105" s="96"/>
      <c r="G105" s="96"/>
      <c r="H105" s="98"/>
      <c r="I105" s="32" t="s">
        <v>151</v>
      </c>
      <c r="J105" s="38">
        <f ca="1">(IF(B94=1,(H94/(B94+3)+J100),IF(B94=0,(H94/4+J100),IF(B94&gt;1,0))))</f>
        <v>18.75</v>
      </c>
    </row>
    <row r="106" spans="1:10" ht="16.5" thickBot="1" x14ac:dyDescent="0.3">
      <c r="A106" s="106" t="s">
        <v>138</v>
      </c>
      <c r="B106" s="107"/>
      <c r="C106" s="50">
        <v>0</v>
      </c>
      <c r="D106" s="51">
        <f ca="1">((100/(H94))*C106)/100</f>
        <v>0</v>
      </c>
      <c r="E106" s="104"/>
      <c r="F106" s="104"/>
      <c r="G106" s="104"/>
      <c r="H106" s="105"/>
      <c r="I106" s="37" t="s">
        <v>107</v>
      </c>
      <c r="J106" s="40">
        <f ca="1">(IF(B94&gt;1.5,(H94/(B94+2)+J100+MAX(0,J101-J100)+MAX(0,J102-J101)+MAX(0,J103-J102)+MAX(0,J104-J103)+MAX(0,J105-J104)),IF(B94=1,(H94/(B94+3)+J105),IF(B94=0,H94/4+J105))))</f>
        <v>25</v>
      </c>
    </row>
    <row r="107" spans="1:10" ht="15.75" customHeight="1" x14ac:dyDescent="0.25">
      <c r="A107" s="183" t="s">
        <v>144</v>
      </c>
      <c r="B107" s="184"/>
      <c r="C107" s="185" t="str">
        <f>D69</f>
        <v>Wing C = Gr/St + 1st to 25th Floor</v>
      </c>
      <c r="D107" s="186"/>
      <c r="E107" s="186"/>
      <c r="F107" s="186"/>
      <c r="G107" s="186"/>
      <c r="H107" s="187"/>
      <c r="I107" s="36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 Completed",IF(C113&gt;0,", RCC upto "&amp;C113&amp;" Slab Completed",""))&amp;(IF(C114=H108,", Brickwork Completed",IF(C114&gt;0,", Brickwork upto "&amp;C114&amp;" Floor Completed",""))&amp;(IF(C115=H108,", Internal Plaster Completed",IF(C115&gt;0,", Internal Plaster upto "&amp;C115&amp;" Floor Completed",""))&amp;(IF(C116=H108,", External Plaster Completed",IF(C116&gt;0,", External Plaster upto "&amp;C116&amp;" Floor Completed",""))&amp;(IF(C117=H108,", Flooring Completed",IF(C117&gt;0,", Flooring upto "&amp;C117&amp;" Floor Completed",""))&amp;(IF(C118=H108,", Painting Completed",IF(C118&gt;0,", Painting upto "&amp;C118&amp;" Floor Completed",""))&amp;(IF(C119&gt;0,", Finishing upto "&amp;C119&amp;" Floor Completed","")&amp;(IF(C113&gt;0.5,".",""))))))))))))))</f>
        <v>Excavation work Completed. Plinth work completed, RCC upto 18 Slab Completed, Brickwork upto 14 Floor Completed, Internal Plaster upto 11 Floor Completed.</v>
      </c>
      <c r="J107" s="15"/>
    </row>
    <row r="108" spans="1:10" x14ac:dyDescent="0.25">
      <c r="A108" s="41" t="s">
        <v>146</v>
      </c>
      <c r="B108" s="44">
        <v>0</v>
      </c>
      <c r="C108" s="44" t="s">
        <v>73</v>
      </c>
      <c r="D108" s="44">
        <v>1</v>
      </c>
      <c r="E108" s="44" t="s">
        <v>72</v>
      </c>
      <c r="F108" s="44">
        <v>0</v>
      </c>
      <c r="G108" s="44" t="s">
        <v>81</v>
      </c>
      <c r="H108" s="42">
        <f ca="1">--TRIM(RIGHT(SUBSTITUTE(LEFT(C107,_xlfn.AGGREGATE(16,6,FIND({0,1,2,3,4,5,6,7,8,9},C107,ROW(INDIRECT("1:"&amp;LEN(C107)))),1))," ",REPT(" ",LEN(C107))),LEN(C107)))</f>
        <v>25</v>
      </c>
      <c r="I108" s="13"/>
      <c r="J108" s="16"/>
    </row>
    <row r="109" spans="1:10" ht="33.75" customHeight="1" x14ac:dyDescent="0.25">
      <c r="A109" s="188" t="s">
        <v>91</v>
      </c>
      <c r="B109" s="189"/>
      <c r="C109" s="109" t="str">
        <f ca="1">I107</f>
        <v>Excavation work Completed. Plinth work completed, RCC upto 18 Slab Completed, Brickwork upto 14 Floor Completed, Internal Plaster upto 11 Floor Completed.</v>
      </c>
      <c r="D109" s="109"/>
      <c r="E109" s="109"/>
      <c r="F109" s="109"/>
      <c r="G109" s="109"/>
      <c r="H109" s="110"/>
      <c r="I109" s="13" t="s">
        <v>108</v>
      </c>
      <c r="J109" s="16"/>
    </row>
    <row r="110" spans="1:10" ht="15.75" customHeight="1" x14ac:dyDescent="0.25">
      <c r="A110" s="94" t="s">
        <v>49</v>
      </c>
      <c r="B110" s="95"/>
      <c r="C110" s="64" t="s">
        <v>143</v>
      </c>
      <c r="D110" s="64" t="s">
        <v>84</v>
      </c>
      <c r="E110" s="95" t="s">
        <v>86</v>
      </c>
      <c r="F110" s="95"/>
      <c r="G110" s="95" t="s">
        <v>85</v>
      </c>
      <c r="H110" s="102"/>
      <c r="I110" s="32" t="s">
        <v>145</v>
      </c>
      <c r="J110" s="17">
        <f ca="1">H108*25%</f>
        <v>6.25</v>
      </c>
    </row>
    <row r="111" spans="1:10" x14ac:dyDescent="0.25">
      <c r="A111" s="94" t="s">
        <v>132</v>
      </c>
      <c r="B111" s="95"/>
      <c r="C111" s="47">
        <f ca="1">J112</f>
        <v>25</v>
      </c>
      <c r="D111" s="65">
        <f ca="1">((100/H108)*C111)/100</f>
        <v>1</v>
      </c>
      <c r="E111" s="96">
        <f ca="1">(((C112/H108*10)+(40/(D108+F108+H108)*C113)+(7.5/(H108)*C114)+(7.5/(H108)*C115)+(10/H108*C116)+(10/H108*C117)+(5/H108*C118)+(5/H108*C119)+(5/H108*C120))/100)</f>
        <v>0.45192307692307693</v>
      </c>
      <c r="F111" s="96"/>
      <c r="G111" s="96">
        <f ca="1">((((C111/H108)*20)+((C112/H108)*25)+(30/(H108+F108+D108)*C113)+(5/H108*C114)+(5/H108*C115)+(5/H108*C116)+(5/H108*C117)+(0/H108*C118)+(0/H108*C119)+(5/H108*C120))/100)</f>
        <v>0.70769230769230773</v>
      </c>
      <c r="H111" s="98"/>
      <c r="I111" s="32" t="s">
        <v>103</v>
      </c>
      <c r="J111" s="35">
        <f ca="1">H108*50%</f>
        <v>12.5</v>
      </c>
    </row>
    <row r="112" spans="1:10" x14ac:dyDescent="0.25">
      <c r="A112" s="94" t="s">
        <v>50</v>
      </c>
      <c r="B112" s="95"/>
      <c r="C112" s="49">
        <v>25</v>
      </c>
      <c r="D112" s="65">
        <f ca="1">((100/H108)*C112)/100</f>
        <v>1</v>
      </c>
      <c r="E112" s="96"/>
      <c r="F112" s="96"/>
      <c r="G112" s="96"/>
      <c r="H112" s="98"/>
      <c r="I112" s="32" t="s">
        <v>104</v>
      </c>
      <c r="J112" s="35">
        <f ca="1">H108</f>
        <v>25</v>
      </c>
    </row>
    <row r="113" spans="1:10" ht="15.75" customHeight="1" x14ac:dyDescent="0.25">
      <c r="A113" s="94" t="s">
        <v>133</v>
      </c>
      <c r="B113" s="95"/>
      <c r="C113" s="49">
        <v>18</v>
      </c>
      <c r="D113" s="65">
        <f ca="1">((100/(D108+F108+H108))*C113)/100</f>
        <v>0.69230769230769229</v>
      </c>
      <c r="E113" s="96"/>
      <c r="F113" s="96"/>
      <c r="G113" s="96"/>
      <c r="H113" s="98"/>
      <c r="I113" s="32" t="s">
        <v>105</v>
      </c>
      <c r="J113" s="38">
        <f ca="1">(IF(B108&gt;1,(H108/(B108+2)),H108/4))</f>
        <v>6.25</v>
      </c>
    </row>
    <row r="114" spans="1:10" ht="15.75" customHeight="1" x14ac:dyDescent="0.25">
      <c r="A114" s="94" t="s">
        <v>140</v>
      </c>
      <c r="B114" s="95" t="s">
        <v>134</v>
      </c>
      <c r="C114" s="47">
        <v>14</v>
      </c>
      <c r="D114" s="65">
        <f ca="1">((100/H108)*C114)/100</f>
        <v>0.56000000000000005</v>
      </c>
      <c r="E114" s="96"/>
      <c r="F114" s="96"/>
      <c r="G114" s="96"/>
      <c r="H114" s="98"/>
      <c r="I114" s="32" t="s">
        <v>106</v>
      </c>
      <c r="J114" s="38">
        <f ca="1">(IF(B108&gt;1,(H108/(B108+2)+J113),H108/4+J113))</f>
        <v>12.5</v>
      </c>
    </row>
    <row r="115" spans="1:10" ht="15.75" customHeight="1" x14ac:dyDescent="0.25">
      <c r="A115" s="94" t="s">
        <v>141</v>
      </c>
      <c r="B115" s="95" t="s">
        <v>134</v>
      </c>
      <c r="C115" s="47">
        <v>11</v>
      </c>
      <c r="D115" s="65">
        <f ca="1">((100/H108)*C115)/100</f>
        <v>0.44</v>
      </c>
      <c r="E115" s="96"/>
      <c r="F115" s="96"/>
      <c r="G115" s="96"/>
      <c r="H115" s="98"/>
      <c r="I115" s="32" t="s">
        <v>150</v>
      </c>
      <c r="J115" s="38">
        <f>(IF(B108&gt;1,(H108/(B108+2)+J114),0))</f>
        <v>0</v>
      </c>
    </row>
    <row r="116" spans="1:10" ht="15" customHeight="1" x14ac:dyDescent="0.25">
      <c r="A116" s="94" t="s">
        <v>139</v>
      </c>
      <c r="B116" s="95" t="s">
        <v>136</v>
      </c>
      <c r="C116" s="47">
        <v>0</v>
      </c>
      <c r="D116" s="65">
        <f ca="1">((100/(H108))*C116)/100</f>
        <v>0</v>
      </c>
      <c r="E116" s="96"/>
      <c r="F116" s="96"/>
      <c r="G116" s="96"/>
      <c r="H116" s="98"/>
      <c r="I116" s="32" t="s">
        <v>147</v>
      </c>
      <c r="J116" s="38">
        <f>(IF(B108&gt;2,(H108/(B108+2)+J115),0))</f>
        <v>0</v>
      </c>
    </row>
    <row r="117" spans="1:10" ht="15.75" customHeight="1" x14ac:dyDescent="0.25">
      <c r="A117" s="94" t="s">
        <v>135</v>
      </c>
      <c r="B117" s="95" t="s">
        <v>135</v>
      </c>
      <c r="C117" s="47">
        <v>0</v>
      </c>
      <c r="D117" s="65">
        <f ca="1">((100/H108)*C117)/100</f>
        <v>0</v>
      </c>
      <c r="E117" s="96"/>
      <c r="F117" s="96"/>
      <c r="G117" s="96"/>
      <c r="H117" s="98"/>
      <c r="I117" s="32" t="s">
        <v>148</v>
      </c>
      <c r="J117" s="39">
        <f>(IF(B108&gt;3,(H108/(B108+2)+J116),0))</f>
        <v>0</v>
      </c>
    </row>
    <row r="118" spans="1:10" ht="15.75" customHeight="1" x14ac:dyDescent="0.25">
      <c r="A118" s="94" t="s">
        <v>142</v>
      </c>
      <c r="B118" s="95"/>
      <c r="C118" s="47">
        <v>0</v>
      </c>
      <c r="D118" s="65">
        <f ca="1">((100/H108)*C118)/100</f>
        <v>0</v>
      </c>
      <c r="E118" s="96"/>
      <c r="F118" s="96"/>
      <c r="G118" s="96"/>
      <c r="H118" s="98"/>
      <c r="I118" s="32" t="s">
        <v>149</v>
      </c>
      <c r="J118" s="38">
        <f>(IF(B108&gt;4,(H108/(B108+2)+J117),0))</f>
        <v>0</v>
      </c>
    </row>
    <row r="119" spans="1:10" ht="15.75" customHeight="1" x14ac:dyDescent="0.25">
      <c r="A119" s="94" t="s">
        <v>137</v>
      </c>
      <c r="B119" s="95" t="s">
        <v>137</v>
      </c>
      <c r="C119" s="47">
        <v>0</v>
      </c>
      <c r="D119" s="65">
        <f ca="1">((100/(H108))*C119)/100</f>
        <v>0</v>
      </c>
      <c r="E119" s="96"/>
      <c r="F119" s="96"/>
      <c r="G119" s="96"/>
      <c r="H119" s="98"/>
      <c r="I119" s="32" t="s">
        <v>151</v>
      </c>
      <c r="J119" s="38">
        <f ca="1">(IF(B108=1,(H108/(B108+3)+J114),IF(B108=0,(H108/4+J114),IF(B108&gt;1,0))))</f>
        <v>18.75</v>
      </c>
    </row>
    <row r="120" spans="1:10" ht="16.5" thickBot="1" x14ac:dyDescent="0.3">
      <c r="A120" s="100" t="s">
        <v>138</v>
      </c>
      <c r="B120" s="101"/>
      <c r="C120" s="71">
        <v>0</v>
      </c>
      <c r="D120" s="72">
        <f ca="1">((100/(H108))*C120)/100</f>
        <v>0</v>
      </c>
      <c r="E120" s="97"/>
      <c r="F120" s="97"/>
      <c r="G120" s="97"/>
      <c r="H120" s="99"/>
      <c r="I120" s="37" t="s">
        <v>107</v>
      </c>
      <c r="J120" s="40">
        <f ca="1">(IF(B108&gt;1.5,(H108/(B108+2)+J114+MAX(0,J115-J114)+MAX(0,J116-J115)+MAX(0,J117-J116)+MAX(0,J118-J117)+MAX(0,J119-J118)),IF(B108=1,(H108/(B108+3)+J119),IF(B108=0,H108/4+J119))))</f>
        <v>25</v>
      </c>
    </row>
    <row r="121" spans="1:10" ht="15.75" customHeight="1" x14ac:dyDescent="0.25">
      <c r="A121" s="183" t="s">
        <v>144</v>
      </c>
      <c r="B121" s="184"/>
      <c r="C121" s="185" t="str">
        <f>D70</f>
        <v>Wing D = Gr/St + 1st to 25th Floor</v>
      </c>
      <c r="D121" s="186"/>
      <c r="E121" s="186"/>
      <c r="F121" s="186"/>
      <c r="G121" s="186"/>
      <c r="H121" s="187"/>
      <c r="I121" s="36" t="str">
        <f ca="1"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","0")))&amp;(IF(C126=0%,"",IF(C126=J127,"Footing work is process",IF(C126=J128,"Footing work Completed",IF(C126=J129,"1st Basement Completed",IF(C126=J130,"1st &amp; 2nd Basement Completed",IF(C126=J131,"1st to 3rd Basement Completed",IF(C126=J132,"1st to 4th Basement Completed",IF(C126=J133,"Plinth work is process",IF(C126=J134,"Plinth work completed","0")))))))))))&amp;(IF(C127=(D122+F122+H122),", RCC Slab Completed",IF(C127&gt;0,", RCC upto "&amp;C127&amp;" Slab Completed",""))&amp;(IF(C128=H122,", Brickwork Completed",IF(C128&gt;0,", Brickwork upto "&amp;C128&amp;" Floor Completed",""))&amp;(IF(C129=H122,", Internal Plaster Completed",IF(C129&gt;0,", Internal Plaster upto "&amp;C129&amp;" Floor Completed",""))&amp;(IF(C130=H122,", External Plaster Completed",IF(C130&gt;0,", External Plaster upto "&amp;C130&amp;" Floor Completed",""))&amp;(IF(C131=H122,", Flooring Completed",IF(C131&gt;0,", Flooring upto "&amp;C131&amp;" Floor Completed",""))&amp;(IF(C132=H122,", Painting Completed",IF(C132&gt;0,", Painting upto "&amp;C132&amp;" Floor Completed",""))&amp;(IF(C133&gt;0,", Finishing upto "&amp;C133&amp;" Floor Completed","")&amp;(IF(C127&gt;0.5,".",""))))))))))))))</f>
        <v>Excavation work Completed. Plinth work completed, RCC upto 3 Slab Completed.</v>
      </c>
      <c r="J121" s="15"/>
    </row>
    <row r="122" spans="1:10" x14ac:dyDescent="0.25">
      <c r="A122" s="41" t="s">
        <v>146</v>
      </c>
      <c r="B122" s="44">
        <v>0</v>
      </c>
      <c r="C122" s="44" t="s">
        <v>73</v>
      </c>
      <c r="D122" s="44">
        <v>1</v>
      </c>
      <c r="E122" s="44" t="s">
        <v>72</v>
      </c>
      <c r="F122" s="44">
        <v>0</v>
      </c>
      <c r="G122" s="44" t="s">
        <v>81</v>
      </c>
      <c r="H122" s="42">
        <f ca="1">--TRIM(RIGHT(SUBSTITUTE(LEFT(C121,_xlfn.AGGREGATE(16,6,FIND({0,1,2,3,4,5,6,7,8,9},C121,ROW(INDIRECT("1:"&amp;LEN(C121)))),1))," ",REPT(" ",LEN(C121))),LEN(C121)))</f>
        <v>25</v>
      </c>
      <c r="I122" s="13"/>
      <c r="J122" s="16"/>
    </row>
    <row r="123" spans="1:10" x14ac:dyDescent="0.25">
      <c r="A123" s="188" t="s">
        <v>91</v>
      </c>
      <c r="B123" s="189"/>
      <c r="C123" s="109" t="str">
        <f ca="1">I121</f>
        <v>Excavation work Completed. Plinth work completed, RCC upto 3 Slab Completed.</v>
      </c>
      <c r="D123" s="109"/>
      <c r="E123" s="109"/>
      <c r="F123" s="109"/>
      <c r="G123" s="109"/>
      <c r="H123" s="110"/>
      <c r="I123" s="13" t="s">
        <v>108</v>
      </c>
      <c r="J123" s="16"/>
    </row>
    <row r="124" spans="1:10" ht="15.75" customHeight="1" x14ac:dyDescent="0.25">
      <c r="A124" s="94" t="s">
        <v>49</v>
      </c>
      <c r="B124" s="95"/>
      <c r="C124" s="73" t="s">
        <v>143</v>
      </c>
      <c r="D124" s="73" t="s">
        <v>84</v>
      </c>
      <c r="E124" s="95" t="s">
        <v>86</v>
      </c>
      <c r="F124" s="95"/>
      <c r="G124" s="95" t="s">
        <v>85</v>
      </c>
      <c r="H124" s="102"/>
      <c r="I124" s="32" t="s">
        <v>145</v>
      </c>
      <c r="J124" s="17">
        <f ca="1">H122*25%</f>
        <v>6.25</v>
      </c>
    </row>
    <row r="125" spans="1:10" x14ac:dyDescent="0.25">
      <c r="A125" s="94" t="s">
        <v>132</v>
      </c>
      <c r="B125" s="95"/>
      <c r="C125" s="47">
        <f ca="1">J126</f>
        <v>25</v>
      </c>
      <c r="D125" s="74">
        <f ca="1">((100/H122)*C125)/100</f>
        <v>1</v>
      </c>
      <c r="E125" s="96">
        <f ca="1">(((C126/H122*10)+(40/(D122+F122+H122)*C127)+(7.5/(H122)*C128)+(7.5/(H122)*C129)+(10/H122*C130)+(10/H122*C131)+(5/H122*C132)+(5/H122*C133)+(5/H122*C134))/100)</f>
        <v>0.14615384615384616</v>
      </c>
      <c r="F125" s="96"/>
      <c r="G125" s="96">
        <f ca="1">((((C125/H122)*20)+((C126/H122)*25)+(30/(H122+F122+D122)*C127)+(5/H122*C128)+(5/H122*C129)+(5/H122*C130)+(5/H122*C131)+(0/H122*C132)+(0/H122*C133)+(5/H122*C134))/100)</f>
        <v>0.48461538461538461</v>
      </c>
      <c r="H125" s="98"/>
      <c r="I125" s="32" t="s">
        <v>103</v>
      </c>
      <c r="J125" s="35">
        <f ca="1">H122*50%</f>
        <v>12.5</v>
      </c>
    </row>
    <row r="126" spans="1:10" x14ac:dyDescent="0.25">
      <c r="A126" s="94" t="s">
        <v>50</v>
      </c>
      <c r="B126" s="95"/>
      <c r="C126" s="49">
        <f ca="1">J134</f>
        <v>25</v>
      </c>
      <c r="D126" s="74">
        <f ca="1">((100/H122)*C126)/100</f>
        <v>1</v>
      </c>
      <c r="E126" s="96"/>
      <c r="F126" s="96"/>
      <c r="G126" s="96"/>
      <c r="H126" s="98"/>
      <c r="I126" s="32" t="s">
        <v>104</v>
      </c>
      <c r="J126" s="35">
        <f ca="1">H122</f>
        <v>25</v>
      </c>
    </row>
    <row r="127" spans="1:10" ht="15.75" customHeight="1" x14ac:dyDescent="0.25">
      <c r="A127" s="94" t="s">
        <v>133</v>
      </c>
      <c r="B127" s="95"/>
      <c r="C127" s="49">
        <v>3</v>
      </c>
      <c r="D127" s="74">
        <f ca="1">((100/(D122+F122+H122))*C127)/100</f>
        <v>0.11538461538461538</v>
      </c>
      <c r="E127" s="96"/>
      <c r="F127" s="96"/>
      <c r="G127" s="96"/>
      <c r="H127" s="98"/>
      <c r="I127" s="32" t="s">
        <v>105</v>
      </c>
      <c r="J127" s="38">
        <f ca="1">(IF(B122&gt;1,(H122/(B122+2)),H122/4))</f>
        <v>6.25</v>
      </c>
    </row>
    <row r="128" spans="1:10" ht="15.75" customHeight="1" x14ac:dyDescent="0.25">
      <c r="A128" s="94" t="s">
        <v>140</v>
      </c>
      <c r="B128" s="95" t="s">
        <v>134</v>
      </c>
      <c r="C128" s="49">
        <v>0</v>
      </c>
      <c r="D128" s="74">
        <f ca="1">((100/H122)*C128)/100</f>
        <v>0</v>
      </c>
      <c r="E128" s="96"/>
      <c r="F128" s="96"/>
      <c r="G128" s="96"/>
      <c r="H128" s="98"/>
      <c r="I128" s="32" t="s">
        <v>106</v>
      </c>
      <c r="J128" s="38">
        <f ca="1">(IF(B122&gt;1,(H122/(B122+2)+J127),H122/4+J127))</f>
        <v>12.5</v>
      </c>
    </row>
    <row r="129" spans="1:10" ht="15.75" customHeight="1" x14ac:dyDescent="0.25">
      <c r="A129" s="94" t="s">
        <v>141</v>
      </c>
      <c r="B129" s="95" t="s">
        <v>134</v>
      </c>
      <c r="C129" s="49">
        <v>0</v>
      </c>
      <c r="D129" s="74">
        <f ca="1">((100/H122)*C129)/100</f>
        <v>0</v>
      </c>
      <c r="E129" s="96"/>
      <c r="F129" s="96"/>
      <c r="G129" s="96"/>
      <c r="H129" s="98"/>
      <c r="I129" s="32" t="s">
        <v>150</v>
      </c>
      <c r="J129" s="38">
        <f>(IF(B122&gt;1,(H122/(B122+2)+J128),0))</f>
        <v>0</v>
      </c>
    </row>
    <row r="130" spans="1:10" ht="15" customHeight="1" x14ac:dyDescent="0.25">
      <c r="A130" s="94" t="s">
        <v>139</v>
      </c>
      <c r="B130" s="95" t="s">
        <v>136</v>
      </c>
      <c r="C130" s="49">
        <v>0</v>
      </c>
      <c r="D130" s="74">
        <f ca="1">((100/(H122))*C130)/100</f>
        <v>0</v>
      </c>
      <c r="E130" s="96"/>
      <c r="F130" s="96"/>
      <c r="G130" s="96"/>
      <c r="H130" s="98"/>
      <c r="I130" s="32" t="s">
        <v>147</v>
      </c>
      <c r="J130" s="38">
        <f>(IF(B122&gt;2,(H122/(B122+2)+J129),0))</f>
        <v>0</v>
      </c>
    </row>
    <row r="131" spans="1:10" ht="15.75" customHeight="1" x14ac:dyDescent="0.25">
      <c r="A131" s="94" t="s">
        <v>135</v>
      </c>
      <c r="B131" s="95" t="s">
        <v>135</v>
      </c>
      <c r="C131" s="49">
        <v>0</v>
      </c>
      <c r="D131" s="74">
        <f ca="1">((100/H122)*C131)/100</f>
        <v>0</v>
      </c>
      <c r="E131" s="96"/>
      <c r="F131" s="96"/>
      <c r="G131" s="96"/>
      <c r="H131" s="98"/>
      <c r="I131" s="32" t="s">
        <v>148</v>
      </c>
      <c r="J131" s="39">
        <f>(IF(B122&gt;3,(H122/(B122+2)+J130),0))</f>
        <v>0</v>
      </c>
    </row>
    <row r="132" spans="1:10" ht="15.75" customHeight="1" x14ac:dyDescent="0.25">
      <c r="A132" s="94" t="s">
        <v>142</v>
      </c>
      <c r="B132" s="95"/>
      <c r="C132" s="47">
        <v>0</v>
      </c>
      <c r="D132" s="74">
        <f ca="1">((100/H122)*C132)/100</f>
        <v>0</v>
      </c>
      <c r="E132" s="96"/>
      <c r="F132" s="96"/>
      <c r="G132" s="96"/>
      <c r="H132" s="98"/>
      <c r="I132" s="32" t="s">
        <v>149</v>
      </c>
      <c r="J132" s="38">
        <f>(IF(B122&gt;4,(H122/(B122+2)+J131),0))</f>
        <v>0</v>
      </c>
    </row>
    <row r="133" spans="1:10" ht="15.75" customHeight="1" x14ac:dyDescent="0.25">
      <c r="A133" s="94" t="s">
        <v>137</v>
      </c>
      <c r="B133" s="95" t="s">
        <v>137</v>
      </c>
      <c r="C133" s="47">
        <v>0</v>
      </c>
      <c r="D133" s="74">
        <f ca="1">((100/(H122))*C133)/100</f>
        <v>0</v>
      </c>
      <c r="E133" s="96"/>
      <c r="F133" s="96"/>
      <c r="G133" s="96"/>
      <c r="H133" s="98"/>
      <c r="I133" s="32" t="s">
        <v>151</v>
      </c>
      <c r="J133" s="38">
        <f ca="1">(IF(B122=1,(H122/(B122+3)+J128),IF(B122=0,(H122/4+J128),IF(B122&gt;1,0))))</f>
        <v>18.75</v>
      </c>
    </row>
    <row r="134" spans="1:10" ht="16.5" thickBot="1" x14ac:dyDescent="0.3">
      <c r="A134" s="100" t="s">
        <v>138</v>
      </c>
      <c r="B134" s="101"/>
      <c r="C134" s="71">
        <v>0</v>
      </c>
      <c r="D134" s="75">
        <f ca="1">((100/(H122))*C134)/100</f>
        <v>0</v>
      </c>
      <c r="E134" s="97"/>
      <c r="F134" s="97"/>
      <c r="G134" s="97"/>
      <c r="H134" s="99"/>
      <c r="I134" s="37" t="s">
        <v>107</v>
      </c>
      <c r="J134" s="40">
        <f ca="1">(IF(B122&gt;1.5,(H122/(B122+2)+J128+MAX(0,J129-J128)+MAX(0,J130-J129)+MAX(0,J131-J130)+MAX(0,J132-J131)+MAX(0,J133-J132)),IF(B122=1,(H122/(B122+3)+J133),IF(B122=0,H122/4+J133))))</f>
        <v>25</v>
      </c>
    </row>
    <row r="135" spans="1:10" x14ac:dyDescent="0.25">
      <c r="A135" s="191" t="s">
        <v>51</v>
      </c>
      <c r="B135" s="191"/>
      <c r="C135" s="191"/>
      <c r="D135" s="191"/>
      <c r="E135" s="191"/>
      <c r="F135" s="191"/>
      <c r="G135" s="191"/>
      <c r="H135" s="191"/>
    </row>
    <row r="136" spans="1:10" x14ac:dyDescent="0.25">
      <c r="A136" s="93" t="s">
        <v>156</v>
      </c>
      <c r="B136" s="93"/>
      <c r="C136" s="93"/>
      <c r="D136" s="93"/>
      <c r="E136" s="93"/>
      <c r="F136" s="148">
        <v>4200</v>
      </c>
      <c r="G136" s="148"/>
      <c r="H136" s="148"/>
    </row>
    <row r="137" spans="1:10" x14ac:dyDescent="0.25">
      <c r="A137" s="93" t="s">
        <v>269</v>
      </c>
      <c r="B137" s="93"/>
      <c r="C137" s="93"/>
      <c r="D137" s="93"/>
      <c r="E137" s="93"/>
      <c r="F137" s="268">
        <v>8000</v>
      </c>
      <c r="G137" s="268"/>
      <c r="H137" s="268"/>
    </row>
    <row r="138" spans="1:10" x14ac:dyDescent="0.25">
      <c r="A138" s="93" t="s">
        <v>270</v>
      </c>
      <c r="B138" s="93"/>
      <c r="C138" s="93"/>
      <c r="D138" s="93"/>
      <c r="E138" s="93"/>
      <c r="F138" s="268">
        <v>6000</v>
      </c>
      <c r="G138" s="268"/>
      <c r="H138" s="268"/>
    </row>
    <row r="139" spans="1:10" s="7" customFormat="1" hidden="1" x14ac:dyDescent="0.25">
      <c r="A139" s="93" t="s">
        <v>95</v>
      </c>
      <c r="B139" s="93"/>
      <c r="C139" s="93"/>
      <c r="D139" s="93"/>
      <c r="E139" s="93"/>
      <c r="F139" s="169" t="s">
        <v>179</v>
      </c>
      <c r="G139" s="169"/>
      <c r="H139" s="169"/>
    </row>
    <row r="140" spans="1:10" s="7" customFormat="1" x14ac:dyDescent="0.25">
      <c r="A140" s="93" t="s">
        <v>96</v>
      </c>
      <c r="B140" s="93"/>
      <c r="C140" s="93"/>
      <c r="D140" s="93"/>
      <c r="E140" s="93"/>
      <c r="F140" s="148">
        <v>400000</v>
      </c>
      <c r="G140" s="148"/>
      <c r="H140" s="148"/>
    </row>
    <row r="141" spans="1:10" s="7" customFormat="1" x14ac:dyDescent="0.25">
      <c r="A141" s="93" t="s">
        <v>97</v>
      </c>
      <c r="B141" s="93"/>
      <c r="C141" s="93"/>
      <c r="D141" s="93"/>
      <c r="E141" s="93"/>
      <c r="F141" s="148">
        <v>250000</v>
      </c>
      <c r="G141" s="148"/>
      <c r="H141" s="148"/>
    </row>
    <row r="142" spans="1:10" s="7" customFormat="1" hidden="1" x14ac:dyDescent="0.25">
      <c r="A142" s="93" t="s">
        <v>98</v>
      </c>
      <c r="B142" s="93"/>
      <c r="C142" s="93"/>
      <c r="D142" s="93"/>
      <c r="E142" s="93"/>
      <c r="F142" s="148"/>
      <c r="G142" s="148"/>
      <c r="H142" s="148"/>
    </row>
    <row r="143" spans="1:10" s="7" customFormat="1" hidden="1" x14ac:dyDescent="0.25">
      <c r="A143" s="93" t="s">
        <v>99</v>
      </c>
      <c r="B143" s="93"/>
      <c r="C143" s="93"/>
      <c r="D143" s="93"/>
      <c r="E143" s="93"/>
      <c r="F143" s="148"/>
      <c r="G143" s="148"/>
      <c r="H143" s="148"/>
    </row>
    <row r="144" spans="1:10" s="7" customFormat="1" hidden="1" x14ac:dyDescent="0.25">
      <c r="A144" s="93" t="s">
        <v>100</v>
      </c>
      <c r="B144" s="93"/>
      <c r="C144" s="93"/>
      <c r="D144" s="93"/>
      <c r="E144" s="93"/>
      <c r="F144" s="148"/>
      <c r="G144" s="148"/>
      <c r="H144" s="148"/>
    </row>
    <row r="145" spans="1:10" s="7" customFormat="1" hidden="1" x14ac:dyDescent="0.25">
      <c r="A145" s="93" t="s">
        <v>101</v>
      </c>
      <c r="B145" s="93"/>
      <c r="C145" s="93"/>
      <c r="D145" s="93"/>
      <c r="E145" s="93"/>
      <c r="F145" s="148"/>
      <c r="G145" s="148"/>
      <c r="H145" s="148"/>
    </row>
    <row r="146" spans="1:10" s="7" customFormat="1" hidden="1" x14ac:dyDescent="0.25">
      <c r="A146" s="93" t="s">
        <v>102</v>
      </c>
      <c r="B146" s="93"/>
      <c r="C146" s="93"/>
      <c r="D146" s="93"/>
      <c r="E146" s="93"/>
      <c r="F146" s="148"/>
      <c r="G146" s="148"/>
      <c r="H146" s="148"/>
    </row>
    <row r="147" spans="1:10" x14ac:dyDescent="0.25">
      <c r="A147" s="93" t="s">
        <v>52</v>
      </c>
      <c r="B147" s="93"/>
      <c r="C147" s="93"/>
      <c r="D147" s="93"/>
      <c r="E147" s="93"/>
      <c r="F147" s="148">
        <v>200000</v>
      </c>
      <c r="G147" s="148"/>
      <c r="H147" s="148"/>
    </row>
    <row r="148" spans="1:10" s="4" customFormat="1" x14ac:dyDescent="0.25">
      <c r="A148" s="191" t="s">
        <v>53</v>
      </c>
      <c r="B148" s="191"/>
      <c r="C148" s="191"/>
      <c r="D148" s="191"/>
      <c r="E148" s="191"/>
      <c r="F148" s="148">
        <f>F136*0.8</f>
        <v>3360</v>
      </c>
      <c r="G148" s="148"/>
      <c r="H148" s="148"/>
    </row>
    <row r="149" spans="1:10" s="1" customFormat="1" x14ac:dyDescent="0.25">
      <c r="A149" s="192" t="s">
        <v>261</v>
      </c>
      <c r="B149" s="192"/>
      <c r="C149" s="192"/>
      <c r="D149" s="192"/>
      <c r="E149" s="192"/>
      <c r="F149" s="192"/>
      <c r="G149" s="192"/>
      <c r="H149" s="192"/>
    </row>
    <row r="150" spans="1:10" s="1" customFormat="1" ht="15.75" customHeight="1" x14ac:dyDescent="0.25">
      <c r="A150" s="179" t="s">
        <v>54</v>
      </c>
      <c r="B150" s="179"/>
      <c r="C150" s="178" t="s">
        <v>79</v>
      </c>
      <c r="D150" s="178"/>
      <c r="E150" s="190" t="s">
        <v>55</v>
      </c>
      <c r="F150" s="190"/>
      <c r="G150" s="179" t="s">
        <v>56</v>
      </c>
      <c r="H150" s="179"/>
    </row>
    <row r="151" spans="1:10" s="1" customFormat="1" x14ac:dyDescent="0.25">
      <c r="A151" s="181" t="s">
        <v>244</v>
      </c>
      <c r="B151" s="78" t="s">
        <v>254</v>
      </c>
      <c r="C151" s="131">
        <f>COUNT(F169:F184)</f>
        <v>16</v>
      </c>
      <c r="D151" s="131"/>
      <c r="E151" s="131">
        <f>SUM(F169:F184)</f>
        <v>4600.7488800000001</v>
      </c>
      <c r="F151" s="131"/>
      <c r="G151" s="131">
        <f>SUM(H169:H184)</f>
        <v>6130.8245699999998</v>
      </c>
      <c r="H151" s="131"/>
    </row>
    <row r="152" spans="1:10" s="1" customFormat="1" x14ac:dyDescent="0.25">
      <c r="A152" s="182"/>
      <c r="B152" s="78" t="s">
        <v>259</v>
      </c>
      <c r="C152" s="131">
        <f>COUNT(F186:F193)</f>
        <v>8</v>
      </c>
      <c r="D152" s="131"/>
      <c r="E152" s="131">
        <f>SUM(F186:F193)</f>
        <v>4324.7599199999995</v>
      </c>
      <c r="F152" s="131"/>
      <c r="G152" s="131">
        <f>SUM(H186:H193)</f>
        <v>6703.3778760000005</v>
      </c>
      <c r="H152" s="131"/>
    </row>
    <row r="153" spans="1:10" s="62" customFormat="1" x14ac:dyDescent="0.25">
      <c r="A153" s="192" t="s">
        <v>193</v>
      </c>
      <c r="B153" s="192"/>
      <c r="C153" s="178">
        <f>SUM(C151:D152)</f>
        <v>24</v>
      </c>
      <c r="D153" s="178"/>
      <c r="E153" s="180">
        <f>SUM(E151:F152)</f>
        <v>8925.5087999999996</v>
      </c>
      <c r="F153" s="180"/>
      <c r="G153" s="180">
        <f>SUM(G151:H152)</f>
        <v>12834.202445999999</v>
      </c>
      <c r="H153" s="180"/>
    </row>
    <row r="154" spans="1:10" s="1" customFormat="1" x14ac:dyDescent="0.25">
      <c r="A154" s="192" t="s">
        <v>218</v>
      </c>
      <c r="B154" s="192"/>
      <c r="C154" s="192"/>
      <c r="D154" s="192"/>
      <c r="E154" s="192"/>
      <c r="F154" s="192"/>
      <c r="G154" s="192"/>
      <c r="H154" s="192"/>
    </row>
    <row r="155" spans="1:10" s="1" customFormat="1" ht="15.75" customHeight="1" x14ac:dyDescent="0.25">
      <c r="A155" s="179" t="s">
        <v>54</v>
      </c>
      <c r="B155" s="179"/>
      <c r="C155" s="178" t="s">
        <v>79</v>
      </c>
      <c r="D155" s="178"/>
      <c r="E155" s="190" t="s">
        <v>55</v>
      </c>
      <c r="F155" s="190"/>
      <c r="G155" s="179" t="s">
        <v>56</v>
      </c>
      <c r="H155" s="179"/>
    </row>
    <row r="156" spans="1:10" s="1" customFormat="1" x14ac:dyDescent="0.25">
      <c r="A156" s="147" t="s">
        <v>188</v>
      </c>
      <c r="B156" s="147"/>
      <c r="C156" s="230">
        <f>COUNT(D199:D200)+COUNT(D202:D205)+COUNT(D212:D215)*7+COUNT(D217)*2+COUNT(D219:D220)*2+COUNT(D207:D210)*8+COUNT(D222)*2+COUNT(D224:D225)*2</f>
        <v>78</v>
      </c>
      <c r="D156" s="230"/>
      <c r="E156" s="131">
        <f>SUM(D199:D200)+SUM(D202:D205)+SUM(D212:D215)*7+SUM(D217)*2+SUM(D219:D220)*2+SUM(D207:D210)*8+SUM(D222)*2+SUM(D224:D225)*2</f>
        <v>50720.724709199996</v>
      </c>
      <c r="F156" s="131"/>
      <c r="G156" s="131">
        <f>SUM(F199:F200)+SUM(F202:F205)+SUM(F212:F215)*7+SUM(F217)*2+SUM(F219:F220)*2+SUM(F207:F210)*8+SUM(F222)*2+SUM(F224:F225)*2</f>
        <v>90747.511325639993</v>
      </c>
      <c r="H156" s="131"/>
      <c r="J156" s="1">
        <f>SUM(C156:D158)</f>
        <v>416</v>
      </c>
    </row>
    <row r="157" spans="1:10" s="1" customFormat="1" x14ac:dyDescent="0.25">
      <c r="A157" s="147" t="s">
        <v>171</v>
      </c>
      <c r="B157" s="147"/>
      <c r="C157" s="131">
        <f>COUNT(D230:D236)+COUNT(D238:D245)+COUNT(D247:D254)*10+COUNT(D256:D263)*9+COUNT(D265:D266,D268:D272)*2+COUNT(D274:D275,D277:D281)*2</f>
        <v>195</v>
      </c>
      <c r="D157" s="131"/>
      <c r="E157" s="131">
        <f>SUM(D230:D236)+SUM(D238:D245)+SUM(D247:D254)*10+SUM(D256:D263)*9+SUM(D265:D266,D268:D272)*2+SUM(D274:D275,D277:D281)*2</f>
        <v>97106.699429999993</v>
      </c>
      <c r="F157" s="131"/>
      <c r="G157" s="131">
        <f>SUM(F230:F236)+SUM(F238:F245)+SUM(F247:F254)*10+SUM(F256:F263)*9+SUM(F265:F266,F268:F272)*2+SUM(F274:F275,F277:F281)*2</f>
        <v>156074.94571499998</v>
      </c>
      <c r="H157" s="131"/>
      <c r="J157" s="1">
        <f>C158+C160</f>
        <v>151</v>
      </c>
    </row>
    <row r="158" spans="1:10" s="1" customFormat="1" x14ac:dyDescent="0.25">
      <c r="A158" s="181" t="s">
        <v>213</v>
      </c>
      <c r="B158" s="88" t="s">
        <v>274</v>
      </c>
      <c r="C158" s="131">
        <f>COUNT(D294:D295,D297:D301)+COUNT(D312:D319)*7+COUNT(D321:D328)*7+COUNT(D330:D337)*2+COUNT(D339:D346)</f>
        <v>143</v>
      </c>
      <c r="D158" s="131"/>
      <c r="E158" s="131">
        <f>SUM(D294:D295,D297:D301)+SUM(D312:D319)*7+SUM(D321:D328)*7+SUM(D330:D337)*2+SUM(D339:D346)</f>
        <v>69340.450140000001</v>
      </c>
      <c r="F158" s="131"/>
      <c r="G158" s="265">
        <f>SUM(F286:F290)+SUM(F294:F301)+SUM(F303:F310)*2+SUM(F312:F319)*7+SUM(F321:F328)*7+SUM(F330:F337)*2+SUM(F339:F346)</f>
        <v>126508.08912300001</v>
      </c>
      <c r="H158" s="266"/>
    </row>
    <row r="159" spans="1:10" s="1" customFormat="1" x14ac:dyDescent="0.25">
      <c r="A159" s="182"/>
      <c r="B159" s="88" t="s">
        <v>273</v>
      </c>
      <c r="C159" s="131">
        <f>COUNT(D286:D290)+COUNT(D296)+COUNT(D303:D310)*2</f>
        <v>22</v>
      </c>
      <c r="D159" s="131"/>
      <c r="E159" s="131">
        <f>SUM(D286:D290)+SUM(D296)+SUM(D303:D310)*2</f>
        <v>10597.40019</v>
      </c>
      <c r="F159" s="131"/>
      <c r="G159" s="131">
        <f>SUM(F286:F290)+SUM(F296)+SUM(F303:F310)*2</f>
        <v>16778.802105000002</v>
      </c>
      <c r="H159" s="131"/>
      <c r="J159" s="1">
        <f>416+8</f>
        <v>424</v>
      </c>
    </row>
    <row r="160" spans="1:10" s="1" customFormat="1" x14ac:dyDescent="0.25">
      <c r="A160" s="147" t="s">
        <v>244</v>
      </c>
      <c r="B160" s="147"/>
      <c r="C160" s="131">
        <f>COUNT(D349:D351,D354)+COUNT(D356:D358,D361)</f>
        <v>8</v>
      </c>
      <c r="D160" s="131"/>
      <c r="E160" s="131">
        <f>SUM(D349:D351,D354)+SUM(D356:D358,D361)</f>
        <v>4815.8189820000007</v>
      </c>
      <c r="F160" s="131"/>
      <c r="G160" s="131">
        <f>SUM(F349:F351,F354)+SUM(F356:F358,F361)</f>
        <v>7777.4824529999987</v>
      </c>
      <c r="H160" s="131"/>
      <c r="J160" s="1">
        <v>22</v>
      </c>
    </row>
    <row r="161" spans="1:20" s="62" customFormat="1" x14ac:dyDescent="0.25">
      <c r="A161" s="192" t="s">
        <v>193</v>
      </c>
      <c r="B161" s="192"/>
      <c r="C161" s="178">
        <f>SUM(C156:C160)</f>
        <v>446</v>
      </c>
      <c r="D161" s="178"/>
      <c r="E161" s="180">
        <f>SUM(E156:E160)</f>
        <v>232581.09345119999</v>
      </c>
      <c r="F161" s="180"/>
      <c r="G161" s="180">
        <f>SUM(G156:G160)</f>
        <v>397886.83072163997</v>
      </c>
      <c r="H161" s="180"/>
    </row>
    <row r="162" spans="1:20" s="62" customFormat="1" x14ac:dyDescent="0.25">
      <c r="A162" s="192" t="s">
        <v>262</v>
      </c>
      <c r="B162" s="192"/>
      <c r="C162" s="178">
        <f>C153+C161</f>
        <v>470</v>
      </c>
      <c r="D162" s="178"/>
      <c r="E162" s="180">
        <f>E153+E161</f>
        <v>241506.60225120001</v>
      </c>
      <c r="F162" s="180"/>
      <c r="G162" s="180">
        <f>G153+G161</f>
        <v>410721.03316763998</v>
      </c>
      <c r="H162" s="180"/>
    </row>
    <row r="163" spans="1:20" s="4" customFormat="1" x14ac:dyDescent="0.25">
      <c r="A163" s="136" t="s">
        <v>57</v>
      </c>
      <c r="B163" s="136"/>
      <c r="C163" s="136"/>
      <c r="D163" s="136"/>
      <c r="E163" s="136"/>
      <c r="F163" s="136"/>
      <c r="G163" s="136"/>
      <c r="H163" s="136"/>
    </row>
    <row r="164" spans="1:20" x14ac:dyDescent="0.25">
      <c r="A164" s="136" t="s">
        <v>58</v>
      </c>
      <c r="B164" s="136"/>
      <c r="C164" s="136"/>
      <c r="D164" s="136"/>
      <c r="E164" s="136"/>
      <c r="F164" s="136"/>
      <c r="G164" s="136"/>
      <c r="H164" s="136"/>
    </row>
    <row r="165" spans="1:20" ht="45.75" customHeight="1" x14ac:dyDescent="0.25">
      <c r="A165" s="251" t="s">
        <v>256</v>
      </c>
      <c r="B165" s="251" t="s">
        <v>250</v>
      </c>
      <c r="C165" s="251" t="s">
        <v>59</v>
      </c>
      <c r="D165" s="251" t="s">
        <v>251</v>
      </c>
      <c r="E165" s="253" t="s">
        <v>252</v>
      </c>
      <c r="F165" s="251" t="s">
        <v>60</v>
      </c>
      <c r="G165" s="253" t="s">
        <v>61</v>
      </c>
      <c r="H165" s="81" t="s">
        <v>253</v>
      </c>
      <c r="J165" s="3">
        <f>J169/1.55</f>
        <v>5896.1935911646242</v>
      </c>
      <c r="T165" s="1"/>
    </row>
    <row r="166" spans="1:20" s="76" customFormat="1" x14ac:dyDescent="0.25">
      <c r="A166" s="252"/>
      <c r="B166" s="252"/>
      <c r="C166" s="252"/>
      <c r="D166" s="252"/>
      <c r="E166" s="254"/>
      <c r="F166" s="252"/>
      <c r="G166" s="254"/>
      <c r="H166" s="82">
        <v>0.55000000000000004</v>
      </c>
      <c r="T166" s="1"/>
    </row>
    <row r="167" spans="1:20" s="4" customFormat="1" x14ac:dyDescent="0.25">
      <c r="A167" s="263" t="s">
        <v>244</v>
      </c>
      <c r="B167" s="263"/>
      <c r="C167" s="263"/>
      <c r="D167" s="263"/>
      <c r="E167" s="263"/>
      <c r="F167" s="263"/>
      <c r="G167" s="263"/>
      <c r="H167" s="263"/>
      <c r="I167" s="54"/>
      <c r="J167" s="55">
        <v>1.8</v>
      </c>
      <c r="L167" s="83">
        <v>10.763999999999999</v>
      </c>
    </row>
    <row r="168" spans="1:20" s="76" customFormat="1" x14ac:dyDescent="0.25">
      <c r="A168" s="255" t="s">
        <v>258</v>
      </c>
      <c r="B168" s="256"/>
      <c r="C168" s="256"/>
      <c r="D168" s="256"/>
      <c r="E168" s="256"/>
      <c r="F168" s="256"/>
      <c r="G168" s="256"/>
      <c r="H168" s="257"/>
      <c r="J168" s="30"/>
      <c r="K168" s="76">
        <v>8000</v>
      </c>
      <c r="T168" s="1"/>
    </row>
    <row r="169" spans="1:20" s="76" customFormat="1" ht="15.75" customHeight="1" x14ac:dyDescent="0.25">
      <c r="A169" s="258">
        <v>1</v>
      </c>
      <c r="B169" s="259"/>
      <c r="C169" s="79" t="s">
        <v>254</v>
      </c>
      <c r="D169" s="83">
        <f>(18.82)*10.764</f>
        <v>202.57847999999998</v>
      </c>
      <c r="E169" s="79">
        <v>0</v>
      </c>
      <c r="F169" s="79">
        <f t="shared" ref="F169:F184" si="0">D169+(IF(E169&lt;201,E169,IF(E169&lt;301,E169/2,E169/3)))</f>
        <v>202.57847999999998</v>
      </c>
      <c r="G169" s="79">
        <v>0</v>
      </c>
      <c r="H169" s="79">
        <f>(F169+(IF(G169&lt;101,G169,IF(G169&lt;201,G169/2,IF(G169&lt;=301,G169/3,G169/4)))))*(($H$166+1))</f>
        <v>313.996644</v>
      </c>
      <c r="I169" s="59">
        <f>2.7*5.47+1.05*1.35+1.5*1.2</f>
        <v>17.986499999999999</v>
      </c>
      <c r="J169" s="76">
        <f>1851385/F169</f>
        <v>9139.1000663051673</v>
      </c>
      <c r="K169" s="76">
        <f>K$168*H169</f>
        <v>2511973.1520000002</v>
      </c>
      <c r="L169" s="158"/>
      <c r="M169" s="158"/>
      <c r="N169" s="30"/>
      <c r="T169" s="1"/>
    </row>
    <row r="170" spans="1:20" s="76" customFormat="1" ht="15.75" customHeight="1" x14ac:dyDescent="0.25">
      <c r="A170" s="258">
        <f t="shared" ref="A170:A184" si="1">A169+1</f>
        <v>2</v>
      </c>
      <c r="B170" s="259"/>
      <c r="C170" s="79" t="s">
        <v>254</v>
      </c>
      <c r="D170" s="83">
        <f>(19.16)*10.764</f>
        <v>206.23823999999999</v>
      </c>
      <c r="E170" s="79">
        <v>0</v>
      </c>
      <c r="F170" s="79">
        <f t="shared" si="0"/>
        <v>206.23823999999999</v>
      </c>
      <c r="G170" s="79">
        <v>0</v>
      </c>
      <c r="H170" s="79">
        <f>(F170+(IF(G170&lt;101,G170,IF(G170&lt;201,G170/2,IF(G170&lt;=301,G170/3,G170/4)))))*(($H$166+1))</f>
        <v>319.66927199999998</v>
      </c>
      <c r="I170" s="30"/>
      <c r="K170" s="84">
        <f t="shared" ref="K170:K184" si="2">K$168*H170</f>
        <v>2557354.176</v>
      </c>
      <c r="L170" s="158"/>
      <c r="M170" s="158"/>
      <c r="N170" s="30"/>
      <c r="T170" s="4"/>
    </row>
    <row r="171" spans="1:20" s="76" customFormat="1" ht="15.75" customHeight="1" x14ac:dyDescent="0.25">
      <c r="A171" s="258">
        <f t="shared" si="1"/>
        <v>3</v>
      </c>
      <c r="B171" s="259"/>
      <c r="C171" s="79" t="s">
        <v>254</v>
      </c>
      <c r="D171" s="83">
        <f>(14.63)*10.764</f>
        <v>157.47731999999999</v>
      </c>
      <c r="E171" s="79">
        <v>0</v>
      </c>
      <c r="F171" s="79">
        <f t="shared" si="0"/>
        <v>157.47731999999999</v>
      </c>
      <c r="G171" s="79">
        <v>0</v>
      </c>
      <c r="H171" s="79">
        <f>(F171+(IF(G171&lt;101,G171,IF(G171&lt;201,G171/2,IF(G171&lt;=301,G171/3,G171/4)))))*(($H$166+1))</f>
        <v>244.08984599999999</v>
      </c>
      <c r="I171" s="30"/>
      <c r="K171" s="84">
        <f t="shared" si="2"/>
        <v>1952718.7679999999</v>
      </c>
      <c r="L171" s="158"/>
      <c r="M171" s="158"/>
      <c r="N171" s="30"/>
      <c r="T171" s="3"/>
    </row>
    <row r="172" spans="1:20" s="76" customFormat="1" ht="15.75" customHeight="1" x14ac:dyDescent="0.25">
      <c r="A172" s="258">
        <f t="shared" si="1"/>
        <v>4</v>
      </c>
      <c r="B172" s="259"/>
      <c r="C172" s="79" t="s">
        <v>254</v>
      </c>
      <c r="D172" s="83">
        <f>(18.68)*10.764</f>
        <v>201.07151999999999</v>
      </c>
      <c r="E172" s="79">
        <v>0</v>
      </c>
      <c r="F172" s="79">
        <f t="shared" si="0"/>
        <v>201.07151999999999</v>
      </c>
      <c r="G172" s="79">
        <v>0</v>
      </c>
      <c r="H172" s="79">
        <f t="shared" ref="H172:H179" si="3">(F172+(IF(G172&lt;101,G172,IF(G172&lt;201,G172/2,IF(G172&lt;=301,G172/3,G172/4)))))*(($H$166+1))</f>
        <v>311.66085600000002</v>
      </c>
      <c r="I172" s="30"/>
      <c r="K172" s="84">
        <f t="shared" si="2"/>
        <v>2493286.8480000002</v>
      </c>
      <c r="L172" s="158"/>
      <c r="M172" s="158"/>
      <c r="N172" s="30"/>
      <c r="T172" s="3"/>
    </row>
    <row r="173" spans="1:20" s="76" customFormat="1" ht="15.75" customHeight="1" x14ac:dyDescent="0.25">
      <c r="A173" s="143">
        <f t="shared" si="1"/>
        <v>5</v>
      </c>
      <c r="B173" s="145"/>
      <c r="C173" s="77" t="s">
        <v>254</v>
      </c>
      <c r="D173" s="83">
        <f>(18.02)*10.764</f>
        <v>193.96727999999999</v>
      </c>
      <c r="E173" s="77">
        <v>0</v>
      </c>
      <c r="F173" s="77">
        <f t="shared" si="0"/>
        <v>193.96727999999999</v>
      </c>
      <c r="G173" s="77">
        <v>0</v>
      </c>
      <c r="H173" s="79">
        <f t="shared" si="3"/>
        <v>300.64928399999997</v>
      </c>
      <c r="I173" s="30"/>
      <c r="K173" s="84">
        <f t="shared" si="2"/>
        <v>2405194.2719999999</v>
      </c>
      <c r="L173" s="158"/>
      <c r="M173" s="158"/>
      <c r="N173" s="30"/>
      <c r="T173" s="4"/>
    </row>
    <row r="174" spans="1:20" s="76" customFormat="1" ht="15.75" customHeight="1" x14ac:dyDescent="0.25">
      <c r="A174" s="143">
        <f t="shared" si="1"/>
        <v>6</v>
      </c>
      <c r="B174" s="145"/>
      <c r="C174" s="77" t="s">
        <v>254</v>
      </c>
      <c r="D174" s="83">
        <f>(10.26)*10.764</f>
        <v>110.43863999999999</v>
      </c>
      <c r="E174" s="77">
        <v>0</v>
      </c>
      <c r="F174" s="77">
        <f t="shared" si="0"/>
        <v>110.43863999999999</v>
      </c>
      <c r="G174" s="77">
        <v>0</v>
      </c>
      <c r="H174" s="79">
        <f t="shared" si="3"/>
        <v>171.179892</v>
      </c>
      <c r="I174" s="30"/>
      <c r="K174" s="84">
        <f t="shared" si="2"/>
        <v>1369439.1359999999</v>
      </c>
      <c r="L174" s="158"/>
      <c r="M174" s="158"/>
      <c r="N174" s="30"/>
      <c r="T174" s="3"/>
    </row>
    <row r="175" spans="1:20" s="76" customFormat="1" ht="15.75" customHeight="1" x14ac:dyDescent="0.25">
      <c r="A175" s="143">
        <f t="shared" si="1"/>
        <v>7</v>
      </c>
      <c r="B175" s="145"/>
      <c r="C175" s="77" t="s">
        <v>254</v>
      </c>
      <c r="D175" s="83">
        <f>(12.94)*10.764</f>
        <v>139.28616</v>
      </c>
      <c r="E175" s="77">
        <v>0</v>
      </c>
      <c r="F175" s="77">
        <f t="shared" si="0"/>
        <v>139.28616</v>
      </c>
      <c r="G175" s="77">
        <v>0</v>
      </c>
      <c r="H175" s="79">
        <f t="shared" si="3"/>
        <v>215.89354800000001</v>
      </c>
      <c r="I175" s="30"/>
      <c r="K175" s="84">
        <f t="shared" si="2"/>
        <v>1727148.3840000001</v>
      </c>
      <c r="L175" s="158"/>
      <c r="M175" s="158"/>
      <c r="N175" s="30"/>
      <c r="T175" s="3"/>
    </row>
    <row r="176" spans="1:20" s="76" customFormat="1" ht="15.75" customHeight="1" x14ac:dyDescent="0.25">
      <c r="A176" s="143">
        <f t="shared" si="1"/>
        <v>8</v>
      </c>
      <c r="B176" s="145"/>
      <c r="C176" s="77" t="s">
        <v>254</v>
      </c>
      <c r="D176" s="83">
        <f>(14.67)*10.764</f>
        <v>157.90787999999998</v>
      </c>
      <c r="E176" s="77">
        <v>0</v>
      </c>
      <c r="F176" s="77">
        <f t="shared" si="0"/>
        <v>157.90787999999998</v>
      </c>
      <c r="G176" s="77">
        <v>0</v>
      </c>
      <c r="H176" s="79">
        <f t="shared" si="3"/>
        <v>244.75721399999998</v>
      </c>
      <c r="I176" s="30"/>
      <c r="K176" s="84">
        <f t="shared" si="2"/>
        <v>1958057.7119999998</v>
      </c>
      <c r="L176" s="158"/>
      <c r="M176" s="158"/>
      <c r="N176" s="30"/>
      <c r="T176" s="4"/>
    </row>
    <row r="177" spans="1:20" s="76" customFormat="1" ht="15.75" customHeight="1" x14ac:dyDescent="0.25">
      <c r="A177" s="143">
        <f t="shared" si="1"/>
        <v>9</v>
      </c>
      <c r="B177" s="145"/>
      <c r="C177" s="77" t="s">
        <v>254</v>
      </c>
      <c r="D177" s="83">
        <f>(11.73)*10.764</f>
        <v>126.26172</v>
      </c>
      <c r="E177" s="77">
        <v>0</v>
      </c>
      <c r="F177" s="77">
        <f t="shared" si="0"/>
        <v>126.26172</v>
      </c>
      <c r="G177" s="77">
        <v>0</v>
      </c>
      <c r="H177" s="79">
        <f t="shared" si="3"/>
        <v>195.70566600000001</v>
      </c>
      <c r="I177" s="30"/>
      <c r="K177" s="84">
        <f t="shared" si="2"/>
        <v>1565645.328</v>
      </c>
      <c r="L177" s="158"/>
      <c r="M177" s="158"/>
      <c r="N177" s="30"/>
      <c r="T177" s="3"/>
    </row>
    <row r="178" spans="1:20" s="76" customFormat="1" ht="15.75" customHeight="1" x14ac:dyDescent="0.25">
      <c r="A178" s="143">
        <f t="shared" si="1"/>
        <v>10</v>
      </c>
      <c r="B178" s="145"/>
      <c r="C178" s="77" t="s">
        <v>254</v>
      </c>
      <c r="D178" s="83">
        <f>(14.4)*10.764</f>
        <v>155.0016</v>
      </c>
      <c r="E178" s="77">
        <v>0</v>
      </c>
      <c r="F178" s="77">
        <f t="shared" si="0"/>
        <v>155.0016</v>
      </c>
      <c r="G178" s="77">
        <v>0</v>
      </c>
      <c r="H178" s="79">
        <f t="shared" si="3"/>
        <v>240.25247999999999</v>
      </c>
      <c r="I178" s="30"/>
      <c r="K178" s="84">
        <f t="shared" si="2"/>
        <v>1922019.8399999999</v>
      </c>
      <c r="L178" s="158"/>
      <c r="M178" s="158"/>
      <c r="N178" s="30"/>
      <c r="T178" s="3"/>
    </row>
    <row r="179" spans="1:20" s="76" customFormat="1" ht="50.1" customHeight="1" x14ac:dyDescent="0.25">
      <c r="A179" s="143">
        <f t="shared" si="1"/>
        <v>11</v>
      </c>
      <c r="B179" s="145"/>
      <c r="C179" s="77" t="s">
        <v>257</v>
      </c>
      <c r="D179" s="83">
        <f>(105.14)*10.764</f>
        <v>1131.72696</v>
      </c>
      <c r="E179" s="77">
        <v>0</v>
      </c>
      <c r="F179" s="77">
        <f t="shared" si="0"/>
        <v>1131.72696</v>
      </c>
      <c r="G179" s="77">
        <v>0</v>
      </c>
      <c r="H179" s="79">
        <f t="shared" si="3"/>
        <v>1754.176788</v>
      </c>
      <c r="I179" s="30"/>
      <c r="K179" s="84">
        <f t="shared" si="2"/>
        <v>14033414.304</v>
      </c>
      <c r="L179" s="158"/>
      <c r="M179" s="158"/>
      <c r="N179" s="30"/>
      <c r="T179" s="4"/>
    </row>
    <row r="180" spans="1:20" s="76" customFormat="1" ht="15.75" customHeight="1" x14ac:dyDescent="0.25">
      <c r="A180" s="143">
        <f t="shared" si="1"/>
        <v>12</v>
      </c>
      <c r="B180" s="145"/>
      <c r="C180" s="77" t="s">
        <v>254</v>
      </c>
      <c r="D180" s="83">
        <f>(21.8)*10.764</f>
        <v>234.65519999999998</v>
      </c>
      <c r="E180" s="77">
        <v>0</v>
      </c>
      <c r="F180" s="77">
        <f t="shared" si="0"/>
        <v>234.65519999999998</v>
      </c>
      <c r="G180" s="77">
        <v>0</v>
      </c>
      <c r="H180" s="77">
        <f>(F180+(IF(G180&lt;101,G180,IF(G180&lt;201,G180/2,IF(G180&lt;=301,G180/3,G180/4)))))*(($H$147)+1)</f>
        <v>234.65519999999998</v>
      </c>
      <c r="I180" s="30"/>
      <c r="K180" s="84">
        <f t="shared" si="2"/>
        <v>1877241.5999999999</v>
      </c>
      <c r="L180" s="158"/>
      <c r="M180" s="158"/>
      <c r="N180" s="30"/>
      <c r="T180" s="3"/>
    </row>
    <row r="181" spans="1:20" s="76" customFormat="1" ht="15.75" customHeight="1" x14ac:dyDescent="0.25">
      <c r="A181" s="143">
        <f t="shared" si="1"/>
        <v>13</v>
      </c>
      <c r="B181" s="145"/>
      <c r="C181" s="77" t="s">
        <v>254</v>
      </c>
      <c r="D181" s="83">
        <f>(27.3)*10.764</f>
        <v>293.85719999999998</v>
      </c>
      <c r="E181" s="77">
        <v>0</v>
      </c>
      <c r="F181" s="77">
        <f t="shared" si="0"/>
        <v>293.85719999999998</v>
      </c>
      <c r="G181" s="77">
        <v>0</v>
      </c>
      <c r="H181" s="77">
        <f>(F181+(IF(G181&lt;101,G181,IF(G181&lt;201,G181/2,IF(G181&lt;=301,G181/3,G181/4)))))*(($H$147)+1)</f>
        <v>293.85719999999998</v>
      </c>
      <c r="I181" s="30"/>
      <c r="K181" s="84">
        <f t="shared" si="2"/>
        <v>2350857.5999999996</v>
      </c>
      <c r="L181" s="158"/>
      <c r="M181" s="158"/>
      <c r="N181" s="30"/>
      <c r="T181" s="3"/>
    </row>
    <row r="182" spans="1:20" s="76" customFormat="1" ht="15.75" customHeight="1" x14ac:dyDescent="0.25">
      <c r="A182" s="143">
        <f t="shared" si="1"/>
        <v>14</v>
      </c>
      <c r="B182" s="145"/>
      <c r="C182" s="77" t="s">
        <v>254</v>
      </c>
      <c r="D182" s="83">
        <f>(24.39)*10.764</f>
        <v>262.53395999999998</v>
      </c>
      <c r="E182" s="77">
        <v>0</v>
      </c>
      <c r="F182" s="77">
        <f t="shared" si="0"/>
        <v>262.53395999999998</v>
      </c>
      <c r="G182" s="77">
        <v>0</v>
      </c>
      <c r="H182" s="77">
        <f>(F182+(IF(G182&lt;101,G182,IF(G182&lt;201,G182/2,IF(G182&lt;=301,G182/3,G182/4)))))*(($H$147)+1)</f>
        <v>262.53395999999998</v>
      </c>
      <c r="I182" s="30"/>
      <c r="K182" s="84">
        <f t="shared" si="2"/>
        <v>2100271.6799999997</v>
      </c>
      <c r="L182" s="158"/>
      <c r="M182" s="158"/>
      <c r="N182" s="30"/>
      <c r="T182" s="4"/>
    </row>
    <row r="183" spans="1:20" s="76" customFormat="1" ht="15.75" customHeight="1" x14ac:dyDescent="0.25">
      <c r="A183" s="143">
        <f t="shared" si="1"/>
        <v>15</v>
      </c>
      <c r="B183" s="145"/>
      <c r="C183" s="77" t="s">
        <v>254</v>
      </c>
      <c r="D183" s="83">
        <f>(22.95)*10.764</f>
        <v>247.03379999999999</v>
      </c>
      <c r="E183" s="77">
        <v>0</v>
      </c>
      <c r="F183" s="77">
        <f t="shared" si="0"/>
        <v>247.03379999999999</v>
      </c>
      <c r="G183" s="77">
        <v>0</v>
      </c>
      <c r="H183" s="77">
        <f>(F183+(IF(G183&lt;101,G183,IF(G183&lt;201,G183/2,IF(G183&lt;=301,G183/3,G183/4)))))*(($H$147)+1)</f>
        <v>247.03379999999999</v>
      </c>
      <c r="I183" s="30"/>
      <c r="K183" s="84">
        <f t="shared" si="2"/>
        <v>1976270.4</v>
      </c>
      <c r="L183" s="158"/>
      <c r="M183" s="158"/>
      <c r="N183" s="30"/>
      <c r="T183" s="3"/>
    </row>
    <row r="184" spans="1:20" s="76" customFormat="1" ht="15.75" customHeight="1" x14ac:dyDescent="0.25">
      <c r="A184" s="143">
        <f t="shared" si="1"/>
        <v>16</v>
      </c>
      <c r="B184" s="145"/>
      <c r="C184" s="77" t="s">
        <v>254</v>
      </c>
      <c r="D184" s="83">
        <f>(72.53)*10.764</f>
        <v>780.71291999999994</v>
      </c>
      <c r="E184" s="77">
        <v>0</v>
      </c>
      <c r="F184" s="77">
        <f t="shared" si="0"/>
        <v>780.71291999999994</v>
      </c>
      <c r="G184" s="77">
        <v>0</v>
      </c>
      <c r="H184" s="77">
        <f>(F184+(IF(G184&lt;101,G184,IF(G184&lt;201,G184/2,IF(G184&lt;=301,G184/3,G184/4)))))*(($H$147)+1)</f>
        <v>780.71291999999994</v>
      </c>
      <c r="I184" s="30"/>
      <c r="K184" s="84">
        <f t="shared" si="2"/>
        <v>6245703.3599999994</v>
      </c>
      <c r="L184" s="158"/>
      <c r="M184" s="158"/>
      <c r="N184" s="30"/>
      <c r="T184" s="3"/>
    </row>
    <row r="185" spans="1:20" s="76" customFormat="1" x14ac:dyDescent="0.25">
      <c r="A185" s="155" t="s">
        <v>255</v>
      </c>
      <c r="B185" s="156"/>
      <c r="C185" s="156"/>
      <c r="D185" s="156"/>
      <c r="E185" s="156"/>
      <c r="F185" s="156"/>
      <c r="G185" s="156"/>
      <c r="H185" s="157"/>
      <c r="J185" s="30"/>
      <c r="T185" s="1"/>
    </row>
    <row r="186" spans="1:20" s="76" customFormat="1" ht="15.75" customHeight="1" x14ac:dyDescent="0.25">
      <c r="A186" s="143">
        <v>2</v>
      </c>
      <c r="B186" s="145"/>
      <c r="C186" s="77" t="s">
        <v>259</v>
      </c>
      <c r="D186" s="83">
        <f>(41.2)*10.764</f>
        <v>443.47680000000003</v>
      </c>
      <c r="E186" s="77">
        <v>0</v>
      </c>
      <c r="F186" s="77">
        <f t="shared" ref="F186:F193" si="4">D186+(IF(E186&lt;201,E186,IF(E186&lt;301,E186/2,E186/3)))</f>
        <v>443.47680000000003</v>
      </c>
      <c r="G186" s="77">
        <v>0</v>
      </c>
      <c r="H186" s="77">
        <f>(F186+(IF(G186&lt;101,G186,IF(G186&lt;201,G186/2,IF(G186&lt;=301,G186/3,G186/4)))))*(($H$166+1))</f>
        <v>687.38904000000002</v>
      </c>
      <c r="I186" s="30"/>
      <c r="L186" s="158"/>
      <c r="M186" s="158"/>
      <c r="N186" s="30"/>
      <c r="T186" s="1"/>
    </row>
    <row r="187" spans="1:20" s="76" customFormat="1" ht="15.75" customHeight="1" x14ac:dyDescent="0.25">
      <c r="A187" s="143">
        <f t="shared" ref="A187:A193" si="5">A186+1</f>
        <v>3</v>
      </c>
      <c r="B187" s="145"/>
      <c r="C187" s="77" t="s">
        <v>259</v>
      </c>
      <c r="D187" s="83">
        <f>(58.91)*10.764</f>
        <v>634.10723999999993</v>
      </c>
      <c r="E187" s="77">
        <v>0</v>
      </c>
      <c r="F187" s="77">
        <f t="shared" si="4"/>
        <v>634.10723999999993</v>
      </c>
      <c r="G187" s="77">
        <v>0</v>
      </c>
      <c r="H187" s="77">
        <f t="shared" ref="H187:H193" si="6">(F187+(IF(G187&lt;101,G187,IF(G187&lt;201,G187/2,IF(G187&lt;=301,G187/3,G187/4)))))*(($H$166+1))</f>
        <v>982.86622199999988</v>
      </c>
      <c r="I187" s="30"/>
      <c r="L187" s="158"/>
      <c r="M187" s="158"/>
      <c r="N187" s="30"/>
      <c r="T187" s="4"/>
    </row>
    <row r="188" spans="1:20" s="76" customFormat="1" ht="15.75" customHeight="1" x14ac:dyDescent="0.25">
      <c r="A188" s="143">
        <f t="shared" si="5"/>
        <v>4</v>
      </c>
      <c r="B188" s="145"/>
      <c r="C188" s="77" t="s">
        <v>259</v>
      </c>
      <c r="D188" s="83">
        <f>(70.03)*10.764</f>
        <v>753.80291999999997</v>
      </c>
      <c r="E188" s="77">
        <v>0</v>
      </c>
      <c r="F188" s="77">
        <f t="shared" si="4"/>
        <v>753.80291999999997</v>
      </c>
      <c r="G188" s="77">
        <v>0</v>
      </c>
      <c r="H188" s="77">
        <f t="shared" si="6"/>
        <v>1168.394526</v>
      </c>
      <c r="I188" s="30"/>
      <c r="L188" s="158"/>
      <c r="M188" s="158"/>
      <c r="N188" s="30"/>
      <c r="T188" s="3"/>
    </row>
    <row r="189" spans="1:20" s="76" customFormat="1" ht="15.75" customHeight="1" x14ac:dyDescent="0.25">
      <c r="A189" s="143">
        <f t="shared" si="5"/>
        <v>5</v>
      </c>
      <c r="B189" s="145"/>
      <c r="C189" s="77" t="s">
        <v>259</v>
      </c>
      <c r="D189" s="83">
        <f>(42.14)*10.764</f>
        <v>453.59495999999996</v>
      </c>
      <c r="E189" s="77">
        <v>0</v>
      </c>
      <c r="F189" s="77">
        <f t="shared" si="4"/>
        <v>453.59495999999996</v>
      </c>
      <c r="G189" s="77">
        <v>0</v>
      </c>
      <c r="H189" s="77">
        <f t="shared" si="6"/>
        <v>703.07218799999998</v>
      </c>
      <c r="I189" s="30"/>
      <c r="L189" s="158"/>
      <c r="M189" s="158"/>
      <c r="N189" s="30"/>
      <c r="T189" s="3"/>
    </row>
    <row r="190" spans="1:20" s="76" customFormat="1" ht="15.75" customHeight="1" x14ac:dyDescent="0.25">
      <c r="A190" s="143">
        <f t="shared" si="5"/>
        <v>6</v>
      </c>
      <c r="B190" s="145"/>
      <c r="C190" s="77" t="s">
        <v>259</v>
      </c>
      <c r="D190" s="83">
        <f>(24.89)*10.764</f>
        <v>267.91595999999998</v>
      </c>
      <c r="E190" s="77">
        <v>0</v>
      </c>
      <c r="F190" s="77">
        <f t="shared" si="4"/>
        <v>267.91595999999998</v>
      </c>
      <c r="G190" s="77">
        <v>0</v>
      </c>
      <c r="H190" s="77">
        <f t="shared" si="6"/>
        <v>415.26973799999996</v>
      </c>
      <c r="I190" s="30"/>
      <c r="L190" s="158"/>
      <c r="M190" s="158"/>
      <c r="N190" s="30"/>
      <c r="T190" s="4"/>
    </row>
    <row r="191" spans="1:20" s="76" customFormat="1" ht="15.75" customHeight="1" x14ac:dyDescent="0.25">
      <c r="A191" s="143">
        <f t="shared" si="5"/>
        <v>7</v>
      </c>
      <c r="B191" s="145"/>
      <c r="C191" s="77" t="s">
        <v>259</v>
      </c>
      <c r="D191" s="83">
        <f>(37.95)*10.764</f>
        <v>408.49380000000002</v>
      </c>
      <c r="E191" s="77">
        <v>0</v>
      </c>
      <c r="F191" s="77">
        <f t="shared" si="4"/>
        <v>408.49380000000002</v>
      </c>
      <c r="G191" s="77">
        <v>0</v>
      </c>
      <c r="H191" s="77">
        <f t="shared" si="6"/>
        <v>633.16539</v>
      </c>
      <c r="I191" s="30"/>
      <c r="L191" s="158"/>
      <c r="M191" s="158"/>
      <c r="N191" s="30"/>
      <c r="T191" s="3"/>
    </row>
    <row r="192" spans="1:20" s="76" customFormat="1" ht="15.75" customHeight="1" x14ac:dyDescent="0.25">
      <c r="A192" s="143">
        <f t="shared" si="5"/>
        <v>8</v>
      </c>
      <c r="B192" s="145"/>
      <c r="C192" s="77" t="s">
        <v>259</v>
      </c>
      <c r="D192" s="83">
        <f>(53.69)*10.764</f>
        <v>577.91915999999992</v>
      </c>
      <c r="E192" s="77">
        <v>0</v>
      </c>
      <c r="F192" s="77">
        <f t="shared" si="4"/>
        <v>577.91915999999992</v>
      </c>
      <c r="G192" s="77">
        <v>0</v>
      </c>
      <c r="H192" s="77">
        <f t="shared" si="6"/>
        <v>895.77469799999994</v>
      </c>
      <c r="I192" s="30"/>
      <c r="L192" s="158"/>
      <c r="M192" s="158"/>
      <c r="N192" s="30"/>
      <c r="T192" s="3"/>
    </row>
    <row r="193" spans="1:20" s="76" customFormat="1" ht="15.75" customHeight="1" x14ac:dyDescent="0.25">
      <c r="A193" s="143">
        <f t="shared" si="5"/>
        <v>9</v>
      </c>
      <c r="B193" s="145"/>
      <c r="C193" s="77" t="s">
        <v>259</v>
      </c>
      <c r="D193" s="83">
        <f>(72.97)*10.764</f>
        <v>785.44907999999998</v>
      </c>
      <c r="E193" s="77">
        <v>0</v>
      </c>
      <c r="F193" s="77">
        <f t="shared" si="4"/>
        <v>785.44907999999998</v>
      </c>
      <c r="G193" s="77">
        <v>0</v>
      </c>
      <c r="H193" s="77">
        <f t="shared" si="6"/>
        <v>1217.446074</v>
      </c>
      <c r="I193" s="30"/>
      <c r="L193" s="158"/>
      <c r="M193" s="158"/>
      <c r="N193" s="30"/>
      <c r="T193" s="4"/>
    </row>
    <row r="194" spans="1:20" s="76" customFormat="1" x14ac:dyDescent="0.25">
      <c r="A194" s="143"/>
      <c r="B194" s="144"/>
      <c r="C194" s="144"/>
      <c r="D194" s="144"/>
      <c r="E194" s="144"/>
      <c r="F194" s="144"/>
      <c r="G194" s="144"/>
      <c r="H194" s="145"/>
      <c r="I194" s="30"/>
      <c r="N194" s="30"/>
    </row>
    <row r="195" spans="1:20" ht="47.25" customHeight="1" x14ac:dyDescent="0.25">
      <c r="A195" s="57" t="s">
        <v>124</v>
      </c>
      <c r="B195" s="57" t="s">
        <v>214</v>
      </c>
      <c r="C195" s="31" t="s">
        <v>59</v>
      </c>
      <c r="D195" s="31" t="s">
        <v>60</v>
      </c>
      <c r="E195" s="58" t="s">
        <v>61</v>
      </c>
      <c r="F195" s="85" t="s">
        <v>253</v>
      </c>
      <c r="G195" s="233" t="s">
        <v>62</v>
      </c>
      <c r="H195" s="234"/>
      <c r="I195" s="30"/>
    </row>
    <row r="196" spans="1:20" s="4" customFormat="1" x14ac:dyDescent="0.25">
      <c r="A196" s="146" t="s">
        <v>188</v>
      </c>
      <c r="B196" s="146"/>
      <c r="C196" s="146"/>
      <c r="D196" s="146"/>
      <c r="E196" s="146"/>
      <c r="F196" s="146"/>
      <c r="G196" s="146"/>
      <c r="H196" s="146"/>
      <c r="I196" s="54"/>
      <c r="J196" s="55">
        <v>1.8</v>
      </c>
    </row>
    <row r="197" spans="1:20" s="4" customFormat="1" x14ac:dyDescent="0.25">
      <c r="A197" s="134" t="s">
        <v>165</v>
      </c>
      <c r="B197" s="134"/>
      <c r="C197" s="134"/>
      <c r="D197" s="134"/>
      <c r="E197" s="134"/>
      <c r="F197" s="134"/>
      <c r="G197" s="134"/>
      <c r="H197" s="134"/>
      <c r="I197" s="54"/>
      <c r="J197" s="55">
        <v>1.8</v>
      </c>
    </row>
    <row r="198" spans="1:20" s="2" customFormat="1" x14ac:dyDescent="0.25">
      <c r="A198" s="135" t="s">
        <v>191</v>
      </c>
      <c r="B198" s="135"/>
      <c r="C198" s="135"/>
      <c r="D198" s="135"/>
      <c r="E198" s="135"/>
      <c r="F198" s="135"/>
      <c r="G198" s="135"/>
      <c r="H198" s="135"/>
      <c r="I198" s="30"/>
      <c r="J198" s="2">
        <v>4200</v>
      </c>
      <c r="L198" s="158"/>
      <c r="M198" s="158"/>
    </row>
    <row r="199" spans="1:20" s="2" customFormat="1" ht="15.75" customHeight="1" x14ac:dyDescent="0.25">
      <c r="A199" s="133">
        <v>1</v>
      </c>
      <c r="B199" s="133"/>
      <c r="C199" s="14" t="s">
        <v>167</v>
      </c>
      <c r="D199" s="14">
        <f>(2.75*3.97+2.3*2.45+2.9*3.05+3.05*2.76+0.75*1.98+1.22*2.15+1.22*1.83+(0.6*(3.05+2))+(1.05*(2.3+2.9))+0.75*3.05+(0.6*(2.9+2.3)))*10.764</f>
        <v>581.83295039999996</v>
      </c>
      <c r="E199" s="14">
        <f>(1.8*2.75)*10.764</f>
        <v>53.281799999999997</v>
      </c>
      <c r="F199" s="14">
        <f>D199*1.7+E199</f>
        <v>1042.3978156799999</v>
      </c>
      <c r="G199" s="151" t="str">
        <f>A198</f>
        <v>1st Floor for Residential &amp; Double Height</v>
      </c>
      <c r="H199" s="231"/>
      <c r="I199" s="59">
        <f>2.75*3.97+2.3*2.45+2.9*3.05+3.05*2.76+0.75*1.98+1.22*2.15+1.22*1.83+(0.6*(3.05+2.5))</f>
        <v>43.486099999999993</v>
      </c>
      <c r="J199" s="2">
        <f>J$198*F199</f>
        <v>4378070.8258559993</v>
      </c>
      <c r="L199" s="2">
        <f>J199+650000</f>
        <v>5028070.8258559993</v>
      </c>
      <c r="M199" s="30">
        <f>F199-E199</f>
        <v>989.11601567999992</v>
      </c>
      <c r="N199" s="60">
        <f>M199/D199</f>
        <v>1.7</v>
      </c>
    </row>
    <row r="200" spans="1:20" s="2" customFormat="1" ht="15.75" customHeight="1" x14ac:dyDescent="0.25">
      <c r="A200" s="133">
        <f t="shared" ref="A200" si="7">A199+1</f>
        <v>2</v>
      </c>
      <c r="B200" s="133"/>
      <c r="C200" s="14" t="s">
        <v>189</v>
      </c>
      <c r="D200" s="14">
        <f>(2.75*3.97+0.75*1.98+2.3*2.45+2.9*3.05+2.45*3.36+3.05*2.76+0.9*1.22+(1.22*1.83+1.22*2.15)+(0.6*(2+3.05+3.36))+(1.05*(2.3+2.9))+(0.6*(2.9+2.3))+(0.75*(3.05+3.05)))*10.764</f>
        <v>728.58394439999995</v>
      </c>
      <c r="E200" s="14">
        <f>(1.8*2.75)*10.764</f>
        <v>53.281799999999997</v>
      </c>
      <c r="F200" s="14">
        <f>D200*1.7+E200</f>
        <v>1291.8745054799999</v>
      </c>
      <c r="G200" s="153"/>
      <c r="H200" s="160"/>
      <c r="I200" s="60">
        <f>46.59-I199</f>
        <v>3.1039000000000101</v>
      </c>
      <c r="J200" s="84">
        <f t="shared" ref="J200:J209" si="8">J$198*F200</f>
        <v>5425872.9230159996</v>
      </c>
      <c r="N200" s="30"/>
    </row>
    <row r="201" spans="1:20" s="2" customFormat="1" x14ac:dyDescent="0.25">
      <c r="A201" s="135" t="s">
        <v>190</v>
      </c>
      <c r="B201" s="135"/>
      <c r="C201" s="135"/>
      <c r="D201" s="135"/>
      <c r="E201" s="135"/>
      <c r="F201" s="135"/>
      <c r="G201" s="135"/>
      <c r="H201" s="135"/>
      <c r="I201" s="30"/>
      <c r="J201" s="84">
        <f t="shared" si="8"/>
        <v>0</v>
      </c>
      <c r="L201" s="158"/>
      <c r="M201" s="158"/>
    </row>
    <row r="202" spans="1:20" s="2" customFormat="1" ht="15.75" customHeight="1" x14ac:dyDescent="0.25">
      <c r="A202" s="133">
        <v>1</v>
      </c>
      <c r="B202" s="133"/>
      <c r="C202" s="14" t="s">
        <v>167</v>
      </c>
      <c r="D202" s="14">
        <f>(2.75*3.97+2.3*2.45+2.9*3.05+3.05*2.76+0.75*1.98+1.22*2.15+1.22*1.83+(0.6*(3.05+2))+(1.05*(2.3+2.9))+0.75*2.75+(0.6*(2.9+2.3)))*10.764</f>
        <v>579.41105039999991</v>
      </c>
      <c r="E202" s="14">
        <f>1.8*3.05*10.764</f>
        <v>59.094360000000002</v>
      </c>
      <c r="F202" s="14">
        <f>D202*1.7+E202</f>
        <v>1044.0931456799999</v>
      </c>
      <c r="G202" s="149" t="str">
        <f>A201</f>
        <v>2nd Floor for Residential</v>
      </c>
      <c r="H202" s="159"/>
      <c r="I202" s="59">
        <f>2.75*3.97+2.3*2.45+2.9*3.05+3.05*2.76+0.75*1.98+1.22*2.15+1.22*1.83+(0.6*(3.05+2.5))</f>
        <v>43.486099999999993</v>
      </c>
      <c r="J202" s="84">
        <f t="shared" si="8"/>
        <v>4385191.2118559992</v>
      </c>
      <c r="L202" s="84">
        <f t="shared" ref="L202:L205" si="9">J202+650000</f>
        <v>5035191.2118559992</v>
      </c>
      <c r="N202" s="30"/>
    </row>
    <row r="203" spans="1:20" s="2" customFormat="1" ht="15.75" customHeight="1" x14ac:dyDescent="0.25">
      <c r="A203" s="133">
        <f t="shared" ref="A203:A205" si="10">A202+1</f>
        <v>2</v>
      </c>
      <c r="B203" s="133"/>
      <c r="C203" s="14" t="s">
        <v>189</v>
      </c>
      <c r="D203" s="14">
        <f>(2.75*3.97+0.75*1.98+2.3*2.45+2.9*3.05+2.45*3.36+3.05*2.76+0.9*1.22+(1.22*1.83+1.22*2.15)+(0.6*(2+3.05+3.36))+(1.05*(2.3+2.9))+(0.6*(2.9+2.3))+(0.75*(2.75+3.05)))*10.764</f>
        <v>726.1620443999999</v>
      </c>
      <c r="E203" s="14">
        <f t="shared" ref="E203" si="11">1.8*3.05*10.764</f>
        <v>59.094360000000002</v>
      </c>
      <c r="F203" s="14">
        <f>D203*1.7+E203</f>
        <v>1293.5698354799999</v>
      </c>
      <c r="G203" s="151"/>
      <c r="H203" s="231"/>
      <c r="I203" s="60">
        <f>46.59-I202</f>
        <v>3.1039000000000101</v>
      </c>
      <c r="J203" s="84">
        <f t="shared" si="8"/>
        <v>5432993.3090159995</v>
      </c>
      <c r="L203" s="84">
        <f t="shared" si="9"/>
        <v>6082993.3090159995</v>
      </c>
      <c r="N203" s="30"/>
    </row>
    <row r="204" spans="1:20" s="2" customFormat="1" ht="15.75" customHeight="1" x14ac:dyDescent="0.25">
      <c r="A204" s="133">
        <v>3</v>
      </c>
      <c r="B204" s="133"/>
      <c r="C204" s="14" t="s">
        <v>189</v>
      </c>
      <c r="D204" s="14">
        <f>(2.75*3.97+0.75*1.98+2.3*2.45+2.9*3.05+2.45*3.36+3.05*2.76+0.9*1.22+(1.22*1.83+1.22*2.15)+(0.6*(2+3.05+3.36))+(1.05*(2.3+2.9))+(0.6*(2.9+2.3))+(0.75*(2.75+3.05)))*10.764</f>
        <v>726.1620443999999</v>
      </c>
      <c r="E204" s="14">
        <f>(1.8*3.05+2*2.75+5*2.7)*10.764</f>
        <v>263.61036000000001</v>
      </c>
      <c r="F204" s="14">
        <f>D204*1.7+E204/2</f>
        <v>1366.28065548</v>
      </c>
      <c r="G204" s="151"/>
      <c r="H204" s="231"/>
      <c r="I204" s="59">
        <f>2.75*3.97+2.3*2.45+2.9*3.05+3.05*2.76+0.75*1.98+1.22*2.15+1.22*1.83+(0.6*(3.05+2.5))</f>
        <v>43.486099999999993</v>
      </c>
      <c r="J204" s="84">
        <f t="shared" si="8"/>
        <v>5738378.7530159997</v>
      </c>
      <c r="L204" s="84">
        <f t="shared" si="9"/>
        <v>6388378.7530159997</v>
      </c>
      <c r="N204" s="30"/>
    </row>
    <row r="205" spans="1:20" s="2" customFormat="1" ht="15.75" customHeight="1" x14ac:dyDescent="0.25">
      <c r="A205" s="133">
        <f t="shared" si="10"/>
        <v>4</v>
      </c>
      <c r="B205" s="133"/>
      <c r="C205" s="14" t="s">
        <v>167</v>
      </c>
      <c r="D205" s="14">
        <f>(2.75*3.97+2.3*2.45+2.9*3.05+3.05*2.76+0.75*1.98+1.22*2.15+1.22*1.83+(0.6*(3.05+2))+(1.05*(2.3+2.9))+0.75*2.75+(0.6*(2.9+2.3)))*10.764</f>
        <v>579.41105039999991</v>
      </c>
      <c r="E205" s="14">
        <f>(1.8*3.05+2*2.75+5*2.7)*10.764</f>
        <v>263.61036000000001</v>
      </c>
      <c r="F205" s="14">
        <f>D205*1.7+E205/2</f>
        <v>1116.8039656799999</v>
      </c>
      <c r="G205" s="153"/>
      <c r="H205" s="160"/>
      <c r="I205" s="60">
        <f>46.59-I204</f>
        <v>3.1039000000000101</v>
      </c>
      <c r="J205" s="84">
        <f t="shared" si="8"/>
        <v>4690576.6558559993</v>
      </c>
      <c r="L205" s="84">
        <f t="shared" si="9"/>
        <v>5340576.6558559993</v>
      </c>
      <c r="N205" s="30"/>
    </row>
    <row r="206" spans="1:20" s="2" customFormat="1" x14ac:dyDescent="0.25">
      <c r="A206" s="135" t="s">
        <v>192</v>
      </c>
      <c r="B206" s="135"/>
      <c r="C206" s="135"/>
      <c r="D206" s="135"/>
      <c r="E206" s="135"/>
      <c r="F206" s="135"/>
      <c r="G206" s="135"/>
      <c r="H206" s="135"/>
      <c r="I206" s="30"/>
      <c r="J206" s="84">
        <f t="shared" si="8"/>
        <v>0</v>
      </c>
      <c r="L206" s="158"/>
      <c r="M206" s="158"/>
    </row>
    <row r="207" spans="1:20" s="2" customFormat="1" ht="15.75" customHeight="1" x14ac:dyDescent="0.25">
      <c r="A207" s="133">
        <v>1</v>
      </c>
      <c r="B207" s="133"/>
      <c r="C207" s="14" t="s">
        <v>167</v>
      </c>
      <c r="D207" s="14">
        <f>(2.75*3.97+2.3*2.45+2.9*3.05+3.05*2.76+0.75*1.98+1.22*2.15+1.22*1.83+(0.6*(3.05+2))+(1.05*(2.3+2.9))+0.75*3.05+(0.6*(2.9+2.3)))*10.764</f>
        <v>581.83295039999996</v>
      </c>
      <c r="E207" s="14">
        <f>(1.8*2.75)*10.764</f>
        <v>53.281799999999997</v>
      </c>
      <c r="F207" s="14">
        <f>D207*1.7+E207</f>
        <v>1042.3978156799999</v>
      </c>
      <c r="G207" s="149" t="str">
        <f>A206</f>
        <v>3rd, 5th, 7th, 9th, 11th, 13th, 15th, 17th, 19th &amp; 21st Floor for Residential</v>
      </c>
      <c r="H207" s="159"/>
      <c r="I207" s="59">
        <f>2.75*3.97+2.3*2.45+2.9*3.05+3.05*2.76+0.75*1.98+1.22*2.15+1.22*1.83+(0.6*(3.05+2.5))</f>
        <v>43.486099999999993</v>
      </c>
      <c r="J207" s="84">
        <f t="shared" si="8"/>
        <v>4378070.8258559993</v>
      </c>
      <c r="N207" s="30"/>
    </row>
    <row r="208" spans="1:20" s="2" customFormat="1" ht="15.75" customHeight="1" x14ac:dyDescent="0.25">
      <c r="A208" s="133">
        <f t="shared" ref="A208:A210" si="12">A207+1</f>
        <v>2</v>
      </c>
      <c r="B208" s="133"/>
      <c r="C208" s="14" t="s">
        <v>189</v>
      </c>
      <c r="D208" s="14">
        <f>(2.75*3.97+0.75*1.98+2.3*2.45+2.9*3.05+2.45*3.36+3.05*2.76+0.9*1.22+(1.22*1.83+1.22*2.15)+(0.6*(2+3.05+3.36))+(1.05*(2.3+2.9))+(0.6*(2.9+2.3))+(0.75*(3.05+3.05)))*10.764</f>
        <v>728.58394439999995</v>
      </c>
      <c r="E208" s="14">
        <f t="shared" ref="E208:E210" si="13">(1.8*2.75)*10.764</f>
        <v>53.281799999999997</v>
      </c>
      <c r="F208" s="14">
        <f>D208*1.7+E208</f>
        <v>1291.8745054799999</v>
      </c>
      <c r="G208" s="151"/>
      <c r="H208" s="231"/>
      <c r="I208" s="60">
        <f>46.59-I207</f>
        <v>3.1039000000000101</v>
      </c>
      <c r="J208" s="84">
        <f t="shared" si="8"/>
        <v>5425872.9230159996</v>
      </c>
      <c r="N208" s="30"/>
    </row>
    <row r="209" spans="1:14" s="2" customFormat="1" ht="15.75" customHeight="1" x14ac:dyDescent="0.25">
      <c r="A209" s="133">
        <v>3</v>
      </c>
      <c r="B209" s="133"/>
      <c r="C209" s="14" t="s">
        <v>189</v>
      </c>
      <c r="D209" s="14">
        <f>(2.75*3.97+0.75*1.98+2.3*2.45+2.9*3.05+2.45*3.36+3.05*2.76+0.9*1.22+(1.22*1.83+1.22*2.15)+(0.6*(2+3.05+3.36))+(1.05*(2.3+2.9))+(0.6*(2.9+2.3))+(0.75*(3.05+3.05)))*10.764</f>
        <v>728.58394439999995</v>
      </c>
      <c r="E209" s="14">
        <f t="shared" si="13"/>
        <v>53.281799999999997</v>
      </c>
      <c r="F209" s="14">
        <f>D209*1.7+E209</f>
        <v>1291.8745054799999</v>
      </c>
      <c r="G209" s="151"/>
      <c r="H209" s="231"/>
      <c r="I209" s="59">
        <f>2.75*3.97+2.3*2.45+2.9*3.05+3.05*2.76+0.75*1.98+1.22*2.15+1.22*1.83+(0.6*(3.05+2.5))</f>
        <v>43.486099999999993</v>
      </c>
      <c r="J209" s="84">
        <f t="shared" si="8"/>
        <v>5425872.9230159996</v>
      </c>
      <c r="N209" s="30"/>
    </row>
    <row r="210" spans="1:14" s="2" customFormat="1" ht="15.75" customHeight="1" x14ac:dyDescent="0.25">
      <c r="A210" s="133">
        <f t="shared" si="12"/>
        <v>4</v>
      </c>
      <c r="B210" s="133"/>
      <c r="C210" s="14" t="s">
        <v>167</v>
      </c>
      <c r="D210" s="14">
        <f>(2.75*3.97+2.3*2.45+2.9*3.05+3.05*2.76+0.75*1.98+1.22*2.15+1.22*1.83+(0.6*(3.05+2))+(1.05*(2.3+2.9))+0.75*3.05+(0.6*(2.9+2.3)))*10.764</f>
        <v>581.83295039999996</v>
      </c>
      <c r="E210" s="14">
        <f t="shared" si="13"/>
        <v>53.281799999999997</v>
      </c>
      <c r="F210" s="14">
        <f>D210*1.7+E210</f>
        <v>1042.3978156799999</v>
      </c>
      <c r="G210" s="153"/>
      <c r="H210" s="160"/>
      <c r="I210" s="60">
        <f>46.59-I209</f>
        <v>3.1039000000000101</v>
      </c>
      <c r="J210" s="2">
        <f>733/D210</f>
        <v>1.2598117715678965</v>
      </c>
      <c r="N210" s="30"/>
    </row>
    <row r="211" spans="1:14" s="2" customFormat="1" x14ac:dyDescent="0.25">
      <c r="A211" s="135" t="s">
        <v>194</v>
      </c>
      <c r="B211" s="135"/>
      <c r="C211" s="135"/>
      <c r="D211" s="135"/>
      <c r="E211" s="135"/>
      <c r="F211" s="135"/>
      <c r="G211" s="135"/>
      <c r="H211" s="135"/>
      <c r="I211" s="30"/>
      <c r="L211" s="158"/>
      <c r="M211" s="158"/>
    </row>
    <row r="212" spans="1:14" s="2" customFormat="1" ht="15.75" customHeight="1" x14ac:dyDescent="0.25">
      <c r="A212" s="133">
        <v>1</v>
      </c>
      <c r="B212" s="133"/>
      <c r="C212" s="14" t="s">
        <v>167</v>
      </c>
      <c r="D212" s="14">
        <f>(2.75*3.97+2.3*2.45+2.9*3.05+3.05*2.76+0.75*1.98+1.22*2.15+1.22*1.83+(0.6*(3.05+2))+(1.05*(2.3+2.9))+0.75*2.75+(0.6*(2.9+2.3)))*10.764</f>
        <v>579.41105039999991</v>
      </c>
      <c r="E212" s="14">
        <f>1.8*3.05*10.764</f>
        <v>59.094360000000002</v>
      </c>
      <c r="F212" s="14">
        <f>D212*1.7+E212</f>
        <v>1044.0931456799999</v>
      </c>
      <c r="G212" s="149" t="str">
        <f>A211</f>
        <v>4th, 6th, 10th, 12th, 14th, 16th &amp; 20th Floor for Residential</v>
      </c>
      <c r="H212" s="159"/>
      <c r="I212" s="59">
        <f>2.75*3.97+2.3*2.45+2.9*3.05+3.05*2.76+0.75*1.98+1.22*2.15+1.22*1.83+(0.6*(3.05+2.5))</f>
        <v>43.486099999999993</v>
      </c>
      <c r="J212" s="2">
        <f>733/D212</f>
        <v>1.2650777017351826</v>
      </c>
      <c r="N212" s="30"/>
    </row>
    <row r="213" spans="1:14" s="2" customFormat="1" ht="15.75" customHeight="1" x14ac:dyDescent="0.25">
      <c r="A213" s="133">
        <f t="shared" ref="A213:A215" si="14">A212+1</f>
        <v>2</v>
      </c>
      <c r="B213" s="133"/>
      <c r="C213" s="14" t="s">
        <v>189</v>
      </c>
      <c r="D213" s="14">
        <f>(2.75*3.97+0.75*1.98+2.3*2.45+2.9*3.05+2.45*3.36+3.05*2.76+0.9*1.22+(1.22*1.83+1.22*2.15)+(0.6*(2+3.05+3.36))+(1.05*(2.3+2.9))+(0.6*(2.9+2.3))+(0.75*(2.75+3.05)))*10.764</f>
        <v>726.1620443999999</v>
      </c>
      <c r="E213" s="14">
        <f t="shared" ref="E213:E215" si="15">1.8*3.05*10.764</f>
        <v>59.094360000000002</v>
      </c>
      <c r="F213" s="14">
        <f>D213*1.7+E213</f>
        <v>1293.5698354799999</v>
      </c>
      <c r="G213" s="151"/>
      <c r="H213" s="231"/>
      <c r="I213" s="60">
        <f>46.59-I212</f>
        <v>3.1039000000000101</v>
      </c>
      <c r="J213" s="2">
        <f>733/D213</f>
        <v>1.0094165698313935</v>
      </c>
      <c r="N213" s="30"/>
    </row>
    <row r="214" spans="1:14" s="2" customFormat="1" ht="15.75" customHeight="1" x14ac:dyDescent="0.25">
      <c r="A214" s="133">
        <v>3</v>
      </c>
      <c r="B214" s="133"/>
      <c r="C214" s="14" t="s">
        <v>189</v>
      </c>
      <c r="D214" s="14">
        <f>(2.75*3.97+0.75*1.98+2.3*2.45+2.9*3.05+2.45*3.36+3.05*2.76+0.9*1.22+(1.22*1.83+1.22*2.15)+(0.6*(2+3.05+3.36))+(1.05*(2.3+2.9))+(0.6*(2.9+2.3))+(0.75*(2.75+3.05)))*10.764</f>
        <v>726.1620443999999</v>
      </c>
      <c r="E214" s="14">
        <f t="shared" si="15"/>
        <v>59.094360000000002</v>
      </c>
      <c r="F214" s="14">
        <f>D214*1.7+E214</f>
        <v>1293.5698354799999</v>
      </c>
      <c r="G214" s="151"/>
      <c r="H214" s="231"/>
      <c r="I214" s="59">
        <f>2.75*3.97+2.3*2.45+2.9*3.05+3.05*2.76+0.75*1.98+1.22*2.15+1.22*1.83+(0.6*(3.05+2.5))</f>
        <v>43.486099999999993</v>
      </c>
      <c r="J214" s="2">
        <f>733/D214</f>
        <v>1.0094165698313935</v>
      </c>
      <c r="N214" s="30"/>
    </row>
    <row r="215" spans="1:14" s="2" customFormat="1" ht="15.75" customHeight="1" x14ac:dyDescent="0.25">
      <c r="A215" s="133">
        <f t="shared" si="14"/>
        <v>4</v>
      </c>
      <c r="B215" s="133"/>
      <c r="C215" s="14" t="s">
        <v>167</v>
      </c>
      <c r="D215" s="14">
        <f>(2.75*3.97+2.3*2.45+2.9*3.05+3.05*2.76+0.75*1.98+1.22*2.15+1.22*1.83+(0.6*(3.05+2))+(1.05*(2.3+2.9))+0.75*2.75+(0.6*(2.9+2.3)))*10.764</f>
        <v>579.41105039999991</v>
      </c>
      <c r="E215" s="14">
        <f t="shared" si="15"/>
        <v>59.094360000000002</v>
      </c>
      <c r="F215" s="14">
        <f>D215*1.7+E215</f>
        <v>1044.0931456799999</v>
      </c>
      <c r="G215" s="153"/>
      <c r="H215" s="160"/>
      <c r="I215" s="60">
        <f>46.59-I214</f>
        <v>3.1039000000000101</v>
      </c>
      <c r="J215" s="2">
        <f>733/D215</f>
        <v>1.2650777017351826</v>
      </c>
      <c r="N215" s="30"/>
    </row>
    <row r="216" spans="1:14" s="2" customFormat="1" x14ac:dyDescent="0.25">
      <c r="A216" s="135" t="s">
        <v>169</v>
      </c>
      <c r="B216" s="135"/>
      <c r="C216" s="135"/>
      <c r="D216" s="135"/>
      <c r="E216" s="135"/>
      <c r="F216" s="135"/>
      <c r="G216" s="135"/>
      <c r="H216" s="135"/>
      <c r="I216" s="30"/>
      <c r="L216" s="158"/>
      <c r="M216" s="158"/>
    </row>
    <row r="217" spans="1:14" s="2" customFormat="1" ht="15.75" customHeight="1" x14ac:dyDescent="0.25">
      <c r="A217" s="133">
        <v>1</v>
      </c>
      <c r="B217" s="133"/>
      <c r="C217" s="69" t="s">
        <v>167</v>
      </c>
      <c r="D217" s="69">
        <f>(2.75*3.97+2.3*2.45+2.9*3.05+3.05*2.76+0.75*1.98+1.22*2.15+1.22*1.83+(0.6*(3.05+2))+(1.05*(2.3+2.9))+0.75*2.75+(0.6*(2.9+2.3)))*10.764</f>
        <v>579.41105039999991</v>
      </c>
      <c r="E217" s="69">
        <f>1.8*3.05*10.764</f>
        <v>59.094360000000002</v>
      </c>
      <c r="F217" s="69">
        <f>D217*1.7+E217</f>
        <v>1044.0931456799999</v>
      </c>
      <c r="G217" s="133" t="str">
        <f>A216</f>
        <v>8th &amp; 18th Floor (Part Refuge Area)</v>
      </c>
      <c r="H217" s="133"/>
      <c r="I217" s="59">
        <f>2.75*3.97+2.3*2.45+2.9*3.05+3.05*2.76+0.75*1.98+1.22*2.15+1.22*1.83+(0.6*(3.05+2.5))</f>
        <v>43.486099999999993</v>
      </c>
      <c r="J217" s="2">
        <f>733/D217</f>
        <v>1.2650777017351826</v>
      </c>
      <c r="N217" s="30"/>
    </row>
    <row r="218" spans="1:14" s="2" customFormat="1" ht="15.75" customHeight="1" x14ac:dyDescent="0.25">
      <c r="A218" s="133">
        <f t="shared" ref="A218:A220" si="16">A217+1</f>
        <v>2</v>
      </c>
      <c r="B218" s="133"/>
      <c r="C218" s="133" t="s">
        <v>170</v>
      </c>
      <c r="D218" s="133"/>
      <c r="E218" s="133"/>
      <c r="F218" s="133"/>
      <c r="G218" s="133"/>
      <c r="H218" s="133"/>
      <c r="I218" s="60">
        <f>46.59-I217</f>
        <v>3.1039000000000101</v>
      </c>
      <c r="J218" s="2" t="e">
        <f>733/D218</f>
        <v>#DIV/0!</v>
      </c>
      <c r="N218" s="30"/>
    </row>
    <row r="219" spans="1:14" s="2" customFormat="1" ht="15.75" customHeight="1" x14ac:dyDescent="0.25">
      <c r="A219" s="133">
        <v>3</v>
      </c>
      <c r="B219" s="133"/>
      <c r="C219" s="69" t="s">
        <v>189</v>
      </c>
      <c r="D219" s="69">
        <f>(2.75*3.97+0.75*1.98+2.3*2.45+2.9*3.05+2.45*3.36+3.05*2.76+0.9*1.22+(1.22*1.83+1.22*2.15)+(0.6*(2+3.05+3.36))+(1.05*(2.3+2.9))+(0.6*(2.9+2.3))+(0.75*(2.75+3.05)))*10.764</f>
        <v>726.1620443999999</v>
      </c>
      <c r="E219" s="69">
        <f t="shared" ref="E219:E220" si="17">1.8*3.05*10.764</f>
        <v>59.094360000000002</v>
      </c>
      <c r="F219" s="69">
        <f>D219*1.7+E219</f>
        <v>1293.5698354799999</v>
      </c>
      <c r="G219" s="133"/>
      <c r="H219" s="133"/>
      <c r="I219" s="59">
        <f>2.75*3.97+2.3*2.45+2.9*3.05+3.05*2.76+0.75*1.98+1.22*2.15+1.22*1.83+(0.6*(3.05+2.5))</f>
        <v>43.486099999999993</v>
      </c>
      <c r="J219" s="2">
        <f>733/D219</f>
        <v>1.0094165698313935</v>
      </c>
      <c r="N219" s="30"/>
    </row>
    <row r="220" spans="1:14" s="2" customFormat="1" ht="15.75" customHeight="1" x14ac:dyDescent="0.25">
      <c r="A220" s="133">
        <f t="shared" si="16"/>
        <v>4</v>
      </c>
      <c r="B220" s="133"/>
      <c r="C220" s="69" t="s">
        <v>167</v>
      </c>
      <c r="D220" s="69">
        <f>(2.75*3.97+2.3*2.45+2.9*3.05+3.05*2.76+0.75*1.98+1.22*2.15+1.22*1.83+(0.6*(3.05+2))+(1.05*(2.3+2.9))+0.75*2.75+(0.6*(2.9+2.3)))*10.764</f>
        <v>579.41105039999991</v>
      </c>
      <c r="E220" s="69">
        <f t="shared" si="17"/>
        <v>59.094360000000002</v>
      </c>
      <c r="F220" s="69">
        <f>D220*1.7+E220</f>
        <v>1044.0931456799999</v>
      </c>
      <c r="G220" s="133"/>
      <c r="H220" s="133"/>
      <c r="I220" s="60">
        <f>46.59-I219</f>
        <v>3.1039000000000101</v>
      </c>
      <c r="J220" s="2">
        <f>733/D220</f>
        <v>1.2650777017351826</v>
      </c>
      <c r="N220" s="30"/>
    </row>
    <row r="221" spans="1:14" s="2" customFormat="1" x14ac:dyDescent="0.25">
      <c r="A221" s="135" t="s">
        <v>195</v>
      </c>
      <c r="B221" s="135"/>
      <c r="C221" s="135"/>
      <c r="D221" s="135"/>
      <c r="E221" s="135"/>
      <c r="F221" s="135"/>
      <c r="G221" s="135"/>
      <c r="H221" s="135"/>
      <c r="I221" s="30"/>
      <c r="L221" s="158"/>
      <c r="M221" s="158"/>
    </row>
    <row r="222" spans="1:14" s="2" customFormat="1" ht="15.75" customHeight="1" x14ac:dyDescent="0.25">
      <c r="A222" s="133">
        <v>1</v>
      </c>
      <c r="B222" s="133"/>
      <c r="C222" s="69" t="s">
        <v>167</v>
      </c>
      <c r="D222" s="69">
        <f>(2.75*3.97+2.3*2.45+2.9*3.05+3.05*2.76+0.75*1.98+1.22*2.15+1.22*1.83+(0.6*(3.05+2))+(1.05*(2.3+2.9))+0.75*3.05+(0.6*(2.9+2.3)))*10.764</f>
        <v>581.83295039999996</v>
      </c>
      <c r="E222" s="69">
        <f>(1.8*2.75)*10.764</f>
        <v>53.281799999999997</v>
      </c>
      <c r="F222" s="69">
        <f>D222*1.7+E222</f>
        <v>1042.3978156799999</v>
      </c>
      <c r="G222" s="133" t="str">
        <f>A221</f>
        <v>5th &amp; 13th Floor (Part Refuge Area)</v>
      </c>
      <c r="H222" s="133"/>
      <c r="I222" s="59">
        <f>2.75*3.97+2.3*2.45+2.9*3.05+3.05*2.76+0.75*1.98+1.22*2.15+1.22*1.83+(0.6*(3.05+2.5))</f>
        <v>43.486099999999993</v>
      </c>
      <c r="J222" s="2">
        <f>733/D222</f>
        <v>1.2598117715678965</v>
      </c>
      <c r="N222" s="30"/>
    </row>
    <row r="223" spans="1:14" s="2" customFormat="1" ht="15.75" customHeight="1" x14ac:dyDescent="0.25">
      <c r="A223" s="133">
        <f t="shared" ref="A223:A225" si="18">A222+1</f>
        <v>2</v>
      </c>
      <c r="B223" s="133"/>
      <c r="C223" s="133" t="s">
        <v>170</v>
      </c>
      <c r="D223" s="133"/>
      <c r="E223" s="133"/>
      <c r="F223" s="133"/>
      <c r="G223" s="133"/>
      <c r="H223" s="133"/>
      <c r="I223" s="60">
        <f>46.59-I222</f>
        <v>3.1039000000000101</v>
      </c>
      <c r="J223" s="2" t="e">
        <f>733/D223</f>
        <v>#DIV/0!</v>
      </c>
      <c r="N223" s="30"/>
    </row>
    <row r="224" spans="1:14" s="2" customFormat="1" ht="15.75" customHeight="1" x14ac:dyDescent="0.25">
      <c r="A224" s="133">
        <v>3</v>
      </c>
      <c r="B224" s="133"/>
      <c r="C224" s="69" t="s">
        <v>189</v>
      </c>
      <c r="D224" s="69">
        <f>(2.75*3.97+0.75*1.98+2.3*2.45+2.9*3.05+2.45*3.36+3.05*2.76+0.9*1.22+(1.22*1.83+1.22*2.15)+(0.6*(2+3.05+3.36))+(1.05*(2.3+2.9))+(0.6*(2.9+2.3))+(0.75*(3.05+3.05)))*10.764</f>
        <v>728.58394439999995</v>
      </c>
      <c r="E224" s="69">
        <f t="shared" ref="E224:E225" si="19">(1.8*2.75)*10.764</f>
        <v>53.281799999999997</v>
      </c>
      <c r="F224" s="69">
        <f>D224*1.7+E224</f>
        <v>1291.8745054799999</v>
      </c>
      <c r="G224" s="133"/>
      <c r="H224" s="133"/>
      <c r="I224" s="59">
        <f>2.75*3.97+2.3*2.45+2.9*3.05+3.05*2.76+0.75*1.98+1.22*2.15+1.22*1.83+(0.6*(3.05+2.5))</f>
        <v>43.486099999999993</v>
      </c>
      <c r="J224" s="2">
        <f>733/D224</f>
        <v>1.0060611486623368</v>
      </c>
      <c r="N224" s="30"/>
    </row>
    <row r="225" spans="1:14" s="2" customFormat="1" ht="15.75" customHeight="1" x14ac:dyDescent="0.25">
      <c r="A225" s="133">
        <f t="shared" si="18"/>
        <v>4</v>
      </c>
      <c r="B225" s="133"/>
      <c r="C225" s="69" t="s">
        <v>167</v>
      </c>
      <c r="D225" s="69">
        <f>(2.75*3.97+2.3*2.45+2.9*3.05+3.05*2.76+0.75*1.98+1.22*2.15+1.22*1.83+(0.6*(3.05+2))+(1.05*(2.3+2.9))+0.75*3.05+(0.6*(2.9+2.3)))*10.764</f>
        <v>581.83295039999996</v>
      </c>
      <c r="E225" s="69">
        <f t="shared" si="19"/>
        <v>53.281799999999997</v>
      </c>
      <c r="F225" s="69">
        <f>D225*1.7+E225</f>
        <v>1042.3978156799999</v>
      </c>
      <c r="G225" s="133"/>
      <c r="H225" s="133"/>
      <c r="I225" s="60">
        <f>46.59-I224</f>
        <v>3.1039000000000101</v>
      </c>
      <c r="J225" s="2">
        <f>733/D225</f>
        <v>1.2598117715678965</v>
      </c>
      <c r="N225" s="30"/>
    </row>
    <row r="226" spans="1:14" s="4" customFormat="1" x14ac:dyDescent="0.25">
      <c r="A226" s="146" t="s">
        <v>171</v>
      </c>
      <c r="B226" s="146"/>
      <c r="C226" s="146"/>
      <c r="D226" s="146"/>
      <c r="E226" s="146"/>
      <c r="F226" s="146"/>
      <c r="G226" s="146"/>
      <c r="H226" s="146"/>
      <c r="I226" s="54"/>
      <c r="J226" s="55">
        <v>1.8</v>
      </c>
    </row>
    <row r="227" spans="1:14" s="4" customFormat="1" x14ac:dyDescent="0.25">
      <c r="A227" s="134" t="s">
        <v>238</v>
      </c>
      <c r="B227" s="134"/>
      <c r="C227" s="134"/>
      <c r="D227" s="134"/>
      <c r="E227" s="134"/>
      <c r="F227" s="134"/>
      <c r="G227" s="134"/>
      <c r="H227" s="134"/>
      <c r="I227" s="54"/>
      <c r="J227" s="55">
        <v>1.8</v>
      </c>
    </row>
    <row r="228" spans="1:14" s="2" customFormat="1" x14ac:dyDescent="0.25">
      <c r="A228" s="135" t="s">
        <v>164</v>
      </c>
      <c r="B228" s="135"/>
      <c r="C228" s="135"/>
      <c r="D228" s="135"/>
      <c r="E228" s="135"/>
      <c r="F228" s="135"/>
      <c r="G228" s="135"/>
      <c r="H228" s="135"/>
      <c r="I228" s="30"/>
      <c r="L228" s="158"/>
      <c r="M228" s="158"/>
    </row>
    <row r="229" spans="1:14" s="2" customFormat="1" ht="15.75" customHeight="1" x14ac:dyDescent="0.25">
      <c r="A229" s="133">
        <v>1</v>
      </c>
      <c r="B229" s="133"/>
      <c r="C229" s="143" t="s">
        <v>166</v>
      </c>
      <c r="D229" s="144"/>
      <c r="E229" s="144"/>
      <c r="F229" s="145"/>
      <c r="G229" s="149" t="str">
        <f>A228</f>
        <v>1st Floor for Residential</v>
      </c>
      <c r="H229" s="150"/>
      <c r="I229" s="30"/>
      <c r="N229" s="30"/>
    </row>
    <row r="230" spans="1:14" s="2" customFormat="1" ht="15.75" customHeight="1" x14ac:dyDescent="0.25">
      <c r="A230" s="133">
        <f t="shared" ref="A230:A236" si="20">A229+1</f>
        <v>2</v>
      </c>
      <c r="B230" s="133"/>
      <c r="C230" s="14" t="s">
        <v>167</v>
      </c>
      <c r="D230" s="14">
        <f>((44.36)+2.1*1.2+2.75*1.15+0.75*2.75+0.6*2.5)*10.764</f>
        <v>577.00422000000003</v>
      </c>
      <c r="E230" s="14">
        <f>(1.8*2.75)*10.764</f>
        <v>53.281799999999997</v>
      </c>
      <c r="F230" s="14">
        <f>D230*1.5+E230</f>
        <v>918.78813000000002</v>
      </c>
      <c r="G230" s="151"/>
      <c r="H230" s="152"/>
      <c r="I230" s="59">
        <f>2.75*4+2.1*1.6+2.75*2.1+2.75*3.05+1.2*2.1+2.1*1.2+1.7*3.3+0.9*2.8</f>
        <v>41.692500000000003</v>
      </c>
      <c r="J230" s="59">
        <f>(F230-E230)/D230</f>
        <v>1.5</v>
      </c>
      <c r="L230" s="2">
        <f>4500*F230+650000</f>
        <v>4784546.585</v>
      </c>
      <c r="N230" s="30"/>
    </row>
    <row r="231" spans="1:14" s="2" customFormat="1" ht="15.75" customHeight="1" x14ac:dyDescent="0.25">
      <c r="A231" s="133">
        <f t="shared" si="20"/>
        <v>3</v>
      </c>
      <c r="B231" s="133"/>
      <c r="C231" s="14" t="s">
        <v>168</v>
      </c>
      <c r="D231" s="14">
        <f>((30.14)+2.1*1.2+0.75*2.75)*10.764</f>
        <v>373.75299000000001</v>
      </c>
      <c r="E231" s="14">
        <f>(1.8*2.75)*10.764</f>
        <v>53.281799999999997</v>
      </c>
      <c r="F231" s="86">
        <f t="shared" ref="F231:F235" si="21">D231*1.5+E231</f>
        <v>613.91128500000002</v>
      </c>
      <c r="G231" s="151"/>
      <c r="H231" s="152"/>
      <c r="I231" s="30"/>
      <c r="J231" s="59">
        <f t="shared" ref="J231:J280" si="22">(F231-E231)/D231</f>
        <v>1.5</v>
      </c>
      <c r="K231" s="84"/>
      <c r="L231" s="84">
        <f t="shared" ref="L231:L236" si="23">4500*F231+650000</f>
        <v>3412600.7825000002</v>
      </c>
      <c r="N231" s="30"/>
    </row>
    <row r="232" spans="1:14" s="2" customFormat="1" ht="15.75" customHeight="1" x14ac:dyDescent="0.25">
      <c r="A232" s="133">
        <f t="shared" si="20"/>
        <v>4</v>
      </c>
      <c r="B232" s="133"/>
      <c r="C232" s="14" t="s">
        <v>168</v>
      </c>
      <c r="D232" s="77">
        <f>((30.14)+2.1*1.2+0.75*2.75)*10.764</f>
        <v>373.75299000000001</v>
      </c>
      <c r="E232" s="14">
        <f>(1.8*2.75)*10.764</f>
        <v>53.281799999999997</v>
      </c>
      <c r="F232" s="86">
        <f t="shared" si="21"/>
        <v>613.91128500000002</v>
      </c>
      <c r="G232" s="151"/>
      <c r="H232" s="152"/>
      <c r="I232" s="30"/>
      <c r="J232" s="59">
        <f t="shared" si="22"/>
        <v>1.5</v>
      </c>
      <c r="K232" s="84"/>
      <c r="L232" s="84">
        <f t="shared" si="23"/>
        <v>3412600.7825000002</v>
      </c>
      <c r="N232" s="30"/>
    </row>
    <row r="233" spans="1:14" s="2" customFormat="1" x14ac:dyDescent="0.25">
      <c r="A233" s="133">
        <f t="shared" si="20"/>
        <v>5</v>
      </c>
      <c r="B233" s="133"/>
      <c r="C233" s="14" t="s">
        <v>167</v>
      </c>
      <c r="D233" s="14">
        <f>((42.96)+1.2*2.1+1.15*2.75+0.75*2.75+0.6*(1.6+1.4))*10.764</f>
        <v>565.16381999999999</v>
      </c>
      <c r="E233" s="14">
        <f>(1.8*2.75)*10.764</f>
        <v>53.281799999999997</v>
      </c>
      <c r="F233" s="86">
        <f t="shared" si="21"/>
        <v>901.02752999999996</v>
      </c>
      <c r="G233" s="151"/>
      <c r="H233" s="152"/>
      <c r="I233" s="30"/>
      <c r="J233" s="59">
        <f t="shared" si="22"/>
        <v>1.5</v>
      </c>
      <c r="K233" s="84"/>
      <c r="L233" s="84">
        <f t="shared" si="23"/>
        <v>4704623.8849999998</v>
      </c>
      <c r="N233" s="30"/>
    </row>
    <row r="234" spans="1:14" s="2" customFormat="1" x14ac:dyDescent="0.25">
      <c r="A234" s="133">
        <f t="shared" si="20"/>
        <v>6</v>
      </c>
      <c r="B234" s="133"/>
      <c r="C234" s="14" t="s">
        <v>167</v>
      </c>
      <c r="D234" s="77">
        <f>((42.96)+1.2*2.1+1.15*2.75+0.75*2.75+0.6*(1.6+1.4))*10.764</f>
        <v>565.16381999999999</v>
      </c>
      <c r="E234" s="14">
        <f>(1.8*2.75)*10.764</f>
        <v>53.281799999999997</v>
      </c>
      <c r="F234" s="86">
        <f t="shared" si="21"/>
        <v>901.02752999999996</v>
      </c>
      <c r="G234" s="151"/>
      <c r="H234" s="152"/>
      <c r="I234" s="30"/>
      <c r="J234" s="59">
        <f t="shared" si="22"/>
        <v>1.5</v>
      </c>
      <c r="K234" s="84"/>
      <c r="L234" s="84">
        <f t="shared" si="23"/>
        <v>4704623.8849999998</v>
      </c>
      <c r="N234" s="30"/>
    </row>
    <row r="235" spans="1:14" s="2" customFormat="1" x14ac:dyDescent="0.25">
      <c r="A235" s="133">
        <f t="shared" si="20"/>
        <v>7</v>
      </c>
      <c r="B235" s="133"/>
      <c r="C235" s="14" t="s">
        <v>167</v>
      </c>
      <c r="D235" s="14">
        <f>((43.69)+0.75*1.5+1.15*2.75+0.75*2.9+0.6*2.75)*10.764</f>
        <v>557.60210999999993</v>
      </c>
      <c r="E235" s="14">
        <f>(1.5*2.75)*10.764</f>
        <v>44.401499999999999</v>
      </c>
      <c r="F235" s="86">
        <f t="shared" si="21"/>
        <v>880.80466499999989</v>
      </c>
      <c r="G235" s="151"/>
      <c r="H235" s="152"/>
      <c r="I235" s="30"/>
      <c r="J235" s="59">
        <f t="shared" si="22"/>
        <v>1.5</v>
      </c>
      <c r="K235" s="84"/>
      <c r="L235" s="84">
        <f t="shared" si="23"/>
        <v>4613620.9924999997</v>
      </c>
      <c r="N235" s="30"/>
    </row>
    <row r="236" spans="1:14" s="2" customFormat="1" x14ac:dyDescent="0.25">
      <c r="A236" s="133">
        <f t="shared" si="20"/>
        <v>8</v>
      </c>
      <c r="B236" s="133"/>
      <c r="C236" s="14" t="s">
        <v>167</v>
      </c>
      <c r="D236" s="77">
        <f>((43.69)+0.75*1.5+1.15*2.75+0.75*2.9+0.6*2.75)*10.764</f>
        <v>557.60210999999993</v>
      </c>
      <c r="E236" s="77">
        <f>(1.5*2.75)*10.764</f>
        <v>44.401499999999999</v>
      </c>
      <c r="F236" s="86">
        <f>D236*1.5+E236</f>
        <v>880.80466499999989</v>
      </c>
      <c r="G236" s="153"/>
      <c r="H236" s="154"/>
      <c r="I236" s="30"/>
      <c r="J236" s="59">
        <f t="shared" si="22"/>
        <v>1.5</v>
      </c>
      <c r="K236" s="84"/>
      <c r="L236" s="84">
        <f t="shared" si="23"/>
        <v>4613620.9924999997</v>
      </c>
      <c r="N236" s="30"/>
    </row>
    <row r="237" spans="1:14" s="2" customFormat="1" ht="15.75" customHeight="1" x14ac:dyDescent="0.25">
      <c r="A237" s="155" t="s">
        <v>123</v>
      </c>
      <c r="B237" s="156"/>
      <c r="C237" s="156"/>
      <c r="D237" s="156"/>
      <c r="E237" s="156"/>
      <c r="F237" s="156"/>
      <c r="G237" s="156"/>
      <c r="H237" s="157"/>
      <c r="I237" s="30"/>
      <c r="J237" s="59" t="e">
        <f t="shared" si="22"/>
        <v>#DIV/0!</v>
      </c>
    </row>
    <row r="238" spans="1:14" s="2" customFormat="1" x14ac:dyDescent="0.25">
      <c r="A238" s="143">
        <v>1</v>
      </c>
      <c r="B238" s="145"/>
      <c r="C238" s="14" t="s">
        <v>168</v>
      </c>
      <c r="D238" s="14">
        <f>((31.14)+(1.2*2.1))*10.764</f>
        <v>362.31623999999999</v>
      </c>
      <c r="E238" s="56">
        <f>(2.75*2.25+1.8*2.75+2.1*4.8)*10.764</f>
        <v>228.38516999999999</v>
      </c>
      <c r="F238" s="86">
        <f t="shared" ref="F238:F245" si="24">D238*1.5+E238</f>
        <v>771.85952999999995</v>
      </c>
      <c r="G238" s="149" t="str">
        <f>A237</f>
        <v>2nd Floor</v>
      </c>
      <c r="H238" s="150"/>
      <c r="I238" s="30"/>
      <c r="J238" s="59">
        <f t="shared" si="22"/>
        <v>1.4999999999999998</v>
      </c>
    </row>
    <row r="239" spans="1:14" s="2" customFormat="1" x14ac:dyDescent="0.25">
      <c r="A239" s="143">
        <v>2</v>
      </c>
      <c r="B239" s="145"/>
      <c r="C239" s="14" t="s">
        <v>167</v>
      </c>
      <c r="D239" s="14">
        <f>((44.15)+0.75*2.75+1.2*2.1+1.15*2.75+0.6*2.5)*10.764</f>
        <v>574.74378000000002</v>
      </c>
      <c r="E239" s="14">
        <f>(1.8*2.75)*10.764</f>
        <v>53.281799999999997</v>
      </c>
      <c r="F239" s="86">
        <f t="shared" si="24"/>
        <v>915.39747</v>
      </c>
      <c r="G239" s="151"/>
      <c r="H239" s="152"/>
      <c r="I239" s="30">
        <f>F239-E239</f>
        <v>862.11567000000002</v>
      </c>
      <c r="J239" s="59">
        <f t="shared" si="22"/>
        <v>1.5</v>
      </c>
      <c r="K239" s="2">
        <f>I239/D239</f>
        <v>1.5</v>
      </c>
      <c r="M239" s="2">
        <f>2.75*4+2.1*2.4+2.9*2.75+1.2*1.5+1*1.25+2.2*0.6+1*1</f>
        <v>29.385000000000002</v>
      </c>
    </row>
    <row r="240" spans="1:14" s="2" customFormat="1" ht="15.75" customHeight="1" x14ac:dyDescent="0.25">
      <c r="A240" s="143">
        <v>3</v>
      </c>
      <c r="B240" s="145"/>
      <c r="C240" s="14" t="s">
        <v>168</v>
      </c>
      <c r="D240" s="66">
        <f>((30.39)+0.75*2.75+1.2*2.1)*10.764</f>
        <v>376.44399000000004</v>
      </c>
      <c r="E240" s="14">
        <f>(1.8*2.75)*10.764</f>
        <v>53.281799999999997</v>
      </c>
      <c r="F240" s="86">
        <f t="shared" si="24"/>
        <v>617.94778500000007</v>
      </c>
      <c r="G240" s="151"/>
      <c r="H240" s="152"/>
      <c r="I240" s="30"/>
      <c r="J240" s="59">
        <f t="shared" si="22"/>
        <v>1.5</v>
      </c>
      <c r="K240" s="2">
        <f>5388*F239</f>
        <v>4932161.5683599999</v>
      </c>
    </row>
    <row r="241" spans="1:13" s="2" customFormat="1" ht="15.75" customHeight="1" x14ac:dyDescent="0.25">
      <c r="A241" s="143">
        <v>4</v>
      </c>
      <c r="B241" s="145"/>
      <c r="C241" s="14" t="s">
        <v>168</v>
      </c>
      <c r="D241" s="77">
        <f>((30.39)+0.75*2.75+1.2*2.1)*10.764</f>
        <v>376.44399000000004</v>
      </c>
      <c r="E241" s="14">
        <f>(1.8*2.75)*10.764</f>
        <v>53.281799999999997</v>
      </c>
      <c r="F241" s="86">
        <f t="shared" si="24"/>
        <v>617.94778500000007</v>
      </c>
      <c r="G241" s="151"/>
      <c r="H241" s="152"/>
      <c r="I241" s="61">
        <f>F242/(D242+E242)</f>
        <v>1.4568477029029727</v>
      </c>
      <c r="J241" s="59">
        <f t="shared" si="22"/>
        <v>1.5</v>
      </c>
    </row>
    <row r="242" spans="1:13" s="2" customFormat="1" ht="15.75" customHeight="1" x14ac:dyDescent="0.25">
      <c r="A242" s="143">
        <v>5</v>
      </c>
      <c r="B242" s="145"/>
      <c r="C242" s="14" t="s">
        <v>167</v>
      </c>
      <c r="D242" s="66">
        <f>((42.86)+0.75*2.75+1.2*2.1+1.15*2.75+0.6*(1.6+1.4))*10.764</f>
        <v>564.08741999999995</v>
      </c>
      <c r="E242" s="14">
        <f>(1.8*2.75)*10.764</f>
        <v>53.281799999999997</v>
      </c>
      <c r="F242" s="86">
        <f t="shared" si="24"/>
        <v>899.41292999999996</v>
      </c>
      <c r="G242" s="151"/>
      <c r="H242" s="152"/>
      <c r="I242" s="30"/>
      <c r="J242" s="59">
        <f t="shared" si="22"/>
        <v>1.5</v>
      </c>
    </row>
    <row r="243" spans="1:13" s="2" customFormat="1" ht="15.75" customHeight="1" x14ac:dyDescent="0.25">
      <c r="A243" s="143">
        <v>6</v>
      </c>
      <c r="B243" s="145"/>
      <c r="C243" s="14" t="s">
        <v>167</v>
      </c>
      <c r="D243" s="77">
        <f>((42.86)+0.75*2.75+1.2*2.1+1.15*2.75+0.6*(1.6+1.4))*10.764</f>
        <v>564.08741999999995</v>
      </c>
      <c r="E243" s="14">
        <f>(1.8*2.75)*10.764</f>
        <v>53.281799999999997</v>
      </c>
      <c r="F243" s="86">
        <f t="shared" si="24"/>
        <v>899.41292999999996</v>
      </c>
      <c r="G243" s="151"/>
      <c r="H243" s="152"/>
      <c r="I243" s="30"/>
      <c r="J243" s="59">
        <f t="shared" si="22"/>
        <v>1.5</v>
      </c>
    </row>
    <row r="244" spans="1:13" s="2" customFormat="1" ht="15.75" customHeight="1" x14ac:dyDescent="0.25">
      <c r="A244" s="143">
        <v>7</v>
      </c>
      <c r="B244" s="145"/>
      <c r="C244" s="14" t="s">
        <v>167</v>
      </c>
      <c r="D244" s="66">
        <f>(43.5+0.75*(2.7+1.5)+1.15*2.75+0.6*2.75)*10.764</f>
        <v>553.94234999999992</v>
      </c>
      <c r="E244" s="14">
        <f>(1.5*3.4)*10.764</f>
        <v>54.896399999999993</v>
      </c>
      <c r="F244" s="86">
        <f t="shared" si="24"/>
        <v>885.80992499999991</v>
      </c>
      <c r="G244" s="151"/>
      <c r="H244" s="152"/>
      <c r="I244" s="30"/>
      <c r="J244" s="59">
        <f t="shared" si="22"/>
        <v>1.5</v>
      </c>
    </row>
    <row r="245" spans="1:13" s="2" customFormat="1" ht="15.75" customHeight="1" x14ac:dyDescent="0.25">
      <c r="A245" s="143">
        <v>8</v>
      </c>
      <c r="B245" s="145"/>
      <c r="C245" s="14" t="s">
        <v>167</v>
      </c>
      <c r="D245" s="77">
        <f>(43.5+0.75*(2.7+1.5)+1.15*2.75+0.6*2.75)*10.764</f>
        <v>553.94234999999992</v>
      </c>
      <c r="E245" s="14">
        <f>(1.5*3.4)*10.764</f>
        <v>54.896399999999993</v>
      </c>
      <c r="F245" s="86">
        <f t="shared" si="24"/>
        <v>885.80992499999991</v>
      </c>
      <c r="G245" s="153"/>
      <c r="H245" s="154"/>
      <c r="I245" s="30"/>
      <c r="J245" s="59">
        <f t="shared" si="22"/>
        <v>1.5</v>
      </c>
    </row>
    <row r="246" spans="1:13" s="2" customFormat="1" x14ac:dyDescent="0.25">
      <c r="A246" s="155" t="s">
        <v>210</v>
      </c>
      <c r="B246" s="156"/>
      <c r="C246" s="156"/>
      <c r="D246" s="156"/>
      <c r="E246" s="156"/>
      <c r="F246" s="156"/>
      <c r="G246" s="156"/>
      <c r="H246" s="157"/>
      <c r="I246" s="30">
        <v>9</v>
      </c>
      <c r="J246" s="59" t="e">
        <f t="shared" ref="J246:J254" si="25">(F246-E246)/D246</f>
        <v>#DIV/0!</v>
      </c>
    </row>
    <row r="247" spans="1:13" s="2" customFormat="1" ht="15.75" customHeight="1" x14ac:dyDescent="0.25">
      <c r="A247" s="143">
        <v>1</v>
      </c>
      <c r="B247" s="145"/>
      <c r="C247" s="14" t="s">
        <v>168</v>
      </c>
      <c r="D247" s="14">
        <f>((30.71)+1.2*2.6+0.6*2.2+0.75*2.75)*10.764</f>
        <v>400.55534999999998</v>
      </c>
      <c r="E247" s="14">
        <f t="shared" ref="E247:E252" si="26">(1.8*2.75)*10.764</f>
        <v>53.281799999999997</v>
      </c>
      <c r="F247" s="86">
        <f t="shared" ref="F247:F254" si="27">D247*1.5+E247</f>
        <v>654.11482499999988</v>
      </c>
      <c r="G247" s="149" t="str">
        <f>A246</f>
        <v>3rd, 5th, 7th, 9th, 11th, 15th, 17th, 19th, 21st &amp; 25th Floor</v>
      </c>
      <c r="H247" s="150"/>
      <c r="I247" s="30"/>
      <c r="J247" s="59">
        <f t="shared" si="25"/>
        <v>1.4999999999999998</v>
      </c>
    </row>
    <row r="248" spans="1:13" s="2" customFormat="1" ht="15.75" customHeight="1" x14ac:dyDescent="0.25">
      <c r="A248" s="143">
        <v>2</v>
      </c>
      <c r="B248" s="145"/>
      <c r="C248" s="14" t="s">
        <v>167</v>
      </c>
      <c r="D248" s="14">
        <f>((44.26)+1.2*2.1+1.15*2.75+0.75*2.75+0.6*2.5)*10.764</f>
        <v>575.92782</v>
      </c>
      <c r="E248" s="14">
        <f t="shared" si="26"/>
        <v>53.281799999999997</v>
      </c>
      <c r="F248" s="86">
        <f t="shared" si="27"/>
        <v>917.17353000000003</v>
      </c>
      <c r="G248" s="151"/>
      <c r="H248" s="152"/>
      <c r="I248" s="30"/>
      <c r="J248" s="59">
        <f t="shared" si="25"/>
        <v>1.5</v>
      </c>
    </row>
    <row r="249" spans="1:13" s="2" customFormat="1" ht="15.75" customHeight="1" x14ac:dyDescent="0.25">
      <c r="A249" s="143">
        <v>3</v>
      </c>
      <c r="B249" s="145"/>
      <c r="C249" s="14" t="s">
        <v>168</v>
      </c>
      <c r="D249" s="14">
        <f>((30.47)+2.1*1.2+0.75*2.75)*10.764</f>
        <v>377.30511000000001</v>
      </c>
      <c r="E249" s="14">
        <f t="shared" si="26"/>
        <v>53.281799999999997</v>
      </c>
      <c r="F249" s="86">
        <f t="shared" si="27"/>
        <v>619.239465</v>
      </c>
      <c r="G249" s="151"/>
      <c r="H249" s="152"/>
      <c r="I249" s="30"/>
      <c r="J249" s="59">
        <f t="shared" si="25"/>
        <v>1.5</v>
      </c>
    </row>
    <row r="250" spans="1:13" s="2" customFormat="1" ht="15.75" customHeight="1" x14ac:dyDescent="0.25">
      <c r="A250" s="143">
        <v>4</v>
      </c>
      <c r="B250" s="145"/>
      <c r="C250" s="14" t="s">
        <v>168</v>
      </c>
      <c r="D250" s="77">
        <f>((30.47)+2.1*1.2+0.75*2.75)*10.764</f>
        <v>377.30511000000001</v>
      </c>
      <c r="E250" s="14">
        <f t="shared" si="26"/>
        <v>53.281799999999997</v>
      </c>
      <c r="F250" s="86">
        <f t="shared" si="27"/>
        <v>619.239465</v>
      </c>
      <c r="G250" s="151"/>
      <c r="H250" s="152"/>
      <c r="I250" s="30"/>
      <c r="J250" s="59">
        <f t="shared" si="25"/>
        <v>1.5</v>
      </c>
    </row>
    <row r="251" spans="1:13" s="2" customFormat="1" ht="15.75" customHeight="1" x14ac:dyDescent="0.25">
      <c r="A251" s="143">
        <v>5</v>
      </c>
      <c r="B251" s="145"/>
      <c r="C251" s="14" t="s">
        <v>167</v>
      </c>
      <c r="D251" s="14">
        <f>((42.96)+1.2*2.1+1.15*2.75+0.75*2.75+0.6*(1.6+1.4))*10.764</f>
        <v>565.16381999999999</v>
      </c>
      <c r="E251" s="14">
        <f t="shared" si="26"/>
        <v>53.281799999999997</v>
      </c>
      <c r="F251" s="86">
        <f t="shared" si="27"/>
        <v>901.02752999999996</v>
      </c>
      <c r="G251" s="151"/>
      <c r="H251" s="152"/>
      <c r="I251" s="30"/>
      <c r="J251" s="59">
        <f t="shared" si="25"/>
        <v>1.5</v>
      </c>
    </row>
    <row r="252" spans="1:13" s="2" customFormat="1" ht="15.75" customHeight="1" x14ac:dyDescent="0.25">
      <c r="A252" s="143">
        <v>6</v>
      </c>
      <c r="B252" s="145"/>
      <c r="C252" s="14" t="s">
        <v>167</v>
      </c>
      <c r="D252" s="77">
        <f>((42.96)+1.2*2.1+1.15*2.75+0.75*2.75+0.6*(1.6+1.4))*10.764</f>
        <v>565.16381999999999</v>
      </c>
      <c r="E252" s="14">
        <f t="shared" si="26"/>
        <v>53.281799999999997</v>
      </c>
      <c r="F252" s="86">
        <f t="shared" si="27"/>
        <v>901.02752999999996</v>
      </c>
      <c r="G252" s="151"/>
      <c r="H252" s="152"/>
      <c r="I252" s="30"/>
      <c r="J252" s="59">
        <f t="shared" si="25"/>
        <v>1.5</v>
      </c>
      <c r="L252" s="2" t="s">
        <v>240</v>
      </c>
      <c r="M252" s="2" t="s">
        <v>241</v>
      </c>
    </row>
    <row r="253" spans="1:13" s="2" customFormat="1" ht="15.75" customHeight="1" x14ac:dyDescent="0.25">
      <c r="A253" s="143">
        <v>7</v>
      </c>
      <c r="B253" s="145"/>
      <c r="C253" s="14" t="s">
        <v>167</v>
      </c>
      <c r="D253" s="14">
        <f>((43.45)+0.75*(1.5+2.9)+1.15*2.75+0.6*2.75)*10.764</f>
        <v>555.01874999999995</v>
      </c>
      <c r="E253" s="14">
        <f>(1.5*2.75)*10.764</f>
        <v>44.401499999999999</v>
      </c>
      <c r="F253" s="86">
        <f t="shared" si="27"/>
        <v>876.92962499999999</v>
      </c>
      <c r="G253" s="151"/>
      <c r="H253" s="152"/>
      <c r="I253" s="30"/>
      <c r="J253" s="59">
        <f t="shared" si="25"/>
        <v>1.5000000000000002</v>
      </c>
    </row>
    <row r="254" spans="1:13" s="2" customFormat="1" ht="15.75" customHeight="1" x14ac:dyDescent="0.25">
      <c r="A254" s="143">
        <v>8</v>
      </c>
      <c r="B254" s="145"/>
      <c r="C254" s="14" t="s">
        <v>167</v>
      </c>
      <c r="D254" s="77">
        <f>((43.45)+0.75*(1.5+2.9)+1.15*2.75+0.6*2.75)*10.764</f>
        <v>555.01874999999995</v>
      </c>
      <c r="E254" s="77">
        <f>(1.5*2.75)*10.764</f>
        <v>44.401499999999999</v>
      </c>
      <c r="F254" s="86">
        <f t="shared" si="27"/>
        <v>876.92962499999999</v>
      </c>
      <c r="G254" s="153"/>
      <c r="H254" s="154"/>
      <c r="I254" s="30"/>
      <c r="J254" s="59">
        <f t="shared" si="25"/>
        <v>1.5000000000000002</v>
      </c>
    </row>
    <row r="255" spans="1:13" s="2" customFormat="1" ht="15.75" customHeight="1" x14ac:dyDescent="0.25">
      <c r="A255" s="155" t="s">
        <v>211</v>
      </c>
      <c r="B255" s="156"/>
      <c r="C255" s="156"/>
      <c r="D255" s="156"/>
      <c r="E255" s="156"/>
      <c r="F255" s="156"/>
      <c r="G255" s="156"/>
      <c r="H255" s="157"/>
      <c r="I255" s="30"/>
      <c r="J255" s="59" t="e">
        <f t="shared" si="22"/>
        <v>#DIV/0!</v>
      </c>
    </row>
    <row r="256" spans="1:13" s="2" customFormat="1" ht="15.75" customHeight="1" x14ac:dyDescent="0.25">
      <c r="A256" s="143">
        <v>1</v>
      </c>
      <c r="B256" s="145"/>
      <c r="C256" s="14" t="s">
        <v>168</v>
      </c>
      <c r="D256" s="14">
        <f>((30.74)+0.75*2.75+1.2*2.1+0.6*2.1)*10.764</f>
        <v>393.77402999999993</v>
      </c>
      <c r="E256" s="14">
        <f t="shared" ref="E256:E261" si="28">(1.8*2.75)*10.764</f>
        <v>53.281799999999997</v>
      </c>
      <c r="F256" s="86">
        <f t="shared" ref="F256:F263" si="29">D256*1.5+E256</f>
        <v>643.94284499999981</v>
      </c>
      <c r="G256" s="149" t="str">
        <f>A255</f>
        <v xml:space="preserve"> 4th, 6th, 10th, 12th, 14th, 16th, 20th, 22nd &amp; 24th Floor</v>
      </c>
      <c r="H256" s="150"/>
      <c r="I256" s="61">
        <f>F256/(D256+E256)</f>
        <v>1.4404081141274905</v>
      </c>
      <c r="J256" s="59">
        <f t="shared" si="22"/>
        <v>1.4999999999999998</v>
      </c>
      <c r="K256" s="2">
        <f>J256/D256</f>
        <v>3.8092913339155456E-3</v>
      </c>
    </row>
    <row r="257" spans="1:11" s="2" customFormat="1" ht="15.75" customHeight="1" x14ac:dyDescent="0.25">
      <c r="A257" s="143">
        <v>2</v>
      </c>
      <c r="B257" s="145"/>
      <c r="C257" s="14" t="s">
        <v>167</v>
      </c>
      <c r="D257" s="14">
        <f>((44.15)+0.75*2.75+1.2*2.1+1.15*2.75+0.6*2.5)*10.764</f>
        <v>574.74378000000002</v>
      </c>
      <c r="E257" s="14">
        <f t="shared" si="28"/>
        <v>53.281799999999997</v>
      </c>
      <c r="F257" s="86">
        <f t="shared" si="29"/>
        <v>915.39747</v>
      </c>
      <c r="G257" s="151"/>
      <c r="H257" s="152"/>
      <c r="I257" s="61">
        <f t="shared" ref="I257:I259" si="30">F257/(D257+E257)</f>
        <v>1.4575799125889108</v>
      </c>
      <c r="J257" s="59">
        <f t="shared" si="22"/>
        <v>1.5</v>
      </c>
      <c r="K257" s="60">
        <f>J257/D257</f>
        <v>2.609858605168376E-3</v>
      </c>
    </row>
    <row r="258" spans="1:11" s="2" customFormat="1" ht="15.75" customHeight="1" x14ac:dyDescent="0.25">
      <c r="A258" s="143">
        <v>3</v>
      </c>
      <c r="B258" s="145"/>
      <c r="C258" s="14" t="s">
        <v>168</v>
      </c>
      <c r="D258" s="14">
        <f>((30.39)+0.75*2.75+1.2*2.1)*10.764</f>
        <v>376.44399000000004</v>
      </c>
      <c r="E258" s="14">
        <f>(1.8*2.75)*10.764</f>
        <v>53.281799999999997</v>
      </c>
      <c r="F258" s="86">
        <f t="shared" si="29"/>
        <v>617.94778500000007</v>
      </c>
      <c r="G258" s="151"/>
      <c r="H258" s="152"/>
      <c r="I258" s="61">
        <f t="shared" si="30"/>
        <v>1.4380048844636484</v>
      </c>
      <c r="J258" s="59">
        <f t="shared" si="22"/>
        <v>1.5</v>
      </c>
      <c r="K258" s="60">
        <f t="shared" ref="K258:K263" si="31">J258/D258</f>
        <v>3.9846565222093197E-3</v>
      </c>
    </row>
    <row r="259" spans="1:11" s="2" customFormat="1" ht="15.75" customHeight="1" x14ac:dyDescent="0.25">
      <c r="A259" s="143">
        <v>4</v>
      </c>
      <c r="B259" s="145"/>
      <c r="C259" s="14" t="s">
        <v>168</v>
      </c>
      <c r="D259" s="77">
        <f>((30.39)+0.75*2.75+1.2*2.1)*10.764</f>
        <v>376.44399000000004</v>
      </c>
      <c r="E259" s="14">
        <f t="shared" si="28"/>
        <v>53.281799999999997</v>
      </c>
      <c r="F259" s="86">
        <f t="shared" si="29"/>
        <v>617.94778500000007</v>
      </c>
      <c r="G259" s="151"/>
      <c r="H259" s="152"/>
      <c r="I259" s="61">
        <f t="shared" si="30"/>
        <v>1.4380048844636484</v>
      </c>
      <c r="J259" s="59">
        <f t="shared" si="22"/>
        <v>1.5</v>
      </c>
      <c r="K259" s="60">
        <f t="shared" si="31"/>
        <v>3.9846565222093197E-3</v>
      </c>
    </row>
    <row r="260" spans="1:11" s="2" customFormat="1" ht="15.75" customHeight="1" x14ac:dyDescent="0.25">
      <c r="A260" s="143">
        <v>5</v>
      </c>
      <c r="B260" s="145"/>
      <c r="C260" s="14" t="s">
        <v>167</v>
      </c>
      <c r="D260" s="14">
        <f>((42.86)+0.75*2.75+1.2*2.1+1.15*2.75+0.6*(1.6+1.4))*10.764</f>
        <v>564.08741999999995</v>
      </c>
      <c r="E260" s="14">
        <f t="shared" si="28"/>
        <v>53.281799999999997</v>
      </c>
      <c r="F260" s="86">
        <f t="shared" si="29"/>
        <v>899.41292999999996</v>
      </c>
      <c r="G260" s="151"/>
      <c r="H260" s="152"/>
      <c r="I260" s="59">
        <f>2.75*4+1.1*3.1+1.55*2.4+2.75*2.1+2.75*3.05+2.1*1.2+1.2*2.1+0.9*3.9</f>
        <v>40.842500000000008</v>
      </c>
      <c r="J260" s="59">
        <f t="shared" si="22"/>
        <v>1.5</v>
      </c>
      <c r="K260" s="60">
        <f t="shared" si="31"/>
        <v>2.6591622979289277E-3</v>
      </c>
    </row>
    <row r="261" spans="1:11" s="2" customFormat="1" ht="15.75" customHeight="1" x14ac:dyDescent="0.25">
      <c r="A261" s="143">
        <v>6</v>
      </c>
      <c r="B261" s="145"/>
      <c r="C261" s="14" t="s">
        <v>167</v>
      </c>
      <c r="D261" s="77">
        <f>((42.86)+0.75*2.75+1.2*2.1+1.15*2.75+0.6*(1.6+1.4))*10.764</f>
        <v>564.08741999999995</v>
      </c>
      <c r="E261" s="14">
        <f t="shared" si="28"/>
        <v>53.281799999999997</v>
      </c>
      <c r="F261" s="86">
        <f t="shared" si="29"/>
        <v>899.41292999999996</v>
      </c>
      <c r="G261" s="151"/>
      <c r="H261" s="152"/>
      <c r="I261" s="30"/>
      <c r="J261" s="59">
        <f t="shared" si="22"/>
        <v>1.5</v>
      </c>
      <c r="K261" s="60">
        <f t="shared" si="31"/>
        <v>2.6591622979289277E-3</v>
      </c>
    </row>
    <row r="262" spans="1:11" s="2" customFormat="1" ht="15.75" customHeight="1" x14ac:dyDescent="0.25">
      <c r="A262" s="143">
        <v>7</v>
      </c>
      <c r="B262" s="145"/>
      <c r="C262" s="14" t="s">
        <v>167</v>
      </c>
      <c r="D262" s="14">
        <f>((43.5)+0.75*(2.7+1.5)+1.15*2.75+0.6*2.75)*10.764</f>
        <v>553.94234999999992</v>
      </c>
      <c r="E262" s="14">
        <f>(1.5*3.4)*10.764</f>
        <v>54.896399999999993</v>
      </c>
      <c r="F262" s="86">
        <f t="shared" si="29"/>
        <v>885.80992499999991</v>
      </c>
      <c r="G262" s="151"/>
      <c r="H262" s="152"/>
      <c r="I262" s="30"/>
      <c r="J262" s="59">
        <f t="shared" si="22"/>
        <v>1.5</v>
      </c>
      <c r="K262" s="60">
        <f t="shared" si="31"/>
        <v>2.7078630113765451E-3</v>
      </c>
    </row>
    <row r="263" spans="1:11" s="2" customFormat="1" ht="15.75" customHeight="1" x14ac:dyDescent="0.25">
      <c r="A263" s="143">
        <v>8</v>
      </c>
      <c r="B263" s="145"/>
      <c r="C263" s="14" t="s">
        <v>167</v>
      </c>
      <c r="D263" s="66">
        <f>((43.5)+1.15*2.75+0.75*(2.1+1.5)+0.6*2.75)*10.764</f>
        <v>549.09855000000005</v>
      </c>
      <c r="E263" s="14">
        <f>(1.5*3.4)*10.764</f>
        <v>54.896399999999993</v>
      </c>
      <c r="F263" s="86">
        <f t="shared" si="29"/>
        <v>878.54422499999998</v>
      </c>
      <c r="G263" s="153"/>
      <c r="H263" s="154"/>
      <c r="I263" s="30"/>
      <c r="J263" s="59">
        <f t="shared" si="22"/>
        <v>1.5</v>
      </c>
      <c r="K263" s="60">
        <f t="shared" si="31"/>
        <v>2.7317500656302953E-3</v>
      </c>
    </row>
    <row r="264" spans="1:11" s="2" customFormat="1" x14ac:dyDescent="0.25">
      <c r="A264" s="135" t="s">
        <v>169</v>
      </c>
      <c r="B264" s="135"/>
      <c r="C264" s="135"/>
      <c r="D264" s="135"/>
      <c r="E264" s="135"/>
      <c r="F264" s="135"/>
      <c r="G264" s="135"/>
      <c r="H264" s="135"/>
      <c r="I264" s="60">
        <v>2</v>
      </c>
      <c r="J264" s="59" t="e">
        <f t="shared" si="22"/>
        <v>#DIV/0!</v>
      </c>
    </row>
    <row r="265" spans="1:11" s="2" customFormat="1" ht="15.75" customHeight="1" x14ac:dyDescent="0.25">
      <c r="A265" s="133">
        <v>1</v>
      </c>
      <c r="B265" s="133"/>
      <c r="C265" s="69" t="s">
        <v>168</v>
      </c>
      <c r="D265" s="69">
        <f>((30.74)+1.2*2.1+0.6*2.1+2.75*0.75)*10.764</f>
        <v>393.77402999999993</v>
      </c>
      <c r="E265" s="69">
        <f>(1.8*2.75)*10.764</f>
        <v>53.281799999999997</v>
      </c>
      <c r="F265" s="86">
        <f t="shared" ref="F265:F266" si="32">D265*1.5+E265</f>
        <v>643.94284499999981</v>
      </c>
      <c r="G265" s="133" t="str">
        <f>A264</f>
        <v>8th &amp; 18th Floor (Part Refuge Area)</v>
      </c>
      <c r="H265" s="133"/>
      <c r="I265" s="30">
        <f>352*2+E265/2</f>
        <v>730.64089999999999</v>
      </c>
      <c r="J265" s="59">
        <f t="shared" si="22"/>
        <v>1.4999999999999998</v>
      </c>
    </row>
    <row r="266" spans="1:11" s="2" customFormat="1" ht="15.75" customHeight="1" x14ac:dyDescent="0.25">
      <c r="A266" s="133">
        <v>2</v>
      </c>
      <c r="B266" s="133"/>
      <c r="C266" s="69" t="s">
        <v>167</v>
      </c>
      <c r="D266" s="69">
        <f>((44.15)+0.75*2.75+1.2*2.1+1.15*2.75+2.5*0.6)*10.764</f>
        <v>574.74378000000002</v>
      </c>
      <c r="E266" s="69">
        <f>(1.8*2.75)*10.764</f>
        <v>53.281799999999997</v>
      </c>
      <c r="F266" s="86">
        <f t="shared" si="32"/>
        <v>915.39747</v>
      </c>
      <c r="G266" s="133"/>
      <c r="H266" s="133"/>
      <c r="I266" s="30"/>
      <c r="J266" s="59">
        <f t="shared" si="22"/>
        <v>1.5</v>
      </c>
    </row>
    <row r="267" spans="1:11" s="2" customFormat="1" ht="15.75" customHeight="1" x14ac:dyDescent="0.25">
      <c r="A267" s="133">
        <v>3</v>
      </c>
      <c r="B267" s="133"/>
      <c r="C267" s="133" t="s">
        <v>170</v>
      </c>
      <c r="D267" s="133"/>
      <c r="E267" s="133"/>
      <c r="F267" s="133"/>
      <c r="G267" s="133"/>
      <c r="H267" s="133"/>
      <c r="I267" s="30"/>
      <c r="J267" s="59" t="e">
        <f t="shared" si="22"/>
        <v>#DIV/0!</v>
      </c>
    </row>
    <row r="268" spans="1:11" s="2" customFormat="1" ht="15.75" customHeight="1" x14ac:dyDescent="0.25">
      <c r="A268" s="133">
        <v>4</v>
      </c>
      <c r="B268" s="133"/>
      <c r="C268" s="69" t="s">
        <v>168</v>
      </c>
      <c r="D268" s="69">
        <f>((30.39)+(1.2*2.1)+(0.75*2.75))*10.764</f>
        <v>376.44399000000004</v>
      </c>
      <c r="E268" s="69">
        <f>(1.8*2.75)*10.764</f>
        <v>53.281799999999997</v>
      </c>
      <c r="F268" s="86">
        <f t="shared" ref="F268:F272" si="33">D268*1.5+E268</f>
        <v>617.94778500000007</v>
      </c>
      <c r="G268" s="133"/>
      <c r="H268" s="133"/>
      <c r="I268" s="30"/>
      <c r="J268" s="59">
        <f t="shared" si="22"/>
        <v>1.5</v>
      </c>
    </row>
    <row r="269" spans="1:11" s="2" customFormat="1" ht="15.75" customHeight="1" x14ac:dyDescent="0.25">
      <c r="A269" s="133">
        <v>5</v>
      </c>
      <c r="B269" s="133"/>
      <c r="C269" s="69" t="s">
        <v>167</v>
      </c>
      <c r="D269" s="69">
        <f>((42.86)+0.75*2.75+1.2*2.1+1.15*2.75+0.6*(1.6+1.4))*10.764</f>
        <v>564.08741999999995</v>
      </c>
      <c r="E269" s="69">
        <f>(1.8*2.75)*10.764</f>
        <v>53.281799999999997</v>
      </c>
      <c r="F269" s="86">
        <f t="shared" si="33"/>
        <v>899.41292999999996</v>
      </c>
      <c r="G269" s="133"/>
      <c r="H269" s="133"/>
      <c r="I269" s="30"/>
      <c r="J269" s="59">
        <f t="shared" si="22"/>
        <v>1.5</v>
      </c>
    </row>
    <row r="270" spans="1:11" s="2" customFormat="1" ht="15.75" customHeight="1" x14ac:dyDescent="0.25">
      <c r="A270" s="133">
        <v>6</v>
      </c>
      <c r="B270" s="133"/>
      <c r="C270" s="69" t="s">
        <v>167</v>
      </c>
      <c r="D270" s="77">
        <f>((42.86)+0.75*2.75+1.2*2.1+1.15*2.75+0.6*(1.6+1.4))*10.764</f>
        <v>564.08741999999995</v>
      </c>
      <c r="E270" s="69">
        <f>(1.8*2.75)*10.764</f>
        <v>53.281799999999997</v>
      </c>
      <c r="F270" s="86">
        <f t="shared" si="33"/>
        <v>899.41292999999996</v>
      </c>
      <c r="G270" s="133"/>
      <c r="H270" s="133"/>
      <c r="I270" s="30"/>
      <c r="J270" s="59">
        <f t="shared" si="22"/>
        <v>1.5</v>
      </c>
    </row>
    <row r="271" spans="1:11" s="2" customFormat="1" ht="15.75" customHeight="1" x14ac:dyDescent="0.25">
      <c r="A271" s="133">
        <v>7</v>
      </c>
      <c r="B271" s="133"/>
      <c r="C271" s="69" t="s">
        <v>167</v>
      </c>
      <c r="D271" s="77">
        <f>((43.5)+0.75*(2.7+1.5)+1.15*2.75+0.6*2.75)*10.764</f>
        <v>553.94234999999992</v>
      </c>
      <c r="E271" s="69">
        <f>(1.5*3.4)*10.764</f>
        <v>54.896399999999993</v>
      </c>
      <c r="F271" s="86">
        <f t="shared" si="33"/>
        <v>885.80992499999991</v>
      </c>
      <c r="G271" s="133"/>
      <c r="H271" s="133"/>
      <c r="I271" s="30"/>
      <c r="J271" s="59">
        <f t="shared" si="22"/>
        <v>1.5</v>
      </c>
    </row>
    <row r="272" spans="1:11" s="2" customFormat="1" ht="15.75" customHeight="1" x14ac:dyDescent="0.25">
      <c r="A272" s="133">
        <v>8</v>
      </c>
      <c r="B272" s="133"/>
      <c r="C272" s="69" t="s">
        <v>167</v>
      </c>
      <c r="D272" s="77">
        <f>((43.5)+1.15*2.75+0.75*(2.1+1.5)+0.6*2.75)*10.764</f>
        <v>549.09855000000005</v>
      </c>
      <c r="E272" s="69">
        <f>(1.5*3.4)*10.764</f>
        <v>54.896399999999993</v>
      </c>
      <c r="F272" s="86">
        <f t="shared" si="33"/>
        <v>878.54422499999998</v>
      </c>
      <c r="G272" s="133"/>
      <c r="H272" s="133"/>
      <c r="I272" s="30"/>
      <c r="J272" s="59">
        <f t="shared" si="22"/>
        <v>1.5</v>
      </c>
    </row>
    <row r="273" spans="1:14" s="2" customFormat="1" ht="15.75" customHeight="1" x14ac:dyDescent="0.25">
      <c r="A273" s="227" t="s">
        <v>212</v>
      </c>
      <c r="B273" s="228"/>
      <c r="C273" s="228"/>
      <c r="D273" s="228"/>
      <c r="E273" s="228"/>
      <c r="F273" s="228"/>
      <c r="G273" s="228"/>
      <c r="H273" s="229"/>
      <c r="I273" s="30">
        <v>2</v>
      </c>
      <c r="J273" s="59" t="e">
        <f t="shared" si="22"/>
        <v>#DIV/0!</v>
      </c>
    </row>
    <row r="274" spans="1:14" s="2" customFormat="1" ht="15.75" customHeight="1" x14ac:dyDescent="0.25">
      <c r="A274" s="170">
        <v>1</v>
      </c>
      <c r="B274" s="171"/>
      <c r="C274" s="56" t="s">
        <v>168</v>
      </c>
      <c r="D274" s="77">
        <f>((30.74)+1.2*2.1+0.6*2.1+2.75*0.75)*10.764</f>
        <v>393.77402999999993</v>
      </c>
      <c r="E274" s="56">
        <f>(1.8*2.75)*10.764</f>
        <v>53.281799999999997</v>
      </c>
      <c r="F274" s="86">
        <f t="shared" ref="F274:F275" si="34">D274*1.5+E274</f>
        <v>643.94284499999981</v>
      </c>
      <c r="G274" s="172" t="str">
        <f>A273</f>
        <v>13th &amp; 23rd Floor (Part Refuge Area)</v>
      </c>
      <c r="H274" s="173"/>
      <c r="I274" s="30"/>
      <c r="J274" s="59">
        <f t="shared" si="22"/>
        <v>1.4999999999999998</v>
      </c>
    </row>
    <row r="275" spans="1:14" s="2" customFormat="1" ht="15.75" customHeight="1" x14ac:dyDescent="0.25">
      <c r="A275" s="170">
        <v>2</v>
      </c>
      <c r="B275" s="171"/>
      <c r="C275" s="56" t="s">
        <v>167</v>
      </c>
      <c r="D275" s="77">
        <f>((44.15)+0.75*2.75+1.2*2.1+1.15*2.75+2.5*0.6)*10.764</f>
        <v>574.74378000000002</v>
      </c>
      <c r="E275" s="56">
        <f>(1.8*2.75)*10.764</f>
        <v>53.281799999999997</v>
      </c>
      <c r="F275" s="86">
        <f t="shared" si="34"/>
        <v>915.39747</v>
      </c>
      <c r="G275" s="174"/>
      <c r="H275" s="175"/>
      <c r="I275" s="30"/>
      <c r="J275" s="59">
        <f t="shared" si="22"/>
        <v>1.5</v>
      </c>
    </row>
    <row r="276" spans="1:14" s="2" customFormat="1" ht="15.75" customHeight="1" x14ac:dyDescent="0.25">
      <c r="A276" s="170">
        <v>3</v>
      </c>
      <c r="B276" s="171"/>
      <c r="C276" s="170" t="s">
        <v>170</v>
      </c>
      <c r="D276" s="223"/>
      <c r="E276" s="223"/>
      <c r="F276" s="171"/>
      <c r="G276" s="174"/>
      <c r="H276" s="175"/>
      <c r="I276" s="30"/>
      <c r="J276" s="59" t="e">
        <f t="shared" si="22"/>
        <v>#DIV/0!</v>
      </c>
    </row>
    <row r="277" spans="1:14" s="2" customFormat="1" ht="15.75" customHeight="1" x14ac:dyDescent="0.25">
      <c r="A277" s="170">
        <v>4</v>
      </c>
      <c r="B277" s="171"/>
      <c r="C277" s="56" t="s">
        <v>168</v>
      </c>
      <c r="D277" s="77">
        <f>((30.39)+(1.2*2.1)+(0.75*2.75))*10.764</f>
        <v>376.44399000000004</v>
      </c>
      <c r="E277" s="56">
        <f>(1.8*2.75)*10.764</f>
        <v>53.281799999999997</v>
      </c>
      <c r="F277" s="86">
        <f t="shared" ref="F277:F281" si="35">D277*1.5+E277</f>
        <v>617.94778500000007</v>
      </c>
      <c r="G277" s="174"/>
      <c r="H277" s="175"/>
      <c r="I277" s="30"/>
      <c r="J277" s="59">
        <f t="shared" si="22"/>
        <v>1.5</v>
      </c>
    </row>
    <row r="278" spans="1:14" s="2" customFormat="1" ht="15.75" customHeight="1" x14ac:dyDescent="0.25">
      <c r="A278" s="170">
        <v>5</v>
      </c>
      <c r="B278" s="171"/>
      <c r="C278" s="56" t="s">
        <v>167</v>
      </c>
      <c r="D278" s="77">
        <f>((42.86)+0.75*2.75+1.2*2.1+1.15*2.75+0.6*(1.6+1.4))*10.764</f>
        <v>564.08741999999995</v>
      </c>
      <c r="E278" s="56">
        <f>(1.8*2.75)*10.764</f>
        <v>53.281799999999997</v>
      </c>
      <c r="F278" s="86">
        <f t="shared" si="35"/>
        <v>899.41292999999996</v>
      </c>
      <c r="G278" s="174"/>
      <c r="H278" s="175"/>
      <c r="I278" s="30"/>
      <c r="J278" s="59">
        <f t="shared" si="22"/>
        <v>1.5</v>
      </c>
    </row>
    <row r="279" spans="1:14" s="2" customFormat="1" ht="15.75" customHeight="1" x14ac:dyDescent="0.25">
      <c r="A279" s="170">
        <v>6</v>
      </c>
      <c r="B279" s="171"/>
      <c r="C279" s="56" t="s">
        <v>167</v>
      </c>
      <c r="D279" s="77">
        <f>((42.86)+0.75*2.75+1.2*2.1+1.15*2.75+0.6*(1.6+1.4))*10.764</f>
        <v>564.08741999999995</v>
      </c>
      <c r="E279" s="56">
        <f>(1.8*2.75)*10.764</f>
        <v>53.281799999999997</v>
      </c>
      <c r="F279" s="86">
        <f t="shared" si="35"/>
        <v>899.41292999999996</v>
      </c>
      <c r="G279" s="174"/>
      <c r="H279" s="175"/>
      <c r="I279" s="30"/>
      <c r="J279" s="59">
        <f t="shared" si="22"/>
        <v>1.5</v>
      </c>
      <c r="K279" s="2">
        <f>2800000/F279</f>
        <v>3113.1418135160679</v>
      </c>
    </row>
    <row r="280" spans="1:14" s="2" customFormat="1" ht="15.75" customHeight="1" x14ac:dyDescent="0.25">
      <c r="A280" s="170">
        <v>7</v>
      </c>
      <c r="B280" s="171"/>
      <c r="C280" s="56" t="s">
        <v>167</v>
      </c>
      <c r="D280" s="77">
        <f>((43.5)+0.75*(1.5+2.95)+1.15*2.75+0.6*2.75)*10.764</f>
        <v>555.9606</v>
      </c>
      <c r="E280" s="56">
        <f>(1.5*3.4)*10.764</f>
        <v>54.896399999999993</v>
      </c>
      <c r="F280" s="86">
        <f t="shared" si="35"/>
        <v>888.83730000000003</v>
      </c>
      <c r="G280" s="174"/>
      <c r="H280" s="175"/>
      <c r="I280" s="30"/>
      <c r="J280" s="59">
        <f t="shared" si="22"/>
        <v>1.5</v>
      </c>
    </row>
    <row r="281" spans="1:14" s="2" customFormat="1" ht="15.75" customHeight="1" x14ac:dyDescent="0.25">
      <c r="A281" s="170">
        <v>8</v>
      </c>
      <c r="B281" s="171"/>
      <c r="C281" s="56" t="s">
        <v>167</v>
      </c>
      <c r="D281" s="77">
        <f>((43.5)+0.75*(1.5+2.95)+1.15*2.75+0.6*2.75)*10.764</f>
        <v>555.9606</v>
      </c>
      <c r="E281" s="56">
        <f>(1.5*3.4)*10.764</f>
        <v>54.896399999999993</v>
      </c>
      <c r="F281" s="86">
        <f t="shared" si="35"/>
        <v>888.83730000000003</v>
      </c>
      <c r="G281" s="176"/>
      <c r="H281" s="177"/>
      <c r="I281" s="30">
        <f>F281-E281</f>
        <v>833.94090000000006</v>
      </c>
      <c r="J281" s="59">
        <f>(F281-E281)/D281</f>
        <v>1.5</v>
      </c>
      <c r="K281" s="2">
        <f>I281/D281</f>
        <v>1.5</v>
      </c>
    </row>
    <row r="282" spans="1:14" s="4" customFormat="1" x14ac:dyDescent="0.25">
      <c r="A282" s="146" t="s">
        <v>213</v>
      </c>
      <c r="B282" s="146"/>
      <c r="C282" s="146"/>
      <c r="D282" s="146"/>
      <c r="E282" s="146"/>
      <c r="F282" s="146"/>
      <c r="G282" s="146"/>
      <c r="H282" s="146"/>
      <c r="I282" s="54"/>
      <c r="J282" s="55">
        <v>1.8</v>
      </c>
    </row>
    <row r="283" spans="1:14" s="4" customFormat="1" x14ac:dyDescent="0.25">
      <c r="A283" s="134" t="s">
        <v>238</v>
      </c>
      <c r="B283" s="134"/>
      <c r="C283" s="134"/>
      <c r="D283" s="134"/>
      <c r="E283" s="134"/>
      <c r="F283" s="134"/>
      <c r="G283" s="134"/>
      <c r="H283" s="134"/>
      <c r="I283" s="54"/>
      <c r="J283" s="55">
        <v>1.8</v>
      </c>
    </row>
    <row r="284" spans="1:14" s="67" customFormat="1" x14ac:dyDescent="0.25">
      <c r="A284" s="135" t="s">
        <v>164</v>
      </c>
      <c r="B284" s="135"/>
      <c r="C284" s="135"/>
      <c r="D284" s="135"/>
      <c r="E284" s="135"/>
      <c r="F284" s="135"/>
      <c r="G284" s="135"/>
      <c r="H284" s="135"/>
      <c r="I284" s="30"/>
      <c r="K284" s="67">
        <v>4500</v>
      </c>
      <c r="L284" s="158"/>
      <c r="M284" s="158"/>
    </row>
    <row r="285" spans="1:14" s="67" customFormat="1" ht="15.75" customHeight="1" x14ac:dyDescent="0.25">
      <c r="A285" s="77">
        <v>1</v>
      </c>
      <c r="B285" s="87" t="s">
        <v>239</v>
      </c>
      <c r="C285" s="143" t="s">
        <v>166</v>
      </c>
      <c r="D285" s="144"/>
      <c r="E285" s="144"/>
      <c r="F285" s="145"/>
      <c r="G285" s="149" t="str">
        <f>A284</f>
        <v>1st Floor for Residential</v>
      </c>
      <c r="H285" s="150"/>
      <c r="I285" s="30"/>
      <c r="N285" s="30"/>
    </row>
    <row r="286" spans="1:14" s="67" customFormat="1" ht="15.75" customHeight="1" x14ac:dyDescent="0.25">
      <c r="A286" s="66">
        <f t="shared" ref="A286:A292" si="36">A285+1</f>
        <v>2</v>
      </c>
      <c r="B286" s="66" t="s">
        <v>273</v>
      </c>
      <c r="C286" s="66" t="s">
        <v>167</v>
      </c>
      <c r="D286" s="66">
        <f>((43.92)+1.25*2.1+1.05*2.75+0.75*2.75)*10.764</f>
        <v>554.29218000000003</v>
      </c>
      <c r="E286" s="66">
        <f>(1.37*2.75)*10.764</f>
        <v>40.553370000000001</v>
      </c>
      <c r="F286" s="86">
        <f t="shared" ref="F286:F290" si="37">D286*1.5+E286</f>
        <v>871.99164000000007</v>
      </c>
      <c r="G286" s="151"/>
      <c r="H286" s="152"/>
      <c r="I286" s="30"/>
      <c r="J286" s="60">
        <f>(F286-E286)/D286</f>
        <v>1.5</v>
      </c>
      <c r="K286" s="67">
        <f>K$284*F286</f>
        <v>3923962.3800000004</v>
      </c>
      <c r="L286" s="67">
        <f>K286+650000</f>
        <v>4573962.3800000008</v>
      </c>
      <c r="N286" s="30"/>
    </row>
    <row r="287" spans="1:14" s="67" customFormat="1" ht="15.75" customHeight="1" x14ac:dyDescent="0.25">
      <c r="A287" s="66">
        <f t="shared" si="36"/>
        <v>3</v>
      </c>
      <c r="B287" s="86" t="s">
        <v>273</v>
      </c>
      <c r="C287" s="66" t="s">
        <v>168</v>
      </c>
      <c r="D287" s="66">
        <f>((29.87)+1.25*2.1+0.75*2.75)*10.764</f>
        <v>371.97693000000004</v>
      </c>
      <c r="E287" s="77">
        <f>(1.37*2.75)*10.764</f>
        <v>40.553370000000001</v>
      </c>
      <c r="F287" s="86">
        <f t="shared" si="37"/>
        <v>598.51876500000003</v>
      </c>
      <c r="G287" s="151"/>
      <c r="H287" s="152"/>
      <c r="I287" s="30"/>
      <c r="J287" s="60">
        <f t="shared" ref="J287:J346" si="38">(F287-E287)/D287</f>
        <v>1.5</v>
      </c>
      <c r="K287" s="84">
        <f t="shared" ref="K287:K298" si="39">K$284*F287</f>
        <v>2693334.4425000004</v>
      </c>
      <c r="L287" s="84">
        <f t="shared" ref="L287:L298" si="40">K287+650000</f>
        <v>3343334.4425000004</v>
      </c>
      <c r="N287" s="30"/>
    </row>
    <row r="288" spans="1:14" s="67" customFormat="1" ht="15.75" customHeight="1" x14ac:dyDescent="0.25">
      <c r="A288" s="66">
        <f t="shared" si="36"/>
        <v>4</v>
      </c>
      <c r="B288" s="86" t="s">
        <v>273</v>
      </c>
      <c r="C288" s="66" t="s">
        <v>168</v>
      </c>
      <c r="D288" s="77">
        <f>((29.87)+1.25*2.1+0.75*2.75)*10.764</f>
        <v>371.97693000000004</v>
      </c>
      <c r="E288" s="77">
        <f>(1.37*2.75)*10.764</f>
        <v>40.553370000000001</v>
      </c>
      <c r="F288" s="86">
        <f t="shared" si="37"/>
        <v>598.51876500000003</v>
      </c>
      <c r="G288" s="151"/>
      <c r="H288" s="152"/>
      <c r="I288" s="30"/>
      <c r="J288" s="60">
        <f t="shared" si="38"/>
        <v>1.5</v>
      </c>
      <c r="K288" s="84">
        <f t="shared" si="39"/>
        <v>2693334.4425000004</v>
      </c>
      <c r="L288" s="84">
        <f t="shared" si="40"/>
        <v>3343334.4425000004</v>
      </c>
      <c r="N288" s="30"/>
    </row>
    <row r="289" spans="1:14" s="67" customFormat="1" x14ac:dyDescent="0.25">
      <c r="A289" s="66">
        <f t="shared" si="36"/>
        <v>5</v>
      </c>
      <c r="B289" s="86" t="s">
        <v>273</v>
      </c>
      <c r="C289" s="66" t="s">
        <v>167</v>
      </c>
      <c r="D289" s="66">
        <f>((43.13)+1.25*2.1+1.05*2.75+0.75*2.75)*10.764</f>
        <v>545.78862000000004</v>
      </c>
      <c r="E289" s="77">
        <f>(1.37*2.75)*10.764</f>
        <v>40.553370000000001</v>
      </c>
      <c r="F289" s="86">
        <f t="shared" si="37"/>
        <v>859.23630000000003</v>
      </c>
      <c r="G289" s="151"/>
      <c r="H289" s="152"/>
      <c r="I289" s="30"/>
      <c r="J289" s="60">
        <f t="shared" si="38"/>
        <v>1.5</v>
      </c>
      <c r="K289" s="84">
        <f t="shared" si="39"/>
        <v>3866563.35</v>
      </c>
      <c r="L289" s="84">
        <f t="shared" si="40"/>
        <v>4516563.3499999996</v>
      </c>
      <c r="N289" s="30"/>
    </row>
    <row r="290" spans="1:14" s="67" customFormat="1" x14ac:dyDescent="0.25">
      <c r="A290" s="66">
        <f t="shared" si="36"/>
        <v>6</v>
      </c>
      <c r="B290" s="86" t="s">
        <v>273</v>
      </c>
      <c r="C290" s="66" t="s">
        <v>167</v>
      </c>
      <c r="D290" s="77">
        <f>((43.13)+1.25*2.1+1.05*2.75+0.75*2.75)*10.764</f>
        <v>545.78862000000004</v>
      </c>
      <c r="E290" s="66">
        <f>(1.35*2.75)*10.764</f>
        <v>39.961350000000003</v>
      </c>
      <c r="F290" s="86">
        <f t="shared" si="37"/>
        <v>858.64428000000009</v>
      </c>
      <c r="G290" s="151"/>
      <c r="H290" s="152"/>
      <c r="I290" s="30"/>
      <c r="J290" s="60">
        <f t="shared" si="38"/>
        <v>1.5</v>
      </c>
      <c r="K290" s="84">
        <f t="shared" si="39"/>
        <v>3863899.2600000002</v>
      </c>
      <c r="L290" s="84">
        <f t="shared" si="40"/>
        <v>4513899.26</v>
      </c>
      <c r="N290" s="30"/>
    </row>
    <row r="291" spans="1:14" s="67" customFormat="1" x14ac:dyDescent="0.25">
      <c r="A291" s="77">
        <f t="shared" si="36"/>
        <v>7</v>
      </c>
      <c r="B291" s="87" t="s">
        <v>239</v>
      </c>
      <c r="C291" s="149" t="s">
        <v>215</v>
      </c>
      <c r="D291" s="159"/>
      <c r="E291" s="159"/>
      <c r="F291" s="150"/>
      <c r="G291" s="151"/>
      <c r="H291" s="152"/>
      <c r="I291" s="30"/>
      <c r="J291" s="59" t="e">
        <f t="shared" si="38"/>
        <v>#DIV/0!</v>
      </c>
      <c r="K291" s="84">
        <f t="shared" si="39"/>
        <v>0</v>
      </c>
      <c r="L291" s="84">
        <f t="shared" si="40"/>
        <v>650000</v>
      </c>
      <c r="N291" s="30"/>
    </row>
    <row r="292" spans="1:14" s="67" customFormat="1" x14ac:dyDescent="0.25">
      <c r="A292" s="77">
        <f t="shared" si="36"/>
        <v>8</v>
      </c>
      <c r="B292" s="87" t="s">
        <v>239</v>
      </c>
      <c r="C292" s="153"/>
      <c r="D292" s="160"/>
      <c r="E292" s="160"/>
      <c r="F292" s="154"/>
      <c r="G292" s="153"/>
      <c r="H292" s="154"/>
      <c r="I292" s="30"/>
      <c r="J292" s="59" t="e">
        <f t="shared" si="38"/>
        <v>#DIV/0!</v>
      </c>
      <c r="K292" s="84">
        <f t="shared" si="39"/>
        <v>0</v>
      </c>
      <c r="L292" s="84">
        <f t="shared" si="40"/>
        <v>650000</v>
      </c>
      <c r="N292" s="30"/>
    </row>
    <row r="293" spans="1:14" s="67" customFormat="1" ht="15.75" customHeight="1" x14ac:dyDescent="0.25">
      <c r="A293" s="155" t="s">
        <v>123</v>
      </c>
      <c r="B293" s="156"/>
      <c r="C293" s="156"/>
      <c r="D293" s="156"/>
      <c r="E293" s="156"/>
      <c r="F293" s="156"/>
      <c r="G293" s="156"/>
      <c r="H293" s="157"/>
      <c r="I293" s="30"/>
      <c r="J293" s="59" t="e">
        <f t="shared" si="38"/>
        <v>#DIV/0!</v>
      </c>
      <c r="K293" s="84">
        <f t="shared" si="39"/>
        <v>0</v>
      </c>
      <c r="L293" s="84">
        <f t="shared" si="40"/>
        <v>650000</v>
      </c>
    </row>
    <row r="294" spans="1:14" s="67" customFormat="1" x14ac:dyDescent="0.25">
      <c r="A294" s="66">
        <v>1</v>
      </c>
      <c r="B294" s="87" t="s">
        <v>274</v>
      </c>
      <c r="C294" s="66" t="s">
        <v>168</v>
      </c>
      <c r="D294" s="66">
        <f>((32.12)+(1.25*2.13))*10.764</f>
        <v>374.39882999999998</v>
      </c>
      <c r="E294" s="56">
        <f>(2.75*2.3+2.72*1.35+2.05*4.85+0.85*1.55)*10.764</f>
        <v>228.81034799999998</v>
      </c>
      <c r="F294" s="86">
        <f t="shared" ref="F294:F301" si="41">D294*1.5+E294</f>
        <v>790.40859299999988</v>
      </c>
      <c r="G294" s="149" t="str">
        <f>A293</f>
        <v>2nd Floor</v>
      </c>
      <c r="H294" s="150"/>
      <c r="I294" s="30"/>
      <c r="J294" s="59">
        <f t="shared" si="38"/>
        <v>1.4999999999999998</v>
      </c>
      <c r="K294" s="84">
        <f t="shared" si="39"/>
        <v>3556838.6684999997</v>
      </c>
      <c r="L294" s="84">
        <f t="shared" si="40"/>
        <v>4206838.6684999997</v>
      </c>
    </row>
    <row r="295" spans="1:14" s="67" customFormat="1" x14ac:dyDescent="0.25">
      <c r="A295" s="66">
        <v>2</v>
      </c>
      <c r="B295" s="87" t="s">
        <v>274</v>
      </c>
      <c r="C295" s="66" t="s">
        <v>167</v>
      </c>
      <c r="D295" s="79">
        <f>((43.79)+(1.05*2.75+1.25*2.1+0.75*2.75))*10.764</f>
        <v>552.89286000000004</v>
      </c>
      <c r="E295" s="66">
        <f>(1.35*2.75)*10.764</f>
        <v>39.961350000000003</v>
      </c>
      <c r="F295" s="86">
        <f t="shared" si="41"/>
        <v>869.30064000000016</v>
      </c>
      <c r="G295" s="151"/>
      <c r="H295" s="152"/>
      <c r="I295" s="30">
        <f>F295-E295</f>
        <v>829.33929000000012</v>
      </c>
      <c r="J295" s="59">
        <f t="shared" si="38"/>
        <v>1.5</v>
      </c>
      <c r="K295" s="84">
        <f t="shared" si="39"/>
        <v>3911852.8800000008</v>
      </c>
      <c r="L295" s="84">
        <f t="shared" si="40"/>
        <v>4561852.8800000008</v>
      </c>
      <c r="M295" s="67">
        <f>2.75*4+2.1*2.4+2.9*2.75+1.2*1.5+1*1.25+2.2*0.6+1*1</f>
        <v>29.385000000000002</v>
      </c>
    </row>
    <row r="296" spans="1:14" s="67" customFormat="1" ht="15.75" customHeight="1" x14ac:dyDescent="0.25">
      <c r="A296" s="66">
        <v>3</v>
      </c>
      <c r="B296" s="86" t="s">
        <v>273</v>
      </c>
      <c r="C296" s="66" t="s">
        <v>168</v>
      </c>
      <c r="D296" s="66">
        <f>((29.75)+1.25*2.1+0.75*2.75)*10.764</f>
        <v>370.68525</v>
      </c>
      <c r="E296" s="66">
        <f t="shared" ref="E296:E299" si="42">(1.35*2.75)*10.764</f>
        <v>39.961350000000003</v>
      </c>
      <c r="F296" s="86">
        <f t="shared" si="41"/>
        <v>595.98922500000003</v>
      </c>
      <c r="G296" s="151"/>
      <c r="H296" s="152"/>
      <c r="I296" s="30"/>
      <c r="J296" s="59">
        <f t="shared" si="38"/>
        <v>1.5</v>
      </c>
      <c r="K296" s="84">
        <f t="shared" si="39"/>
        <v>2681951.5125000002</v>
      </c>
      <c r="L296" s="84">
        <f t="shared" si="40"/>
        <v>3331951.5125000002</v>
      </c>
    </row>
    <row r="297" spans="1:14" s="67" customFormat="1" ht="15.75" customHeight="1" x14ac:dyDescent="0.25">
      <c r="A297" s="66">
        <v>4</v>
      </c>
      <c r="B297" s="87" t="s">
        <v>274</v>
      </c>
      <c r="C297" s="66" t="s">
        <v>168</v>
      </c>
      <c r="D297" s="77">
        <f>((29.75)+1.25*2.1+0.75*2.75)*10.764</f>
        <v>370.68525</v>
      </c>
      <c r="E297" s="66">
        <f t="shared" si="42"/>
        <v>39.961350000000003</v>
      </c>
      <c r="F297" s="86">
        <f t="shared" si="41"/>
        <v>595.98922500000003</v>
      </c>
      <c r="G297" s="151"/>
      <c r="H297" s="152"/>
      <c r="I297" s="61">
        <f>F298/(D298+E298)</f>
        <v>1.4658196381715232</v>
      </c>
      <c r="J297" s="59">
        <f t="shared" si="38"/>
        <v>1.5</v>
      </c>
      <c r="K297" s="84">
        <f t="shared" si="39"/>
        <v>2681951.5125000002</v>
      </c>
      <c r="L297" s="84">
        <f t="shared" si="40"/>
        <v>3331951.5125000002</v>
      </c>
    </row>
    <row r="298" spans="1:14" s="67" customFormat="1" ht="15.75" customHeight="1" x14ac:dyDescent="0.25">
      <c r="A298" s="66">
        <v>5</v>
      </c>
      <c r="B298" s="87" t="s">
        <v>274</v>
      </c>
      <c r="C298" s="66" t="s">
        <v>167</v>
      </c>
      <c r="D298" s="66">
        <f>((43.02)+1.25*2.1+1.05*2.75+0.75*2.75)*10.764</f>
        <v>544.60458000000006</v>
      </c>
      <c r="E298" s="66">
        <f t="shared" si="42"/>
        <v>39.961350000000003</v>
      </c>
      <c r="F298" s="86">
        <f t="shared" si="41"/>
        <v>856.86822000000006</v>
      </c>
      <c r="G298" s="151"/>
      <c r="H298" s="152"/>
      <c r="I298" s="30"/>
      <c r="J298" s="59">
        <f t="shared" si="38"/>
        <v>1.5</v>
      </c>
      <c r="K298" s="84">
        <f t="shared" si="39"/>
        <v>3855906.99</v>
      </c>
      <c r="L298" s="84">
        <f t="shared" si="40"/>
        <v>4505906.99</v>
      </c>
    </row>
    <row r="299" spans="1:14" s="67" customFormat="1" ht="15.75" customHeight="1" x14ac:dyDescent="0.25">
      <c r="A299" s="66">
        <v>6</v>
      </c>
      <c r="B299" s="87" t="s">
        <v>274</v>
      </c>
      <c r="C299" s="66" t="s">
        <v>167</v>
      </c>
      <c r="D299" s="77">
        <f>((43.02)+1.25*2.1+1.05*2.75+0.75*2.75)*10.764</f>
        <v>544.60458000000006</v>
      </c>
      <c r="E299" s="66">
        <f t="shared" si="42"/>
        <v>39.961350000000003</v>
      </c>
      <c r="F299" s="86">
        <f t="shared" si="41"/>
        <v>856.86822000000006</v>
      </c>
      <c r="G299" s="151"/>
      <c r="H299" s="152"/>
      <c r="I299" s="30"/>
      <c r="J299" s="59">
        <f t="shared" si="38"/>
        <v>1.5</v>
      </c>
    </row>
    <row r="300" spans="1:14" s="67" customFormat="1" ht="15.75" customHeight="1" x14ac:dyDescent="0.25">
      <c r="A300" s="66">
        <v>7</v>
      </c>
      <c r="B300" s="87" t="s">
        <v>274</v>
      </c>
      <c r="C300" s="66" t="s">
        <v>167</v>
      </c>
      <c r="D300" s="66">
        <f>(49.06+0.75*3.95)*10.764</f>
        <v>559.97019</v>
      </c>
      <c r="E300" s="66">
        <f>(1.3*2.75)*10.764</f>
        <v>38.481299999999997</v>
      </c>
      <c r="F300" s="86">
        <f t="shared" si="41"/>
        <v>878.43658500000004</v>
      </c>
      <c r="G300" s="151"/>
      <c r="H300" s="152"/>
      <c r="I300" s="30"/>
      <c r="J300" s="59">
        <f t="shared" si="38"/>
        <v>1.5</v>
      </c>
    </row>
    <row r="301" spans="1:14" s="67" customFormat="1" ht="15.75" customHeight="1" x14ac:dyDescent="0.25">
      <c r="A301" s="66">
        <v>8</v>
      </c>
      <c r="B301" s="87" t="s">
        <v>274</v>
      </c>
      <c r="C301" s="66" t="s">
        <v>167</v>
      </c>
      <c r="D301" s="66">
        <f>(49.06+0.75*(3.95+2.05))*10.764</f>
        <v>576.51984000000004</v>
      </c>
      <c r="E301" s="77">
        <f>(1.3*2.75)*10.764</f>
        <v>38.481299999999997</v>
      </c>
      <c r="F301" s="86">
        <f t="shared" si="41"/>
        <v>903.26106000000016</v>
      </c>
      <c r="G301" s="153"/>
      <c r="H301" s="154"/>
      <c r="I301" s="30"/>
      <c r="J301" s="59">
        <f t="shared" si="38"/>
        <v>1.5</v>
      </c>
    </row>
    <row r="302" spans="1:14" s="67" customFormat="1" x14ac:dyDescent="0.25">
      <c r="A302" s="132" t="s">
        <v>216</v>
      </c>
      <c r="B302" s="132"/>
      <c r="C302" s="132"/>
      <c r="D302" s="132"/>
      <c r="E302" s="132"/>
      <c r="F302" s="132"/>
      <c r="G302" s="132"/>
      <c r="H302" s="132"/>
      <c r="I302" s="30">
        <v>9</v>
      </c>
      <c r="J302" s="59" t="e">
        <f t="shared" ref="J302:J310" si="43">(F302-E302)/D302</f>
        <v>#DIV/0!</v>
      </c>
    </row>
    <row r="303" spans="1:14" s="67" customFormat="1" ht="15.75" customHeight="1" x14ac:dyDescent="0.25">
      <c r="A303" s="69">
        <v>1</v>
      </c>
      <c r="B303" s="86" t="s">
        <v>273</v>
      </c>
      <c r="C303" s="69" t="s">
        <v>168</v>
      </c>
      <c r="D303" s="69">
        <f>((31.67)+1.25*2.13+0.75*2.72)*10.764</f>
        <v>391.51359000000002</v>
      </c>
      <c r="E303" s="69">
        <f>(1.37*2.75)*10.764</f>
        <v>40.553370000000001</v>
      </c>
      <c r="F303" s="86">
        <f t="shared" ref="F303:F310" si="44">D303*1.5+E303</f>
        <v>627.82375500000001</v>
      </c>
      <c r="G303" s="133" t="str">
        <f>A302</f>
        <v>3rd &amp; 5th Floor</v>
      </c>
      <c r="H303" s="133"/>
      <c r="I303" s="30"/>
      <c r="J303" s="59">
        <f t="shared" si="43"/>
        <v>1.5</v>
      </c>
    </row>
    <row r="304" spans="1:14" s="67" customFormat="1" ht="15.75" customHeight="1" x14ac:dyDescent="0.25">
      <c r="A304" s="69">
        <v>2</v>
      </c>
      <c r="B304" s="86" t="s">
        <v>273</v>
      </c>
      <c r="C304" s="69" t="s">
        <v>167</v>
      </c>
      <c r="D304" s="69">
        <f>((43.92)+1.25*2.1+1.05*2.75+0.75*2.75)*10.764</f>
        <v>554.29218000000003</v>
      </c>
      <c r="E304" s="69">
        <f>(1.37*2.75)*10.764</f>
        <v>40.553370000000001</v>
      </c>
      <c r="F304" s="86">
        <f t="shared" si="44"/>
        <v>871.99164000000007</v>
      </c>
      <c r="G304" s="133"/>
      <c r="H304" s="133"/>
      <c r="I304" s="30"/>
      <c r="J304" s="59">
        <f t="shared" si="43"/>
        <v>1.5</v>
      </c>
    </row>
    <row r="305" spans="1:11" s="67" customFormat="1" ht="15.75" customHeight="1" x14ac:dyDescent="0.25">
      <c r="A305" s="69">
        <v>3</v>
      </c>
      <c r="B305" s="86" t="s">
        <v>273</v>
      </c>
      <c r="C305" s="69" t="s">
        <v>168</v>
      </c>
      <c r="D305" s="69">
        <f>((29.87)+1.25*2.1+0.75*2.75)*10.764</f>
        <v>371.97693000000004</v>
      </c>
      <c r="E305" s="69">
        <f t="shared" ref="E305:E308" si="45">(1.37*2.75)*10.764</f>
        <v>40.553370000000001</v>
      </c>
      <c r="F305" s="86">
        <f t="shared" si="44"/>
        <v>598.51876500000003</v>
      </c>
      <c r="G305" s="133"/>
      <c r="H305" s="133"/>
      <c r="I305" s="30"/>
      <c r="J305" s="59">
        <f t="shared" si="43"/>
        <v>1.5</v>
      </c>
    </row>
    <row r="306" spans="1:11" s="67" customFormat="1" ht="15.75" customHeight="1" x14ac:dyDescent="0.25">
      <c r="A306" s="69">
        <v>4</v>
      </c>
      <c r="B306" s="86" t="s">
        <v>273</v>
      </c>
      <c r="C306" s="69" t="s">
        <v>168</v>
      </c>
      <c r="D306" s="77">
        <f>((29.87)+1.25*2.1+0.75*2.75)*10.764</f>
        <v>371.97693000000004</v>
      </c>
      <c r="E306" s="69">
        <f t="shared" si="45"/>
        <v>40.553370000000001</v>
      </c>
      <c r="F306" s="86">
        <f t="shared" si="44"/>
        <v>598.51876500000003</v>
      </c>
      <c r="G306" s="133"/>
      <c r="H306" s="133"/>
      <c r="I306" s="30"/>
      <c r="J306" s="59">
        <f t="shared" si="43"/>
        <v>1.5</v>
      </c>
    </row>
    <row r="307" spans="1:11" s="67" customFormat="1" ht="15.75" customHeight="1" x14ac:dyDescent="0.25">
      <c r="A307" s="69">
        <v>5</v>
      </c>
      <c r="B307" s="86" t="s">
        <v>273</v>
      </c>
      <c r="C307" s="69" t="s">
        <v>167</v>
      </c>
      <c r="D307" s="69">
        <f>((43.14)+1.25*2.1+1.05*2.75+0.75*2.75)*10.764</f>
        <v>545.89625999999998</v>
      </c>
      <c r="E307" s="69">
        <f t="shared" si="45"/>
        <v>40.553370000000001</v>
      </c>
      <c r="F307" s="86">
        <f t="shared" si="44"/>
        <v>859.39775999999995</v>
      </c>
      <c r="G307" s="133"/>
      <c r="H307" s="133"/>
      <c r="I307" s="30"/>
      <c r="J307" s="59">
        <f t="shared" si="43"/>
        <v>1.5</v>
      </c>
    </row>
    <row r="308" spans="1:11" s="67" customFormat="1" ht="15.75" customHeight="1" x14ac:dyDescent="0.25">
      <c r="A308" s="69">
        <v>6</v>
      </c>
      <c r="B308" s="86" t="s">
        <v>273</v>
      </c>
      <c r="C308" s="69" t="s">
        <v>167</v>
      </c>
      <c r="D308" s="77">
        <f>((43.14)+1.25*2.1+1.05*2.75+0.75*2.75)*10.764</f>
        <v>545.89625999999998</v>
      </c>
      <c r="E308" s="69">
        <f t="shared" si="45"/>
        <v>40.553370000000001</v>
      </c>
      <c r="F308" s="86">
        <f t="shared" si="44"/>
        <v>859.39775999999995</v>
      </c>
      <c r="G308" s="133"/>
      <c r="H308" s="133"/>
      <c r="I308" s="30"/>
      <c r="J308" s="59">
        <f t="shared" si="43"/>
        <v>1.5</v>
      </c>
    </row>
    <row r="309" spans="1:11" s="67" customFormat="1" ht="15.75" customHeight="1" x14ac:dyDescent="0.25">
      <c r="A309" s="69">
        <v>7</v>
      </c>
      <c r="B309" s="86" t="s">
        <v>273</v>
      </c>
      <c r="C309" s="69" t="s">
        <v>167</v>
      </c>
      <c r="D309" s="69">
        <f>(49.06+0.75*3.95)*10.764</f>
        <v>559.97019</v>
      </c>
      <c r="E309" s="69">
        <f>(1.3*2.75)*10.764</f>
        <v>38.481299999999997</v>
      </c>
      <c r="F309" s="86">
        <f t="shared" si="44"/>
        <v>878.43658500000004</v>
      </c>
      <c r="G309" s="133"/>
      <c r="H309" s="133"/>
      <c r="I309" s="30"/>
      <c r="J309" s="59">
        <f t="shared" si="43"/>
        <v>1.5</v>
      </c>
    </row>
    <row r="310" spans="1:11" s="67" customFormat="1" ht="15.75" customHeight="1" x14ac:dyDescent="0.25">
      <c r="A310" s="69">
        <v>8</v>
      </c>
      <c r="B310" s="86" t="s">
        <v>273</v>
      </c>
      <c r="C310" s="69" t="s">
        <v>167</v>
      </c>
      <c r="D310" s="69">
        <f>(49.06+0.75*(3.95+2.1))*10.764</f>
        <v>576.92349000000002</v>
      </c>
      <c r="E310" s="69">
        <f>(1.3*2.75)*10.764</f>
        <v>38.481299999999997</v>
      </c>
      <c r="F310" s="86">
        <f t="shared" si="44"/>
        <v>903.866535</v>
      </c>
      <c r="G310" s="133"/>
      <c r="H310" s="133"/>
      <c r="I310" s="30"/>
      <c r="J310" s="59">
        <f t="shared" si="43"/>
        <v>1.5</v>
      </c>
    </row>
    <row r="311" spans="1:11" s="67" customFormat="1" x14ac:dyDescent="0.25">
      <c r="A311" s="135" t="s">
        <v>243</v>
      </c>
      <c r="B311" s="135"/>
      <c r="C311" s="135"/>
      <c r="D311" s="135"/>
      <c r="E311" s="135"/>
      <c r="F311" s="135"/>
      <c r="G311" s="135"/>
      <c r="H311" s="135"/>
      <c r="I311" s="30">
        <v>9</v>
      </c>
      <c r="J311" s="59" t="e">
        <f t="shared" ref="J311:J319" si="46">(F311-E311)/D311</f>
        <v>#DIV/0!</v>
      </c>
    </row>
    <row r="312" spans="1:11" s="67" customFormat="1" ht="15.75" customHeight="1" x14ac:dyDescent="0.25">
      <c r="A312" s="66">
        <v>1</v>
      </c>
      <c r="B312" s="87" t="s">
        <v>274</v>
      </c>
      <c r="C312" s="66" t="s">
        <v>168</v>
      </c>
      <c r="D312" s="77">
        <f>((31.67)+1.25*2.13+0.75*2.72)*10.764</f>
        <v>391.51359000000002</v>
      </c>
      <c r="E312" s="77">
        <f>(1.37*2.75)*10.764</f>
        <v>40.553370000000001</v>
      </c>
      <c r="F312" s="86">
        <f t="shared" ref="F312:F319" si="47">D312*1.5+E312</f>
        <v>627.82375500000001</v>
      </c>
      <c r="G312" s="149" t="str">
        <f>A311</f>
        <v>7th, 9th, 11th, 15th, 17th, 19th &amp; 21st Floor</v>
      </c>
      <c r="H312" s="150"/>
      <c r="I312" s="30"/>
      <c r="J312" s="59">
        <f>(F312-E312)/D312</f>
        <v>1.5</v>
      </c>
      <c r="K312" s="67">
        <f>F312/(D312+E312)</f>
        <v>1.4530705032386646</v>
      </c>
    </row>
    <row r="313" spans="1:11" s="67" customFormat="1" ht="15.75" customHeight="1" x14ac:dyDescent="0.25">
      <c r="A313" s="66">
        <v>2</v>
      </c>
      <c r="B313" s="87" t="s">
        <v>274</v>
      </c>
      <c r="C313" s="66" t="s">
        <v>167</v>
      </c>
      <c r="D313" s="77">
        <f>((43.92)+1.25*2.1+1.05*2.75+0.75*2.75)*10.764</f>
        <v>554.29218000000003</v>
      </c>
      <c r="E313" s="77">
        <f>(1.37*2.75)*10.764</f>
        <v>40.553370000000001</v>
      </c>
      <c r="F313" s="86">
        <f t="shared" si="47"/>
        <v>871.99164000000007</v>
      </c>
      <c r="G313" s="151"/>
      <c r="H313" s="152"/>
      <c r="I313" s="30"/>
      <c r="J313" s="59">
        <f t="shared" si="46"/>
        <v>1.5</v>
      </c>
      <c r="K313" s="84">
        <f t="shared" ref="K313:K319" si="48">F313/(D313+E313)</f>
        <v>1.4659126894367791</v>
      </c>
    </row>
    <row r="314" spans="1:11" s="67" customFormat="1" ht="15.75" customHeight="1" x14ac:dyDescent="0.25">
      <c r="A314" s="66">
        <v>3</v>
      </c>
      <c r="B314" s="87" t="s">
        <v>274</v>
      </c>
      <c r="C314" s="66" t="s">
        <v>168</v>
      </c>
      <c r="D314" s="77">
        <f>((29.87)+1.25*2.1+0.75*2.75)*10.764</f>
        <v>371.97693000000004</v>
      </c>
      <c r="E314" s="77">
        <f t="shared" ref="E314:E317" si="49">(1.37*2.75)*10.764</f>
        <v>40.553370000000001</v>
      </c>
      <c r="F314" s="86">
        <f t="shared" si="47"/>
        <v>598.51876500000003</v>
      </c>
      <c r="G314" s="151"/>
      <c r="H314" s="152"/>
      <c r="I314" s="30"/>
      <c r="J314" s="59">
        <f t="shared" si="46"/>
        <v>1.5</v>
      </c>
      <c r="K314" s="84">
        <f t="shared" si="48"/>
        <v>1.4508480104370516</v>
      </c>
    </row>
    <row r="315" spans="1:11" s="67" customFormat="1" ht="15.75" customHeight="1" x14ac:dyDescent="0.25">
      <c r="A315" s="66">
        <v>4</v>
      </c>
      <c r="B315" s="87" t="s">
        <v>274</v>
      </c>
      <c r="C315" s="66" t="s">
        <v>168</v>
      </c>
      <c r="D315" s="77">
        <f>((29.87)+1.25*2.1+0.75*2.75)*10.764</f>
        <v>371.97693000000004</v>
      </c>
      <c r="E315" s="77">
        <f t="shared" si="49"/>
        <v>40.553370000000001</v>
      </c>
      <c r="F315" s="86">
        <f t="shared" si="47"/>
        <v>598.51876500000003</v>
      </c>
      <c r="G315" s="151"/>
      <c r="H315" s="152"/>
      <c r="I315" s="30"/>
      <c r="J315" s="59">
        <f t="shared" si="46"/>
        <v>1.5</v>
      </c>
      <c r="K315" s="84">
        <f t="shared" si="48"/>
        <v>1.4508480104370516</v>
      </c>
    </row>
    <row r="316" spans="1:11" s="67" customFormat="1" ht="15.75" customHeight="1" x14ac:dyDescent="0.25">
      <c r="A316" s="66">
        <v>5</v>
      </c>
      <c r="B316" s="87" t="s">
        <v>274</v>
      </c>
      <c r="C316" s="66" t="s">
        <v>167</v>
      </c>
      <c r="D316" s="77">
        <f>((43.14)+1.25*2.1+1.05*2.75+0.75*2.75)*10.764</f>
        <v>545.89625999999998</v>
      </c>
      <c r="E316" s="77">
        <f t="shared" si="49"/>
        <v>40.553370000000001</v>
      </c>
      <c r="F316" s="86">
        <f t="shared" si="47"/>
        <v>859.39775999999995</v>
      </c>
      <c r="G316" s="151"/>
      <c r="H316" s="152"/>
      <c r="I316" s="30"/>
      <c r="J316" s="59">
        <f t="shared" si="46"/>
        <v>1.5</v>
      </c>
      <c r="K316" s="84">
        <f t="shared" si="48"/>
        <v>1.4654246776487863</v>
      </c>
    </row>
    <row r="317" spans="1:11" s="67" customFormat="1" ht="15.75" customHeight="1" x14ac:dyDescent="0.25">
      <c r="A317" s="66">
        <v>6</v>
      </c>
      <c r="B317" s="87" t="s">
        <v>274</v>
      </c>
      <c r="C317" s="66" t="s">
        <v>167</v>
      </c>
      <c r="D317" s="77">
        <f>((43.14)+1.25*2.1+1.05*2.75+0.75*2.75)*10.764</f>
        <v>545.89625999999998</v>
      </c>
      <c r="E317" s="77">
        <f t="shared" si="49"/>
        <v>40.553370000000001</v>
      </c>
      <c r="F317" s="86">
        <f t="shared" si="47"/>
        <v>859.39775999999995</v>
      </c>
      <c r="G317" s="151"/>
      <c r="H317" s="152"/>
      <c r="I317" s="30"/>
      <c r="J317" s="59">
        <f t="shared" si="46"/>
        <v>1.5</v>
      </c>
      <c r="K317" s="84">
        <f t="shared" si="48"/>
        <v>1.4654246776487863</v>
      </c>
    </row>
    <row r="318" spans="1:11" s="67" customFormat="1" ht="15.75" customHeight="1" x14ac:dyDescent="0.25">
      <c r="A318" s="66">
        <v>7</v>
      </c>
      <c r="B318" s="87" t="s">
        <v>274</v>
      </c>
      <c r="C318" s="66" t="s">
        <v>167</v>
      </c>
      <c r="D318" s="77">
        <f>(49.06+0.75*3.95)*10.764</f>
        <v>559.97019</v>
      </c>
      <c r="E318" s="77">
        <f>(1.3*2.75)*10.764</f>
        <v>38.481299999999997</v>
      </c>
      <c r="F318" s="86">
        <f t="shared" si="47"/>
        <v>878.43658500000004</v>
      </c>
      <c r="G318" s="151"/>
      <c r="H318" s="152"/>
      <c r="I318" s="30"/>
      <c r="J318" s="59">
        <f t="shared" si="46"/>
        <v>1.5</v>
      </c>
      <c r="K318" s="84">
        <f t="shared" si="48"/>
        <v>1.4678492737982822</v>
      </c>
    </row>
    <row r="319" spans="1:11" s="67" customFormat="1" ht="15.75" customHeight="1" x14ac:dyDescent="0.25">
      <c r="A319" s="66">
        <v>8</v>
      </c>
      <c r="B319" s="87" t="s">
        <v>274</v>
      </c>
      <c r="C319" s="66" t="s">
        <v>167</v>
      </c>
      <c r="D319" s="77">
        <f>(49.06+0.75*(3.95+2.1))*10.764</f>
        <v>576.92349000000002</v>
      </c>
      <c r="E319" s="77">
        <f>(1.3*2.75)*10.764</f>
        <v>38.481299999999997</v>
      </c>
      <c r="F319" s="86">
        <f t="shared" si="47"/>
        <v>903.866535</v>
      </c>
      <c r="G319" s="153"/>
      <c r="H319" s="154"/>
      <c r="I319" s="30"/>
      <c r="J319" s="59">
        <f t="shared" si="46"/>
        <v>1.5</v>
      </c>
      <c r="K319" s="84">
        <f t="shared" si="48"/>
        <v>1.4687349687349687</v>
      </c>
    </row>
    <row r="320" spans="1:11" s="67" customFormat="1" ht="15.75" customHeight="1" x14ac:dyDescent="0.25">
      <c r="A320" s="155" t="s">
        <v>242</v>
      </c>
      <c r="B320" s="156"/>
      <c r="C320" s="156"/>
      <c r="D320" s="156"/>
      <c r="E320" s="156"/>
      <c r="F320" s="156"/>
      <c r="G320" s="156"/>
      <c r="H320" s="157"/>
      <c r="I320" s="30"/>
      <c r="J320" s="59" t="e">
        <f t="shared" si="38"/>
        <v>#DIV/0!</v>
      </c>
    </row>
    <row r="321" spans="1:11" s="67" customFormat="1" ht="15.75" customHeight="1" x14ac:dyDescent="0.25">
      <c r="A321" s="66">
        <v>1</v>
      </c>
      <c r="B321" s="87" t="s">
        <v>274</v>
      </c>
      <c r="C321" s="66" t="s">
        <v>168</v>
      </c>
      <c r="D321" s="66">
        <f>((31.57)+(1.25*2.13+0.75*2.75))*10.764</f>
        <v>390.67937999999998</v>
      </c>
      <c r="E321" s="66">
        <f>(1.35*2.75)*10.764</f>
        <v>39.961350000000003</v>
      </c>
      <c r="F321" s="86">
        <f t="shared" ref="F321:F328" si="50">D321*1.5+E321</f>
        <v>625.98041999999998</v>
      </c>
      <c r="G321" s="149" t="str">
        <f>A320</f>
        <v>4th, 6th, 10th, 12th, 14th, 16th &amp; 20th Floor</v>
      </c>
      <c r="H321" s="150"/>
      <c r="I321" s="61">
        <f>F321/(D321+E321)</f>
        <v>1.4536024495407112</v>
      </c>
      <c r="J321" s="59">
        <f t="shared" si="38"/>
        <v>1.5</v>
      </c>
      <c r="K321" s="67">
        <f>J321/D321</f>
        <v>3.8394654972576238E-3</v>
      </c>
    </row>
    <row r="322" spans="1:11" s="67" customFormat="1" ht="15.75" customHeight="1" x14ac:dyDescent="0.25">
      <c r="A322" s="66">
        <v>2</v>
      </c>
      <c r="B322" s="87" t="s">
        <v>274</v>
      </c>
      <c r="C322" s="66" t="s">
        <v>167</v>
      </c>
      <c r="D322" s="66">
        <f>((43.79)+1.25*2.1+1.05*2.75+0.75*2.75)*10.764</f>
        <v>552.89286000000004</v>
      </c>
      <c r="E322" s="66">
        <f t="shared" ref="E322:E326" si="51">(1.35*2.75)*10.764</f>
        <v>39.961350000000003</v>
      </c>
      <c r="F322" s="86">
        <f t="shared" si="50"/>
        <v>869.30064000000016</v>
      </c>
      <c r="G322" s="151"/>
      <c r="H322" s="152"/>
      <c r="I322" s="61">
        <f t="shared" ref="I322:I324" si="52">F322/(D322+E322)</f>
        <v>1.4662974899005947</v>
      </c>
      <c r="J322" s="59">
        <f t="shared" si="38"/>
        <v>1.5</v>
      </c>
      <c r="K322" s="60">
        <f>J322/D322</f>
        <v>2.7130030219598058E-3</v>
      </c>
    </row>
    <row r="323" spans="1:11" s="67" customFormat="1" ht="15.75" customHeight="1" x14ac:dyDescent="0.25">
      <c r="A323" s="66">
        <v>3</v>
      </c>
      <c r="B323" s="87" t="s">
        <v>274</v>
      </c>
      <c r="C323" s="66" t="s">
        <v>168</v>
      </c>
      <c r="D323" s="66">
        <f>((29.75)+0.75*2.75+1.25*2.1)*10.764</f>
        <v>370.68525</v>
      </c>
      <c r="E323" s="66">
        <f t="shared" si="51"/>
        <v>39.961350000000003</v>
      </c>
      <c r="F323" s="86">
        <f t="shared" si="50"/>
        <v>595.98922500000003</v>
      </c>
      <c r="G323" s="151"/>
      <c r="H323" s="152"/>
      <c r="I323" s="61">
        <f t="shared" si="52"/>
        <v>1.4513433813892531</v>
      </c>
      <c r="J323" s="59">
        <f t="shared" si="38"/>
        <v>1.5</v>
      </c>
      <c r="K323" s="60">
        <f t="shared" ref="K323:K328" si="53">J323/D323</f>
        <v>4.0465597160933703E-3</v>
      </c>
    </row>
    <row r="324" spans="1:11" s="67" customFormat="1" ht="15.75" customHeight="1" x14ac:dyDescent="0.25">
      <c r="A324" s="66">
        <v>4</v>
      </c>
      <c r="B324" s="87" t="s">
        <v>274</v>
      </c>
      <c r="C324" s="66" t="s">
        <v>168</v>
      </c>
      <c r="D324" s="77">
        <f>((29.75)+0.75*2.75+1.25*2.1)*10.764</f>
        <v>370.68525</v>
      </c>
      <c r="E324" s="66">
        <f t="shared" si="51"/>
        <v>39.961350000000003</v>
      </c>
      <c r="F324" s="86">
        <f t="shared" si="50"/>
        <v>595.98922500000003</v>
      </c>
      <c r="G324" s="151"/>
      <c r="H324" s="152"/>
      <c r="I324" s="61">
        <f t="shared" si="52"/>
        <v>1.4513433813892531</v>
      </c>
      <c r="J324" s="59">
        <f t="shared" si="38"/>
        <v>1.5</v>
      </c>
      <c r="K324" s="60">
        <f t="shared" si="53"/>
        <v>4.0465597160933703E-3</v>
      </c>
    </row>
    <row r="325" spans="1:11" s="67" customFormat="1" ht="15.75" customHeight="1" x14ac:dyDescent="0.25">
      <c r="A325" s="66">
        <v>5</v>
      </c>
      <c r="B325" s="87" t="s">
        <v>274</v>
      </c>
      <c r="C325" s="66" t="s">
        <v>167</v>
      </c>
      <c r="D325" s="66">
        <f>((43.02)+0.75*2.75+2.1*1.25+1.05*2.75)*10.764</f>
        <v>544.60458000000006</v>
      </c>
      <c r="E325" s="66">
        <f t="shared" si="51"/>
        <v>39.961350000000003</v>
      </c>
      <c r="F325" s="86">
        <f t="shared" si="50"/>
        <v>856.86822000000006</v>
      </c>
      <c r="G325" s="151"/>
      <c r="H325" s="152"/>
      <c r="I325" s="30"/>
      <c r="J325" s="59">
        <f t="shared" si="38"/>
        <v>1.5</v>
      </c>
      <c r="K325" s="60">
        <f t="shared" si="53"/>
        <v>2.7542919304865189E-3</v>
      </c>
    </row>
    <row r="326" spans="1:11" s="67" customFormat="1" ht="15.75" customHeight="1" x14ac:dyDescent="0.25">
      <c r="A326" s="66">
        <v>6</v>
      </c>
      <c r="B326" s="87" t="s">
        <v>274</v>
      </c>
      <c r="C326" s="66" t="s">
        <v>167</v>
      </c>
      <c r="D326" s="77">
        <f>((43.02)+0.75*2.75+2.1*1.25+1.05*2.75)*10.764</f>
        <v>544.60458000000006</v>
      </c>
      <c r="E326" s="66">
        <f t="shared" si="51"/>
        <v>39.961350000000003</v>
      </c>
      <c r="F326" s="86">
        <f t="shared" si="50"/>
        <v>856.86822000000006</v>
      </c>
      <c r="G326" s="151"/>
      <c r="H326" s="152"/>
      <c r="I326" s="30"/>
      <c r="J326" s="59">
        <f t="shared" si="38"/>
        <v>1.5</v>
      </c>
      <c r="K326" s="60">
        <f t="shared" si="53"/>
        <v>2.7542919304865189E-3</v>
      </c>
    </row>
    <row r="327" spans="1:11" s="67" customFormat="1" ht="15.75" customHeight="1" x14ac:dyDescent="0.25">
      <c r="A327" s="66">
        <v>7</v>
      </c>
      <c r="B327" s="87" t="s">
        <v>274</v>
      </c>
      <c r="C327" s="66" t="s">
        <v>167</v>
      </c>
      <c r="D327" s="66">
        <f>(49.06+0.75*3.95)*10.764</f>
        <v>559.97019</v>
      </c>
      <c r="E327" s="66">
        <f>(1.3*2.75)*10.764</f>
        <v>38.481299999999997</v>
      </c>
      <c r="F327" s="86">
        <f t="shared" si="50"/>
        <v>878.43658500000004</v>
      </c>
      <c r="G327" s="151"/>
      <c r="H327" s="152"/>
      <c r="I327" s="30"/>
      <c r="J327" s="59">
        <f t="shared" si="38"/>
        <v>1.5</v>
      </c>
      <c r="K327" s="60">
        <f t="shared" si="53"/>
        <v>2.6787140222589347E-3</v>
      </c>
    </row>
    <row r="328" spans="1:11" s="67" customFormat="1" ht="15.75" customHeight="1" x14ac:dyDescent="0.25">
      <c r="A328" s="66">
        <v>8</v>
      </c>
      <c r="B328" s="87" t="s">
        <v>274</v>
      </c>
      <c r="C328" s="66" t="s">
        <v>167</v>
      </c>
      <c r="D328" s="66">
        <f>(49.06+0.75*(3.95+2.1))*10.764</f>
        <v>576.92349000000002</v>
      </c>
      <c r="E328" s="66">
        <f>(1.3*2.75)*10.764</f>
        <v>38.481299999999997</v>
      </c>
      <c r="F328" s="86">
        <f t="shared" si="50"/>
        <v>903.866535</v>
      </c>
      <c r="G328" s="153"/>
      <c r="H328" s="154"/>
      <c r="I328" s="30"/>
      <c r="J328" s="59">
        <f t="shared" si="38"/>
        <v>1.5</v>
      </c>
      <c r="K328" s="60">
        <f t="shared" si="53"/>
        <v>2.599998138401333E-3</v>
      </c>
    </row>
    <row r="329" spans="1:11" s="67" customFormat="1" x14ac:dyDescent="0.25">
      <c r="A329" s="155" t="s">
        <v>169</v>
      </c>
      <c r="B329" s="156"/>
      <c r="C329" s="156"/>
      <c r="D329" s="156"/>
      <c r="E329" s="156"/>
      <c r="F329" s="156"/>
      <c r="G329" s="156"/>
      <c r="H329" s="157"/>
      <c r="I329" s="60">
        <v>2</v>
      </c>
      <c r="J329" s="59" t="e">
        <f t="shared" si="38"/>
        <v>#DIV/0!</v>
      </c>
    </row>
    <row r="330" spans="1:11" s="67" customFormat="1" ht="15.75" customHeight="1" x14ac:dyDescent="0.25">
      <c r="A330" s="66">
        <v>1</v>
      </c>
      <c r="B330" s="87" t="s">
        <v>274</v>
      </c>
      <c r="C330" s="66" t="s">
        <v>168</v>
      </c>
      <c r="D330" s="66">
        <f>((31.57)+0.75*2.75+1.25*2.13)*10.764</f>
        <v>390.67937999999998</v>
      </c>
      <c r="E330" s="66">
        <f>(1.35*2.75)*10.764</f>
        <v>39.961350000000003</v>
      </c>
      <c r="F330" s="86">
        <f t="shared" ref="F330:F337" si="54">D330*1.5+E330</f>
        <v>625.98041999999998</v>
      </c>
      <c r="G330" s="149" t="str">
        <f>A329</f>
        <v>8th &amp; 18th Floor (Part Refuge Area)</v>
      </c>
      <c r="H330" s="150"/>
      <c r="I330" s="30">
        <f>352*2+E330/2</f>
        <v>723.98067500000002</v>
      </c>
      <c r="J330" s="59">
        <f t="shared" si="38"/>
        <v>1.5</v>
      </c>
    </row>
    <row r="331" spans="1:11" s="67" customFormat="1" ht="15.75" customHeight="1" x14ac:dyDescent="0.25">
      <c r="A331" s="66">
        <v>2</v>
      </c>
      <c r="B331" s="87" t="s">
        <v>274</v>
      </c>
      <c r="C331" s="66" t="s">
        <v>167</v>
      </c>
      <c r="D331" s="66">
        <f>((43.78)+0.75*2.75+1.25*2.1+1.05*2.75)*10.764</f>
        <v>552.78521999999998</v>
      </c>
      <c r="E331" s="66">
        <f t="shared" ref="E331:E335" si="55">(1.35*2.75)*10.764</f>
        <v>39.961350000000003</v>
      </c>
      <c r="F331" s="86">
        <f t="shared" si="54"/>
        <v>869.13918000000001</v>
      </c>
      <c r="G331" s="151"/>
      <c r="H331" s="152"/>
      <c r="I331" s="30"/>
      <c r="J331" s="59">
        <f t="shared" si="38"/>
        <v>1.5</v>
      </c>
    </row>
    <row r="332" spans="1:11" s="67" customFormat="1" ht="15.75" customHeight="1" x14ac:dyDescent="0.25">
      <c r="A332" s="66">
        <v>3</v>
      </c>
      <c r="B332" s="87" t="s">
        <v>274</v>
      </c>
      <c r="C332" s="66" t="s">
        <v>217</v>
      </c>
      <c r="D332" s="66">
        <f>((19.26)+0.75*2.75+1.25*2.1)*10.764</f>
        <v>257.77089000000001</v>
      </c>
      <c r="E332" s="66">
        <v>0</v>
      </c>
      <c r="F332" s="86">
        <f t="shared" si="54"/>
        <v>386.65633500000001</v>
      </c>
      <c r="G332" s="151"/>
      <c r="H332" s="152"/>
      <c r="I332" s="30"/>
      <c r="J332" s="59">
        <f t="shared" ref="J332" si="56">(F332-E332)/D332</f>
        <v>1.5</v>
      </c>
    </row>
    <row r="333" spans="1:11" s="67" customFormat="1" ht="15.75" customHeight="1" x14ac:dyDescent="0.25">
      <c r="A333" s="66">
        <v>4</v>
      </c>
      <c r="B333" s="87" t="s">
        <v>274</v>
      </c>
      <c r="C333" s="66" t="s">
        <v>217</v>
      </c>
      <c r="D333" s="77">
        <f>((19.26)+0.75*2.75+1.25*2.1)*10.764</f>
        <v>257.77089000000001</v>
      </c>
      <c r="E333" s="66">
        <v>0</v>
      </c>
      <c r="F333" s="86">
        <f t="shared" si="54"/>
        <v>386.65633500000001</v>
      </c>
      <c r="G333" s="151"/>
      <c r="H333" s="152"/>
      <c r="I333" s="30"/>
      <c r="J333" s="59">
        <f t="shared" si="38"/>
        <v>1.5</v>
      </c>
    </row>
    <row r="334" spans="1:11" s="67" customFormat="1" ht="15.75" customHeight="1" x14ac:dyDescent="0.25">
      <c r="A334" s="66">
        <v>5</v>
      </c>
      <c r="B334" s="87" t="s">
        <v>274</v>
      </c>
      <c r="C334" s="66" t="s">
        <v>167</v>
      </c>
      <c r="D334" s="66">
        <f>((43.01)+0.75*2.75+1.25*2.1+1.05*2.75)*10.764</f>
        <v>544.49694</v>
      </c>
      <c r="E334" s="66">
        <f t="shared" si="55"/>
        <v>39.961350000000003</v>
      </c>
      <c r="F334" s="86">
        <f t="shared" si="54"/>
        <v>856.70676000000003</v>
      </c>
      <c r="G334" s="151"/>
      <c r="H334" s="152"/>
      <c r="I334" s="30"/>
      <c r="J334" s="59">
        <f t="shared" si="38"/>
        <v>1.5</v>
      </c>
    </row>
    <row r="335" spans="1:11" s="67" customFormat="1" ht="15.75" customHeight="1" x14ac:dyDescent="0.25">
      <c r="A335" s="66">
        <v>6</v>
      </c>
      <c r="B335" s="87" t="s">
        <v>274</v>
      </c>
      <c r="C335" s="66" t="s">
        <v>167</v>
      </c>
      <c r="D335" s="77">
        <f>((43.01)+0.75*2.75+1.25*2.1+1.05*2.75)*10.764</f>
        <v>544.49694</v>
      </c>
      <c r="E335" s="66">
        <f t="shared" si="55"/>
        <v>39.961350000000003</v>
      </c>
      <c r="F335" s="86">
        <f t="shared" si="54"/>
        <v>856.70676000000003</v>
      </c>
      <c r="G335" s="151"/>
      <c r="H335" s="152"/>
      <c r="I335" s="30"/>
      <c r="J335" s="59">
        <f t="shared" si="38"/>
        <v>1.5</v>
      </c>
    </row>
    <row r="336" spans="1:11" s="67" customFormat="1" ht="15.75" customHeight="1" x14ac:dyDescent="0.25">
      <c r="A336" s="66">
        <v>7</v>
      </c>
      <c r="B336" s="87" t="s">
        <v>274</v>
      </c>
      <c r="C336" s="66" t="s">
        <v>167</v>
      </c>
      <c r="D336" s="66">
        <f>(49.06+0.75*3.95)*10.764</f>
        <v>559.97019</v>
      </c>
      <c r="E336" s="66">
        <f>(1.3*2.75)*10.764</f>
        <v>38.481299999999997</v>
      </c>
      <c r="F336" s="86">
        <f t="shared" si="54"/>
        <v>878.43658500000004</v>
      </c>
      <c r="G336" s="151"/>
      <c r="H336" s="152"/>
      <c r="I336" s="30"/>
      <c r="J336" s="59">
        <f t="shared" si="38"/>
        <v>1.5</v>
      </c>
    </row>
    <row r="337" spans="1:12" s="67" customFormat="1" ht="15.75" customHeight="1" x14ac:dyDescent="0.25">
      <c r="A337" s="66">
        <v>8</v>
      </c>
      <c r="B337" s="87" t="s">
        <v>274</v>
      </c>
      <c r="C337" s="66" t="s">
        <v>167</v>
      </c>
      <c r="D337" s="66">
        <f>(49.06+0.75*(3.95+1.4))*10.764</f>
        <v>571.27238999999997</v>
      </c>
      <c r="E337" s="66">
        <f>(1.3*2.75)*10.764</f>
        <v>38.481299999999997</v>
      </c>
      <c r="F337" s="86">
        <f t="shared" si="54"/>
        <v>895.38988499999994</v>
      </c>
      <c r="G337" s="153"/>
      <c r="H337" s="154"/>
      <c r="I337" s="30"/>
      <c r="J337" s="59">
        <f t="shared" si="38"/>
        <v>1.5</v>
      </c>
    </row>
    <row r="338" spans="1:12" s="67" customFormat="1" ht="15.75" customHeight="1" x14ac:dyDescent="0.25">
      <c r="A338" s="227" t="s">
        <v>178</v>
      </c>
      <c r="B338" s="228"/>
      <c r="C338" s="228"/>
      <c r="D338" s="228"/>
      <c r="E338" s="228"/>
      <c r="F338" s="228"/>
      <c r="G338" s="228"/>
      <c r="H338" s="229"/>
      <c r="I338" s="30">
        <v>2</v>
      </c>
      <c r="J338" s="59" t="e">
        <f t="shared" si="38"/>
        <v>#DIV/0!</v>
      </c>
    </row>
    <row r="339" spans="1:12" s="67" customFormat="1" ht="15.75" customHeight="1" x14ac:dyDescent="0.25">
      <c r="A339" s="66">
        <v>1</v>
      </c>
      <c r="B339" s="87" t="s">
        <v>274</v>
      </c>
      <c r="C339" s="66" t="s">
        <v>168</v>
      </c>
      <c r="D339" s="66">
        <f>((31.67)+1.25*2.13+0.75*2.75)*10.764</f>
        <v>391.75578000000002</v>
      </c>
      <c r="E339" s="66">
        <f>(1.37*2.75)*10.764</f>
        <v>40.553370000000001</v>
      </c>
      <c r="F339" s="86">
        <f t="shared" ref="F339:F346" si="57">D339*1.5+E339</f>
        <v>628.18704000000002</v>
      </c>
      <c r="G339" s="149" t="str">
        <f>A338</f>
        <v>13th Floor (Part Refuge Area)</v>
      </c>
      <c r="H339" s="150"/>
      <c r="I339" s="30"/>
      <c r="J339" s="59">
        <f t="shared" si="38"/>
        <v>1.5</v>
      </c>
    </row>
    <row r="340" spans="1:12" s="67" customFormat="1" ht="15.75" customHeight="1" x14ac:dyDescent="0.25">
      <c r="A340" s="66">
        <v>2</v>
      </c>
      <c r="B340" s="87" t="s">
        <v>274</v>
      </c>
      <c r="C340" s="66" t="s">
        <v>167</v>
      </c>
      <c r="D340" s="66">
        <f>((43.92)+1.25*2.1+1.05*2.75+0.75*2.75)*10.764</f>
        <v>554.29218000000003</v>
      </c>
      <c r="E340" s="66">
        <f>(1.37*2.75)*10.764</f>
        <v>40.553370000000001</v>
      </c>
      <c r="F340" s="86">
        <f t="shared" si="57"/>
        <v>871.99164000000007</v>
      </c>
      <c r="G340" s="151"/>
      <c r="H340" s="152"/>
      <c r="I340" s="30"/>
      <c r="J340" s="59">
        <f t="shared" si="38"/>
        <v>1.5</v>
      </c>
    </row>
    <row r="341" spans="1:12" s="67" customFormat="1" ht="15.75" customHeight="1" x14ac:dyDescent="0.25">
      <c r="A341" s="66">
        <v>3</v>
      </c>
      <c r="B341" s="87" t="s">
        <v>274</v>
      </c>
      <c r="C341" s="66" t="s">
        <v>217</v>
      </c>
      <c r="D341" s="66">
        <f>((19.81)+1.25*2.1)*10.764</f>
        <v>241.49033999999997</v>
      </c>
      <c r="E341" s="66">
        <f t="shared" ref="E341:E344" si="58">(1.37*2.75)*10.764</f>
        <v>40.553370000000001</v>
      </c>
      <c r="F341" s="86">
        <f t="shared" si="57"/>
        <v>402.78887999999995</v>
      </c>
      <c r="G341" s="151"/>
      <c r="H341" s="152"/>
      <c r="I341" s="30"/>
      <c r="J341" s="59">
        <f t="shared" si="38"/>
        <v>1.5</v>
      </c>
    </row>
    <row r="342" spans="1:12" s="67" customFormat="1" ht="15.75" customHeight="1" x14ac:dyDescent="0.25">
      <c r="A342" s="66">
        <v>4</v>
      </c>
      <c r="B342" s="87" t="s">
        <v>274</v>
      </c>
      <c r="C342" s="66" t="s">
        <v>217</v>
      </c>
      <c r="D342" s="77">
        <f>((19.81)+1.25*2.1)*10.764</f>
        <v>241.49033999999997</v>
      </c>
      <c r="E342" s="66">
        <f t="shared" si="58"/>
        <v>40.553370000000001</v>
      </c>
      <c r="F342" s="86">
        <f t="shared" si="57"/>
        <v>402.78887999999995</v>
      </c>
      <c r="G342" s="151"/>
      <c r="H342" s="152"/>
      <c r="I342" s="30"/>
      <c r="J342" s="59">
        <f t="shared" si="38"/>
        <v>1.5</v>
      </c>
    </row>
    <row r="343" spans="1:12" s="67" customFormat="1" ht="15.75" customHeight="1" x14ac:dyDescent="0.25">
      <c r="A343" s="66">
        <v>5</v>
      </c>
      <c r="B343" s="87" t="s">
        <v>274</v>
      </c>
      <c r="C343" s="66" t="s">
        <v>167</v>
      </c>
      <c r="D343" s="66">
        <f>((43.13)+1.25*2.1+1.05*2.75+0.75*2.75)*10.764</f>
        <v>545.78862000000004</v>
      </c>
      <c r="E343" s="66">
        <f t="shared" si="58"/>
        <v>40.553370000000001</v>
      </c>
      <c r="F343" s="86">
        <f t="shared" si="57"/>
        <v>859.23630000000003</v>
      </c>
      <c r="G343" s="151"/>
      <c r="H343" s="152"/>
      <c r="I343" s="30"/>
      <c r="J343" s="59">
        <f t="shared" si="38"/>
        <v>1.5</v>
      </c>
    </row>
    <row r="344" spans="1:12" s="67" customFormat="1" ht="15.75" customHeight="1" x14ac:dyDescent="0.25">
      <c r="A344" s="66">
        <v>6</v>
      </c>
      <c r="B344" s="87" t="s">
        <v>274</v>
      </c>
      <c r="C344" s="66" t="s">
        <v>167</v>
      </c>
      <c r="D344" s="77">
        <f>((43.13)+1.25*2.1+1.05*2.75+0.75*2.75)*10.764</f>
        <v>545.78862000000004</v>
      </c>
      <c r="E344" s="66">
        <f t="shared" si="58"/>
        <v>40.553370000000001</v>
      </c>
      <c r="F344" s="86">
        <f t="shared" si="57"/>
        <v>859.23630000000003</v>
      </c>
      <c r="G344" s="151"/>
      <c r="H344" s="152"/>
      <c r="I344" s="30"/>
      <c r="J344" s="59">
        <f t="shared" si="38"/>
        <v>1.5</v>
      </c>
    </row>
    <row r="345" spans="1:12" s="67" customFormat="1" ht="15.75" customHeight="1" x14ac:dyDescent="0.25">
      <c r="A345" s="66">
        <v>7</v>
      </c>
      <c r="B345" s="87" t="s">
        <v>274</v>
      </c>
      <c r="C345" s="66" t="s">
        <v>167</v>
      </c>
      <c r="D345" s="66">
        <f>(49.06+0.75*3.95)*10.764</f>
        <v>559.97019</v>
      </c>
      <c r="E345" s="66">
        <f>(1.3*2.75)*10.764</f>
        <v>38.481299999999997</v>
      </c>
      <c r="F345" s="86">
        <f t="shared" si="57"/>
        <v>878.43658500000004</v>
      </c>
      <c r="G345" s="151"/>
      <c r="H345" s="152"/>
      <c r="I345" s="30"/>
      <c r="J345" s="59">
        <f t="shared" si="38"/>
        <v>1.5</v>
      </c>
    </row>
    <row r="346" spans="1:12" s="67" customFormat="1" ht="15.75" customHeight="1" x14ac:dyDescent="0.25">
      <c r="A346" s="66">
        <v>8</v>
      </c>
      <c r="B346" s="87" t="s">
        <v>274</v>
      </c>
      <c r="C346" s="66" t="s">
        <v>167</v>
      </c>
      <c r="D346" s="66">
        <f>(49.06+0.75*(3.95+1.4))*10.764</f>
        <v>571.27238999999997</v>
      </c>
      <c r="E346" s="77">
        <f>(1.3*2.75)*10.764</f>
        <v>38.481299999999997</v>
      </c>
      <c r="F346" s="86">
        <f t="shared" si="57"/>
        <v>895.38988499999994</v>
      </c>
      <c r="G346" s="153"/>
      <c r="H346" s="154"/>
      <c r="I346" s="30"/>
      <c r="J346" s="59">
        <f t="shared" si="38"/>
        <v>1.5</v>
      </c>
    </row>
    <row r="347" spans="1:12" s="4" customFormat="1" x14ac:dyDescent="0.25">
      <c r="A347" s="146" t="s">
        <v>244</v>
      </c>
      <c r="B347" s="146"/>
      <c r="C347" s="146"/>
      <c r="D347" s="146"/>
      <c r="E347" s="146"/>
      <c r="F347" s="146"/>
      <c r="G347" s="146"/>
      <c r="H347" s="146"/>
      <c r="I347" s="54"/>
      <c r="J347" s="55"/>
      <c r="L347" s="4">
        <v>4500</v>
      </c>
    </row>
    <row r="348" spans="1:12" s="76" customFormat="1" ht="15.75" customHeight="1" x14ac:dyDescent="0.25">
      <c r="A348" s="155" t="s">
        <v>248</v>
      </c>
      <c r="B348" s="156"/>
      <c r="C348" s="156"/>
      <c r="D348" s="156"/>
      <c r="E348" s="156"/>
      <c r="F348" s="156"/>
      <c r="G348" s="156"/>
      <c r="H348" s="157"/>
      <c r="I348" s="30"/>
      <c r="J348" s="59"/>
      <c r="K348" s="80">
        <v>10.763999999999999</v>
      </c>
      <c r="L348" s="76">
        <v>4500</v>
      </c>
    </row>
    <row r="349" spans="1:12" s="76" customFormat="1" x14ac:dyDescent="0.25">
      <c r="A349" s="143">
        <v>3</v>
      </c>
      <c r="B349" s="145"/>
      <c r="C349" s="77" t="s">
        <v>245</v>
      </c>
      <c r="D349" s="80">
        <f>(66.45+1.25*2.3+1.05*2.84+0.65*(1.8+1.8))*10.764</f>
        <v>803.50030800000002</v>
      </c>
      <c r="E349" s="56">
        <f>(2.85*2.9)*10.764</f>
        <v>88.964460000000003</v>
      </c>
      <c r="F349" s="86">
        <f t="shared" ref="F349:F351" si="59">D349*1.5+E349</f>
        <v>1294.2149219999999</v>
      </c>
      <c r="G349" s="149" t="str">
        <f>A348</f>
        <v>2nd Floor for Residential (Part Terrace Area)</v>
      </c>
      <c r="H349" s="150"/>
      <c r="I349" s="30"/>
      <c r="J349" s="59"/>
      <c r="L349" s="76">
        <f>L$348*F349</f>
        <v>5823967.1489999993</v>
      </c>
    </row>
    <row r="350" spans="1:12" s="76" customFormat="1" x14ac:dyDescent="0.25">
      <c r="A350" s="143">
        <f>A349+1</f>
        <v>4</v>
      </c>
      <c r="B350" s="145"/>
      <c r="C350" s="77" t="s">
        <v>245</v>
      </c>
      <c r="D350" s="80">
        <f>(66.76+0.75*2.75+1.2*2.3+1.05*(3.4+0.6)+1.45*0.6+0.65*1.93)*10.764</f>
        <v>838.59094800000003</v>
      </c>
      <c r="E350" s="77">
        <v>0</v>
      </c>
      <c r="F350" s="86">
        <f t="shared" si="59"/>
        <v>1257.886422</v>
      </c>
      <c r="G350" s="151"/>
      <c r="H350" s="152"/>
      <c r="I350" s="30"/>
      <c r="J350" s="59"/>
      <c r="L350" s="84">
        <f t="shared" ref="L350:L361" si="60">L$348*F350</f>
        <v>5660488.8990000002</v>
      </c>
    </row>
    <row r="351" spans="1:12" s="76" customFormat="1" ht="15.75" customHeight="1" x14ac:dyDescent="0.25">
      <c r="A351" s="143">
        <f t="shared" ref="A351:A354" si="61">A350+1</f>
        <v>5</v>
      </c>
      <c r="B351" s="145"/>
      <c r="C351" s="77" t="s">
        <v>168</v>
      </c>
      <c r="D351" s="80">
        <f>(29.42+0.75*2.75+1.2*2.1+1.04*2.75)*10.764</f>
        <v>396.78795000000002</v>
      </c>
      <c r="E351" s="77">
        <v>0</v>
      </c>
      <c r="F351" s="86">
        <f t="shared" si="59"/>
        <v>595.18192500000009</v>
      </c>
      <c r="G351" s="151"/>
      <c r="H351" s="152"/>
      <c r="I351" s="30">
        <f>2.75*4+2.1*2.4+2.75*2.05+1.8*(1.2+1.2)+0.9*0.85</f>
        <v>26.762499999999999</v>
      </c>
      <c r="J351" s="59"/>
      <c r="L351" s="84">
        <f t="shared" si="60"/>
        <v>2678318.6625000006</v>
      </c>
    </row>
    <row r="352" spans="1:12" s="76" customFormat="1" ht="15.75" customHeight="1" x14ac:dyDescent="0.25">
      <c r="A352" s="143">
        <f t="shared" si="61"/>
        <v>6</v>
      </c>
      <c r="B352" s="145"/>
      <c r="C352" s="149" t="s">
        <v>247</v>
      </c>
      <c r="D352" s="159"/>
      <c r="E352" s="159"/>
      <c r="F352" s="150"/>
      <c r="G352" s="151"/>
      <c r="H352" s="152"/>
      <c r="I352" s="61"/>
      <c r="J352" s="59"/>
      <c r="L352" s="84">
        <f t="shared" si="60"/>
        <v>0</v>
      </c>
    </row>
    <row r="353" spans="1:12" s="76" customFormat="1" ht="15.75" customHeight="1" x14ac:dyDescent="0.25">
      <c r="A353" s="143">
        <f t="shared" si="61"/>
        <v>7</v>
      </c>
      <c r="B353" s="145"/>
      <c r="C353" s="153"/>
      <c r="D353" s="160"/>
      <c r="E353" s="160"/>
      <c r="F353" s="154"/>
      <c r="G353" s="151"/>
      <c r="H353" s="152"/>
      <c r="I353" s="30"/>
      <c r="J353" s="59"/>
      <c r="L353" s="84">
        <f t="shared" si="60"/>
        <v>0</v>
      </c>
    </row>
    <row r="354" spans="1:12" s="76" customFormat="1" ht="15.75" customHeight="1" x14ac:dyDescent="0.25">
      <c r="A354" s="143">
        <f t="shared" si="61"/>
        <v>8</v>
      </c>
      <c r="B354" s="145"/>
      <c r="C354" s="77" t="s">
        <v>168</v>
      </c>
      <c r="D354" s="80">
        <f>(29.33+1*3.35+1.15*2.1)*10.764</f>
        <v>377.76257999999996</v>
      </c>
      <c r="E354" s="80">
        <f>(2.75*1.8+3.35*4.85+2.25*3.05)*10.764</f>
        <v>302.03783999999996</v>
      </c>
      <c r="F354" s="86">
        <f>D354*1.5+E354</f>
        <v>868.68170999999984</v>
      </c>
      <c r="G354" s="151"/>
      <c r="H354" s="152"/>
      <c r="I354" s="30"/>
      <c r="J354" s="59"/>
      <c r="L354" s="84">
        <f t="shared" si="60"/>
        <v>3909067.6949999994</v>
      </c>
    </row>
    <row r="355" spans="1:12" s="76" customFormat="1" ht="15.75" customHeight="1" x14ac:dyDescent="0.25">
      <c r="A355" s="155" t="s">
        <v>246</v>
      </c>
      <c r="B355" s="156"/>
      <c r="C355" s="156"/>
      <c r="D355" s="156"/>
      <c r="E355" s="156"/>
      <c r="F355" s="156"/>
      <c r="G355" s="156"/>
      <c r="H355" s="157"/>
      <c r="I355" s="30"/>
      <c r="J355" s="59"/>
      <c r="L355" s="84">
        <f t="shared" si="60"/>
        <v>0</v>
      </c>
    </row>
    <row r="356" spans="1:12" s="76" customFormat="1" x14ac:dyDescent="0.25">
      <c r="A356" s="143">
        <v>3</v>
      </c>
      <c r="B356" s="145"/>
      <c r="C356" s="77" t="s">
        <v>245</v>
      </c>
      <c r="D356" s="80">
        <f>(66.45+1.25*2.3+1.05*2.84+1.8*0.65+1.8*0.65)*10.764</f>
        <v>803.50030800000002</v>
      </c>
      <c r="E356" s="80">
        <f>(2.9*1.8)*10.764</f>
        <v>56.188079999999992</v>
      </c>
      <c r="F356" s="86">
        <f t="shared" ref="F356:F358" si="62">D356*1.5+E356</f>
        <v>1261.4385419999999</v>
      </c>
      <c r="G356" s="149" t="str">
        <f>A355</f>
        <v>3rd Floor</v>
      </c>
      <c r="H356" s="150"/>
      <c r="I356" s="30"/>
      <c r="J356" s="59"/>
      <c r="L356" s="84">
        <f t="shared" si="60"/>
        <v>5676473.4389999993</v>
      </c>
    </row>
    <row r="357" spans="1:12" s="76" customFormat="1" x14ac:dyDescent="0.25">
      <c r="A357" s="143">
        <f>A356+1</f>
        <v>4</v>
      </c>
      <c r="B357" s="145"/>
      <c r="C357" s="77" t="s">
        <v>245</v>
      </c>
      <c r="D357" s="80">
        <f>(67.19+1.2*2.3+1.05*(3+0.6)+1.45*0.6+1.93*0.65)*10.764</f>
        <v>816.497838</v>
      </c>
      <c r="E357" s="80">
        <f>(2.75*1.8)*10.764</f>
        <v>53.281799999999997</v>
      </c>
      <c r="F357" s="86">
        <f t="shared" si="62"/>
        <v>1278.0285569999999</v>
      </c>
      <c r="G357" s="151"/>
      <c r="H357" s="152"/>
      <c r="I357" s="30"/>
      <c r="J357" s="59"/>
      <c r="L357" s="84">
        <f t="shared" si="60"/>
        <v>5751128.5064999992</v>
      </c>
    </row>
    <row r="358" spans="1:12" s="76" customFormat="1" ht="15.75" customHeight="1" x14ac:dyDescent="0.25">
      <c r="A358" s="143">
        <f t="shared" ref="A358:A361" si="63">A357+1</f>
        <v>5</v>
      </c>
      <c r="B358" s="145"/>
      <c r="C358" s="77" t="s">
        <v>168</v>
      </c>
      <c r="D358" s="80">
        <f>(29.85+1.2*2.1+1.04*2.75)*10.764</f>
        <v>379.21572000000003</v>
      </c>
      <c r="E358" s="80">
        <f>(2.75*1.8)*10.764</f>
        <v>53.281799999999997</v>
      </c>
      <c r="F358" s="86">
        <f t="shared" si="62"/>
        <v>622.10537999999997</v>
      </c>
      <c r="G358" s="151"/>
      <c r="H358" s="152"/>
      <c r="I358" s="30"/>
      <c r="J358" s="59"/>
      <c r="L358" s="84">
        <f t="shared" si="60"/>
        <v>2799474.21</v>
      </c>
    </row>
    <row r="359" spans="1:12" s="76" customFormat="1" ht="15.75" customHeight="1" x14ac:dyDescent="0.25">
      <c r="A359" s="143">
        <f t="shared" si="63"/>
        <v>6</v>
      </c>
      <c r="B359" s="145"/>
      <c r="C359" s="149" t="s">
        <v>249</v>
      </c>
      <c r="D359" s="159"/>
      <c r="E359" s="159"/>
      <c r="F359" s="150"/>
      <c r="G359" s="151"/>
      <c r="H359" s="152"/>
      <c r="I359" s="61"/>
      <c r="J359" s="59"/>
      <c r="L359" s="84">
        <f t="shared" si="60"/>
        <v>0</v>
      </c>
    </row>
    <row r="360" spans="1:12" s="76" customFormat="1" ht="15.75" customHeight="1" x14ac:dyDescent="0.25">
      <c r="A360" s="143">
        <f t="shared" si="63"/>
        <v>7</v>
      </c>
      <c r="B360" s="145"/>
      <c r="C360" s="153"/>
      <c r="D360" s="160"/>
      <c r="E360" s="160"/>
      <c r="F360" s="154"/>
      <c r="G360" s="151"/>
      <c r="H360" s="152"/>
      <c r="I360" s="30"/>
      <c r="J360" s="59"/>
      <c r="L360" s="84">
        <f>L$348*F360</f>
        <v>0</v>
      </c>
    </row>
    <row r="361" spans="1:12" s="76" customFormat="1" ht="15.75" customHeight="1" x14ac:dyDescent="0.25">
      <c r="A361" s="143">
        <f t="shared" si="63"/>
        <v>8</v>
      </c>
      <c r="B361" s="145"/>
      <c r="C361" s="77" t="s">
        <v>168</v>
      </c>
      <c r="D361" s="80">
        <f>(29.33+1*3.35+1.15*2.1+0.75*2.75)*10.764</f>
        <v>399.96332999999998</v>
      </c>
      <c r="E361" s="77">
        <v>0</v>
      </c>
      <c r="F361" s="86">
        <f>D361*1.5+E361</f>
        <v>599.94499499999995</v>
      </c>
      <c r="G361" s="151"/>
      <c r="H361" s="152"/>
      <c r="I361" s="30"/>
      <c r="J361" s="59"/>
      <c r="L361" s="84">
        <f t="shared" si="60"/>
        <v>2699752.4774999996</v>
      </c>
    </row>
    <row r="362" spans="1:12" s="1" customFormat="1" x14ac:dyDescent="0.25">
      <c r="A362" s="224" t="s">
        <v>70</v>
      </c>
      <c r="B362" s="224"/>
      <c r="C362" s="224"/>
      <c r="D362" s="224"/>
      <c r="E362" s="224"/>
      <c r="F362" s="224"/>
      <c r="G362" s="224"/>
      <c r="H362" s="224"/>
    </row>
    <row r="363" spans="1:12" s="53" customFormat="1" ht="31.5" customHeight="1" x14ac:dyDescent="0.25">
      <c r="A363" s="52" t="s">
        <v>155</v>
      </c>
      <c r="B363" s="226" t="s">
        <v>280</v>
      </c>
      <c r="C363" s="226"/>
      <c r="D363" s="226"/>
      <c r="E363" s="226"/>
      <c r="F363" s="226"/>
      <c r="G363" s="226"/>
      <c r="H363" s="226"/>
    </row>
    <row r="364" spans="1:12" s="1" customFormat="1" x14ac:dyDescent="0.25">
      <c r="A364" s="70" t="s">
        <v>155</v>
      </c>
      <c r="B364" s="226" t="s">
        <v>278</v>
      </c>
      <c r="C364" s="226"/>
      <c r="D364" s="226"/>
      <c r="E364" s="226"/>
      <c r="F364" s="226"/>
      <c r="G364" s="226"/>
      <c r="H364" s="226"/>
    </row>
    <row r="365" spans="1:12" s="1" customFormat="1" ht="33" customHeight="1" x14ac:dyDescent="0.25">
      <c r="A365" s="88" t="s">
        <v>155</v>
      </c>
      <c r="B365" s="226" t="s">
        <v>279</v>
      </c>
      <c r="C365" s="226"/>
      <c r="D365" s="226"/>
      <c r="E365" s="226"/>
      <c r="F365" s="226"/>
      <c r="G365" s="226"/>
      <c r="H365" s="226"/>
    </row>
    <row r="366" spans="1:12" s="1" customFormat="1" x14ac:dyDescent="0.25">
      <c r="A366" s="70" t="s">
        <v>155</v>
      </c>
      <c r="B366" s="222" t="s">
        <v>127</v>
      </c>
      <c r="C366" s="222"/>
      <c r="D366" s="222"/>
      <c r="E366" s="222"/>
      <c r="F366" s="222"/>
      <c r="G366" s="222"/>
      <c r="H366" s="222"/>
    </row>
    <row r="367" spans="1:12" s="53" customFormat="1" ht="30.95" customHeight="1" x14ac:dyDescent="0.25">
      <c r="A367" s="52" t="s">
        <v>155</v>
      </c>
      <c r="B367" s="226" t="s">
        <v>271</v>
      </c>
      <c r="C367" s="226"/>
      <c r="D367" s="226"/>
      <c r="E367" s="226"/>
      <c r="F367" s="226"/>
      <c r="G367" s="226"/>
      <c r="H367" s="226"/>
    </row>
    <row r="368" spans="1:12" s="1" customFormat="1" x14ac:dyDescent="0.25">
      <c r="A368" s="70" t="s">
        <v>155</v>
      </c>
      <c r="B368" s="222" t="s">
        <v>154</v>
      </c>
      <c r="C368" s="222"/>
      <c r="D368" s="222"/>
      <c r="E368" s="222"/>
      <c r="F368" s="222"/>
      <c r="G368" s="222"/>
      <c r="H368" s="222"/>
    </row>
    <row r="369" spans="1:8" s="1" customFormat="1" x14ac:dyDescent="0.25">
      <c r="A369" s="70" t="s">
        <v>155</v>
      </c>
      <c r="B369" s="222" t="s">
        <v>128</v>
      </c>
      <c r="C369" s="222"/>
      <c r="D369" s="222"/>
      <c r="E369" s="222"/>
      <c r="F369" s="222"/>
      <c r="G369" s="222"/>
      <c r="H369" s="222"/>
    </row>
    <row r="370" spans="1:8" s="1" customFormat="1" ht="31.5" customHeight="1" x14ac:dyDescent="0.25">
      <c r="A370" s="70" t="s">
        <v>155</v>
      </c>
      <c r="B370" s="222" t="s">
        <v>157</v>
      </c>
      <c r="C370" s="222"/>
      <c r="D370" s="222"/>
      <c r="E370" s="222"/>
      <c r="F370" s="222"/>
      <c r="G370" s="222"/>
      <c r="H370" s="222"/>
    </row>
    <row r="371" spans="1:8" s="1" customFormat="1" x14ac:dyDescent="0.25">
      <c r="A371" s="70" t="s">
        <v>155</v>
      </c>
      <c r="B371" s="222" t="s">
        <v>129</v>
      </c>
      <c r="C371" s="222"/>
      <c r="D371" s="222"/>
      <c r="E371" s="222"/>
      <c r="F371" s="222"/>
      <c r="G371" s="222"/>
      <c r="H371" s="222"/>
    </row>
    <row r="372" spans="1:8" s="53" customFormat="1" hidden="1" x14ac:dyDescent="0.25">
      <c r="A372" s="52" t="s">
        <v>155</v>
      </c>
      <c r="B372" s="161" t="s">
        <v>200</v>
      </c>
      <c r="C372" s="162"/>
      <c r="D372" s="162"/>
      <c r="E372" s="162"/>
      <c r="F372" s="162"/>
      <c r="G372" s="162"/>
      <c r="H372" s="163"/>
    </row>
    <row r="373" spans="1:8" s="53" customFormat="1" x14ac:dyDescent="0.25">
      <c r="A373" s="52" t="s">
        <v>155</v>
      </c>
      <c r="B373" s="161" t="s">
        <v>196</v>
      </c>
      <c r="C373" s="162"/>
      <c r="D373" s="162"/>
      <c r="E373" s="162"/>
      <c r="F373" s="162"/>
      <c r="G373" s="162"/>
      <c r="H373" s="163"/>
    </row>
    <row r="374" spans="1:8" s="53" customFormat="1" x14ac:dyDescent="0.25">
      <c r="A374" s="52" t="s">
        <v>155</v>
      </c>
      <c r="B374" s="161" t="s">
        <v>201</v>
      </c>
      <c r="C374" s="162"/>
      <c r="D374" s="162"/>
      <c r="E374" s="162"/>
      <c r="F374" s="162"/>
      <c r="G374" s="162"/>
      <c r="H374" s="163"/>
    </row>
    <row r="375" spans="1:8" s="53" customFormat="1" x14ac:dyDescent="0.25">
      <c r="A375" s="52" t="s">
        <v>155</v>
      </c>
      <c r="B375" s="161" t="s">
        <v>281</v>
      </c>
      <c r="C375" s="162"/>
      <c r="D375" s="162"/>
      <c r="E375" s="162"/>
      <c r="F375" s="162"/>
      <c r="G375" s="162"/>
      <c r="H375" s="163"/>
    </row>
    <row r="376" spans="1:8" s="53" customFormat="1" x14ac:dyDescent="0.25">
      <c r="A376" s="52" t="s">
        <v>155</v>
      </c>
      <c r="B376" s="161" t="s">
        <v>265</v>
      </c>
      <c r="C376" s="162"/>
      <c r="D376" s="162"/>
      <c r="E376" s="162"/>
      <c r="F376" s="162"/>
      <c r="G376" s="162"/>
      <c r="H376" s="163"/>
    </row>
    <row r="377" spans="1:8" s="53" customFormat="1" ht="33" customHeight="1" x14ac:dyDescent="0.25">
      <c r="A377" s="52" t="s">
        <v>155</v>
      </c>
      <c r="B377" s="260" t="s">
        <v>283</v>
      </c>
      <c r="C377" s="261"/>
      <c r="D377" s="261"/>
      <c r="E377" s="261"/>
      <c r="F377" s="261"/>
      <c r="G377" s="261"/>
      <c r="H377" s="262"/>
    </row>
    <row r="378" spans="1:8" s="53" customFormat="1" ht="33" hidden="1" customHeight="1" x14ac:dyDescent="0.25">
      <c r="A378" s="52" t="s">
        <v>155</v>
      </c>
      <c r="B378" s="260" t="s">
        <v>266</v>
      </c>
      <c r="C378" s="261"/>
      <c r="D378" s="261"/>
      <c r="E378" s="261"/>
      <c r="F378" s="261"/>
      <c r="G378" s="261"/>
      <c r="H378" s="262"/>
    </row>
    <row r="379" spans="1:8" x14ac:dyDescent="0.25">
      <c r="A379" s="225" t="s">
        <v>63</v>
      </c>
      <c r="B379" s="225"/>
      <c r="C379" s="225"/>
      <c r="D379" s="225"/>
      <c r="E379" s="225"/>
      <c r="F379" s="225"/>
      <c r="G379" s="225"/>
      <c r="H379" s="225"/>
    </row>
    <row r="380" spans="1:8" x14ac:dyDescent="0.25">
      <c r="A380" s="93" t="s">
        <v>64</v>
      </c>
      <c r="B380" s="93"/>
      <c r="C380" s="93"/>
      <c r="D380" s="93"/>
      <c r="E380" s="93"/>
      <c r="F380" s="93"/>
      <c r="G380" s="93"/>
      <c r="H380" s="93"/>
    </row>
    <row r="381" spans="1:8" ht="15.75" customHeight="1" x14ac:dyDescent="0.25">
      <c r="A381" s="232" t="s">
        <v>65</v>
      </c>
      <c r="B381" s="232"/>
      <c r="C381" s="232"/>
      <c r="D381" s="232"/>
      <c r="E381" s="232"/>
      <c r="F381" s="232"/>
      <c r="G381" s="232"/>
      <c r="H381" s="232"/>
    </row>
    <row r="382" spans="1:8" x14ac:dyDescent="0.25">
      <c r="A382" s="93" t="s">
        <v>66</v>
      </c>
      <c r="B382" s="93"/>
      <c r="C382" s="93"/>
      <c r="D382" s="93"/>
      <c r="E382" s="93"/>
      <c r="F382" s="93"/>
      <c r="G382" s="93"/>
      <c r="H382" s="93"/>
    </row>
    <row r="383" spans="1:8" x14ac:dyDescent="0.25">
      <c r="A383" s="93" t="s">
        <v>67</v>
      </c>
      <c r="B383" s="93"/>
      <c r="C383" s="93"/>
      <c r="D383" s="93"/>
      <c r="E383" s="93"/>
      <c r="F383" s="93"/>
      <c r="G383" s="93"/>
      <c r="H383" s="93"/>
    </row>
    <row r="384" spans="1:8" x14ac:dyDescent="0.25">
      <c r="A384" s="93" t="s">
        <v>130</v>
      </c>
      <c r="B384" s="93"/>
      <c r="C384" s="93"/>
      <c r="D384" s="93"/>
      <c r="E384" s="93"/>
      <c r="F384" s="93"/>
      <c r="G384" s="93"/>
      <c r="H384" s="93"/>
    </row>
    <row r="385" spans="1:8" x14ac:dyDescent="0.25">
      <c r="A385" s="103" t="s">
        <v>131</v>
      </c>
      <c r="B385" s="103"/>
      <c r="C385" s="103"/>
      <c r="D385" s="103"/>
      <c r="E385" s="103"/>
      <c r="F385" s="103"/>
      <c r="G385" s="103"/>
      <c r="H385" s="103"/>
    </row>
    <row r="386" spans="1:8" x14ac:dyDescent="0.25">
      <c r="A386" s="220" t="s">
        <v>78</v>
      </c>
      <c r="B386" s="220"/>
      <c r="C386" s="221" t="s">
        <v>221</v>
      </c>
      <c r="D386" s="221"/>
      <c r="E386" s="220" t="s">
        <v>110</v>
      </c>
      <c r="F386" s="220"/>
      <c r="G386" s="221" t="s">
        <v>267</v>
      </c>
      <c r="H386" s="221"/>
    </row>
    <row r="387" spans="1:8" x14ac:dyDescent="0.25">
      <c r="A387" s="219" t="s">
        <v>80</v>
      </c>
      <c r="B387" s="219"/>
      <c r="C387" s="219"/>
      <c r="D387" s="219"/>
      <c r="E387" s="219"/>
      <c r="F387" s="219"/>
      <c r="G387" s="219"/>
      <c r="H387" s="219"/>
    </row>
    <row r="388" spans="1:8" x14ac:dyDescent="0.25">
      <c r="A388" s="219"/>
      <c r="B388" s="219"/>
      <c r="C388" s="219"/>
      <c r="D388" s="219"/>
      <c r="E388" s="219"/>
      <c r="F388" s="219"/>
      <c r="G388" s="219"/>
      <c r="H388" s="219"/>
    </row>
    <row r="389" spans="1:8" x14ac:dyDescent="0.25">
      <c r="A389" s="219"/>
      <c r="B389" s="219"/>
      <c r="C389" s="219"/>
      <c r="D389" s="219"/>
      <c r="E389" s="219"/>
      <c r="F389" s="219"/>
      <c r="G389" s="219"/>
      <c r="H389" s="219"/>
    </row>
    <row r="390" spans="1:8" x14ac:dyDescent="0.25">
      <c r="A390" s="219"/>
      <c r="B390" s="219"/>
      <c r="C390" s="219"/>
      <c r="D390" s="219"/>
      <c r="E390" s="219"/>
      <c r="F390" s="219"/>
      <c r="G390" s="219"/>
      <c r="H390" s="219"/>
    </row>
    <row r="391" spans="1:8" x14ac:dyDescent="0.25">
      <c r="A391" s="9" t="s">
        <v>68</v>
      </c>
      <c r="B391" s="10"/>
      <c r="C391" s="10"/>
      <c r="D391" s="9" t="str">
        <f>E8</f>
        <v>Vedant Millenia Happiness Phase II</v>
      </c>
      <c r="F391" s="10"/>
      <c r="G391" s="10"/>
      <c r="H391" s="10"/>
    </row>
    <row r="392" spans="1:8" x14ac:dyDescent="0.25">
      <c r="A392" s="10"/>
      <c r="B392" s="10"/>
      <c r="C392" s="10"/>
      <c r="D392" s="10"/>
      <c r="E392" s="10"/>
      <c r="F392" s="10"/>
      <c r="G392" s="10"/>
      <c r="H392" s="10"/>
    </row>
    <row r="393" spans="1:8" x14ac:dyDescent="0.25">
      <c r="A393" s="10"/>
      <c r="B393" s="10"/>
      <c r="C393" s="10"/>
      <c r="D393" s="10"/>
      <c r="E393" s="10"/>
      <c r="F393" s="10"/>
      <c r="G393" s="10"/>
      <c r="H393" s="10"/>
    </row>
    <row r="394" spans="1:8" ht="15" customHeight="1" x14ac:dyDescent="0.25">
      <c r="B394"/>
    </row>
    <row r="434" spans="1:1" x14ac:dyDescent="0.25">
      <c r="A434" s="12" t="s">
        <v>219</v>
      </c>
    </row>
    <row r="477" spans="1:1" x14ac:dyDescent="0.25">
      <c r="A477" s="12" t="s">
        <v>69</v>
      </c>
    </row>
  </sheetData>
  <mergeCells count="550">
    <mergeCell ref="C159:D159"/>
    <mergeCell ref="E159:F159"/>
    <mergeCell ref="G159:H159"/>
    <mergeCell ref="A158:A159"/>
    <mergeCell ref="A9:D9"/>
    <mergeCell ref="E9:H9"/>
    <mergeCell ref="B365:H365"/>
    <mergeCell ref="B376:H376"/>
    <mergeCell ref="A162:B162"/>
    <mergeCell ref="C162:D162"/>
    <mergeCell ref="E162:F162"/>
    <mergeCell ref="G162:H162"/>
    <mergeCell ref="B377:H377"/>
    <mergeCell ref="B378:H378"/>
    <mergeCell ref="A167:H167"/>
    <mergeCell ref="A194:H194"/>
    <mergeCell ref="A149:H149"/>
    <mergeCell ref="A150:B150"/>
    <mergeCell ref="C150:D150"/>
    <mergeCell ref="E150:F150"/>
    <mergeCell ref="G150:H150"/>
    <mergeCell ref="C151:D151"/>
    <mergeCell ref="G151:H151"/>
    <mergeCell ref="C152:D152"/>
    <mergeCell ref="G152:H152"/>
    <mergeCell ref="E151:F151"/>
    <mergeCell ref="E152:F152"/>
    <mergeCell ref="A153:B153"/>
    <mergeCell ref="A192:B192"/>
    <mergeCell ref="A174:B174"/>
    <mergeCell ref="A179:B179"/>
    <mergeCell ref="A164:H164"/>
    <mergeCell ref="L192:M192"/>
    <mergeCell ref="A193:B193"/>
    <mergeCell ref="L193:M193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L181:M181"/>
    <mergeCell ref="A182:B182"/>
    <mergeCell ref="L182:M182"/>
    <mergeCell ref="A183:B183"/>
    <mergeCell ref="L183:M183"/>
    <mergeCell ref="A184:B184"/>
    <mergeCell ref="L184:M184"/>
    <mergeCell ref="A185:H185"/>
    <mergeCell ref="A186:B186"/>
    <mergeCell ref="L186:M186"/>
    <mergeCell ref="A181:B181"/>
    <mergeCell ref="A177:B177"/>
    <mergeCell ref="L177:M177"/>
    <mergeCell ref="A178:B178"/>
    <mergeCell ref="L178:M178"/>
    <mergeCell ref="L169:M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A347:H347"/>
    <mergeCell ref="A348:H348"/>
    <mergeCell ref="A349:B349"/>
    <mergeCell ref="G349:H354"/>
    <mergeCell ref="A350:B350"/>
    <mergeCell ref="A351:B351"/>
    <mergeCell ref="A352:B352"/>
    <mergeCell ref="A353:B353"/>
    <mergeCell ref="A354:B354"/>
    <mergeCell ref="C352:F353"/>
    <mergeCell ref="G96:H96"/>
    <mergeCell ref="A95:B95"/>
    <mergeCell ref="D70:H70"/>
    <mergeCell ref="A67:C70"/>
    <mergeCell ref="D69:H69"/>
    <mergeCell ref="L179:M179"/>
    <mergeCell ref="A180:B180"/>
    <mergeCell ref="L180:M180"/>
    <mergeCell ref="A101:B101"/>
    <mergeCell ref="A73:C73"/>
    <mergeCell ref="A165:A166"/>
    <mergeCell ref="B165:B166"/>
    <mergeCell ref="C165:C166"/>
    <mergeCell ref="D165:D166"/>
    <mergeCell ref="E165:E166"/>
    <mergeCell ref="F165:F166"/>
    <mergeCell ref="G165:G166"/>
    <mergeCell ref="A168:H168"/>
    <mergeCell ref="A169:B169"/>
    <mergeCell ref="L174:M174"/>
    <mergeCell ref="A175:B175"/>
    <mergeCell ref="L175:M175"/>
    <mergeCell ref="A176:B176"/>
    <mergeCell ref="L176:M176"/>
    <mergeCell ref="L221:M221"/>
    <mergeCell ref="A222:B222"/>
    <mergeCell ref="G222:H225"/>
    <mergeCell ref="A223:B223"/>
    <mergeCell ref="A224:B224"/>
    <mergeCell ref="A225:B225"/>
    <mergeCell ref="C223:F223"/>
    <mergeCell ref="A78:B78"/>
    <mergeCell ref="C78:H78"/>
    <mergeCell ref="A80:B80"/>
    <mergeCell ref="C80:H80"/>
    <mergeCell ref="A82:B82"/>
    <mergeCell ref="E82:F82"/>
    <mergeCell ref="G82:H82"/>
    <mergeCell ref="A83:B83"/>
    <mergeCell ref="E83:F92"/>
    <mergeCell ref="G83:H92"/>
    <mergeCell ref="A84:B84"/>
    <mergeCell ref="A107:B107"/>
    <mergeCell ref="C107:H107"/>
    <mergeCell ref="A109:B109"/>
    <mergeCell ref="C109:H109"/>
    <mergeCell ref="A110:B110"/>
    <mergeCell ref="E110:F110"/>
    <mergeCell ref="L216:M216"/>
    <mergeCell ref="A217:B217"/>
    <mergeCell ref="G217:H220"/>
    <mergeCell ref="A218:B218"/>
    <mergeCell ref="A219:B219"/>
    <mergeCell ref="A220:B220"/>
    <mergeCell ref="C218:F218"/>
    <mergeCell ref="A212:B212"/>
    <mergeCell ref="G212:H215"/>
    <mergeCell ref="L198:M198"/>
    <mergeCell ref="A199:B199"/>
    <mergeCell ref="G199:H200"/>
    <mergeCell ref="A211:H211"/>
    <mergeCell ref="L211:M211"/>
    <mergeCell ref="A201:H201"/>
    <mergeCell ref="L201:M201"/>
    <mergeCell ref="A205:B205"/>
    <mergeCell ref="A206:H206"/>
    <mergeCell ref="A203:B203"/>
    <mergeCell ref="L206:M206"/>
    <mergeCell ref="A207:B207"/>
    <mergeCell ref="G207:H210"/>
    <mergeCell ref="E40:H40"/>
    <mergeCell ref="A40:D40"/>
    <mergeCell ref="G50:H50"/>
    <mergeCell ref="D61:H61"/>
    <mergeCell ref="C50:E50"/>
    <mergeCell ref="C49:E49"/>
    <mergeCell ref="A59:B59"/>
    <mergeCell ref="C59:E59"/>
    <mergeCell ref="A49:B49"/>
    <mergeCell ref="A60:H60"/>
    <mergeCell ref="A61:C61"/>
    <mergeCell ref="G59:H59"/>
    <mergeCell ref="C51:H51"/>
    <mergeCell ref="A48:B48"/>
    <mergeCell ref="C48:E48"/>
    <mergeCell ref="G48:H48"/>
    <mergeCell ref="G49:H49"/>
    <mergeCell ref="A50:B51"/>
    <mergeCell ref="A384:H384"/>
    <mergeCell ref="A234:B234"/>
    <mergeCell ref="A381:H381"/>
    <mergeCell ref="A229:B229"/>
    <mergeCell ref="A155:B155"/>
    <mergeCell ref="G195:H195"/>
    <mergeCell ref="A102:B102"/>
    <mergeCell ref="F136:H136"/>
    <mergeCell ref="A135:H135"/>
    <mergeCell ref="A233:B233"/>
    <mergeCell ref="A230:B230"/>
    <mergeCell ref="A231:B231"/>
    <mergeCell ref="A264:H264"/>
    <mergeCell ref="A265:B265"/>
    <mergeCell ref="A259:B259"/>
    <mergeCell ref="A256:B256"/>
    <mergeCell ref="G247:H254"/>
    <mergeCell ref="G265:H272"/>
    <mergeCell ref="C267:F267"/>
    <mergeCell ref="A273:H273"/>
    <mergeCell ref="A237:H237"/>
    <mergeCell ref="A242:B242"/>
    <mergeCell ref="A243:B243"/>
    <mergeCell ref="A380:H380"/>
    <mergeCell ref="A145:E145"/>
    <mergeCell ref="B371:H371"/>
    <mergeCell ref="A204:B204"/>
    <mergeCell ref="A196:H196"/>
    <mergeCell ref="A221:H221"/>
    <mergeCell ref="A208:B208"/>
    <mergeCell ref="A209:B209"/>
    <mergeCell ref="A210:B210"/>
    <mergeCell ref="A156:B156"/>
    <mergeCell ref="C156:D156"/>
    <mergeCell ref="E156:F156"/>
    <mergeCell ref="G156:H156"/>
    <mergeCell ref="A161:B161"/>
    <mergeCell ref="E161:F161"/>
    <mergeCell ref="G161:H161"/>
    <mergeCell ref="A216:H216"/>
    <mergeCell ref="C161:D161"/>
    <mergeCell ref="G157:H157"/>
    <mergeCell ref="A160:B160"/>
    <mergeCell ref="C160:D160"/>
    <mergeCell ref="A355:H355"/>
    <mergeCell ref="A356:B356"/>
    <mergeCell ref="G356:H361"/>
    <mergeCell ref="G202:H205"/>
    <mergeCell ref="B372:H372"/>
    <mergeCell ref="A247:B247"/>
    <mergeCell ref="A248:B248"/>
    <mergeCell ref="A249:B249"/>
    <mergeCell ref="A232:B232"/>
    <mergeCell ref="A261:B261"/>
    <mergeCell ref="A250:B250"/>
    <mergeCell ref="A251:B251"/>
    <mergeCell ref="A260:B260"/>
    <mergeCell ref="A246:H246"/>
    <mergeCell ref="A255:H255"/>
    <mergeCell ref="A252:B252"/>
    <mergeCell ref="A311:H311"/>
    <mergeCell ref="G312:H319"/>
    <mergeCell ref="G339:H346"/>
    <mergeCell ref="A257:B257"/>
    <mergeCell ref="A357:B357"/>
    <mergeCell ref="A358:B358"/>
    <mergeCell ref="A359:B359"/>
    <mergeCell ref="A360:B360"/>
    <mergeCell ref="A361:B361"/>
    <mergeCell ref="C359:F360"/>
    <mergeCell ref="A338:H338"/>
    <mergeCell ref="A329:H329"/>
    <mergeCell ref="A387:H390"/>
    <mergeCell ref="A386:B386"/>
    <mergeCell ref="E386:F386"/>
    <mergeCell ref="C386:D386"/>
    <mergeCell ref="G386:H386"/>
    <mergeCell ref="A385:H385"/>
    <mergeCell ref="A383:H383"/>
    <mergeCell ref="B370:H370"/>
    <mergeCell ref="A274:B274"/>
    <mergeCell ref="A275:B275"/>
    <mergeCell ref="A276:B276"/>
    <mergeCell ref="C276:F276"/>
    <mergeCell ref="A277:B277"/>
    <mergeCell ref="A382:H382"/>
    <mergeCell ref="A281:B281"/>
    <mergeCell ref="B368:H368"/>
    <mergeCell ref="B373:H373"/>
    <mergeCell ref="A362:H362"/>
    <mergeCell ref="A379:H379"/>
    <mergeCell ref="B363:H363"/>
    <mergeCell ref="B364:H364"/>
    <mergeCell ref="B366:H366"/>
    <mergeCell ref="B367:H367"/>
    <mergeCell ref="B369:H369"/>
    <mergeCell ref="A52:B53"/>
    <mergeCell ref="A100:B100"/>
    <mergeCell ref="E96:F96"/>
    <mergeCell ref="A74:C74"/>
    <mergeCell ref="D74:H74"/>
    <mergeCell ref="A77:C77"/>
    <mergeCell ref="D77:H77"/>
    <mergeCell ref="A75:C75"/>
    <mergeCell ref="D75:H75"/>
    <mergeCell ref="A91:B91"/>
    <mergeCell ref="A92:B92"/>
    <mergeCell ref="A93:B93"/>
    <mergeCell ref="C93:H93"/>
    <mergeCell ref="A81:B81"/>
    <mergeCell ref="C81:D81"/>
    <mergeCell ref="E81:F81"/>
    <mergeCell ref="G81:H81"/>
    <mergeCell ref="D73:H73"/>
    <mergeCell ref="A56:B56"/>
    <mergeCell ref="C56:E56"/>
    <mergeCell ref="A89:B89"/>
    <mergeCell ref="A90:B90"/>
    <mergeCell ref="D67:H67"/>
    <mergeCell ref="D68:H6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C157:D157"/>
    <mergeCell ref="E157:F157"/>
    <mergeCell ref="E155:F155"/>
    <mergeCell ref="F143:H143"/>
    <mergeCell ref="L228:M228"/>
    <mergeCell ref="A146:E146"/>
    <mergeCell ref="A141:E141"/>
    <mergeCell ref="F141:H141"/>
    <mergeCell ref="A142:E142"/>
    <mergeCell ref="A144:E144"/>
    <mergeCell ref="A143:E143"/>
    <mergeCell ref="A227:H227"/>
    <mergeCell ref="A147:E147"/>
    <mergeCell ref="F147:H147"/>
    <mergeCell ref="A148:E148"/>
    <mergeCell ref="F148:H148"/>
    <mergeCell ref="A228:H228"/>
    <mergeCell ref="A154:H154"/>
    <mergeCell ref="A200:B200"/>
    <mergeCell ref="A213:B213"/>
    <mergeCell ref="A214:B214"/>
    <mergeCell ref="A215:B215"/>
    <mergeCell ref="A202:B202"/>
    <mergeCell ref="C155:D155"/>
    <mergeCell ref="G155:H155"/>
    <mergeCell ref="A111:B111"/>
    <mergeCell ref="E111:F120"/>
    <mergeCell ref="G111:H120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F146:H146"/>
    <mergeCell ref="F144:H144"/>
    <mergeCell ref="C153:D153"/>
    <mergeCell ref="E153:F153"/>
    <mergeCell ref="G153:H153"/>
    <mergeCell ref="A151:A152"/>
    <mergeCell ref="A121:B121"/>
    <mergeCell ref="C121:H121"/>
    <mergeCell ref="A123:B123"/>
    <mergeCell ref="C123:H123"/>
    <mergeCell ref="B375:H375"/>
    <mergeCell ref="A46:B46"/>
    <mergeCell ref="C46:H46"/>
    <mergeCell ref="A139:E139"/>
    <mergeCell ref="A140:E140"/>
    <mergeCell ref="F140:H140"/>
    <mergeCell ref="F139:H139"/>
    <mergeCell ref="F145:H145"/>
    <mergeCell ref="B374:H374"/>
    <mergeCell ref="G229:H236"/>
    <mergeCell ref="A268:B268"/>
    <mergeCell ref="A253:B253"/>
    <mergeCell ref="A254:B254"/>
    <mergeCell ref="A269:B269"/>
    <mergeCell ref="A270:B270"/>
    <mergeCell ref="A271:B271"/>
    <mergeCell ref="A272:B272"/>
    <mergeCell ref="A278:B278"/>
    <mergeCell ref="A244:B244"/>
    <mergeCell ref="A245:B245"/>
    <mergeCell ref="A258:B258"/>
    <mergeCell ref="A279:B279"/>
    <mergeCell ref="A280:B280"/>
    <mergeCell ref="G274:H281"/>
    <mergeCell ref="L284:M284"/>
    <mergeCell ref="C285:F285"/>
    <mergeCell ref="G285:H292"/>
    <mergeCell ref="C291:F292"/>
    <mergeCell ref="A235:B235"/>
    <mergeCell ref="A236:B236"/>
    <mergeCell ref="A262:B262"/>
    <mergeCell ref="G238:H245"/>
    <mergeCell ref="G256:H263"/>
    <mergeCell ref="A266:B266"/>
    <mergeCell ref="A267:B267"/>
    <mergeCell ref="A263:B263"/>
    <mergeCell ref="G330:H337"/>
    <mergeCell ref="A320:H320"/>
    <mergeCell ref="G321:H328"/>
    <mergeCell ref="A293:H293"/>
    <mergeCell ref="G294:H301"/>
    <mergeCell ref="A238:B238"/>
    <mergeCell ref="A239:B239"/>
    <mergeCell ref="A240:B240"/>
    <mergeCell ref="A241:B241"/>
    <mergeCell ref="A282:H282"/>
    <mergeCell ref="A283:H283"/>
    <mergeCell ref="A284:H284"/>
    <mergeCell ref="A47:H47"/>
    <mergeCell ref="A54:H54"/>
    <mergeCell ref="A55:B55"/>
    <mergeCell ref="C55:E55"/>
    <mergeCell ref="G55:H55"/>
    <mergeCell ref="E160:F160"/>
    <mergeCell ref="G160:H160"/>
    <mergeCell ref="A302:H302"/>
    <mergeCell ref="G303:H310"/>
    <mergeCell ref="A197:H197"/>
    <mergeCell ref="A198:H198"/>
    <mergeCell ref="A163:H163"/>
    <mergeCell ref="C52:E52"/>
    <mergeCell ref="G52:H52"/>
    <mergeCell ref="C53:H53"/>
    <mergeCell ref="C229:F229"/>
    <mergeCell ref="A226:H226"/>
    <mergeCell ref="A157:B157"/>
    <mergeCell ref="A104:B104"/>
    <mergeCell ref="C158:D158"/>
    <mergeCell ref="E158:F158"/>
    <mergeCell ref="G158:H158"/>
    <mergeCell ref="F142:H142"/>
    <mergeCell ref="A136:E136"/>
    <mergeCell ref="G56:H56"/>
    <mergeCell ref="A57:B58"/>
    <mergeCell ref="C57:E57"/>
    <mergeCell ref="G57:H57"/>
    <mergeCell ref="C58:H58"/>
    <mergeCell ref="D66:H66"/>
    <mergeCell ref="A63:C66"/>
    <mergeCell ref="D63:H63"/>
    <mergeCell ref="D64:H64"/>
    <mergeCell ref="A62:C62"/>
    <mergeCell ref="D62:H62"/>
    <mergeCell ref="D65:H65"/>
    <mergeCell ref="A124:B124"/>
    <mergeCell ref="E124:F124"/>
    <mergeCell ref="G124:H124"/>
    <mergeCell ref="A72:C72"/>
    <mergeCell ref="D71:H71"/>
    <mergeCell ref="E97:F106"/>
    <mergeCell ref="G97:H106"/>
    <mergeCell ref="A105:B105"/>
    <mergeCell ref="A106:B106"/>
    <mergeCell ref="D72:H72"/>
    <mergeCell ref="C95:H95"/>
    <mergeCell ref="A71:C71"/>
    <mergeCell ref="G110:H110"/>
    <mergeCell ref="A85:B85"/>
    <mergeCell ref="A86:B86"/>
    <mergeCell ref="A87:B87"/>
    <mergeCell ref="A88:B88"/>
    <mergeCell ref="A103:B103"/>
    <mergeCell ref="A96:B96"/>
    <mergeCell ref="A99:B99"/>
    <mergeCell ref="A98:B98"/>
    <mergeCell ref="A76:C76"/>
    <mergeCell ref="D76:H76"/>
    <mergeCell ref="A97:B97"/>
    <mergeCell ref="A137:E137"/>
    <mergeCell ref="F137:H137"/>
    <mergeCell ref="A138:E138"/>
    <mergeCell ref="F138:H138"/>
    <mergeCell ref="A125:B125"/>
    <mergeCell ref="E125:F134"/>
    <mergeCell ref="G125:H134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</mergeCells>
  <dataValidations count="5">
    <dataValidation type="list" allowBlank="1" showInputMessage="1" showErrorMessage="1" sqref="D165:D166">
      <formula1>"Carpet area,RERA Carpet area"</formula1>
    </dataValidation>
    <dataValidation type="list" allowBlank="1" showInputMessage="1" showErrorMessage="1" sqref="H165 F195">
      <formula1>"Saleable area Loading :,Builder Saleable Area"</formula1>
    </dataValidation>
    <dataValidation type="list" allowBlank="1" showInputMessage="1" showErrorMessage="1" sqref="H166">
      <formula1>".45,.50,.55,.60"</formula1>
    </dataValidation>
    <dataValidation type="list" allowBlank="1" showInputMessage="1" showErrorMessage="1" sqref="B165:B166">
      <formula1>"Shop No. (Sale Plan),Sale / Rehab,Sale / Mhada"</formula1>
    </dataValidation>
    <dataValidation type="list" allowBlank="1" showInputMessage="1" showErrorMessage="1" sqref="E165:E166">
      <formula1>"Attached Loft area,Attached Otla area,Attached Mezzanine area"</formula1>
    </dataValidation>
  </dataValidation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120" max="7" man="1"/>
    <brk id="163" max="7" man="1"/>
    <brk id="390" max="16383" man="1"/>
    <brk id="433" max="7" man="1"/>
    <brk id="4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N11" sqref="N11"/>
    </sheetView>
  </sheetViews>
  <sheetFormatPr defaultColWidth="8.7109375" defaultRowHeight="15" x14ac:dyDescent="0.25"/>
  <cols>
    <col min="1" max="1" width="8.7109375" style="18"/>
    <col min="2" max="2" width="22.140625" style="18" customWidth="1"/>
    <col min="3" max="3" width="37" style="18" customWidth="1"/>
    <col min="4" max="5" width="11.42578125" style="18" customWidth="1"/>
    <col min="6" max="6" width="14" style="18" customWidth="1"/>
    <col min="7" max="7" width="20" style="18" customWidth="1"/>
    <col min="8" max="8" width="16.42578125" style="18" customWidth="1"/>
    <col min="9" max="16384" width="8.7109375" style="18"/>
  </cols>
  <sheetData>
    <row r="1" spans="1:9" ht="15" customHeight="1" x14ac:dyDescent="0.25"/>
    <row r="2" spans="1:9" ht="15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19"/>
      <c r="B3" s="264" t="s">
        <v>111</v>
      </c>
      <c r="C3" s="264"/>
      <c r="D3" s="264"/>
      <c r="E3" s="264"/>
      <c r="F3" s="264"/>
      <c r="G3" s="264"/>
      <c r="H3" s="264"/>
    </row>
    <row r="4" spans="1:9" x14ac:dyDescent="0.25">
      <c r="A4" s="19"/>
      <c r="B4" s="20" t="s">
        <v>112</v>
      </c>
      <c r="C4" s="20" t="s">
        <v>113</v>
      </c>
      <c r="D4" s="20" t="s">
        <v>71</v>
      </c>
      <c r="E4" s="20" t="s">
        <v>114</v>
      </c>
      <c r="F4" s="20" t="s">
        <v>120</v>
      </c>
      <c r="G4" s="20" t="s">
        <v>121</v>
      </c>
      <c r="H4" s="20" t="s">
        <v>115</v>
      </c>
    </row>
    <row r="5" spans="1:9" ht="15" customHeight="1" x14ac:dyDescent="0.25">
      <c r="A5" s="19"/>
      <c r="B5" s="22" t="s">
        <v>116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25">
      <c r="A6" s="19"/>
      <c r="B6" s="22" t="s">
        <v>116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25">
      <c r="A7" s="19"/>
      <c r="B7" s="22" t="s">
        <v>116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25">
      <c r="A8" s="19"/>
      <c r="B8" s="22" t="s">
        <v>116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25">
      <c r="A9" s="19"/>
      <c r="B9" s="22" t="s">
        <v>116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25">
      <c r="A10" s="19"/>
      <c r="B10" s="22" t="s">
        <v>117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25">
      <c r="A11" s="19"/>
      <c r="B11" s="22" t="s">
        <v>117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25">
      <c r="A12" s="19"/>
      <c r="B12" s="27" t="s">
        <v>118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25">
      <c r="B13" s="27" t="s">
        <v>119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2025-09-29T07:19:35Z</cp:lastPrinted>
  <dcterms:created xsi:type="dcterms:W3CDTF">2019-07-16T09:29:46Z</dcterms:created>
  <dcterms:modified xsi:type="dcterms:W3CDTF">2025-09-29T07:20:31Z</dcterms:modified>
</cp:coreProperties>
</file>