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Sept 2025\27-09-2025\"/>
    </mc:Choice>
  </mc:AlternateContent>
  <bookViews>
    <workbookView xWindow="0" yWindow="0" windowWidth="19200" windowHeight="6640" tabRatio="725"/>
  </bookViews>
  <sheets>
    <sheet name="Report" sheetId="1" r:id="rId1"/>
    <sheet name="valuation" sheetId="5" r:id="rId2"/>
    <sheet name="Research" sheetId="4" r:id="rId3"/>
    <sheet name="Remarks" sheetId="6" r:id="rId4"/>
  </sheets>
  <definedNames>
    <definedName name="_xlnm.Print_Area" localSheetId="0">Report!$A$1:$H$442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91" i="1" l="1"/>
  <c r="K191" i="1"/>
  <c r="J191" i="1"/>
  <c r="I191" i="1"/>
  <c r="E191" i="1"/>
  <c r="D191" i="1"/>
  <c r="F191" i="1" s="1"/>
  <c r="H191" i="1" s="1"/>
  <c r="L190" i="1"/>
  <c r="K190" i="1"/>
  <c r="J190" i="1"/>
  <c r="E190" i="1"/>
  <c r="D190" i="1"/>
  <c r="J189" i="1"/>
  <c r="E189" i="1"/>
  <c r="D189" i="1"/>
  <c r="F189" i="1" s="1"/>
  <c r="H189" i="1" s="1"/>
  <c r="L188" i="1"/>
  <c r="K188" i="1"/>
  <c r="J188" i="1"/>
  <c r="I188" i="1"/>
  <c r="E188" i="1"/>
  <c r="D188" i="1"/>
  <c r="F188" i="1" s="1"/>
  <c r="H188" i="1" s="1"/>
  <c r="A188" i="1"/>
  <c r="A189" i="1" s="1"/>
  <c r="A190" i="1" s="1"/>
  <c r="A191" i="1" s="1"/>
  <c r="L187" i="1"/>
  <c r="K187" i="1"/>
  <c r="J187" i="1"/>
  <c r="I187" i="1"/>
  <c r="E187" i="1"/>
  <c r="D187" i="1"/>
  <c r="J221" i="1"/>
  <c r="E221" i="1"/>
  <c r="D221" i="1"/>
  <c r="J220" i="1"/>
  <c r="I220" i="1"/>
  <c r="E220" i="1"/>
  <c r="D220" i="1"/>
  <c r="F220" i="1" s="1"/>
  <c r="H220" i="1" s="1"/>
  <c r="L220" i="1" s="1"/>
  <c r="J219" i="1"/>
  <c r="E219" i="1"/>
  <c r="D219" i="1"/>
  <c r="J218" i="1"/>
  <c r="E218" i="1"/>
  <c r="D218" i="1"/>
  <c r="J217" i="1"/>
  <c r="E217" i="1"/>
  <c r="D217" i="1"/>
  <c r="J216" i="1"/>
  <c r="E216" i="1"/>
  <c r="D216" i="1"/>
  <c r="F216" i="1" s="1"/>
  <c r="H216" i="1" s="1"/>
  <c r="L216" i="1" s="1"/>
  <c r="J215" i="1"/>
  <c r="I215" i="1"/>
  <c r="E215" i="1"/>
  <c r="D215" i="1"/>
  <c r="F215" i="1" s="1"/>
  <c r="H215" i="1" s="1"/>
  <c r="J214" i="1"/>
  <c r="E214" i="1"/>
  <c r="D214" i="1"/>
  <c r="J213" i="1"/>
  <c r="E213" i="1"/>
  <c r="D213" i="1"/>
  <c r="J212" i="1"/>
  <c r="I212" i="1"/>
  <c r="E212" i="1"/>
  <c r="D212" i="1"/>
  <c r="F212" i="1" l="1"/>
  <c r="H212" i="1" s="1"/>
  <c r="F213" i="1"/>
  <c r="H213" i="1" s="1"/>
  <c r="L213" i="1" s="1"/>
  <c r="F218" i="1"/>
  <c r="H218" i="1" s="1"/>
  <c r="L218" i="1" s="1"/>
  <c r="F219" i="1"/>
  <c r="H219" i="1" s="1"/>
  <c r="L219" i="1" s="1"/>
  <c r="F217" i="1"/>
  <c r="H217" i="1" s="1"/>
  <c r="L217" i="1" s="1"/>
  <c r="F187" i="1"/>
  <c r="H187" i="1" s="1"/>
  <c r="F190" i="1"/>
  <c r="H190" i="1" s="1"/>
  <c r="F214" i="1"/>
  <c r="H214" i="1" s="1"/>
  <c r="L214" i="1" s="1"/>
  <c r="F221" i="1"/>
  <c r="H221" i="1" s="1"/>
  <c r="L212" i="1"/>
  <c r="K212" i="1"/>
  <c r="L215" i="1"/>
  <c r="K215" i="1"/>
  <c r="A253" i="1"/>
  <c r="A254" i="1" s="1"/>
  <c r="A255" i="1" s="1"/>
  <c r="A256" i="1" s="1"/>
  <c r="A257" i="1" s="1"/>
  <c r="A258" i="1" s="1"/>
  <c r="A259" i="1" s="1"/>
  <c r="A260" i="1" s="1"/>
  <c r="A261" i="1" s="1"/>
  <c r="E229" i="1"/>
  <c r="E232" i="1"/>
  <c r="E231" i="1"/>
  <c r="E230" i="1"/>
  <c r="E227" i="1"/>
  <c r="E226" i="1"/>
  <c r="E225" i="1"/>
  <c r="E224" i="1"/>
  <c r="E223" i="1"/>
  <c r="E210" i="1"/>
  <c r="E209" i="1"/>
  <c r="E208" i="1"/>
  <c r="E207" i="1"/>
  <c r="E206" i="1"/>
  <c r="E205" i="1"/>
  <c r="E204" i="1"/>
  <c r="E203" i="1"/>
  <c r="E202" i="1"/>
  <c r="E201" i="1"/>
  <c r="E197" i="1"/>
  <c r="E196" i="1"/>
  <c r="E194" i="1"/>
  <c r="E184" i="1"/>
  <c r="E185" i="1"/>
  <c r="E183" i="1"/>
  <c r="E182" i="1"/>
  <c r="E193" i="1"/>
  <c r="E181" i="1"/>
  <c r="K213" i="1" l="1"/>
  <c r="K214" i="1"/>
  <c r="L185" i="1"/>
  <c r="L184" i="1"/>
  <c r="K184" i="1"/>
  <c r="L182" i="1"/>
  <c r="L181" i="1"/>
  <c r="K181" i="1"/>
  <c r="K185" i="1"/>
  <c r="K182" i="1"/>
  <c r="D167" i="1"/>
  <c r="I147" i="1"/>
  <c r="D225" i="1" l="1"/>
  <c r="E43" i="1" l="1"/>
  <c r="D232" i="1" l="1"/>
  <c r="F232" i="1" s="1"/>
  <c r="H232" i="1" s="1"/>
  <c r="D231" i="1"/>
  <c r="F231" i="1" s="1"/>
  <c r="H231" i="1" s="1"/>
  <c r="D230" i="1"/>
  <c r="F230" i="1" s="1"/>
  <c r="H230" i="1" s="1"/>
  <c r="D229" i="1"/>
  <c r="F229" i="1" s="1"/>
  <c r="H229" i="1" s="1"/>
  <c r="D227" i="1"/>
  <c r="F227" i="1" s="1"/>
  <c r="H227" i="1" s="1"/>
  <c r="D226" i="1"/>
  <c r="F226" i="1" s="1"/>
  <c r="H226" i="1" s="1"/>
  <c r="D224" i="1"/>
  <c r="F224" i="1" s="1"/>
  <c r="H224" i="1" s="1"/>
  <c r="D223" i="1"/>
  <c r="F223" i="1" s="1"/>
  <c r="H223" i="1" s="1"/>
  <c r="J224" i="1"/>
  <c r="J225" i="1"/>
  <c r="J226" i="1"/>
  <c r="J227" i="1"/>
  <c r="J229" i="1"/>
  <c r="J230" i="1"/>
  <c r="J231" i="1"/>
  <c r="J232" i="1"/>
  <c r="J223" i="1"/>
  <c r="I229" i="1"/>
  <c r="I201" i="1"/>
  <c r="I223" i="1"/>
  <c r="I231" i="1"/>
  <c r="F225" i="1"/>
  <c r="H225" i="1" s="1"/>
  <c r="G208" i="1"/>
  <c r="D210" i="1"/>
  <c r="F210" i="1" s="1"/>
  <c r="H210" i="1" s="1"/>
  <c r="D209" i="1"/>
  <c r="F209" i="1" s="1"/>
  <c r="H209" i="1" s="1"/>
  <c r="L209" i="1" s="1"/>
  <c r="D208" i="1"/>
  <c r="F208" i="1" s="1"/>
  <c r="D207" i="1"/>
  <c r="F207" i="1" s="1"/>
  <c r="H207" i="1" s="1"/>
  <c r="L207" i="1" s="1"/>
  <c r="D206" i="1"/>
  <c r="F206" i="1" s="1"/>
  <c r="D205" i="1"/>
  <c r="F205" i="1" s="1"/>
  <c r="D204" i="1"/>
  <c r="F204" i="1" s="1"/>
  <c r="H204" i="1" s="1"/>
  <c r="D203" i="1"/>
  <c r="F203" i="1" s="1"/>
  <c r="H203" i="1" s="1"/>
  <c r="D202" i="1"/>
  <c r="F202" i="1" s="1"/>
  <c r="H202" i="1" s="1"/>
  <c r="D201" i="1"/>
  <c r="F201" i="1" s="1"/>
  <c r="J210" i="1"/>
  <c r="J205" i="1"/>
  <c r="J206" i="1"/>
  <c r="J207" i="1"/>
  <c r="J208" i="1"/>
  <c r="J204" i="1"/>
  <c r="I204" i="1"/>
  <c r="J202" i="1"/>
  <c r="J203" i="1"/>
  <c r="J201" i="1"/>
  <c r="J209" i="1"/>
  <c r="I209" i="1"/>
  <c r="D174" i="1"/>
  <c r="F174" i="1" s="1"/>
  <c r="H174" i="1" s="1"/>
  <c r="D173" i="1"/>
  <c r="D172" i="1"/>
  <c r="D171" i="1"/>
  <c r="D170" i="1"/>
  <c r="D169" i="1"/>
  <c r="D168" i="1"/>
  <c r="F168" i="1" s="1"/>
  <c r="H168" i="1" s="1"/>
  <c r="D166" i="1"/>
  <c r="D165" i="1"/>
  <c r="F165" i="1" s="1"/>
  <c r="H165" i="1" s="1"/>
  <c r="D164" i="1"/>
  <c r="D163" i="1"/>
  <c r="F163" i="1" s="1"/>
  <c r="H163" i="1" s="1"/>
  <c r="D162" i="1"/>
  <c r="F162" i="1" s="1"/>
  <c r="H162" i="1" s="1"/>
  <c r="D161" i="1"/>
  <c r="F161" i="1" s="1"/>
  <c r="H161" i="1" s="1"/>
  <c r="D160" i="1"/>
  <c r="F160" i="1" s="1"/>
  <c r="H160" i="1" s="1"/>
  <c r="D159" i="1"/>
  <c r="I161" i="1"/>
  <c r="I164" i="1"/>
  <c r="I171" i="1"/>
  <c r="I173" i="1"/>
  <c r="G183" i="1"/>
  <c r="D197" i="1"/>
  <c r="D196" i="1"/>
  <c r="D194" i="1"/>
  <c r="D193" i="1"/>
  <c r="D185" i="1"/>
  <c r="F185" i="1" s="1"/>
  <c r="H185" i="1" s="1"/>
  <c r="D184" i="1"/>
  <c r="D183" i="1"/>
  <c r="D182" i="1"/>
  <c r="D181" i="1"/>
  <c r="J197" i="1"/>
  <c r="J193" i="1"/>
  <c r="J194" i="1"/>
  <c r="I194" i="1"/>
  <c r="J196" i="1"/>
  <c r="I196" i="1"/>
  <c r="J185" i="1"/>
  <c r="J184" i="1"/>
  <c r="J183" i="1"/>
  <c r="J182" i="1"/>
  <c r="I181" i="1"/>
  <c r="J181" i="1"/>
  <c r="I185" i="1"/>
  <c r="I182" i="1"/>
  <c r="D156" i="1"/>
  <c r="F156" i="1" s="1"/>
  <c r="H156" i="1" s="1"/>
  <c r="D155" i="1"/>
  <c r="F155" i="1" s="1"/>
  <c r="H155" i="1" s="1"/>
  <c r="D154" i="1"/>
  <c r="F154" i="1" s="1"/>
  <c r="H154" i="1" s="1"/>
  <c r="D153" i="1"/>
  <c r="F153" i="1" s="1"/>
  <c r="H153" i="1" s="1"/>
  <c r="D152" i="1"/>
  <c r="F152" i="1" s="1"/>
  <c r="H152" i="1" s="1"/>
  <c r="D151" i="1"/>
  <c r="F151" i="1" s="1"/>
  <c r="H151" i="1" s="1"/>
  <c r="D150" i="1"/>
  <c r="F150" i="1" s="1"/>
  <c r="H150" i="1" s="1"/>
  <c r="D149" i="1"/>
  <c r="D148" i="1"/>
  <c r="D147" i="1"/>
  <c r="D146" i="1"/>
  <c r="I155" i="1"/>
  <c r="I150" i="1"/>
  <c r="I146" i="1"/>
  <c r="F173" i="1"/>
  <c r="H173" i="1" s="1"/>
  <c r="F172" i="1"/>
  <c r="H172" i="1" s="1"/>
  <c r="F171" i="1"/>
  <c r="H171" i="1" s="1"/>
  <c r="F170" i="1"/>
  <c r="H170" i="1" s="1"/>
  <c r="F169" i="1"/>
  <c r="H169" i="1" s="1"/>
  <c r="F167" i="1"/>
  <c r="H167" i="1" s="1"/>
  <c r="F166" i="1"/>
  <c r="H166" i="1" s="1"/>
  <c r="F164" i="1"/>
  <c r="H164" i="1" s="1"/>
  <c r="A160" i="1"/>
  <c r="A161" i="1" s="1"/>
  <c r="A162" i="1" s="1"/>
  <c r="A163" i="1" s="1"/>
  <c r="A164" i="1" s="1"/>
  <c r="A165" i="1" s="1"/>
  <c r="A166" i="1" s="1"/>
  <c r="A167" i="1" s="1"/>
  <c r="A168" i="1" s="1"/>
  <c r="A169" i="1" s="1"/>
  <c r="A170" i="1" s="1"/>
  <c r="A171" i="1" s="1"/>
  <c r="A172" i="1" s="1"/>
  <c r="A173" i="1" s="1"/>
  <c r="A174" i="1" s="1"/>
  <c r="C131" i="1" l="1"/>
  <c r="C136" i="1"/>
  <c r="H208" i="1"/>
  <c r="L208" i="1" s="1"/>
  <c r="F159" i="1"/>
  <c r="H159" i="1" s="1"/>
  <c r="G132" i="1" s="1"/>
  <c r="C132" i="1"/>
  <c r="C137" i="1"/>
  <c r="L203" i="1"/>
  <c r="K203" i="1"/>
  <c r="K202" i="1"/>
  <c r="L202" i="1"/>
  <c r="L204" i="1"/>
  <c r="K204" i="1"/>
  <c r="H201" i="1"/>
  <c r="E137" i="1"/>
  <c r="H205" i="1"/>
  <c r="L205" i="1" s="1"/>
  <c r="H206" i="1"/>
  <c r="L206" i="1" s="1"/>
  <c r="I45" i="1"/>
  <c r="E132" i="1" l="1"/>
  <c r="C138" i="1"/>
  <c r="C133" i="1"/>
  <c r="K201" i="1"/>
  <c r="L201" i="1"/>
  <c r="G137" i="1"/>
  <c r="B253" i="1"/>
  <c r="F147" i="1" l="1"/>
  <c r="H147" i="1" s="1"/>
  <c r="F148" i="1"/>
  <c r="H148" i="1" s="1"/>
  <c r="F149" i="1"/>
  <c r="H149" i="1" s="1"/>
  <c r="F146" i="1"/>
  <c r="H146" i="1" l="1"/>
  <c r="G131" i="1" s="1"/>
  <c r="G133" i="1" s="1"/>
  <c r="E131" i="1"/>
  <c r="E133" i="1" s="1"/>
  <c r="G58" i="1"/>
  <c r="C58" i="1"/>
  <c r="G56" i="1"/>
  <c r="C56" i="1"/>
  <c r="C54" i="1"/>
  <c r="S33" i="1" l="1"/>
  <c r="F11" i="5" l="1"/>
  <c r="G11" i="5" s="1"/>
  <c r="G10" i="5"/>
  <c r="F10" i="5"/>
  <c r="F9" i="5"/>
  <c r="G9" i="5" s="1"/>
  <c r="G8" i="5"/>
  <c r="F8" i="5"/>
  <c r="G7" i="5"/>
  <c r="F7" i="5"/>
  <c r="F6" i="5"/>
  <c r="G6" i="5" s="1"/>
  <c r="F5" i="5"/>
  <c r="G5" i="5" s="1"/>
  <c r="G12" i="5" s="1"/>
  <c r="D275" i="1"/>
  <c r="B254" i="1"/>
  <c r="F250" i="1"/>
  <c r="H250" i="1" s="1"/>
  <c r="F249" i="1"/>
  <c r="H249" i="1" s="1"/>
  <c r="F248" i="1"/>
  <c r="H248" i="1" s="1"/>
  <c r="F247" i="1"/>
  <c r="H247" i="1" s="1"/>
  <c r="F246" i="1"/>
  <c r="H246" i="1" s="1"/>
  <c r="F244" i="1"/>
  <c r="H244" i="1" s="1"/>
  <c r="F243" i="1"/>
  <c r="H243" i="1" s="1"/>
  <c r="F242" i="1"/>
  <c r="H242" i="1" s="1"/>
  <c r="F241" i="1"/>
  <c r="H241" i="1" s="1"/>
  <c r="F240" i="1"/>
  <c r="H240" i="1" s="1"/>
  <c r="F238" i="1"/>
  <c r="H238" i="1" s="1"/>
  <c r="F237" i="1"/>
  <c r="H237" i="1" s="1"/>
  <c r="F236" i="1"/>
  <c r="H236" i="1" s="1"/>
  <c r="F235" i="1"/>
  <c r="H235" i="1" s="1"/>
  <c r="F234" i="1"/>
  <c r="H234" i="1" s="1"/>
  <c r="F197" i="1"/>
  <c r="H197" i="1" s="1"/>
  <c r="F196" i="1"/>
  <c r="H196" i="1" s="1"/>
  <c r="F194" i="1"/>
  <c r="H194" i="1" s="1"/>
  <c r="F193" i="1"/>
  <c r="F184" i="1"/>
  <c r="H184" i="1" s="1"/>
  <c r="F183" i="1"/>
  <c r="H183" i="1" s="1"/>
  <c r="F182" i="1"/>
  <c r="H182" i="1" s="1"/>
  <c r="A182" i="1"/>
  <c r="A183" i="1" s="1"/>
  <c r="A184" i="1" s="1"/>
  <c r="A185" i="1" s="1"/>
  <c r="F181" i="1"/>
  <c r="A147" i="1"/>
  <c r="A148" i="1" s="1"/>
  <c r="A149" i="1" s="1"/>
  <c r="A150" i="1" s="1"/>
  <c r="A151" i="1" s="1"/>
  <c r="A152" i="1" s="1"/>
  <c r="A153" i="1" s="1"/>
  <c r="A154" i="1" s="1"/>
  <c r="A155" i="1" s="1"/>
  <c r="A156" i="1" s="1"/>
  <c r="C139" i="1"/>
  <c r="F128" i="1"/>
  <c r="C102" i="1"/>
  <c r="C88" i="1"/>
  <c r="C74" i="1"/>
  <c r="D68" i="1"/>
  <c r="D62" i="1"/>
  <c r="C51" i="1"/>
  <c r="C52" i="1" s="1"/>
  <c r="E44" i="1"/>
  <c r="E45" i="1" s="1"/>
  <c r="E31" i="1"/>
  <c r="E28" i="1"/>
  <c r="E26" i="1"/>
  <c r="C16" i="1"/>
  <c r="I15" i="1"/>
  <c r="Z13" i="1"/>
  <c r="E8" i="1"/>
  <c r="E3" i="1"/>
  <c r="A234" i="1"/>
  <c r="A246" i="1"/>
  <c r="A240" i="1"/>
  <c r="H89" i="1"/>
  <c r="H75" i="1"/>
  <c r="H103" i="1"/>
  <c r="H193" i="1" l="1"/>
  <c r="E136" i="1"/>
  <c r="E138" i="1" s="1"/>
  <c r="E139" i="1" s="1"/>
  <c r="H181" i="1"/>
  <c r="J74" i="1"/>
  <c r="J76" i="1" s="1"/>
  <c r="J77" i="1"/>
  <c r="J78" i="1"/>
  <c r="J79" i="1"/>
  <c r="C78" i="1" s="1"/>
  <c r="J93" i="1"/>
  <c r="D97" i="1"/>
  <c r="D99" i="1"/>
  <c r="J92" i="1"/>
  <c r="D98" i="1"/>
  <c r="J88" i="1"/>
  <c r="J90" i="1" s="1"/>
  <c r="D96" i="1"/>
  <c r="J91" i="1"/>
  <c r="D95" i="1"/>
  <c r="D101" i="1"/>
  <c r="D100" i="1"/>
  <c r="D94" i="1"/>
  <c r="D82" i="1"/>
  <c r="D84" i="1"/>
  <c r="D83" i="1"/>
  <c r="D87" i="1"/>
  <c r="D81" i="1"/>
  <c r="D86" i="1"/>
  <c r="D80" i="1"/>
  <c r="D85" i="1"/>
  <c r="C108" i="1"/>
  <c r="J102" i="1" s="1"/>
  <c r="J104" i="1" s="1"/>
  <c r="D111" i="1"/>
  <c r="D113" i="1"/>
  <c r="J107" i="1"/>
  <c r="C106" i="1" s="1"/>
  <c r="D106" i="1" s="1"/>
  <c r="D112" i="1"/>
  <c r="J106" i="1"/>
  <c r="D110" i="1"/>
  <c r="J105" i="1"/>
  <c r="D109" i="1"/>
  <c r="D115" i="1"/>
  <c r="D114" i="1"/>
  <c r="B103" i="1"/>
  <c r="B89" i="1"/>
  <c r="B75" i="1"/>
  <c r="J80" i="1" s="1"/>
  <c r="A235" i="1"/>
  <c r="A241" i="1"/>
  <c r="A247" i="1"/>
  <c r="G136" i="1" l="1"/>
  <c r="G138" i="1" s="1"/>
  <c r="G139" i="1" s="1"/>
  <c r="C92" i="1"/>
  <c r="D92" i="1" s="1"/>
  <c r="D78" i="1"/>
  <c r="D108" i="1"/>
  <c r="J113" i="1"/>
  <c r="J110" i="1"/>
  <c r="J112" i="1"/>
  <c r="J111" i="1"/>
  <c r="J108" i="1"/>
  <c r="J109" i="1" s="1"/>
  <c r="J114" i="1" s="1"/>
  <c r="J115" i="1" s="1"/>
  <c r="C107" i="1" s="1"/>
  <c r="E106" i="1" s="1"/>
  <c r="J99" i="1"/>
  <c r="J96" i="1"/>
  <c r="J98" i="1"/>
  <c r="J97" i="1"/>
  <c r="J94" i="1"/>
  <c r="J95" i="1" s="1"/>
  <c r="J84" i="1"/>
  <c r="J82" i="1"/>
  <c r="J83" i="1"/>
  <c r="J81" i="1"/>
  <c r="J86" i="1" s="1"/>
  <c r="J87" i="1" s="1"/>
  <c r="C79" i="1" s="1"/>
  <c r="J85" i="1"/>
  <c r="A236" i="1"/>
  <c r="A248" i="1"/>
  <c r="A242" i="1"/>
  <c r="J75" i="1" l="1"/>
  <c r="J100" i="1"/>
  <c r="J101" i="1" s="1"/>
  <c r="D107" i="1"/>
  <c r="I103" i="1" s="1"/>
  <c r="J103" i="1"/>
  <c r="G106" i="1"/>
  <c r="E78" i="1"/>
  <c r="D79" i="1"/>
  <c r="I75" i="1" s="1"/>
  <c r="G78" i="1"/>
  <c r="D72" i="1" s="1"/>
  <c r="A237" i="1"/>
  <c r="A249" i="1"/>
  <c r="A243" i="1"/>
  <c r="C93" i="1" l="1"/>
  <c r="F73" i="1"/>
  <c r="D73" i="1"/>
  <c r="I104" i="1"/>
  <c r="I102" i="1" s="1"/>
  <c r="C104" i="1" s="1"/>
  <c r="I76" i="1"/>
  <c r="I74" i="1" s="1"/>
  <c r="C76" i="1" s="1"/>
  <c r="A250" i="1"/>
  <c r="A238" i="1"/>
  <c r="A244" i="1"/>
  <c r="D93" i="1" l="1"/>
  <c r="I89" i="1" s="1"/>
  <c r="I90" i="1" s="1"/>
  <c r="E92" i="1"/>
  <c r="G92" i="1"/>
  <c r="J89" i="1"/>
  <c r="I88" i="1" l="1"/>
  <c r="C90"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5" authorId="1" shapeId="0">
      <text>
        <r>
          <rPr>
            <b/>
            <sz val="9"/>
            <color indexed="81"/>
            <rFont val="Tahoma"/>
            <family val="2"/>
          </rPr>
          <t>SACHIN:</t>
        </r>
        <r>
          <rPr>
            <sz val="9"/>
            <color indexed="81"/>
            <rFont val="Tahoma"/>
            <family val="2"/>
          </rPr>
          <t xml:space="preserve">
Floor with height</t>
        </r>
      </text>
    </comment>
    <comment ref="C57" authorId="1" shapeId="0">
      <text>
        <r>
          <rPr>
            <b/>
            <sz val="9"/>
            <color indexed="81"/>
            <rFont val="Tahoma"/>
            <family val="2"/>
          </rPr>
          <t>SACHIN:</t>
        </r>
        <r>
          <rPr>
            <sz val="9"/>
            <color indexed="81"/>
            <rFont val="Tahoma"/>
            <family val="2"/>
          </rPr>
          <t xml:space="preserve">
Survey Nos.</t>
        </r>
      </text>
    </comment>
    <comment ref="C59" authorId="1" shapeId="0">
      <text>
        <r>
          <rPr>
            <b/>
            <sz val="9"/>
            <color indexed="81"/>
            <rFont val="Tahoma"/>
            <family val="2"/>
          </rPr>
          <t>SACHIN:</t>
        </r>
        <r>
          <rPr>
            <sz val="9"/>
            <color indexed="81"/>
            <rFont val="Tahoma"/>
            <family val="2"/>
          </rPr>
          <t xml:space="preserve">
Height from AMSL</t>
        </r>
      </text>
    </comment>
    <comment ref="D62"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1"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77"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<sst xmlns="http://schemas.openxmlformats.org/spreadsheetml/2006/main" count="677" uniqueCount="353">
  <si>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</si>
  <si>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</si>
  <si>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</si>
  <si>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</si>
  <si>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</si>
  <si>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</si>
  <si>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</si>
  <si>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</si>
  <si>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</si>
  <si>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</si>
  <si>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</si>
  <si>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</si>
  <si>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</si>
  <si>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</si>
  <si>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</si>
  <si>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</si>
  <si>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</si>
  <si>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</si>
  <si>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</si>
  <si>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</si>
  <si>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</si>
  <si>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</si>
  <si>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</si>
  <si>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</si>
  <si>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</si>
  <si>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</si>
  <si>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</si>
  <si>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</si>
  <si>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</si>
  <si>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</si>
  <si>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</si>
  <si>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</si>
  <si>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</si>
  <si>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</si>
  <si>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</si>
  <si>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</si>
  <si>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</si>
  <si>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</si>
  <si>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</si>
  <si>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</si>
  <si>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</si>
  <si>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</si>
  <si>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</si>
  <si>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</si>
  <si>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</si>
  <si>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</si>
  <si>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</si>
  <si>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</si>
  <si>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</si>
  <si>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</si>
  <si>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</si>
  <si>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</si>
  <si>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</si>
  <si>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</si>
  <si>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</si>
  <si>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</si>
  <si>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</si>
  <si>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</si>
  <si>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</si>
  <si>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</si>
  <si>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</si>
  <si>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</si>
  <si>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</si>
  <si>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</si>
  <si>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</si>
  <si>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</si>
  <si>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</si>
  <si>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</si>
  <si>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</si>
  <si>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</si>
  <si>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</si>
  <si>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</si>
  <si>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</si>
  <si>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</si>
  <si>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</si>
  <si>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</si>
  <si>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</si>
  <si>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</si>
  <si>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</si>
  <si>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</si>
  <si>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</si>
  <si>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</si>
  <si>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</si>
  <si>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</si>
  <si>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</si>
  <si>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</si>
  <si>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</si>
  <si>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</si>
  <si>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</si>
  <si>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</si>
  <si>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</si>
  <si>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</si>
  <si>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</si>
  <si>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</si>
  <si>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</si>
  <si>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</si>
  <si>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</si>
  <si>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</si>
  <si>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</si>
  <si>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</si>
  <si>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</si>
  <si>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</si>
  <si>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</si>
  <si>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</si>
  <si>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</si>
  <si>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</si>
  <si>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</si>
  <si>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</si>
  <si>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</si>
  <si>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</si>
  <si>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</si>
  <si>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</si>
  <si>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</si>
  <si>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</si>
  <si>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</si>
  <si>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</si>
  <si>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</si>
  <si>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</si>
  <si>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</si>
  <si>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</si>
  <si>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</si>
  <si>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</si>
  <si>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</si>
  <si>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</si>
  <si>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</si>
  <si>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</si>
  <si>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</si>
  <si>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</si>
  <si>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</si>
  <si>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</si>
  <si>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</si>
  <si>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</si>
  <si>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</si>
  <si>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</si>
  <si>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</si>
  <si>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</si>
  <si>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</si>
  <si>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</si>
  <si>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</si>
  <si>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</si>
  <si>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</si>
  <si>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</si>
  <si>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</si>
  <si>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</si>
  <si>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</si>
  <si>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</si>
  <si>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</si>
  <si>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</si>
  <si>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</si>
  <si>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</si>
  <si>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</si>
  <si>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</si>
  <si>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</si>
  <si>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</si>
  <si>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</si>
  <si>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</si>
  <si>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</si>
  <si>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</si>
  <si>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</si>
  <si>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</si>
  <si>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</si>
  <si>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</si>
  <si>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</si>
  <si>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</si>
  <si>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</si>
  <si>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</si>
  <si>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</si>
  <si>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</si>
  <si>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</si>
  <si>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</si>
  <si>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</si>
  <si>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</si>
  <si>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</si>
  <si>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</si>
  <si>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</si>
  <si>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</si>
  <si>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</si>
  <si>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</si>
  <si>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</si>
  <si>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</si>
  <si>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</si>
  <si>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</si>
  <si>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</si>
  <si>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</si>
  <si>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</si>
  <si>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</si>
  <si>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</si>
  <si>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</si>
  <si>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</si>
  <si>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</si>
  <si>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</si>
  <si>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</si>
  <si>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</si>
  <si>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</si>
  <si>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</si>
  <si>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</si>
  <si>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</si>
  <si>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</si>
  <si>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</si>
  <si>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</si>
  <si>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</si>
  <si>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</si>
  <si>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</si>
  <si>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</si>
  <si>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</si>
  <si>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</si>
  <si>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</si>
  <si>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</si>
  <si>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</si>
  <si>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</si>
  <si>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</si>
  <si>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</si>
  <si>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</si>
  <si>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</si>
  <si>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</si>
  <si>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</si>
  <si>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</si>
  <si>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</si>
  <si>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</si>
  <si>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</si>
  <si>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</si>
  <si>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</si>
  <si>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</si>
  <si>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</si>
  <si>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</si>
  <si>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</si>
  <si>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</si>
  <si>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</si>
  <si>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</si>
  <si>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</si>
  <si>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</si>
  <si>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 xml:space="preserve">Please check for Environment Clearance Certificate.
</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</si>
  <si>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</si>
  <si>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</si>
  <si>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</si>
  <si>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</si>
  <si>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</si>
  <si>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</si>
  <si>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</si>
  <si>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</si>
  <si>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</si>
  <si>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</si>
  <si>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</si>
  <si>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</si>
  <si>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</si>
  <si>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</si>
  <si>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</si>
  <si>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</si>
  <si>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</si>
  <si>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</si>
  <si>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</si>
  <si>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</si>
  <si>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</si>
  <si>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</si>
  <si>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</si>
  <si>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</si>
  <si>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</si>
  <si>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</si>
  <si>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</si>
  <si>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</si>
  <si>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</si>
  <si>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</si>
  <si>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</si>
  <si>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</si>
  <si>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</si>
  <si>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</si>
  <si>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</si>
  <si>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</si>
  <si>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</si>
  <si>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</si>
  <si>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</si>
  <si>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</si>
  <si>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</si>
  <si>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</si>
  <si>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</si>
  <si>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</si>
  <si>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</si>
  <si>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</si>
  <si>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</si>
  <si>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</si>
  <si>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</si>
  <si>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</si>
  <si>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Airport Noc No
Valid Up to: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</si>
  <si>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</si>
  <si>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</si>
  <si>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</si>
  <si>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</si>
  <si>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</si>
  <si>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</si>
  <si>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</si>
  <si>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</si>
  <si>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</si>
  <si>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</si>
  <si>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</si>
  <si>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</si>
  <si>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</si>
  <si>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</si>
  <si>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</si>
  <si>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</si>
  <si>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</si>
  <si>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</si>
  <si>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PNB Kalyan</t>
  </si>
  <si>
    <t>Ashapura Combines</t>
  </si>
  <si>
    <t>Bileshwar</t>
  </si>
  <si>
    <t>P51700054702</t>
  </si>
  <si>
    <t>Survey No</t>
  </si>
  <si>
    <t>Wadeghar</t>
  </si>
  <si>
    <t>KDMC/TPD/BP/KD/2023-24/01</t>
  </si>
  <si>
    <t>As per RERA - 31/12/2028</t>
  </si>
  <si>
    <t>Building No.1</t>
  </si>
  <si>
    <t>Building No.2</t>
  </si>
  <si>
    <t>Shop</t>
  </si>
  <si>
    <t>1BHK</t>
  </si>
  <si>
    <t>2BHK</t>
  </si>
  <si>
    <t>Terrace only on 1st Floor</t>
  </si>
  <si>
    <t>8th, 13th, 18th Floor For Part Refuge</t>
  </si>
  <si>
    <t>Refuge Area</t>
  </si>
  <si>
    <t>19.257478,73.121643</t>
  </si>
  <si>
    <t>https://maps.app.goo.gl/u3NXdDmqP5wZgnHP8</t>
  </si>
  <si>
    <t>Neelkanth Srushti Complex</t>
  </si>
  <si>
    <t>Internal Road</t>
  </si>
  <si>
    <t>Houses</t>
  </si>
  <si>
    <t>Mr.Ritesh Sanghani 9322246587</t>
  </si>
  <si>
    <t>3.6KM from Kalyan Junction Railway Station</t>
  </si>
  <si>
    <t>Kalyan West</t>
  </si>
  <si>
    <t>Ground Floor For Commercial, Meter Room, Entrance Lobby &amp; Parking</t>
  </si>
  <si>
    <t>Flats - 264, Shops - 27</t>
  </si>
  <si>
    <t>Other Plot</t>
  </si>
  <si>
    <t>15.0 M W DP Road</t>
  </si>
  <si>
    <t>6.0 M W Road</t>
  </si>
  <si>
    <t>Building No.1 &amp; 2</t>
  </si>
  <si>
    <t>89 H No.1, 2, 3 &amp; 5, S. No.90 H. No.5, 7, 8, Plot No. 1</t>
  </si>
  <si>
    <t>Adharwadi, Khadakpada</t>
  </si>
  <si>
    <t>Open Plot</t>
  </si>
  <si>
    <t>02 Buildings</t>
  </si>
  <si>
    <t xml:space="preserve">Building No.1 =  Stilt(Pt)/Gr.(Pt) +1st to 18th Floor 
Building No.2 =  Stilt(Pt)/Gr.(Pt) +1st to 18th Floor </t>
  </si>
  <si>
    <t xml:space="preserve">Building No.2 =  Stilt(Pt)/Gr.(Pt) +1st to 18th Floor </t>
  </si>
  <si>
    <r>
      <t xml:space="preserve">Proposed Amenities :                                                                                                                                                                                                                         </t>
    </r>
    <r>
      <rPr>
        <b/>
        <sz val="12"/>
        <color theme="1"/>
        <rFont val="Times New Roman"/>
        <family val="1"/>
      </rPr>
      <t xml:space="preserve">                                               </t>
    </r>
  </si>
  <si>
    <t>Vitrified tiles flooring, Granite Kitchen Platform, Decorative Entrance &amp; etc.</t>
  </si>
  <si>
    <r>
      <t xml:space="preserve">Shop No.
</t>
    </r>
    <r>
      <rPr>
        <b/>
        <sz val="11"/>
        <color theme="1"/>
        <rFont val="Times New Roman"/>
        <family val="1"/>
      </rPr>
      <t>(Approved Plan)</t>
    </r>
  </si>
  <si>
    <t>Ground Floor For Commercial, Society Office Electric Duct, Meter Room , Entrance Lobby &amp; Parking</t>
  </si>
  <si>
    <r>
      <t xml:space="preserve">Flat No.
</t>
    </r>
    <r>
      <rPr>
        <b/>
        <sz val="11"/>
        <color theme="1"/>
        <rFont val="Times New Roman"/>
        <family val="1"/>
      </rPr>
      <t>(Approved Plan)</t>
    </r>
  </si>
  <si>
    <t>We did not consider the terrace area attached to the 1st floor flats because it was not shown in the approved plans. However, it was constructed at the site.</t>
  </si>
  <si>
    <t>Construction work is in process at the time of Visit.</t>
  </si>
  <si>
    <t>We considered Gross carpet area = Net carpet + Balcony Area + Chajja Area.</t>
  </si>
  <si>
    <t>Remark No. 10:</t>
  </si>
  <si>
    <t>Balcony Area/Chajja Area</t>
  </si>
  <si>
    <t>2nd to 7th, 9th to 12th, 14th to 17th Floor For Residential</t>
  </si>
  <si>
    <t>1st Floor For Residential</t>
  </si>
  <si>
    <t>Mr. Manish : 9892139192</t>
  </si>
  <si>
    <t xml:space="preserve">Building No.1 &amp; 2 =  Stilt(Pt)/Gr.(Pt) +1st to 18th Floor </t>
  </si>
  <si>
    <t>Pooja Kawale</t>
  </si>
  <si>
    <t>Mangesh Laxman Bapardekar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</si>
</sst>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1"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0"/>
      <color rgb="FFFF0000"/>
      <name val="Calibri"/>
      <family val="2"/>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3" fillId="0" borderId="0"/>
    <xf numFmtId="0" fontId="4" fillId="0" borderId="0"/>
    <xf numFmtId="0" fontId="2" fillId="0" borderId="0"/>
    <xf numFmtId="0" fontId="4" fillId="0" borderId="0"/>
    <xf numFmtId="0" fontId="1" fillId="0" borderId="0"/>
    <xf numFmtId="165" fontId="4"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5" fillId="0" borderId="0" applyNumberFormat="0" applyFill="0" applyBorder="0" applyAlignment="0" applyProtection="0"/>
  </cellStyleXfs>
  <cellXfs count="234">
    <xf numFmtId="0" fontId="0" fillId="0" borderId="0" xfId="0"/>
    <xf numFmtId="0" fontId="4" fillId="0" borderId="0" xfId="4"/>
    <xf numFmtId="0" fontId="1" fillId="0" borderId="0" xfId="5"/>
    <xf numFmtId="0" fontId="8"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8" fillId="0" borderId="1" xfId="5" applyFont="1" applyBorder="1" applyAlignment="1">
      <alignment horizontal="center" vertical="center"/>
    </xf>
    <xf numFmtId="1" fontId="18" fillId="0" borderId="1" xfId="5" applyNumberFormat="1" applyFont="1" applyBorder="1" applyAlignment="1">
      <alignment horizontal="center" vertical="center"/>
    </xf>
    <xf numFmtId="0" fontId="4" fillId="0" borderId="1" xfId="4" applyBorder="1" applyAlignment="1">
      <alignment horizontal="center" vertical="center"/>
    </xf>
    <xf numFmtId="0" fontId="17" fillId="0" borderId="0" xfId="0" applyFont="1" applyProtection="1">
      <protection hidden="1"/>
    </xf>
    <xf numFmtId="0" fontId="14" fillId="0" borderId="1" xfId="1" applyFont="1" applyBorder="1" applyAlignment="1" applyProtection="1">
      <alignment horizontal="center" vertical="top"/>
      <protection locked="0"/>
    </xf>
    <xf numFmtId="0" fontId="17" fillId="0" borderId="10" xfId="0" applyFont="1" applyBorder="1" applyProtection="1">
      <protection hidden="1"/>
    </xf>
    <xf numFmtId="0" fontId="11" fillId="0" borderId="3" xfId="1" applyFont="1" applyBorder="1" applyAlignment="1" applyProtection="1">
      <alignment horizontal="center" vertical="top"/>
      <protection locked="0"/>
    </xf>
    <xf numFmtId="0" fontId="11" fillId="0" borderId="4" xfId="1" applyFont="1" applyBorder="1" applyAlignment="1" applyProtection="1">
      <alignment horizontal="center" vertical="top"/>
      <protection locked="0"/>
    </xf>
    <xf numFmtId="0" fontId="5" fillId="0" borderId="1" xfId="1" applyFont="1" applyBorder="1" applyAlignment="1" applyProtection="1">
      <alignment vertical="top" wrapText="1"/>
      <protection locked="0"/>
    </xf>
    <xf numFmtId="9" fontId="6" fillId="0" borderId="1" xfId="8" applyFont="1" applyFill="1" applyBorder="1" applyAlignment="1" applyProtection="1">
      <alignment horizontal="center" vertical="top" wrapText="1"/>
      <protection locked="0"/>
    </xf>
    <xf numFmtId="9" fontId="6" fillId="0" borderId="6" xfId="8" applyFont="1" applyFill="1" applyBorder="1" applyAlignment="1" applyProtection="1">
      <alignment horizontal="center" vertical="top" wrapText="1"/>
      <protection locked="0"/>
    </xf>
    <xf numFmtId="0" fontId="6" fillId="0" borderId="0" xfId="1" applyFont="1"/>
    <xf numFmtId="0" fontId="14" fillId="0" borderId="0" xfId="1" applyFont="1"/>
    <xf numFmtId="0" fontId="11" fillId="0" borderId="0" xfId="1" applyFont="1"/>
    <xf numFmtId="1" fontId="6" fillId="0" borderId="0" xfId="1" applyNumberFormat="1" applyFont="1"/>
    <xf numFmtId="14" fontId="6" fillId="0" borderId="0" xfId="1" applyNumberFormat="1" applyFont="1"/>
    <xf numFmtId="0" fontId="6" fillId="0" borderId="0" xfId="1" applyFont="1" applyProtection="1">
      <protection hidden="1"/>
    </xf>
    <xf numFmtId="0" fontId="22" fillId="0" borderId="0" xfId="1" applyFont="1"/>
    <xf numFmtId="0" fontId="6" fillId="0" borderId="9" xfId="1" applyFont="1" applyBorder="1"/>
    <xf numFmtId="0" fontId="17" fillId="0" borderId="9" xfId="0" applyFont="1" applyBorder="1" applyProtection="1">
      <protection hidden="1"/>
    </xf>
    <xf numFmtId="1" fontId="0" fillId="0" borderId="9" xfId="0" applyNumberFormat="1" applyBorder="1"/>
    <xf numFmtId="1" fontId="0" fillId="0" borderId="9" xfId="0" applyNumberFormat="1" applyBorder="1" applyAlignment="1">
      <alignment horizontal="right"/>
    </xf>
    <xf numFmtId="1" fontId="0" fillId="0" borderId="11" xfId="0" applyNumberFormat="1" applyBorder="1"/>
    <xf numFmtId="0" fontId="15" fillId="0" borderId="0" xfId="1" applyFont="1"/>
    <xf numFmtId="0" fontId="5" fillId="0" borderId="0" xfId="2" applyFont="1"/>
    <xf numFmtId="0" fontId="6" fillId="0" borderId="0" xfId="0" applyFont="1" applyAlignment="1">
      <alignment horizontal="center" vertical="center"/>
    </xf>
    <xf numFmtId="1" fontId="6" fillId="0" borderId="0" xfId="1" applyNumberFormat="1" applyFont="1" applyAlignment="1">
      <alignment horizontal="center" vertical="center"/>
    </xf>
    <xf numFmtId="0" fontId="6" fillId="0" borderId="0" xfId="1" applyFont="1" applyAlignment="1">
      <alignment horizontal="center" vertical="center"/>
    </xf>
    <xf numFmtId="0" fontId="7" fillId="0" borderId="0" xfId="1" applyFont="1" applyAlignment="1" applyProtection="1">
      <alignment vertical="top"/>
      <protection locked="0"/>
    </xf>
    <xf numFmtId="0" fontId="7" fillId="0" borderId="0" xfId="1" applyFont="1" applyAlignment="1" applyProtection="1">
      <alignment vertical="top" wrapText="1"/>
      <protection locked="0"/>
    </xf>
    <xf numFmtId="0" fontId="6" fillId="0" borderId="0" xfId="1" applyFont="1" applyProtection="1">
      <protection locked="0"/>
    </xf>
    <xf numFmtId="0" fontId="9" fillId="0" borderId="0" xfId="1" applyFont="1" applyProtection="1">
      <protection locked="0"/>
    </xf>
    <xf numFmtId="1" fontId="5" fillId="0" borderId="1" xfId="1" applyNumberFormat="1" applyFont="1" applyBorder="1" applyAlignment="1" applyProtection="1">
      <alignment horizontal="center" vertical="center" wrapText="1"/>
      <protection locked="0"/>
    </xf>
    <xf numFmtId="0" fontId="6" fillId="0" borderId="1" xfId="1" applyFont="1" applyBorder="1" applyAlignment="1" applyProtection="1">
      <alignment horizontal="center" vertical="top" wrapText="1"/>
      <protection locked="0"/>
    </xf>
    <xf numFmtId="0" fontId="6" fillId="0" borderId="6" xfId="1" applyFont="1" applyBorder="1" applyAlignment="1" applyProtection="1">
      <alignment horizontal="center" vertical="top" wrapText="1"/>
      <protection locked="0"/>
    </xf>
    <xf numFmtId="0" fontId="7" fillId="0" borderId="1" xfId="1" applyFont="1" applyBorder="1" applyAlignment="1" applyProtection="1">
      <alignment vertical="top"/>
      <protection locked="0"/>
    </xf>
    <xf numFmtId="1" fontId="5" fillId="0" borderId="1"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protection locked="0"/>
    </xf>
    <xf numFmtId="0" fontId="5" fillId="0" borderId="1" xfId="1" applyFont="1" applyBorder="1" applyAlignment="1" applyProtection="1">
      <alignment horizontal="center" vertical="top"/>
      <protection locked="0"/>
    </xf>
    <xf numFmtId="0" fontId="23" fillId="2" borderId="29" xfId="0" applyFont="1" applyFill="1" applyBorder="1"/>
    <xf numFmtId="0" fontId="24" fillId="0" borderId="30" xfId="0" applyFont="1" applyBorder="1"/>
    <xf numFmtId="0" fontId="24" fillId="0" borderId="1" xfId="0" applyFont="1" applyBorder="1"/>
    <xf numFmtId="0" fontId="24" fillId="0" borderId="4" xfId="0" applyFont="1" applyBorder="1"/>
    <xf numFmtId="0" fontId="11" fillId="0" borderId="1" xfId="1" applyFont="1" applyBorder="1" applyAlignment="1" applyProtection="1">
      <alignment horizontal="center" vertical="top"/>
      <protection locked="0"/>
    </xf>
    <xf numFmtId="0" fontId="0" fillId="0" borderId="0" xfId="0" applyAlignment="1">
      <alignment horizontal="center" vertical="center"/>
    </xf>
    <xf numFmtId="0" fontId="0" fillId="0" borderId="1" xfId="0" applyBorder="1" applyAlignment="1">
      <alignment horizontal="center" vertical="center"/>
    </xf>
    <xf numFmtId="1" fontId="5" fillId="0" borderId="1" xfId="1"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left" vertical="top" wrapText="1"/>
    </xf>
    <xf numFmtId="1" fontId="5" fillId="0" borderId="1" xfId="1" applyNumberFormat="1" applyFont="1" applyBorder="1" applyAlignment="1" applyProtection="1">
      <alignment horizontal="center" vertical="center" wrapText="1"/>
      <protection locked="0"/>
    </xf>
    <xf numFmtId="1" fontId="5" fillId="0" borderId="1" xfId="1" applyNumberFormat="1" applyFont="1" applyFill="1" applyBorder="1" applyAlignment="1" applyProtection="1">
      <alignment horizontal="center" vertical="center" wrapText="1"/>
      <protection locked="0"/>
    </xf>
    <xf numFmtId="0" fontId="0" fillId="0" borderId="24" xfId="0" applyFill="1" applyBorder="1"/>
    <xf numFmtId="0" fontId="0" fillId="0" borderId="7" xfId="0" applyBorder="1"/>
    <xf numFmtId="0" fontId="0" fillId="0" borderId="1" xfId="0" applyBorder="1" applyAlignment="1">
      <alignment vertical="top" wrapText="1"/>
    </xf>
    <xf numFmtId="0" fontId="0" fillId="0" borderId="1" xfId="0" applyFill="1" applyBorder="1"/>
    <xf numFmtId="164" fontId="6" fillId="0" borderId="0" xfId="1" applyNumberFormat="1" applyFont="1"/>
    <xf numFmtId="1" fontId="5" fillId="0" borderId="1" xfId="1" applyNumberFormat="1" applyFont="1" applyBorder="1" applyAlignment="1" applyProtection="1">
      <alignment horizontal="center" vertical="center" wrapText="1"/>
      <protection locked="0"/>
    </xf>
    <xf numFmtId="0" fontId="6" fillId="0" borderId="0" xfId="1" applyFont="1" applyAlignment="1">
      <alignment horizontal="center" vertical="center"/>
    </xf>
    <xf numFmtId="1" fontId="5" fillId="0" borderId="1" xfId="1" applyNumberFormat="1" applyFont="1" applyBorder="1" applyAlignment="1" applyProtection="1">
      <alignment horizontal="center" vertical="center" wrapText="1"/>
      <protection locked="0"/>
    </xf>
    <xf numFmtId="0" fontId="29" fillId="0" borderId="0" xfId="0" applyFont="1"/>
    <xf numFmtId="0" fontId="6" fillId="0" borderId="6"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1" fontId="5" fillId="0" borderId="1" xfId="0" applyNumberFormat="1" applyFont="1" applyBorder="1" applyAlignment="1" applyProtection="1">
      <alignment horizontal="center" vertical="center" wrapText="1"/>
      <protection locked="0"/>
    </xf>
    <xf numFmtId="0" fontId="6" fillId="0" borderId="0" xfId="1" applyFont="1" applyAlignment="1">
      <alignment horizontal="center" vertical="center"/>
    </xf>
    <xf numFmtId="1" fontId="9" fillId="0" borderId="2" xfId="1" applyNumberFormat="1" applyFont="1" applyBorder="1" applyAlignment="1" applyProtection="1">
      <alignment horizontal="center" vertical="top" wrapText="1"/>
      <protection locked="0"/>
    </xf>
    <xf numFmtId="9" fontId="9" fillId="0" borderId="15" xfId="8" applyFont="1" applyFill="1" applyBorder="1" applyAlignment="1" applyProtection="1">
      <alignment horizontal="center" vertical="top" wrapText="1"/>
      <protection locked="0"/>
    </xf>
    <xf numFmtId="2" fontId="6" fillId="0" borderId="0" xfId="1" applyNumberFormat="1" applyFont="1" applyAlignment="1">
      <alignment horizontal="center" vertical="center"/>
    </xf>
    <xf numFmtId="0" fontId="6" fillId="0" borderId="0" xfId="1" applyFont="1" applyAlignment="1">
      <alignment horizontal="center" vertical="center"/>
    </xf>
    <xf numFmtId="1" fontId="5" fillId="0" borderId="1" xfId="1" applyNumberFormat="1" applyFont="1" applyBorder="1" applyAlignment="1" applyProtection="1">
      <alignment horizontal="center" vertical="center" wrapText="1"/>
      <protection locked="0"/>
    </xf>
    <xf numFmtId="1" fontId="6" fillId="0" borderId="1" xfId="1" applyNumberFormat="1" applyFont="1" applyBorder="1" applyAlignment="1">
      <alignment horizontal="center" vertical="center"/>
    </xf>
    <xf numFmtId="0" fontId="6" fillId="0" borderId="3"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6" fillId="0" borderId="4" xfId="1" applyFont="1" applyBorder="1" applyAlignment="1" applyProtection="1">
      <alignment horizontal="center" vertical="top"/>
      <protection locked="0"/>
    </xf>
    <xf numFmtId="1" fontId="6" fillId="0" borderId="1" xfId="1" applyNumberFormat="1" applyFont="1" applyBorder="1" applyAlignment="1" applyProtection="1">
      <alignment horizontal="center" vertical="top" wrapText="1"/>
      <protection locked="0"/>
    </xf>
    <xf numFmtId="1" fontId="16" fillId="0" borderId="7" xfId="0" applyNumberFormat="1" applyFont="1" applyBorder="1" applyAlignment="1" applyProtection="1">
      <alignment vertical="top" wrapText="1"/>
      <protection locked="0"/>
    </xf>
    <xf numFmtId="1" fontId="16" fillId="0" borderId="20" xfId="0" applyNumberFormat="1" applyFont="1" applyBorder="1" applyAlignment="1" applyProtection="1">
      <alignment vertical="top" wrapText="1"/>
      <protection locked="0"/>
    </xf>
    <xf numFmtId="1" fontId="16" fillId="0" borderId="8" xfId="0" applyNumberFormat="1" applyFont="1" applyBorder="1" applyAlignment="1" applyProtection="1">
      <alignment vertical="top" wrapText="1"/>
      <protection locked="0"/>
    </xf>
    <xf numFmtId="0" fontId="5" fillId="0" borderId="1" xfId="1" applyFont="1" applyBorder="1" applyAlignment="1" applyProtection="1">
      <alignment horizontal="left" vertical="top"/>
      <protection locked="0"/>
    </xf>
    <xf numFmtId="0" fontId="6" fillId="0" borderId="5" xfId="1" applyFont="1" applyBorder="1" applyAlignment="1" applyProtection="1">
      <alignment horizontal="center" vertical="top" wrapText="1"/>
      <protection locked="0"/>
    </xf>
    <xf numFmtId="0" fontId="6" fillId="0" borderId="6" xfId="1" applyFont="1" applyBorder="1" applyAlignment="1" applyProtection="1">
      <alignment horizontal="center" vertical="top" wrapText="1"/>
      <protection locked="0"/>
    </xf>
    <xf numFmtId="0" fontId="6" fillId="0" borderId="3"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1" fontId="7" fillId="0" borderId="2" xfId="0" applyNumberFormat="1" applyFont="1" applyBorder="1" applyAlignment="1" applyProtection="1">
      <alignment horizontal="center" vertical="center" wrapText="1"/>
      <protection locked="0"/>
    </xf>
    <xf numFmtId="1" fontId="9" fillId="0" borderId="2" xfId="0" applyNumberFormat="1"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12" fillId="0" borderId="1" xfId="1" applyFont="1" applyBorder="1" applyAlignment="1" applyProtection="1">
      <alignment horizontal="left" vertical="top" wrapText="1"/>
      <protection locked="0"/>
    </xf>
    <xf numFmtId="0" fontId="12" fillId="0" borderId="4" xfId="1" applyFont="1" applyBorder="1" applyAlignment="1" applyProtection="1">
      <alignment horizontal="left" vertical="top" wrapText="1"/>
      <protection locked="0"/>
    </xf>
    <xf numFmtId="1" fontId="6" fillId="0" borderId="1"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1" fontId="7"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1" fontId="5" fillId="0" borderId="1" xfId="0" applyNumberFormat="1" applyFont="1" applyBorder="1" applyAlignment="1" applyProtection="1">
      <alignment horizontal="center" vertical="center" wrapText="1"/>
      <protection locked="0"/>
    </xf>
    <xf numFmtId="1" fontId="7" fillId="0" borderId="7" xfId="0" applyNumberFormat="1" applyFont="1" applyBorder="1" applyAlignment="1" applyProtection="1">
      <alignment vertical="top" wrapText="1"/>
      <protection locked="0"/>
    </xf>
    <xf numFmtId="1" fontId="7" fillId="0" borderId="20" xfId="0" applyNumberFormat="1" applyFont="1" applyBorder="1" applyAlignment="1" applyProtection="1">
      <alignment vertical="top" wrapText="1"/>
      <protection locked="0"/>
    </xf>
    <xf numFmtId="1" fontId="7" fillId="0" borderId="8" xfId="0" applyNumberFormat="1" applyFont="1" applyBorder="1" applyAlignment="1" applyProtection="1">
      <alignment vertical="top" wrapText="1"/>
      <protection locked="0"/>
    </xf>
    <xf numFmtId="1" fontId="5" fillId="0" borderId="7" xfId="1" applyNumberFormat="1" applyFont="1" applyBorder="1" applyAlignment="1" applyProtection="1">
      <alignment horizontal="center" vertical="center" wrapText="1"/>
      <protection locked="0"/>
    </xf>
    <xf numFmtId="1" fontId="5" fillId="0" borderId="8" xfId="1" applyNumberFormat="1" applyFont="1" applyBorder="1" applyAlignment="1" applyProtection="1">
      <alignment horizontal="center" vertical="center" wrapText="1"/>
      <protection locked="0"/>
    </xf>
    <xf numFmtId="1" fontId="5" fillId="0" borderId="1" xfId="1" applyNumberFormat="1" applyFont="1" applyBorder="1" applyAlignment="1" applyProtection="1">
      <alignment horizontal="center" vertical="center" wrapText="1"/>
      <protection locked="0"/>
    </xf>
    <xf numFmtId="9" fontId="6" fillId="0" borderId="16" xfId="8" applyFont="1" applyFill="1" applyBorder="1" applyAlignment="1" applyProtection="1">
      <alignment horizontal="center" vertical="center" wrapText="1"/>
      <protection locked="0"/>
    </xf>
    <xf numFmtId="9" fontId="6" fillId="0" borderId="26" xfId="8" applyFont="1" applyFill="1" applyBorder="1" applyAlignment="1" applyProtection="1">
      <alignment horizontal="center" vertical="center" wrapText="1"/>
      <protection locked="0"/>
    </xf>
    <xf numFmtId="9" fontId="6" fillId="0" borderId="24" xfId="8" applyFont="1" applyFill="1" applyBorder="1" applyAlignment="1" applyProtection="1">
      <alignment horizontal="center" vertical="center" wrapText="1"/>
      <protection locked="0"/>
    </xf>
    <xf numFmtId="9" fontId="6" fillId="0" borderId="9" xfId="8" applyFont="1" applyFill="1" applyBorder="1" applyAlignment="1" applyProtection="1">
      <alignment horizontal="center" vertical="center" wrapText="1"/>
      <protection locked="0"/>
    </xf>
    <xf numFmtId="9" fontId="6" fillId="0" borderId="27" xfId="8" applyFont="1" applyFill="1" applyBorder="1" applyAlignment="1" applyProtection="1">
      <alignment horizontal="center" vertical="center" wrapText="1"/>
      <protection locked="0"/>
    </xf>
    <xf numFmtId="9" fontId="6" fillId="0" borderId="11" xfId="8" applyFont="1" applyFill="1" applyBorder="1" applyAlignment="1" applyProtection="1">
      <alignment horizontal="center" vertical="center" wrapText="1"/>
      <protection locked="0"/>
    </xf>
    <xf numFmtId="167" fontId="11" fillId="0" borderId="1" xfId="9" applyNumberFormat="1" applyFont="1" applyFill="1" applyBorder="1" applyAlignment="1" applyProtection="1">
      <alignment horizontal="left" vertical="top"/>
      <protection locked="0"/>
    </xf>
    <xf numFmtId="1" fontId="9" fillId="0" borderId="2" xfId="1" applyNumberFormat="1" applyFont="1" applyBorder="1" applyAlignment="1" applyProtection="1">
      <alignment horizontal="center" vertical="top" wrapText="1"/>
      <protection locked="0"/>
    </xf>
    <xf numFmtId="1" fontId="9" fillId="0" borderId="15" xfId="1" applyNumberFormat="1" applyFont="1" applyBorder="1" applyAlignment="1" applyProtection="1">
      <alignment horizontal="center" vertical="top" wrapText="1"/>
      <protection locked="0"/>
    </xf>
    <xf numFmtId="0" fontId="7" fillId="0" borderId="15" xfId="1" applyFont="1" applyBorder="1" applyAlignment="1" applyProtection="1">
      <alignment horizontal="left" vertical="top"/>
      <protection locked="0"/>
    </xf>
    <xf numFmtId="0" fontId="6" fillId="0" borderId="4" xfId="1" applyFont="1" applyBorder="1" applyAlignment="1" applyProtection="1">
      <alignment horizontal="center" vertical="top" wrapText="1"/>
      <protection locked="0"/>
    </xf>
    <xf numFmtId="0" fontId="12" fillId="0" borderId="3" xfId="1" applyFont="1" applyBorder="1" applyAlignment="1" applyProtection="1">
      <alignment horizontal="left" vertical="top"/>
      <protection locked="0"/>
    </xf>
    <xf numFmtId="0" fontId="12" fillId="0" borderId="1" xfId="1" applyFont="1" applyBorder="1" applyAlignment="1" applyProtection="1">
      <alignment horizontal="left" vertical="top"/>
      <protection locked="0"/>
    </xf>
    <xf numFmtId="1" fontId="30" fillId="0" borderId="2" xfId="1" applyNumberFormat="1" applyFont="1" applyBorder="1" applyAlignment="1" applyProtection="1">
      <alignment horizontal="center" vertical="top" wrapText="1"/>
      <protection locked="0"/>
    </xf>
    <xf numFmtId="1" fontId="30" fillId="0" borderId="15" xfId="1" applyNumberFormat="1" applyFont="1" applyBorder="1" applyAlignment="1" applyProtection="1">
      <alignment horizontal="center" vertical="top" wrapText="1"/>
      <protection locked="0"/>
    </xf>
    <xf numFmtId="0" fontId="9" fillId="0" borderId="3" xfId="1" applyFont="1" applyBorder="1" applyAlignment="1" applyProtection="1">
      <alignment horizontal="left" vertical="top"/>
      <protection locked="0"/>
    </xf>
    <xf numFmtId="0" fontId="9" fillId="0" borderId="1" xfId="1" applyFont="1" applyBorder="1" applyAlignment="1" applyProtection="1">
      <alignment horizontal="left" vertical="top"/>
      <protection locked="0"/>
    </xf>
    <xf numFmtId="0" fontId="9" fillId="0" borderId="21" xfId="1" applyFont="1" applyBorder="1" applyAlignment="1" applyProtection="1">
      <alignment horizontal="left" vertical="top" wrapText="1"/>
      <protection locked="0"/>
    </xf>
    <xf numFmtId="0" fontId="9" fillId="0" borderId="14"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9" fillId="0" borderId="1" xfId="1" applyFont="1" applyBorder="1" applyAlignment="1" applyProtection="1">
      <alignment horizontal="left" vertical="top" wrapText="1"/>
      <protection locked="0"/>
    </xf>
    <xf numFmtId="0" fontId="9" fillId="0" borderId="4"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9" fillId="0" borderId="7" xfId="1" applyFont="1" applyBorder="1" applyAlignment="1" applyProtection="1">
      <alignment horizontal="left" vertical="top"/>
      <protection locked="0"/>
    </xf>
    <xf numFmtId="0" fontId="9" fillId="0" borderId="20" xfId="1" applyFont="1" applyBorder="1" applyAlignment="1" applyProtection="1">
      <alignment horizontal="left" vertical="top"/>
      <protection locked="0"/>
    </xf>
    <xf numFmtId="0" fontId="9" fillId="0" borderId="8" xfId="1" applyFont="1" applyBorder="1" applyAlignment="1" applyProtection="1">
      <alignment horizontal="left" vertical="top"/>
      <protection locked="0"/>
    </xf>
    <xf numFmtId="0" fontId="11" fillId="0" borderId="16" xfId="1" applyFont="1" applyBorder="1" applyAlignment="1" applyProtection="1">
      <alignment horizontal="left" vertical="top" wrapText="1"/>
      <protection locked="0"/>
    </xf>
    <xf numFmtId="0" fontId="11" fillId="0" borderId="23" xfId="1" applyFont="1" applyBorder="1" applyAlignment="1" applyProtection="1">
      <alignment horizontal="left" vertical="top" wrapText="1"/>
      <protection locked="0"/>
    </xf>
    <xf numFmtId="0" fontId="11" fillId="0" borderId="24"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6" fillId="0" borderId="1" xfId="1" applyFont="1" applyBorder="1" applyAlignment="1" applyProtection="1">
      <alignment horizontal="left" vertical="top"/>
      <protection locked="0"/>
    </xf>
    <xf numFmtId="0" fontId="5" fillId="0" borderId="20" xfId="1" applyFont="1" applyBorder="1" applyAlignment="1" applyProtection="1">
      <alignment horizontal="left" vertical="top" wrapText="1"/>
      <protection locked="0"/>
    </xf>
    <xf numFmtId="14" fontId="5" fillId="0" borderId="7" xfId="1" applyNumberFormat="1" applyFont="1" applyBorder="1" applyAlignment="1" applyProtection="1">
      <alignment horizontal="left" vertical="top" wrapText="1"/>
      <protection locked="0"/>
    </xf>
    <xf numFmtId="0" fontId="7" fillId="0" borderId="1" xfId="1" applyFont="1" applyBorder="1" applyAlignment="1" applyProtection="1">
      <alignment vertical="top"/>
      <protection locked="0"/>
    </xf>
    <xf numFmtId="0" fontId="11" fillId="0" borderId="1" xfId="1" applyFont="1" applyBorder="1" applyAlignment="1" applyProtection="1">
      <alignment horizontal="left" vertical="top" wrapText="1"/>
      <protection locked="0"/>
    </xf>
    <xf numFmtId="0" fontId="11" fillId="0" borderId="1" xfId="1" applyFont="1" applyBorder="1" applyAlignment="1" applyProtection="1">
      <alignment horizontal="left" vertical="top"/>
      <protection locked="0"/>
    </xf>
    <xf numFmtId="0" fontId="7" fillId="0" borderId="7" xfId="1" applyFont="1" applyBorder="1" applyAlignment="1" applyProtection="1">
      <alignment horizontal="left" vertical="top"/>
      <protection locked="0"/>
    </xf>
    <xf numFmtId="0" fontId="7" fillId="0" borderId="8" xfId="1" applyFont="1" applyBorder="1" applyAlignment="1" applyProtection="1">
      <alignment horizontal="left" vertical="top"/>
      <protection locked="0"/>
    </xf>
    <xf numFmtId="1" fontId="7" fillId="0" borderId="32" xfId="0" applyNumberFormat="1" applyFont="1" applyBorder="1" applyAlignment="1" applyProtection="1">
      <alignment horizontal="center" vertical="top" wrapText="1"/>
      <protection locked="0"/>
    </xf>
    <xf numFmtId="1" fontId="7" fillId="0" borderId="33" xfId="0" applyNumberFormat="1" applyFont="1" applyBorder="1" applyAlignment="1" applyProtection="1">
      <alignment horizontal="center" vertical="top" wrapText="1"/>
      <protection locked="0"/>
    </xf>
    <xf numFmtId="0" fontId="5" fillId="0" borderId="7" xfId="1" applyFont="1" applyBorder="1" applyAlignment="1" applyProtection="1">
      <alignment vertical="top" wrapText="1"/>
      <protection locked="0"/>
    </xf>
    <xf numFmtId="0" fontId="5" fillId="0" borderId="20" xfId="1" applyFont="1" applyBorder="1" applyAlignment="1" applyProtection="1">
      <alignment vertical="top" wrapText="1"/>
      <protection locked="0"/>
    </xf>
    <xf numFmtId="0" fontId="5" fillId="0" borderId="8" xfId="1" applyFont="1" applyBorder="1" applyAlignment="1" applyProtection="1">
      <alignment vertical="top" wrapText="1"/>
      <protection locked="0"/>
    </xf>
    <xf numFmtId="0" fontId="6" fillId="0" borderId="1" xfId="1" applyFont="1" applyBorder="1" applyAlignment="1" applyProtection="1">
      <alignment horizontal="left" vertical="top" wrapText="1"/>
      <protection locked="0"/>
    </xf>
    <xf numFmtId="0" fontId="11" fillId="0" borderId="17" xfId="1" applyFont="1" applyBorder="1" applyAlignment="1" applyProtection="1">
      <alignment horizontal="left" vertical="top" wrapText="1"/>
      <protection locked="0"/>
    </xf>
    <xf numFmtId="0" fontId="7" fillId="0" borderId="15" xfId="1" applyFont="1" applyBorder="1" applyAlignment="1" applyProtection="1">
      <alignment horizontal="center" vertical="top"/>
      <protection locked="0"/>
    </xf>
    <xf numFmtId="0" fontId="9" fillId="0" borderId="12" xfId="1" applyFont="1" applyBorder="1" applyAlignment="1" applyProtection="1">
      <alignment horizontal="left" vertical="top" wrapText="1"/>
      <protection locked="0"/>
    </xf>
    <xf numFmtId="0" fontId="9" fillId="0" borderId="13" xfId="1" applyFont="1" applyBorder="1" applyAlignment="1" applyProtection="1">
      <alignment horizontal="left" vertical="top" wrapText="1"/>
      <protection locked="0"/>
    </xf>
    <xf numFmtId="0" fontId="9" fillId="0" borderId="22" xfId="1" applyFont="1" applyBorder="1" applyAlignment="1" applyProtection="1">
      <alignment horizontal="left" vertical="top" wrapText="1"/>
      <protection locked="0"/>
    </xf>
    <xf numFmtId="0" fontId="7" fillId="0" borderId="1" xfId="1" applyFont="1" applyBorder="1" applyAlignment="1" applyProtection="1">
      <alignment horizontal="left" vertical="top"/>
      <protection locked="0"/>
    </xf>
    <xf numFmtId="0" fontId="6" fillId="0" borderId="0" xfId="1" applyFont="1" applyAlignment="1">
      <alignment horizontal="center" vertical="center"/>
    </xf>
    <xf numFmtId="0" fontId="7" fillId="0" borderId="21" xfId="1" applyFont="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0" fontId="7" fillId="0" borderId="13" xfId="1" applyFont="1" applyBorder="1" applyAlignment="1" applyProtection="1">
      <alignment horizontal="left" vertical="top" wrapText="1"/>
      <protection locked="0"/>
    </xf>
    <xf numFmtId="0" fontId="7" fillId="0" borderId="22" xfId="1" applyFont="1" applyBorder="1" applyAlignment="1" applyProtection="1">
      <alignment horizontal="left" vertical="top" wrapText="1"/>
      <protection locked="0"/>
    </xf>
    <xf numFmtId="1" fontId="7" fillId="0" borderId="7" xfId="1" applyNumberFormat="1" applyFont="1" applyBorder="1" applyAlignment="1" applyProtection="1">
      <alignment horizontal="center" vertical="center" wrapText="1"/>
      <protection locked="0"/>
    </xf>
    <xf numFmtId="1" fontId="7" fillId="0" borderId="20" xfId="1" applyNumberFormat="1" applyFont="1" applyBorder="1" applyAlignment="1" applyProtection="1">
      <alignment horizontal="center" vertical="center" wrapText="1"/>
      <protection locked="0"/>
    </xf>
    <xf numFmtId="1" fontId="7" fillId="0" borderId="8" xfId="1" applyNumberFormat="1" applyFont="1" applyBorder="1" applyAlignment="1" applyProtection="1">
      <alignment horizontal="center" vertical="center" wrapText="1"/>
      <protection locked="0"/>
    </xf>
    <xf numFmtId="0" fontId="25" fillId="0" borderId="1" xfId="10" applyFill="1" applyBorder="1" applyAlignment="1" applyProtection="1">
      <alignment horizontal="left" vertical="top" wrapText="1"/>
      <protection locked="0"/>
    </xf>
    <xf numFmtId="0" fontId="11" fillId="0" borderId="1" xfId="1" applyFont="1" applyBorder="1" applyAlignment="1" applyProtection="1">
      <alignment horizontal="center"/>
      <protection locked="0"/>
    </xf>
    <xf numFmtId="0" fontId="11" fillId="0" borderId="7" xfId="1" applyFont="1" applyBorder="1" applyAlignment="1" applyProtection="1">
      <alignment horizontal="center" vertical="top"/>
      <protection locked="0"/>
    </xf>
    <xf numFmtId="0" fontId="11" fillId="0" borderId="20" xfId="1" applyFont="1" applyBorder="1" applyAlignment="1" applyProtection="1">
      <alignment horizontal="center" vertical="top"/>
      <protection locked="0"/>
    </xf>
    <xf numFmtId="0" fontId="11" fillId="0" borderId="8" xfId="1" applyFont="1" applyBorder="1" applyAlignment="1" applyProtection="1">
      <alignment horizontal="center" vertical="top"/>
      <protection locked="0"/>
    </xf>
    <xf numFmtId="2" fontId="5" fillId="0" borderId="1" xfId="1" applyNumberFormat="1" applyFont="1" applyBorder="1" applyAlignment="1" applyProtection="1">
      <alignment horizontal="left" vertical="top" wrapText="1"/>
      <protection locked="0"/>
    </xf>
    <xf numFmtId="9" fontId="6" fillId="0" borderId="17" xfId="8" applyFont="1" applyFill="1" applyBorder="1" applyAlignment="1" applyProtection="1">
      <alignment horizontal="center" vertical="center" wrapText="1"/>
      <protection locked="0"/>
    </xf>
    <xf numFmtId="9" fontId="6" fillId="0" borderId="25" xfId="8" applyFont="1" applyFill="1" applyBorder="1" applyAlignment="1" applyProtection="1">
      <alignment horizontal="center" vertical="center" wrapText="1"/>
      <protection locked="0"/>
    </xf>
    <xf numFmtId="9" fontId="6" fillId="0" borderId="28" xfId="8" applyFont="1" applyFill="1" applyBorder="1" applyAlignment="1" applyProtection="1">
      <alignment horizontal="center" vertical="center" wrapText="1"/>
      <protection locked="0"/>
    </xf>
    <xf numFmtId="1" fontId="5" fillId="0" borderId="1" xfId="1" applyNumberFormat="1" applyFont="1" applyBorder="1" applyAlignment="1" applyProtection="1">
      <alignment horizontal="left" vertical="top" wrapText="1"/>
      <protection locked="0"/>
    </xf>
    <xf numFmtId="164" fontId="5" fillId="0" borderId="1" xfId="1" applyNumberFormat="1" applyFont="1" applyBorder="1" applyAlignment="1" applyProtection="1">
      <alignment horizontal="left" vertical="top"/>
      <protection locked="0"/>
    </xf>
    <xf numFmtId="2" fontId="5" fillId="0" borderId="1" xfId="1" applyNumberFormat="1" applyFont="1" applyBorder="1" applyAlignment="1" applyProtection="1">
      <alignment horizontal="left" vertical="top"/>
      <protection locked="0"/>
    </xf>
    <xf numFmtId="0" fontId="12" fillId="0" borderId="7" xfId="1" applyFont="1" applyBorder="1" applyAlignment="1" applyProtection="1">
      <alignment horizontal="center" vertical="top"/>
      <protection locked="0"/>
    </xf>
    <xf numFmtId="0" fontId="12" fillId="0" borderId="20" xfId="1" applyFont="1" applyBorder="1" applyAlignment="1" applyProtection="1">
      <alignment horizontal="center" vertical="top"/>
      <protection locked="0"/>
    </xf>
    <xf numFmtId="0" fontId="12" fillId="0" borderId="8" xfId="1" applyFont="1" applyBorder="1" applyAlignment="1" applyProtection="1">
      <alignment horizontal="center" vertical="top"/>
      <protection locked="0"/>
    </xf>
    <xf numFmtId="0" fontId="12" fillId="0" borderId="1" xfId="1" applyFont="1" applyBorder="1" applyAlignment="1" applyProtection="1">
      <alignment horizontal="center"/>
      <protection locked="0"/>
    </xf>
    <xf numFmtId="0" fontId="6" fillId="0" borderId="1" xfId="1" applyFont="1" applyBorder="1" applyAlignment="1" applyProtection="1">
      <alignment horizontal="left"/>
      <protection locked="0"/>
    </xf>
    <xf numFmtId="0" fontId="10" fillId="0" borderId="1" xfId="1" applyFont="1" applyBorder="1" applyAlignment="1" applyProtection="1">
      <alignment horizontal="center" vertical="top" wrapText="1"/>
      <protection locked="0"/>
    </xf>
    <xf numFmtId="0" fontId="7" fillId="0" borderId="1" xfId="1" applyFont="1" applyBorder="1" applyAlignment="1" applyProtection="1">
      <alignment horizontal="center" vertical="top"/>
      <protection locked="0"/>
    </xf>
    <xf numFmtId="14" fontId="11" fillId="0" borderId="1" xfId="1" applyNumberFormat="1" applyFont="1" applyBorder="1" applyAlignment="1" applyProtection="1">
      <alignment horizontal="left" vertical="top"/>
      <protection locked="0"/>
    </xf>
    <xf numFmtId="0" fontId="12" fillId="0" borderId="1" xfId="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0" fontId="15" fillId="0" borderId="1" xfId="1" applyFont="1" applyBorder="1" applyAlignment="1" applyProtection="1">
      <alignment horizontal="center" vertical="top" wrapText="1"/>
      <protection locked="0"/>
    </xf>
    <xf numFmtId="167" fontId="6" fillId="0" borderId="1" xfId="9" applyNumberFormat="1" applyFont="1" applyFill="1" applyBorder="1" applyAlignment="1" applyProtection="1">
      <alignment horizontal="left" vertical="top"/>
      <protection locked="0"/>
    </xf>
    <xf numFmtId="1" fontId="7" fillId="0" borderId="1" xfId="1"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top" wrapText="1"/>
      <protection locked="0"/>
    </xf>
    <xf numFmtId="1" fontId="5" fillId="0" borderId="20" xfId="1"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top" wrapText="1"/>
      <protection locked="0"/>
    </xf>
    <xf numFmtId="0" fontId="9" fillId="0" borderId="15" xfId="1" applyFont="1" applyBorder="1" applyAlignment="1" applyProtection="1">
      <alignment horizontal="center" vertical="top"/>
      <protection locked="0"/>
    </xf>
    <xf numFmtId="1" fontId="9" fillId="0" borderId="16" xfId="1" applyNumberFormat="1" applyFont="1" applyBorder="1" applyAlignment="1" applyProtection="1">
      <alignment horizontal="center" vertical="top" wrapText="1"/>
      <protection locked="0"/>
    </xf>
    <xf numFmtId="1" fontId="9" fillId="0" borderId="18" xfId="1" applyNumberFormat="1" applyFont="1" applyBorder="1" applyAlignment="1" applyProtection="1">
      <alignment horizontal="center" vertical="top" wrapText="1"/>
      <protection locked="0"/>
    </xf>
    <xf numFmtId="1" fontId="9" fillId="0" borderId="7" xfId="0" applyNumberFormat="1" applyFont="1" applyBorder="1" applyAlignment="1" applyProtection="1">
      <alignment vertical="top" wrapText="1"/>
      <protection locked="0"/>
    </xf>
    <xf numFmtId="1" fontId="9" fillId="0" borderId="20" xfId="0" applyNumberFormat="1" applyFont="1" applyBorder="1" applyAlignment="1" applyProtection="1">
      <alignment vertical="top" wrapText="1"/>
      <protection locked="0"/>
    </xf>
    <xf numFmtId="1" fontId="9" fillId="0" borderId="8" xfId="0" applyNumberFormat="1" applyFont="1" applyBorder="1" applyAlignment="1" applyProtection="1">
      <alignment vertical="top" wrapText="1"/>
      <protection locked="0"/>
    </xf>
    <xf numFmtId="1" fontId="7" fillId="0" borderId="31" xfId="0" applyNumberFormat="1" applyFont="1" applyBorder="1" applyAlignment="1" applyProtection="1">
      <alignment horizontal="center" vertical="center" wrapText="1"/>
      <protection locked="0"/>
    </xf>
    <xf numFmtId="1" fontId="7" fillId="0" borderId="32" xfId="0" applyNumberFormat="1" applyFont="1" applyBorder="1" applyAlignment="1" applyProtection="1">
      <alignment horizontal="center" vertical="center" wrapText="1"/>
      <protection locked="0"/>
    </xf>
    <xf numFmtId="0" fontId="9" fillId="0" borderId="32" xfId="0" applyFont="1" applyBorder="1" applyAlignment="1" applyProtection="1">
      <alignment horizontal="center" vertical="center"/>
      <protection locked="0"/>
    </xf>
    <xf numFmtId="1" fontId="9" fillId="0" borderId="32" xfId="0" applyNumberFormat="1" applyFont="1" applyBorder="1" applyAlignment="1" applyProtection="1">
      <alignment horizontal="center" vertical="top" wrapText="1"/>
      <protection locked="0"/>
    </xf>
    <xf numFmtId="1" fontId="12" fillId="0" borderId="7" xfId="0" applyNumberFormat="1" applyFont="1" applyBorder="1" applyAlignment="1" applyProtection="1">
      <alignment vertical="top" wrapText="1"/>
      <protection locked="0"/>
    </xf>
    <xf numFmtId="1" fontId="12" fillId="0" borderId="20" xfId="0" applyNumberFormat="1" applyFont="1" applyBorder="1" applyAlignment="1" applyProtection="1">
      <alignment vertical="top" wrapText="1"/>
      <protection locked="0"/>
    </xf>
    <xf numFmtId="1" fontId="12" fillId="0" borderId="8" xfId="0" applyNumberFormat="1" applyFont="1" applyBorder="1" applyAlignment="1" applyProtection="1">
      <alignment vertical="top" wrapText="1"/>
      <protection locked="0"/>
    </xf>
    <xf numFmtId="1" fontId="7" fillId="0" borderId="1" xfId="0" applyNumberFormat="1" applyFont="1" applyBorder="1" applyAlignment="1" applyProtection="1">
      <alignment horizontal="left" vertical="top" wrapText="1"/>
      <protection locked="0"/>
    </xf>
    <xf numFmtId="0" fontId="5" fillId="0" borderId="1" xfId="1" applyFont="1" applyBorder="1" applyAlignment="1" applyProtection="1">
      <alignment vertical="top"/>
      <protection locked="0"/>
    </xf>
    <xf numFmtId="0" fontId="6" fillId="0" borderId="24" xfId="1" applyFont="1" applyBorder="1" applyAlignment="1">
      <alignment horizontal="center"/>
    </xf>
    <xf numFmtId="0" fontId="6" fillId="0" borderId="0" xfId="1" applyFont="1" applyAlignment="1">
      <alignment horizontal="center"/>
    </xf>
    <xf numFmtId="0" fontId="9" fillId="0" borderId="1" xfId="1" applyFont="1" applyBorder="1" applyAlignment="1" applyProtection="1">
      <alignment horizontal="center" vertical="top"/>
      <protection locked="0"/>
    </xf>
    <xf numFmtId="0" fontId="7" fillId="0" borderId="7" xfId="1" applyFont="1" applyBorder="1" applyAlignment="1" applyProtection="1">
      <alignment horizontal="left" vertical="top" wrapText="1"/>
      <protection locked="0"/>
    </xf>
    <xf numFmtId="0" fontId="7" fillId="0" borderId="8"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0" fontId="14" fillId="0" borderId="16" xfId="1"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18" xfId="1" applyFont="1" applyBorder="1" applyAlignment="1" applyProtection="1">
      <alignment horizontal="left" vertical="top" wrapText="1"/>
      <protection locked="0"/>
    </xf>
    <xf numFmtId="0" fontId="14" fillId="0" borderId="19" xfId="1" applyFont="1" applyBorder="1" applyAlignment="1" applyProtection="1">
      <alignment horizontal="left" vertical="top" wrapText="1"/>
      <protection locked="0"/>
    </xf>
    <xf numFmtId="0" fontId="5" fillId="0" borderId="16" xfId="1" applyFont="1" applyBorder="1" applyAlignment="1" applyProtection="1">
      <alignment horizontal="left" vertical="top" wrapText="1"/>
      <protection locked="0"/>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1" fontId="7" fillId="0" borderId="1" xfId="1" applyNumberFormat="1" applyFont="1" applyFill="1" applyBorder="1" applyAlignment="1" applyProtection="1">
      <alignment horizontal="center" vertical="center" wrapText="1"/>
      <protection locked="0"/>
    </xf>
    <xf numFmtId="0" fontId="8" fillId="0" borderId="1" xfId="5" applyFont="1" applyBorder="1" applyAlignment="1">
      <alignment horizontal="left"/>
    </xf>
    <xf numFmtId="0" fontId="23" fillId="2" borderId="14" xfId="0" applyFont="1" applyFill="1" applyBorder="1"/>
    <xf numFmtId="0" fontId="24" fillId="0" borderId="8" xfId="0" applyFont="1" applyBorder="1"/>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23.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8</xdr:col>
      <xdr:colOff>379758</xdr:colOff>
      <xdr:row>15</xdr:row>
      <xdr:rowOff>515179</xdr:rowOff>
    </xdr:from>
    <xdr:to>
      <xdr:col>11</xdr:col>
      <xdr:colOff>74508</xdr:colOff>
      <xdr:row>17</xdr:row>
      <xdr:rowOff>124281</xdr:rowOff>
    </xdr:to>
    <xdr:pic>
      <xdr:nvPicPr>
        <xdr:cNvPr id="2" name="Picture 1"/>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699388" y="3911049"/>
          <a:ext cx="3595859" cy="429080"/>
        </a:xfrm>
        <a:prstGeom prst="rect">
          <a:avLst/>
        </a:prstGeom>
        <a:ln>
          <a:solidFill>
            <a:schemeClr val="tx1"/>
          </a:solidFill>
        </a:ln>
      </xdr:spPr>
    </xdr:pic>
    <xdr:clientData/>
  </xdr:twoCellAnchor>
  <xdr:twoCellAnchor editAs="oneCell">
    <xdr:from>
      <xdr:col>8</xdr:col>
      <xdr:colOff>847725</xdr:colOff>
      <xdr:row>47</xdr:row>
      <xdr:rowOff>0</xdr:rowOff>
    </xdr:from>
    <xdr:to>
      <xdr:col>10</xdr:col>
      <xdr:colOff>1443675</xdr:colOff>
      <xdr:row>51</xdr:row>
      <xdr:rowOff>61479</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7162800" y="10439400"/>
          <a:ext cx="2520000" cy="1090179"/>
        </a:xfrm>
        <a:prstGeom prst="rect">
          <a:avLst/>
        </a:prstGeom>
        <a:ln>
          <a:solidFill>
            <a:schemeClr val="tx1"/>
          </a:solidFill>
        </a:ln>
      </xdr:spPr>
    </xdr:pic>
    <xdr:clientData/>
  </xdr:twoCellAnchor>
  <xdr:twoCellAnchor editAs="oneCell">
    <xdr:from>
      <xdr:col>8</xdr:col>
      <xdr:colOff>530087</xdr:colOff>
      <xdr:row>52</xdr:row>
      <xdr:rowOff>74544</xdr:rowOff>
    </xdr:from>
    <xdr:to>
      <xdr:col>11</xdr:col>
      <xdr:colOff>227321</xdr:colOff>
      <xdr:row>52</xdr:row>
      <xdr:rowOff>396194</xdr:rowOff>
    </xdr:to>
    <xdr:pic>
      <xdr:nvPicPr>
        <xdr:cNvPr id="4" name="Picture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849717" y="11695044"/>
          <a:ext cx="3598343" cy="321650"/>
        </a:xfrm>
        <a:prstGeom prst="rect">
          <a:avLst/>
        </a:prstGeom>
        <a:ln>
          <a:solidFill>
            <a:schemeClr val="tx1"/>
          </a:solidFill>
        </a:ln>
      </xdr:spPr>
    </xdr:pic>
    <xdr:clientData/>
  </xdr:twoCellAnchor>
  <xdr:twoCellAnchor editAs="oneCell">
    <xdr:from>
      <xdr:col>2</xdr:col>
      <xdr:colOff>63601</xdr:colOff>
      <xdr:row>404</xdr:row>
      <xdr:rowOff>46630</xdr:rowOff>
    </xdr:from>
    <xdr:to>
      <xdr:col>4</xdr:col>
      <xdr:colOff>701777</xdr:colOff>
      <xdr:row>420</xdr:row>
      <xdr:rowOff>18054</xdr:rowOff>
    </xdr:to>
    <xdr:pic>
      <xdr:nvPicPr>
        <xdr:cNvPr id="6" name="Picture 5"/>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625701" y="65083330"/>
          <a:ext cx="2400301" cy="3171825"/>
        </a:xfrm>
        <a:prstGeom prst="rect">
          <a:avLst/>
        </a:prstGeom>
        <a:ln>
          <a:solidFill>
            <a:schemeClr val="tx1"/>
          </a:solidFill>
        </a:ln>
      </xdr:spPr>
    </xdr:pic>
    <xdr:clientData/>
  </xdr:twoCellAnchor>
  <xdr:twoCellAnchor>
    <xdr:from>
      <xdr:col>1</xdr:col>
      <xdr:colOff>223630</xdr:colOff>
      <xdr:row>390</xdr:row>
      <xdr:rowOff>8282</xdr:rowOff>
    </xdr:from>
    <xdr:to>
      <xdr:col>5</xdr:col>
      <xdr:colOff>672879</xdr:colOff>
      <xdr:row>401</xdr:row>
      <xdr:rowOff>994</xdr:rowOff>
    </xdr:to>
    <xdr:grpSp>
      <xdr:nvGrpSpPr>
        <xdr:cNvPr id="22" name="Group 21"/>
        <xdr:cNvGrpSpPr/>
      </xdr:nvGrpSpPr>
      <xdr:grpSpPr>
        <a:xfrm>
          <a:off x="1023730" y="68715282"/>
          <a:ext cx="3954449" cy="2158062"/>
          <a:chOff x="1148066" y="3487298"/>
          <a:chExt cx="3787140" cy="2179320"/>
        </a:xfrm>
      </xdr:grpSpPr>
      <xdr:pic>
        <xdr:nvPicPr>
          <xdr:cNvPr id="23" name="Picture 22"/>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148066" y="3487298"/>
            <a:ext cx="3787140" cy="2179320"/>
          </a:xfrm>
          <a:prstGeom prst="rect">
            <a:avLst/>
          </a:prstGeom>
          <a:ln>
            <a:solidFill>
              <a:schemeClr val="tx1"/>
            </a:solidFill>
          </a:ln>
        </xdr:spPr>
      </xdr:pic>
      <xdr:sp macro="" textlink="">
        <xdr:nvSpPr>
          <xdr:cNvPr id="24" name="Rectangle 23"/>
          <xdr:cNvSpPr/>
        </xdr:nvSpPr>
        <xdr:spPr>
          <a:xfrm>
            <a:off x="1898650" y="4292600"/>
            <a:ext cx="765175" cy="3587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5" name="TextBox 31"/>
          <xdr:cNvSpPr txBox="1"/>
        </xdr:nvSpPr>
        <xdr:spPr>
          <a:xfrm>
            <a:off x="1797050" y="4077096"/>
            <a:ext cx="902811" cy="24622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00" b="1">
                <a:solidFill>
                  <a:srgbClr val="FF0000"/>
                </a:solidFill>
              </a:rPr>
              <a:t>Building No.1</a:t>
            </a:r>
            <a:endParaRPr lang="en-IN" sz="1000" b="1">
              <a:solidFill>
                <a:srgbClr val="FF0000"/>
              </a:solidFill>
            </a:endParaRPr>
          </a:p>
        </xdr:txBody>
      </xdr:sp>
      <xdr:sp macro="" textlink="">
        <xdr:nvSpPr>
          <xdr:cNvPr id="26" name="Rectangle 25"/>
          <xdr:cNvSpPr/>
        </xdr:nvSpPr>
        <xdr:spPr>
          <a:xfrm>
            <a:off x="2685270" y="4291705"/>
            <a:ext cx="1105680" cy="35877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7" name="Rectangle 26"/>
          <xdr:cNvSpPr/>
        </xdr:nvSpPr>
        <xdr:spPr>
          <a:xfrm>
            <a:off x="3041636" y="4077096"/>
            <a:ext cx="902811" cy="24622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00" b="1">
                <a:solidFill>
                  <a:srgbClr val="FF0000"/>
                </a:solidFill>
              </a:rPr>
              <a:t>Building No.2</a:t>
            </a:r>
            <a:endParaRPr lang="en-IN" sz="1000" b="1">
              <a:solidFill>
                <a:srgbClr val="FF0000"/>
              </a:solidFill>
            </a:endParaRPr>
          </a:p>
        </xdr:txBody>
      </xdr:sp>
    </xdr:grpSp>
    <xdr:clientData/>
  </xdr:twoCellAnchor>
  <xdr:twoCellAnchor editAs="oneCell">
    <xdr:from>
      <xdr:col>8</xdr:col>
      <xdr:colOff>289892</xdr:colOff>
      <xdr:row>62</xdr:row>
      <xdr:rowOff>33131</xdr:rowOff>
    </xdr:from>
    <xdr:to>
      <xdr:col>10</xdr:col>
      <xdr:colOff>1968326</xdr:colOff>
      <xdr:row>63</xdr:row>
      <xdr:rowOff>18178</xdr:rowOff>
    </xdr:to>
    <xdr:pic>
      <xdr:nvPicPr>
        <xdr:cNvPr id="45" name="Picture 44"/>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a:stretch/>
      </xdr:blipFill>
      <xdr:spPr>
        <a:xfrm>
          <a:off x="6609522" y="12473609"/>
          <a:ext cx="3600000" cy="183830"/>
        </a:xfrm>
        <a:prstGeom prst="rect">
          <a:avLst/>
        </a:prstGeom>
        <a:ln>
          <a:solidFill>
            <a:schemeClr val="tx1"/>
          </a:solidFill>
        </a:ln>
      </xdr:spPr>
    </xdr:pic>
    <xdr:clientData/>
  </xdr:twoCellAnchor>
  <xdr:twoCellAnchor editAs="oneCell">
    <xdr:from>
      <xdr:col>8</xdr:col>
      <xdr:colOff>538370</xdr:colOff>
      <xdr:row>134</xdr:row>
      <xdr:rowOff>16566</xdr:rowOff>
    </xdr:from>
    <xdr:to>
      <xdr:col>10</xdr:col>
      <xdr:colOff>1136804</xdr:colOff>
      <xdr:row>138</xdr:row>
      <xdr:rowOff>103181</xdr:rowOff>
    </xdr:to>
    <xdr:pic>
      <xdr:nvPicPr>
        <xdr:cNvPr id="46" name="Picture 4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6858000" y="25005196"/>
          <a:ext cx="2520000" cy="890028"/>
        </a:xfrm>
        <a:prstGeom prst="rect">
          <a:avLst/>
        </a:prstGeom>
        <a:ln>
          <a:solidFill>
            <a:schemeClr val="tx1"/>
          </a:solidFill>
        </a:ln>
      </xdr:spPr>
    </xdr:pic>
    <xdr:clientData/>
  </xdr:twoCellAnchor>
  <xdr:twoCellAnchor>
    <xdr:from>
      <xdr:col>1</xdr:col>
      <xdr:colOff>412474</xdr:colOff>
      <xdr:row>421</xdr:row>
      <xdr:rowOff>129209</xdr:rowOff>
    </xdr:from>
    <xdr:to>
      <xdr:col>5</xdr:col>
      <xdr:colOff>431525</xdr:colOff>
      <xdr:row>433</xdr:row>
      <xdr:rowOff>119683</xdr:rowOff>
    </xdr:to>
    <xdr:grpSp>
      <xdr:nvGrpSpPr>
        <xdr:cNvPr id="48" name="Group 47"/>
        <xdr:cNvGrpSpPr/>
      </xdr:nvGrpSpPr>
      <xdr:grpSpPr>
        <a:xfrm>
          <a:off x="1212574" y="74938559"/>
          <a:ext cx="3524251" cy="2352674"/>
          <a:chOff x="1174474" y="67988622"/>
          <a:chExt cx="3356942" cy="2375865"/>
        </a:xfrm>
      </xdr:grpSpPr>
      <xdr:grpSp>
        <xdr:nvGrpSpPr>
          <xdr:cNvPr id="5" name="Group 4"/>
          <xdr:cNvGrpSpPr/>
        </xdr:nvGrpSpPr>
        <xdr:grpSpPr>
          <a:xfrm>
            <a:off x="1174474" y="67988622"/>
            <a:ext cx="3356942" cy="2375865"/>
            <a:chOff x="2126499" y="2811937"/>
            <a:chExt cx="3362326" cy="2390774"/>
          </a:xfrm>
        </xdr:grpSpPr>
        <xdr:pic>
          <xdr:nvPicPr>
            <xdr:cNvPr id="7" name="Picture 6"/>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2126499" y="2811937"/>
              <a:ext cx="3362326" cy="2390774"/>
            </a:xfrm>
            <a:prstGeom prst="rect">
              <a:avLst/>
            </a:prstGeom>
            <a:ln>
              <a:solidFill>
                <a:schemeClr val="tx1"/>
              </a:solidFill>
            </a:ln>
          </xdr:spPr>
        </xdr:pic>
        <xdr:sp macro="" textlink="">
          <xdr:nvSpPr>
            <xdr:cNvPr id="8" name="Rectangle 7"/>
            <xdr:cNvSpPr/>
          </xdr:nvSpPr>
          <xdr:spPr>
            <a:xfrm rot="19766394">
              <a:off x="2529917" y="4007589"/>
              <a:ext cx="1857270" cy="64258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sp macro="" textlink="">
        <xdr:nvSpPr>
          <xdr:cNvPr id="47" name="TextBox 46"/>
          <xdr:cNvSpPr txBox="1"/>
        </xdr:nvSpPr>
        <xdr:spPr>
          <a:xfrm rot="19938512">
            <a:off x="2154036" y="68870667"/>
            <a:ext cx="700991" cy="247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000" b="1">
                <a:solidFill>
                  <a:srgbClr val="FF0000"/>
                </a:solidFill>
              </a:rPr>
              <a:t>PLot</a:t>
            </a:r>
            <a:r>
              <a:rPr lang="en-IN" sz="1000" b="1" baseline="0">
                <a:solidFill>
                  <a:srgbClr val="FF0000"/>
                </a:solidFill>
              </a:rPr>
              <a:t> </a:t>
            </a:r>
            <a:r>
              <a:rPr lang="en-IN" sz="1000" b="1">
                <a:solidFill>
                  <a:srgbClr val="FF0000"/>
                </a:solidFill>
              </a:rPr>
              <a:t>No.1</a:t>
            </a:r>
          </a:p>
        </xdr:txBody>
      </xdr:sp>
    </xdr:grpSp>
    <xdr:clientData/>
  </xdr:twoCellAnchor>
  <xdr:twoCellAnchor>
    <xdr:from>
      <xdr:col>1</xdr:col>
      <xdr:colOff>123825</xdr:colOff>
      <xdr:row>361</xdr:row>
      <xdr:rowOff>57150</xdr:rowOff>
    </xdr:from>
    <xdr:to>
      <xdr:col>5</xdr:col>
      <xdr:colOff>733425</xdr:colOff>
      <xdr:row>388</xdr:row>
      <xdr:rowOff>114300</xdr:rowOff>
    </xdr:to>
    <xdr:grpSp>
      <xdr:nvGrpSpPr>
        <xdr:cNvPr id="10" name="Group 9"/>
        <xdr:cNvGrpSpPr/>
      </xdr:nvGrpSpPr>
      <xdr:grpSpPr>
        <a:xfrm>
          <a:off x="923925" y="63055500"/>
          <a:ext cx="4114800" cy="5372100"/>
          <a:chOff x="885825" y="56617791"/>
          <a:chExt cx="3949303" cy="5522118"/>
        </a:xfrm>
      </xdr:grpSpPr>
      <xdr:grpSp>
        <xdr:nvGrpSpPr>
          <xdr:cNvPr id="12" name="Group 11"/>
          <xdr:cNvGrpSpPr/>
        </xdr:nvGrpSpPr>
        <xdr:grpSpPr>
          <a:xfrm>
            <a:off x="885825" y="56617791"/>
            <a:ext cx="3949303" cy="5522118"/>
            <a:chOff x="1659417" y="2519710"/>
            <a:chExt cx="3952875" cy="5457825"/>
          </a:xfrm>
        </xdr:grpSpPr>
        <xdr:pic>
          <xdr:nvPicPr>
            <xdr:cNvPr id="13" name="Picture 12"/>
            <xdr:cNvPicPr>
              <a:picLocks noChangeAspect="1"/>
            </xdr:cNvPicPr>
          </xdr:nvPicPr>
          <xdr:blipFill>
            <a:blip xmlns:r="http://schemas.openxmlformats.org/officeDocument/2006/relationships" r:embed="rId9"/>
            <a:stretch>
              <a:fillRect/>
            </a:stretch>
          </xdr:blipFill>
          <xdr:spPr>
            <a:xfrm>
              <a:off x="1659417" y="2519710"/>
              <a:ext cx="3952875" cy="5457825"/>
            </a:xfrm>
            <a:prstGeom prst="rect">
              <a:avLst/>
            </a:prstGeom>
            <a:ln>
              <a:solidFill>
                <a:schemeClr val="tx1"/>
              </a:solidFill>
            </a:ln>
          </xdr:spPr>
        </xdr:pic>
        <xdr:sp macro="" textlink="">
          <xdr:nvSpPr>
            <xdr:cNvPr id="14" name="Freeform 13"/>
            <xdr:cNvSpPr/>
          </xdr:nvSpPr>
          <xdr:spPr>
            <a:xfrm>
              <a:off x="3737455" y="4562823"/>
              <a:ext cx="307975" cy="273050"/>
            </a:xfrm>
            <a:custGeom>
              <a:avLst/>
              <a:gdLst>
                <a:gd name="connsiteX0" fmla="*/ 117475 w 307975"/>
                <a:gd name="connsiteY0" fmla="*/ 0 h 273050"/>
                <a:gd name="connsiteX1" fmla="*/ 117475 w 307975"/>
                <a:gd name="connsiteY1" fmla="*/ 0 h 273050"/>
                <a:gd name="connsiteX2" fmla="*/ 114300 w 307975"/>
                <a:gd name="connsiteY2" fmla="*/ 73025 h 273050"/>
                <a:gd name="connsiteX3" fmla="*/ 107950 w 307975"/>
                <a:gd name="connsiteY3" fmla="*/ 82550 h 273050"/>
                <a:gd name="connsiteX4" fmla="*/ 101600 w 307975"/>
                <a:gd name="connsiteY4" fmla="*/ 101600 h 273050"/>
                <a:gd name="connsiteX5" fmla="*/ 101600 w 307975"/>
                <a:gd name="connsiteY5" fmla="*/ 101600 h 273050"/>
                <a:gd name="connsiteX6" fmla="*/ 0 w 307975"/>
                <a:gd name="connsiteY6" fmla="*/ 225425 h 273050"/>
                <a:gd name="connsiteX7" fmla="*/ 28575 w 307975"/>
                <a:gd name="connsiteY7" fmla="*/ 273050 h 273050"/>
                <a:gd name="connsiteX8" fmla="*/ 307975 w 307975"/>
                <a:gd name="connsiteY8" fmla="*/ 107950 h 273050"/>
                <a:gd name="connsiteX9" fmla="*/ 288925 w 307975"/>
                <a:gd name="connsiteY9" fmla="*/ 66675 h 273050"/>
                <a:gd name="connsiteX10" fmla="*/ 292100 w 307975"/>
                <a:gd name="connsiteY10" fmla="*/ 53975 h 273050"/>
                <a:gd name="connsiteX11" fmla="*/ 117475 w 307975"/>
                <a:gd name="connsiteY11" fmla="*/ 0 h 2730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07975" h="273050">
                  <a:moveTo>
                    <a:pt x="117475" y="0"/>
                  </a:moveTo>
                  <a:lnTo>
                    <a:pt x="117475" y="0"/>
                  </a:lnTo>
                  <a:cubicBezTo>
                    <a:pt x="116417" y="24342"/>
                    <a:pt x="117093" y="48821"/>
                    <a:pt x="114300" y="73025"/>
                  </a:cubicBezTo>
                  <a:cubicBezTo>
                    <a:pt x="113863" y="76816"/>
                    <a:pt x="109500" y="79063"/>
                    <a:pt x="107950" y="82550"/>
                  </a:cubicBezTo>
                  <a:cubicBezTo>
                    <a:pt x="105232" y="88667"/>
                    <a:pt x="101600" y="101600"/>
                    <a:pt x="101600" y="101600"/>
                  </a:cubicBezTo>
                  <a:lnTo>
                    <a:pt x="101600" y="101600"/>
                  </a:lnTo>
                  <a:lnTo>
                    <a:pt x="0" y="225425"/>
                  </a:lnTo>
                  <a:lnTo>
                    <a:pt x="28575" y="273050"/>
                  </a:lnTo>
                  <a:lnTo>
                    <a:pt x="307975" y="107950"/>
                  </a:lnTo>
                  <a:lnTo>
                    <a:pt x="288925" y="66675"/>
                  </a:lnTo>
                  <a:lnTo>
                    <a:pt x="292100" y="53975"/>
                  </a:lnTo>
                  <a:lnTo>
                    <a:pt x="117475" y="0"/>
                  </a:lnTo>
                  <a:close/>
                </a:path>
              </a:pathLst>
            </a:cu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pic>
        <xdr:nvPicPr>
          <xdr:cNvPr id="9" name="Picture 8"/>
          <xdr:cNvPicPr>
            <a:picLocks noChangeAspect="1"/>
          </xdr:cNvPicPr>
        </xdr:nvPicPr>
        <xdr:blipFill>
          <a:blip xmlns:r="http://schemas.openxmlformats.org/officeDocument/2006/relationships" r:embed="rId10"/>
          <a:stretch>
            <a:fillRect/>
          </a:stretch>
        </xdr:blipFill>
        <xdr:spPr>
          <a:xfrm rot="19856081">
            <a:off x="2938545" y="58764379"/>
            <a:ext cx="367990" cy="156767"/>
          </a:xfrm>
          <a:prstGeom prst="rect">
            <a:avLst/>
          </a:prstGeom>
        </xdr:spPr>
      </xdr:pic>
    </xdr:grpSp>
    <xdr:clientData/>
  </xdr:twoCellAnchor>
  <xdr:twoCellAnchor editAs="oneCell">
    <xdr:from>
      <xdr:col>0</xdr:col>
      <xdr:colOff>485554</xdr:colOff>
      <xdr:row>318</xdr:row>
      <xdr:rowOff>178254</xdr:rowOff>
    </xdr:from>
    <xdr:to>
      <xdr:col>7</xdr:col>
      <xdr:colOff>208404</xdr:colOff>
      <xdr:row>336</xdr:row>
      <xdr:rowOff>104326</xdr:rowOff>
    </xdr:to>
    <xdr:pic>
      <xdr:nvPicPr>
        <xdr:cNvPr id="11" name="Picture 10"/>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485554" y="56937729"/>
          <a:ext cx="5304500" cy="3526522"/>
        </a:xfrm>
        <a:prstGeom prst="rect">
          <a:avLst/>
        </a:prstGeom>
        <a:ln>
          <a:solidFill>
            <a:sysClr val="windowText" lastClr="000000"/>
          </a:solidFill>
        </a:ln>
      </xdr:spPr>
    </xdr:pic>
    <xdr:clientData/>
  </xdr:twoCellAnchor>
  <xdr:twoCellAnchor>
    <xdr:from>
      <xdr:col>1</xdr:col>
      <xdr:colOff>209550</xdr:colOff>
      <xdr:row>334</xdr:row>
      <xdr:rowOff>0</xdr:rowOff>
    </xdr:from>
    <xdr:to>
      <xdr:col>6</xdr:col>
      <xdr:colOff>523875</xdr:colOff>
      <xdr:row>335</xdr:row>
      <xdr:rowOff>95250</xdr:rowOff>
    </xdr:to>
    <xdr:sp macro="" textlink="">
      <xdr:nvSpPr>
        <xdr:cNvPr id="55" name="Rectangle 54"/>
        <xdr:cNvSpPr/>
      </xdr:nvSpPr>
      <xdr:spPr>
        <a:xfrm>
          <a:off x="971550" y="59959875"/>
          <a:ext cx="4400550" cy="295275"/>
        </a:xfrm>
        <a:prstGeom prst="rect">
          <a:avLst/>
        </a:prstGeom>
      </xdr:spPr>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                                   Building No.2</a:t>
          </a:r>
        </a:p>
        <a:p>
          <a:r>
            <a:rPr lang="en-US" sz="1400" b="1">
              <a:solidFill>
                <a:srgbClr val="FF0000"/>
              </a:solidFill>
            </a:rPr>
            <a:t>Typical 1st to 7th, 9th to 12th &amp; 14th to 17th Floor</a:t>
          </a:r>
          <a:endParaRPr lang="en-IN" sz="1400" b="1">
            <a:solidFill>
              <a:srgbClr val="FF0000"/>
            </a:solidFill>
          </a:endParaRPr>
        </a:p>
      </xdr:txBody>
    </xdr:sp>
    <xdr:clientData/>
  </xdr:twoCellAnchor>
  <xdr:twoCellAnchor editAs="oneCell">
    <xdr:from>
      <xdr:col>0</xdr:col>
      <xdr:colOff>676275</xdr:colOff>
      <xdr:row>337</xdr:row>
      <xdr:rowOff>9525</xdr:rowOff>
    </xdr:from>
    <xdr:to>
      <xdr:col>6</xdr:col>
      <xdr:colOff>624240</xdr:colOff>
      <xdr:row>355</xdr:row>
      <xdr:rowOff>9075</xdr:rowOff>
    </xdr:to>
    <xdr:pic>
      <xdr:nvPicPr>
        <xdr:cNvPr id="56" name="Picture 55" descr="insp-188563-843.jpg (1259×945)"/>
        <xdr:cNvPicPr>
          <a:picLocks noChangeAspect="1" noChangeArrowheads="1"/>
        </xdr:cNvPicPr>
      </xdr:nvPicPr>
      <xdr:blipFill>
        <a:blip xmlns:r="http://schemas.openxmlformats.org/officeDocument/2006/relationships" r:embed="rId12" cstate="screen">
          <a:extLst>
            <a:ext uri="{28A0092B-C50C-407E-A947-70E740481C1C}">
              <a14:useLocalDpi xmlns:a14="http://schemas.microsoft.com/office/drawing/2010/main"/>
            </a:ext>
          </a:extLst>
        </a:blip>
        <a:srcRect/>
        <a:stretch>
          <a:fillRect/>
        </a:stretch>
      </xdr:blipFill>
      <xdr:spPr bwMode="auto">
        <a:xfrm>
          <a:off x="676275" y="60569475"/>
          <a:ext cx="4796190" cy="36000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714375</xdr:colOff>
      <xdr:row>346</xdr:row>
      <xdr:rowOff>0</xdr:rowOff>
    </xdr:from>
    <xdr:to>
      <xdr:col>6</xdr:col>
      <xdr:colOff>571500</xdr:colOff>
      <xdr:row>350</xdr:row>
      <xdr:rowOff>85725</xdr:rowOff>
    </xdr:to>
    <xdr:sp macro="" textlink="">
      <xdr:nvSpPr>
        <xdr:cNvPr id="15" name="Rectangle 14"/>
        <xdr:cNvSpPr/>
      </xdr:nvSpPr>
      <xdr:spPr>
        <a:xfrm>
          <a:off x="714375" y="62360175"/>
          <a:ext cx="4705350" cy="8858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647700</xdr:colOff>
      <xdr:row>349</xdr:row>
      <xdr:rowOff>28575</xdr:rowOff>
    </xdr:from>
    <xdr:to>
      <xdr:col>5</xdr:col>
      <xdr:colOff>95250</xdr:colOff>
      <xdr:row>350</xdr:row>
      <xdr:rowOff>123825</xdr:rowOff>
    </xdr:to>
    <xdr:sp macro="" textlink="">
      <xdr:nvSpPr>
        <xdr:cNvPr id="57" name="Rectangle 56"/>
        <xdr:cNvSpPr/>
      </xdr:nvSpPr>
      <xdr:spPr>
        <a:xfrm>
          <a:off x="2209800" y="62988825"/>
          <a:ext cx="1990725" cy="295275"/>
        </a:xfrm>
        <a:prstGeom prst="rect">
          <a:avLst/>
        </a:prstGeom>
      </xdr:spPr>
      <xdr:txBody>
        <a:bodyPr wrap="square">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1400" b="1">
              <a:solidFill>
                <a:srgbClr val="FF0000"/>
              </a:solidFill>
            </a:rPr>
            <a:t>Terrace @</a:t>
          </a:r>
          <a:r>
            <a:rPr lang="en-IN" sz="1400" b="1" baseline="0">
              <a:solidFill>
                <a:srgbClr val="FF0000"/>
              </a:solidFill>
            </a:rPr>
            <a:t> 1st Floor</a:t>
          </a:r>
          <a:endParaRPr lang="en-IN" sz="1400" b="1">
            <a:solidFill>
              <a:srgbClr val="FF0000"/>
            </a:solidFill>
          </a:endParaRPr>
        </a:p>
      </xdr:txBody>
    </xdr:sp>
    <xdr:clientData/>
  </xdr:twoCellAnchor>
  <xdr:twoCellAnchor>
    <xdr:from>
      <xdr:col>0</xdr:col>
      <xdr:colOff>228600</xdr:colOff>
      <xdr:row>275</xdr:row>
      <xdr:rowOff>101600</xdr:rowOff>
    </xdr:from>
    <xdr:to>
      <xdr:col>7</xdr:col>
      <xdr:colOff>444880</xdr:colOff>
      <xdr:row>316</xdr:row>
      <xdr:rowOff>38100</xdr:rowOff>
    </xdr:to>
    <xdr:grpSp>
      <xdr:nvGrpSpPr>
        <xdr:cNvPr id="28" name="Group 27"/>
        <xdr:cNvGrpSpPr/>
      </xdr:nvGrpSpPr>
      <xdr:grpSpPr>
        <a:xfrm>
          <a:off x="228600" y="46177200"/>
          <a:ext cx="6070980" cy="8001000"/>
          <a:chOff x="228600" y="46177200"/>
          <a:chExt cx="6070980" cy="8001000"/>
        </a:xfrm>
      </xdr:grpSpPr>
      <xdr:pic>
        <xdr:nvPicPr>
          <xdr:cNvPr id="44" name="Picture 4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4677291" y="52371896"/>
            <a:ext cx="1483454" cy="1806304"/>
          </a:xfrm>
          <a:prstGeom prst="rect">
            <a:avLst/>
          </a:prstGeom>
          <a:ln>
            <a:solidFill>
              <a:schemeClr val="tx1"/>
            </a:solidFill>
          </a:ln>
        </xdr:spPr>
      </xdr:pic>
      <xdr:pic>
        <xdr:nvPicPr>
          <xdr:cNvPr id="50" name="Picture 49"/>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3522840" y="50264548"/>
            <a:ext cx="2637905" cy="1980000"/>
          </a:xfrm>
          <a:prstGeom prst="rect">
            <a:avLst/>
          </a:prstGeom>
          <a:ln>
            <a:solidFill>
              <a:schemeClr val="tx1"/>
            </a:solidFill>
          </a:ln>
        </xdr:spPr>
      </xdr:pic>
      <xdr:pic>
        <xdr:nvPicPr>
          <xdr:cNvPr id="51" name="Picture 50"/>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060799" y="52371896"/>
            <a:ext cx="1483454" cy="1806304"/>
          </a:xfrm>
          <a:prstGeom prst="rect">
            <a:avLst/>
          </a:prstGeom>
          <a:ln>
            <a:solidFill>
              <a:schemeClr val="tx1"/>
            </a:solidFill>
          </a:ln>
        </xdr:spPr>
      </xdr:pic>
      <xdr:pic>
        <xdr:nvPicPr>
          <xdr:cNvPr id="52" name="Picture 51"/>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906348" y="50264548"/>
            <a:ext cx="1483454" cy="1980000"/>
          </a:xfrm>
          <a:prstGeom prst="rect">
            <a:avLst/>
          </a:prstGeom>
          <a:ln>
            <a:solidFill>
              <a:schemeClr val="tx1"/>
            </a:solidFill>
          </a:ln>
        </xdr:spPr>
      </xdr:pic>
      <xdr:pic>
        <xdr:nvPicPr>
          <xdr:cNvPr id="53" name="Picture 52"/>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289856" y="52371896"/>
            <a:ext cx="2637905" cy="1806304"/>
          </a:xfrm>
          <a:prstGeom prst="rect">
            <a:avLst/>
          </a:prstGeom>
          <a:ln>
            <a:solidFill>
              <a:schemeClr val="tx1"/>
            </a:solidFill>
          </a:ln>
        </xdr:spPr>
      </xdr:pic>
      <xdr:pic>
        <xdr:nvPicPr>
          <xdr:cNvPr id="54" name="Picture 53"/>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289856" y="50264548"/>
            <a:ext cx="1483454" cy="1980000"/>
          </a:xfrm>
          <a:prstGeom prst="rect">
            <a:avLst/>
          </a:prstGeom>
          <a:ln>
            <a:solidFill>
              <a:schemeClr val="tx1"/>
            </a:solidFill>
          </a:ln>
        </xdr:spPr>
      </xdr:pic>
      <xdr:pic>
        <xdr:nvPicPr>
          <xdr:cNvPr id="37" name="Picture 36"/>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228600" y="46177200"/>
            <a:ext cx="2966907" cy="3960000"/>
          </a:xfrm>
          <a:prstGeom prst="rect">
            <a:avLst/>
          </a:prstGeom>
          <a:ln>
            <a:solidFill>
              <a:schemeClr val="tx1"/>
            </a:solidFill>
          </a:ln>
        </xdr:spPr>
      </xdr:pic>
      <xdr:pic>
        <xdr:nvPicPr>
          <xdr:cNvPr id="38" name="Picture 37"/>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3332674" y="46177200"/>
            <a:ext cx="2966906" cy="3960000"/>
          </a:xfrm>
          <a:prstGeom prst="rect">
            <a:avLst/>
          </a:prstGeom>
          <a:ln>
            <a:solidFill>
              <a:schemeClr val="tx1"/>
            </a:solidFill>
          </a:ln>
        </xdr:spPr>
      </xdr:pic>
      <xdr:sp macro="" textlink="">
        <xdr:nvSpPr>
          <xdr:cNvPr id="16" name="TextBox 15"/>
          <xdr:cNvSpPr txBox="1"/>
        </xdr:nvSpPr>
        <xdr:spPr>
          <a:xfrm rot="18118244">
            <a:off x="3461556" y="46991933"/>
            <a:ext cx="11844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ysClr val="windowText" lastClr="000000"/>
                </a:solidFill>
                <a:effectLst>
                  <a:outerShdw blurRad="38100" dist="25400" dir="5400000" algn="ctr" rotWithShape="0">
                    <a:srgbClr val="6E747A">
                      <a:alpha val="43000"/>
                    </a:srgbClr>
                  </a:outerShdw>
                </a:effectLst>
              </a:rPr>
              <a:t>Bldg No.1 &amp; 2</a:t>
            </a:r>
          </a:p>
        </xdr:txBody>
      </xdr:sp>
      <xdr:cxnSp macro="">
        <xdr:nvCxnSpPr>
          <xdr:cNvPr id="18" name="Straight Arrow Connector 17"/>
          <xdr:cNvCxnSpPr>
            <a:stCxn id="16" idx="2"/>
          </xdr:cNvCxnSpPr>
        </xdr:nvCxnSpPr>
        <xdr:spPr>
          <a:xfrm>
            <a:off x="4185926" y="47230147"/>
            <a:ext cx="163824" cy="28690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u3NXdDmqP5wZgnHP8"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404"/>
  <sheetViews>
    <sheetView tabSelected="1" view="pageBreakPreview" zoomScaleNormal="100" zoomScaleSheetLayoutView="100" zoomScalePageLayoutView="85" workbookViewId="0">
      <selection activeCell="E10" sqref="E10:H10"/>
    </sheetView>
  </sheetViews>
  <sheetFormatPr defaultColWidth="9.1796875" defaultRowHeight="15.5" x14ac:dyDescent="0.35"/>
  <cols>
    <col min="1" max="1" width="11.453125" style="40" customWidth="1"/>
    <col min="2" max="2" width="12" style="40" customWidth="1"/>
    <col min="3" max="3" width="12.7265625" style="40" customWidth="1"/>
    <col min="4" max="4" width="13.7265625" style="40" customWidth="1"/>
    <col min="5" max="5" width="11.7265625" style="40" customWidth="1"/>
    <col min="6" max="6" width="11.1796875" style="40" customWidth="1"/>
    <col min="7" max="8" width="11" style="40" customWidth="1"/>
    <col min="9" max="9" width="17.453125" style="21" customWidth="1"/>
    <col min="10" max="10" width="11.453125" style="21" customWidth="1"/>
    <col min="11" max="11" width="29.7265625" style="21" customWidth="1"/>
    <col min="12" max="12" width="13.81640625" style="21" bestFit="1" customWidth="1"/>
    <col min="13" max="13" width="11.81640625" style="21" customWidth="1"/>
    <col min="14" max="14" width="12.54296875" style="21" customWidth="1"/>
    <col min="15" max="15" width="12.1796875" style="21" customWidth="1"/>
    <col min="16" max="16" width="11.7265625" style="21" customWidth="1"/>
    <col min="17" max="18" width="9.1796875" style="21"/>
    <col min="19" max="19" width="10.81640625" style="21" bestFit="1" customWidth="1"/>
    <col min="20" max="20" width="10.7265625" style="21" customWidth="1"/>
    <col min="21" max="247" width="9.1796875" style="21"/>
    <col min="248" max="248" width="8.7265625" style="21" customWidth="1"/>
    <col min="249" max="249" width="9.81640625" style="21" customWidth="1"/>
    <col min="250" max="250" width="14.453125" style="21" customWidth="1"/>
    <col min="251" max="251" width="7.26953125" style="21" customWidth="1"/>
    <col min="252" max="252" width="5.54296875" style="21" customWidth="1"/>
    <col min="253" max="253" width="9" style="21" customWidth="1"/>
    <col min="254" max="255" width="9.81640625" style="21" customWidth="1"/>
    <col min="256" max="256" width="11.1796875" style="21" customWidth="1"/>
    <col min="257" max="257" width="2.81640625" style="21" customWidth="1"/>
    <col min="258" max="258" width="3.54296875" style="21" customWidth="1"/>
    <col min="259" max="503" width="9.1796875" style="21"/>
    <col min="504" max="504" width="8.7265625" style="21" customWidth="1"/>
    <col min="505" max="505" width="9.81640625" style="21" customWidth="1"/>
    <col min="506" max="506" width="14.453125" style="21" customWidth="1"/>
    <col min="507" max="507" width="7.26953125" style="21" customWidth="1"/>
    <col min="508" max="508" width="5.54296875" style="21" customWidth="1"/>
    <col min="509" max="509" width="9" style="21" customWidth="1"/>
    <col min="510" max="511" width="9.81640625" style="21" customWidth="1"/>
    <col min="512" max="512" width="11.1796875" style="21" customWidth="1"/>
    <col min="513" max="513" width="2.81640625" style="21" customWidth="1"/>
    <col min="514" max="514" width="3.54296875" style="21" customWidth="1"/>
    <col min="515" max="759" width="9.1796875" style="21"/>
    <col min="760" max="760" width="8.7265625" style="21" customWidth="1"/>
    <col min="761" max="761" width="9.81640625" style="21" customWidth="1"/>
    <col min="762" max="762" width="14.453125" style="21" customWidth="1"/>
    <col min="763" max="763" width="7.26953125" style="21" customWidth="1"/>
    <col min="764" max="764" width="5.54296875" style="21" customWidth="1"/>
    <col min="765" max="765" width="9" style="21" customWidth="1"/>
    <col min="766" max="767" width="9.81640625" style="21" customWidth="1"/>
    <col min="768" max="768" width="11.1796875" style="21" customWidth="1"/>
    <col min="769" max="769" width="2.81640625" style="21" customWidth="1"/>
    <col min="770" max="770" width="3.54296875" style="21" customWidth="1"/>
    <col min="771" max="1015" width="9.1796875" style="21"/>
    <col min="1016" max="1016" width="8.7265625" style="21" customWidth="1"/>
    <col min="1017" max="1017" width="9.81640625" style="21" customWidth="1"/>
    <col min="1018" max="1018" width="14.453125" style="21" customWidth="1"/>
    <col min="1019" max="1019" width="7.26953125" style="21" customWidth="1"/>
    <col min="1020" max="1020" width="5.54296875" style="21" customWidth="1"/>
    <col min="1021" max="1021" width="9" style="21" customWidth="1"/>
    <col min="1022" max="1023" width="9.81640625" style="21" customWidth="1"/>
    <col min="1024" max="1024" width="11.1796875" style="21" customWidth="1"/>
    <col min="1025" max="1025" width="2.81640625" style="21" customWidth="1"/>
    <col min="1026" max="1026" width="3.54296875" style="21" customWidth="1"/>
    <col min="1027" max="1271" width="9.1796875" style="21"/>
    <col min="1272" max="1272" width="8.7265625" style="21" customWidth="1"/>
    <col min="1273" max="1273" width="9.81640625" style="21" customWidth="1"/>
    <col min="1274" max="1274" width="14.453125" style="21" customWidth="1"/>
    <col min="1275" max="1275" width="7.26953125" style="21" customWidth="1"/>
    <col min="1276" max="1276" width="5.54296875" style="21" customWidth="1"/>
    <col min="1277" max="1277" width="9" style="21" customWidth="1"/>
    <col min="1278" max="1279" width="9.81640625" style="21" customWidth="1"/>
    <col min="1280" max="1280" width="11.1796875" style="21" customWidth="1"/>
    <col min="1281" max="1281" width="2.81640625" style="21" customWidth="1"/>
    <col min="1282" max="1282" width="3.54296875" style="21" customWidth="1"/>
    <col min="1283" max="1527" width="9.1796875" style="21"/>
    <col min="1528" max="1528" width="8.7265625" style="21" customWidth="1"/>
    <col min="1529" max="1529" width="9.81640625" style="21" customWidth="1"/>
    <col min="1530" max="1530" width="14.453125" style="21" customWidth="1"/>
    <col min="1531" max="1531" width="7.26953125" style="21" customWidth="1"/>
    <col min="1532" max="1532" width="5.54296875" style="21" customWidth="1"/>
    <col min="1533" max="1533" width="9" style="21" customWidth="1"/>
    <col min="1534" max="1535" width="9.81640625" style="21" customWidth="1"/>
    <col min="1536" max="1536" width="11.1796875" style="21" customWidth="1"/>
    <col min="1537" max="1537" width="2.81640625" style="21" customWidth="1"/>
    <col min="1538" max="1538" width="3.54296875" style="21" customWidth="1"/>
    <col min="1539" max="1783" width="9.1796875" style="21"/>
    <col min="1784" max="1784" width="8.7265625" style="21" customWidth="1"/>
    <col min="1785" max="1785" width="9.81640625" style="21" customWidth="1"/>
    <col min="1786" max="1786" width="14.453125" style="21" customWidth="1"/>
    <col min="1787" max="1787" width="7.26953125" style="21" customWidth="1"/>
    <col min="1788" max="1788" width="5.54296875" style="21" customWidth="1"/>
    <col min="1789" max="1789" width="9" style="21" customWidth="1"/>
    <col min="1790" max="1791" width="9.81640625" style="21" customWidth="1"/>
    <col min="1792" max="1792" width="11.1796875" style="21" customWidth="1"/>
    <col min="1793" max="1793" width="2.81640625" style="21" customWidth="1"/>
    <col min="1794" max="1794" width="3.54296875" style="21" customWidth="1"/>
    <col min="1795" max="2039" width="9.1796875" style="21"/>
    <col min="2040" max="2040" width="8.7265625" style="21" customWidth="1"/>
    <col min="2041" max="2041" width="9.81640625" style="21" customWidth="1"/>
    <col min="2042" max="2042" width="14.453125" style="21" customWidth="1"/>
    <col min="2043" max="2043" width="7.26953125" style="21" customWidth="1"/>
    <col min="2044" max="2044" width="5.54296875" style="21" customWidth="1"/>
    <col min="2045" max="2045" width="9" style="21" customWidth="1"/>
    <col min="2046" max="2047" width="9.81640625" style="21" customWidth="1"/>
    <col min="2048" max="2048" width="11.1796875" style="21" customWidth="1"/>
    <col min="2049" max="2049" width="2.81640625" style="21" customWidth="1"/>
    <col min="2050" max="2050" width="3.54296875" style="21" customWidth="1"/>
    <col min="2051" max="2295" width="9.1796875" style="21"/>
    <col min="2296" max="2296" width="8.7265625" style="21" customWidth="1"/>
    <col min="2297" max="2297" width="9.81640625" style="21" customWidth="1"/>
    <col min="2298" max="2298" width="14.453125" style="21" customWidth="1"/>
    <col min="2299" max="2299" width="7.26953125" style="21" customWidth="1"/>
    <col min="2300" max="2300" width="5.54296875" style="21" customWidth="1"/>
    <col min="2301" max="2301" width="9" style="21" customWidth="1"/>
    <col min="2302" max="2303" width="9.81640625" style="21" customWidth="1"/>
    <col min="2304" max="2304" width="11.1796875" style="21" customWidth="1"/>
    <col min="2305" max="2305" width="2.81640625" style="21" customWidth="1"/>
    <col min="2306" max="2306" width="3.54296875" style="21" customWidth="1"/>
    <col min="2307" max="2551" width="9.1796875" style="21"/>
    <col min="2552" max="2552" width="8.7265625" style="21" customWidth="1"/>
    <col min="2553" max="2553" width="9.81640625" style="21" customWidth="1"/>
    <col min="2554" max="2554" width="14.453125" style="21" customWidth="1"/>
    <col min="2555" max="2555" width="7.26953125" style="21" customWidth="1"/>
    <col min="2556" max="2556" width="5.54296875" style="21" customWidth="1"/>
    <col min="2557" max="2557" width="9" style="21" customWidth="1"/>
    <col min="2558" max="2559" width="9.81640625" style="21" customWidth="1"/>
    <col min="2560" max="2560" width="11.1796875" style="21" customWidth="1"/>
    <col min="2561" max="2561" width="2.81640625" style="21" customWidth="1"/>
    <col min="2562" max="2562" width="3.54296875" style="21" customWidth="1"/>
    <col min="2563" max="2807" width="9.1796875" style="21"/>
    <col min="2808" max="2808" width="8.7265625" style="21" customWidth="1"/>
    <col min="2809" max="2809" width="9.81640625" style="21" customWidth="1"/>
    <col min="2810" max="2810" width="14.453125" style="21" customWidth="1"/>
    <col min="2811" max="2811" width="7.26953125" style="21" customWidth="1"/>
    <col min="2812" max="2812" width="5.54296875" style="21" customWidth="1"/>
    <col min="2813" max="2813" width="9" style="21" customWidth="1"/>
    <col min="2814" max="2815" width="9.81640625" style="21" customWidth="1"/>
    <col min="2816" max="2816" width="11.1796875" style="21" customWidth="1"/>
    <col min="2817" max="2817" width="2.81640625" style="21" customWidth="1"/>
    <col min="2818" max="2818" width="3.54296875" style="21" customWidth="1"/>
    <col min="2819" max="3063" width="9.1796875" style="21"/>
    <col min="3064" max="3064" width="8.7265625" style="21" customWidth="1"/>
    <col min="3065" max="3065" width="9.81640625" style="21" customWidth="1"/>
    <col min="3066" max="3066" width="14.453125" style="21" customWidth="1"/>
    <col min="3067" max="3067" width="7.26953125" style="21" customWidth="1"/>
    <col min="3068" max="3068" width="5.54296875" style="21" customWidth="1"/>
    <col min="3069" max="3069" width="9" style="21" customWidth="1"/>
    <col min="3070" max="3071" width="9.81640625" style="21" customWidth="1"/>
    <col min="3072" max="3072" width="11.1796875" style="21" customWidth="1"/>
    <col min="3073" max="3073" width="2.81640625" style="21" customWidth="1"/>
    <col min="3074" max="3074" width="3.54296875" style="21" customWidth="1"/>
    <col min="3075" max="3319" width="9.1796875" style="21"/>
    <col min="3320" max="3320" width="8.7265625" style="21" customWidth="1"/>
    <col min="3321" max="3321" width="9.81640625" style="21" customWidth="1"/>
    <col min="3322" max="3322" width="14.453125" style="21" customWidth="1"/>
    <col min="3323" max="3323" width="7.26953125" style="21" customWidth="1"/>
    <col min="3324" max="3324" width="5.54296875" style="21" customWidth="1"/>
    <col min="3325" max="3325" width="9" style="21" customWidth="1"/>
    <col min="3326" max="3327" width="9.81640625" style="21" customWidth="1"/>
    <col min="3328" max="3328" width="11.1796875" style="21" customWidth="1"/>
    <col min="3329" max="3329" width="2.81640625" style="21" customWidth="1"/>
    <col min="3330" max="3330" width="3.54296875" style="21" customWidth="1"/>
    <col min="3331" max="3575" width="9.1796875" style="21"/>
    <col min="3576" max="3576" width="8.7265625" style="21" customWidth="1"/>
    <col min="3577" max="3577" width="9.81640625" style="21" customWidth="1"/>
    <col min="3578" max="3578" width="14.453125" style="21" customWidth="1"/>
    <col min="3579" max="3579" width="7.26953125" style="21" customWidth="1"/>
    <col min="3580" max="3580" width="5.54296875" style="21" customWidth="1"/>
    <col min="3581" max="3581" width="9" style="21" customWidth="1"/>
    <col min="3582" max="3583" width="9.81640625" style="21" customWidth="1"/>
    <col min="3584" max="3584" width="11.1796875" style="21" customWidth="1"/>
    <col min="3585" max="3585" width="2.81640625" style="21" customWidth="1"/>
    <col min="3586" max="3586" width="3.54296875" style="21" customWidth="1"/>
    <col min="3587" max="3831" width="9.1796875" style="21"/>
    <col min="3832" max="3832" width="8.7265625" style="21" customWidth="1"/>
    <col min="3833" max="3833" width="9.81640625" style="21" customWidth="1"/>
    <col min="3834" max="3834" width="14.453125" style="21" customWidth="1"/>
    <col min="3835" max="3835" width="7.26953125" style="21" customWidth="1"/>
    <col min="3836" max="3836" width="5.54296875" style="21" customWidth="1"/>
    <col min="3837" max="3837" width="9" style="21" customWidth="1"/>
    <col min="3838" max="3839" width="9.81640625" style="21" customWidth="1"/>
    <col min="3840" max="3840" width="11.1796875" style="21" customWidth="1"/>
    <col min="3841" max="3841" width="2.81640625" style="21" customWidth="1"/>
    <col min="3842" max="3842" width="3.54296875" style="21" customWidth="1"/>
    <col min="3843" max="4087" width="9.1796875" style="21"/>
    <col min="4088" max="4088" width="8.7265625" style="21" customWidth="1"/>
    <col min="4089" max="4089" width="9.81640625" style="21" customWidth="1"/>
    <col min="4090" max="4090" width="14.453125" style="21" customWidth="1"/>
    <col min="4091" max="4091" width="7.26953125" style="21" customWidth="1"/>
    <col min="4092" max="4092" width="5.54296875" style="21" customWidth="1"/>
    <col min="4093" max="4093" width="9" style="21" customWidth="1"/>
    <col min="4094" max="4095" width="9.81640625" style="21" customWidth="1"/>
    <col min="4096" max="4096" width="11.1796875" style="21" customWidth="1"/>
    <col min="4097" max="4097" width="2.81640625" style="21" customWidth="1"/>
    <col min="4098" max="4098" width="3.54296875" style="21" customWidth="1"/>
    <col min="4099" max="4343" width="9.1796875" style="21"/>
    <col min="4344" max="4344" width="8.7265625" style="21" customWidth="1"/>
    <col min="4345" max="4345" width="9.81640625" style="21" customWidth="1"/>
    <col min="4346" max="4346" width="14.453125" style="21" customWidth="1"/>
    <col min="4347" max="4347" width="7.26953125" style="21" customWidth="1"/>
    <col min="4348" max="4348" width="5.54296875" style="21" customWidth="1"/>
    <col min="4349" max="4349" width="9" style="21" customWidth="1"/>
    <col min="4350" max="4351" width="9.81640625" style="21" customWidth="1"/>
    <col min="4352" max="4352" width="11.1796875" style="21" customWidth="1"/>
    <col min="4353" max="4353" width="2.81640625" style="21" customWidth="1"/>
    <col min="4354" max="4354" width="3.54296875" style="21" customWidth="1"/>
    <col min="4355" max="4599" width="9.1796875" style="21"/>
    <col min="4600" max="4600" width="8.7265625" style="21" customWidth="1"/>
    <col min="4601" max="4601" width="9.81640625" style="21" customWidth="1"/>
    <col min="4602" max="4602" width="14.453125" style="21" customWidth="1"/>
    <col min="4603" max="4603" width="7.26953125" style="21" customWidth="1"/>
    <col min="4604" max="4604" width="5.54296875" style="21" customWidth="1"/>
    <col min="4605" max="4605" width="9" style="21" customWidth="1"/>
    <col min="4606" max="4607" width="9.81640625" style="21" customWidth="1"/>
    <col min="4608" max="4608" width="11.1796875" style="21" customWidth="1"/>
    <col min="4609" max="4609" width="2.81640625" style="21" customWidth="1"/>
    <col min="4610" max="4610" width="3.54296875" style="21" customWidth="1"/>
    <col min="4611" max="4855" width="9.1796875" style="21"/>
    <col min="4856" max="4856" width="8.7265625" style="21" customWidth="1"/>
    <col min="4857" max="4857" width="9.81640625" style="21" customWidth="1"/>
    <col min="4858" max="4858" width="14.453125" style="21" customWidth="1"/>
    <col min="4859" max="4859" width="7.26953125" style="21" customWidth="1"/>
    <col min="4860" max="4860" width="5.54296875" style="21" customWidth="1"/>
    <col min="4861" max="4861" width="9" style="21" customWidth="1"/>
    <col min="4862" max="4863" width="9.81640625" style="21" customWidth="1"/>
    <col min="4864" max="4864" width="11.1796875" style="21" customWidth="1"/>
    <col min="4865" max="4865" width="2.81640625" style="21" customWidth="1"/>
    <col min="4866" max="4866" width="3.54296875" style="21" customWidth="1"/>
    <col min="4867" max="5111" width="9.1796875" style="21"/>
    <col min="5112" max="5112" width="8.7265625" style="21" customWidth="1"/>
    <col min="5113" max="5113" width="9.81640625" style="21" customWidth="1"/>
    <col min="5114" max="5114" width="14.453125" style="21" customWidth="1"/>
    <col min="5115" max="5115" width="7.26953125" style="21" customWidth="1"/>
    <col min="5116" max="5116" width="5.54296875" style="21" customWidth="1"/>
    <col min="5117" max="5117" width="9" style="21" customWidth="1"/>
    <col min="5118" max="5119" width="9.81640625" style="21" customWidth="1"/>
    <col min="5120" max="5120" width="11.1796875" style="21" customWidth="1"/>
    <col min="5121" max="5121" width="2.81640625" style="21" customWidth="1"/>
    <col min="5122" max="5122" width="3.54296875" style="21" customWidth="1"/>
    <col min="5123" max="5367" width="9.1796875" style="21"/>
    <col min="5368" max="5368" width="8.7265625" style="21" customWidth="1"/>
    <col min="5369" max="5369" width="9.81640625" style="21" customWidth="1"/>
    <col min="5370" max="5370" width="14.453125" style="21" customWidth="1"/>
    <col min="5371" max="5371" width="7.26953125" style="21" customWidth="1"/>
    <col min="5372" max="5372" width="5.54296875" style="21" customWidth="1"/>
    <col min="5373" max="5373" width="9" style="21" customWidth="1"/>
    <col min="5374" max="5375" width="9.81640625" style="21" customWidth="1"/>
    <col min="5376" max="5376" width="11.1796875" style="21" customWidth="1"/>
    <col min="5377" max="5377" width="2.81640625" style="21" customWidth="1"/>
    <col min="5378" max="5378" width="3.54296875" style="21" customWidth="1"/>
    <col min="5379" max="5623" width="9.1796875" style="21"/>
    <col min="5624" max="5624" width="8.7265625" style="21" customWidth="1"/>
    <col min="5625" max="5625" width="9.81640625" style="21" customWidth="1"/>
    <col min="5626" max="5626" width="14.453125" style="21" customWidth="1"/>
    <col min="5627" max="5627" width="7.26953125" style="21" customWidth="1"/>
    <col min="5628" max="5628" width="5.54296875" style="21" customWidth="1"/>
    <col min="5629" max="5629" width="9" style="21" customWidth="1"/>
    <col min="5630" max="5631" width="9.81640625" style="21" customWidth="1"/>
    <col min="5632" max="5632" width="11.1796875" style="21" customWidth="1"/>
    <col min="5633" max="5633" width="2.81640625" style="21" customWidth="1"/>
    <col min="5634" max="5634" width="3.54296875" style="21" customWidth="1"/>
    <col min="5635" max="5879" width="9.1796875" style="21"/>
    <col min="5880" max="5880" width="8.7265625" style="21" customWidth="1"/>
    <col min="5881" max="5881" width="9.81640625" style="21" customWidth="1"/>
    <col min="5882" max="5882" width="14.453125" style="21" customWidth="1"/>
    <col min="5883" max="5883" width="7.26953125" style="21" customWidth="1"/>
    <col min="5884" max="5884" width="5.54296875" style="21" customWidth="1"/>
    <col min="5885" max="5885" width="9" style="21" customWidth="1"/>
    <col min="5886" max="5887" width="9.81640625" style="21" customWidth="1"/>
    <col min="5888" max="5888" width="11.1796875" style="21" customWidth="1"/>
    <col min="5889" max="5889" width="2.81640625" style="21" customWidth="1"/>
    <col min="5890" max="5890" width="3.54296875" style="21" customWidth="1"/>
    <col min="5891" max="6135" width="9.1796875" style="21"/>
    <col min="6136" max="6136" width="8.7265625" style="21" customWidth="1"/>
    <col min="6137" max="6137" width="9.81640625" style="21" customWidth="1"/>
    <col min="6138" max="6138" width="14.453125" style="21" customWidth="1"/>
    <col min="6139" max="6139" width="7.26953125" style="21" customWidth="1"/>
    <col min="6140" max="6140" width="5.54296875" style="21" customWidth="1"/>
    <col min="6141" max="6141" width="9" style="21" customWidth="1"/>
    <col min="6142" max="6143" width="9.81640625" style="21" customWidth="1"/>
    <col min="6144" max="6144" width="11.1796875" style="21" customWidth="1"/>
    <col min="6145" max="6145" width="2.81640625" style="21" customWidth="1"/>
    <col min="6146" max="6146" width="3.54296875" style="21" customWidth="1"/>
    <col min="6147" max="6391" width="9.1796875" style="21"/>
    <col min="6392" max="6392" width="8.7265625" style="21" customWidth="1"/>
    <col min="6393" max="6393" width="9.81640625" style="21" customWidth="1"/>
    <col min="6394" max="6394" width="14.453125" style="21" customWidth="1"/>
    <col min="6395" max="6395" width="7.26953125" style="21" customWidth="1"/>
    <col min="6396" max="6396" width="5.54296875" style="21" customWidth="1"/>
    <col min="6397" max="6397" width="9" style="21" customWidth="1"/>
    <col min="6398" max="6399" width="9.81640625" style="21" customWidth="1"/>
    <col min="6400" max="6400" width="11.1796875" style="21" customWidth="1"/>
    <col min="6401" max="6401" width="2.81640625" style="21" customWidth="1"/>
    <col min="6402" max="6402" width="3.54296875" style="21" customWidth="1"/>
    <col min="6403" max="6647" width="9.1796875" style="21"/>
    <col min="6648" max="6648" width="8.7265625" style="21" customWidth="1"/>
    <col min="6649" max="6649" width="9.81640625" style="21" customWidth="1"/>
    <col min="6650" max="6650" width="14.453125" style="21" customWidth="1"/>
    <col min="6651" max="6651" width="7.26953125" style="21" customWidth="1"/>
    <col min="6652" max="6652" width="5.54296875" style="21" customWidth="1"/>
    <col min="6653" max="6653" width="9" style="21" customWidth="1"/>
    <col min="6654" max="6655" width="9.81640625" style="21" customWidth="1"/>
    <col min="6656" max="6656" width="11.1796875" style="21" customWidth="1"/>
    <col min="6657" max="6657" width="2.81640625" style="21" customWidth="1"/>
    <col min="6658" max="6658" width="3.54296875" style="21" customWidth="1"/>
    <col min="6659" max="6903" width="9.1796875" style="21"/>
    <col min="6904" max="6904" width="8.7265625" style="21" customWidth="1"/>
    <col min="6905" max="6905" width="9.81640625" style="21" customWidth="1"/>
    <col min="6906" max="6906" width="14.453125" style="21" customWidth="1"/>
    <col min="6907" max="6907" width="7.26953125" style="21" customWidth="1"/>
    <col min="6908" max="6908" width="5.54296875" style="21" customWidth="1"/>
    <col min="6909" max="6909" width="9" style="21" customWidth="1"/>
    <col min="6910" max="6911" width="9.81640625" style="21" customWidth="1"/>
    <col min="6912" max="6912" width="11.1796875" style="21" customWidth="1"/>
    <col min="6913" max="6913" width="2.81640625" style="21" customWidth="1"/>
    <col min="6914" max="6914" width="3.54296875" style="21" customWidth="1"/>
    <col min="6915" max="7159" width="9.1796875" style="21"/>
    <col min="7160" max="7160" width="8.7265625" style="21" customWidth="1"/>
    <col min="7161" max="7161" width="9.81640625" style="21" customWidth="1"/>
    <col min="7162" max="7162" width="14.453125" style="21" customWidth="1"/>
    <col min="7163" max="7163" width="7.26953125" style="21" customWidth="1"/>
    <col min="7164" max="7164" width="5.54296875" style="21" customWidth="1"/>
    <col min="7165" max="7165" width="9" style="21" customWidth="1"/>
    <col min="7166" max="7167" width="9.81640625" style="21" customWidth="1"/>
    <col min="7168" max="7168" width="11.1796875" style="21" customWidth="1"/>
    <col min="7169" max="7169" width="2.81640625" style="21" customWidth="1"/>
    <col min="7170" max="7170" width="3.54296875" style="21" customWidth="1"/>
    <col min="7171" max="7415" width="9.1796875" style="21"/>
    <col min="7416" max="7416" width="8.7265625" style="21" customWidth="1"/>
    <col min="7417" max="7417" width="9.81640625" style="21" customWidth="1"/>
    <col min="7418" max="7418" width="14.453125" style="21" customWidth="1"/>
    <col min="7419" max="7419" width="7.26953125" style="21" customWidth="1"/>
    <col min="7420" max="7420" width="5.54296875" style="21" customWidth="1"/>
    <col min="7421" max="7421" width="9" style="21" customWidth="1"/>
    <col min="7422" max="7423" width="9.81640625" style="21" customWidth="1"/>
    <col min="7424" max="7424" width="11.1796875" style="21" customWidth="1"/>
    <col min="7425" max="7425" width="2.81640625" style="21" customWidth="1"/>
    <col min="7426" max="7426" width="3.54296875" style="21" customWidth="1"/>
    <col min="7427" max="7671" width="9.1796875" style="21"/>
    <col min="7672" max="7672" width="8.7265625" style="21" customWidth="1"/>
    <col min="7673" max="7673" width="9.81640625" style="21" customWidth="1"/>
    <col min="7674" max="7674" width="14.453125" style="21" customWidth="1"/>
    <col min="7675" max="7675" width="7.26953125" style="21" customWidth="1"/>
    <col min="7676" max="7676" width="5.54296875" style="21" customWidth="1"/>
    <col min="7677" max="7677" width="9" style="21" customWidth="1"/>
    <col min="7678" max="7679" width="9.81640625" style="21" customWidth="1"/>
    <col min="7680" max="7680" width="11.1796875" style="21" customWidth="1"/>
    <col min="7681" max="7681" width="2.81640625" style="21" customWidth="1"/>
    <col min="7682" max="7682" width="3.54296875" style="21" customWidth="1"/>
    <col min="7683" max="7927" width="9.1796875" style="21"/>
    <col min="7928" max="7928" width="8.7265625" style="21" customWidth="1"/>
    <col min="7929" max="7929" width="9.81640625" style="21" customWidth="1"/>
    <col min="7930" max="7930" width="14.453125" style="21" customWidth="1"/>
    <col min="7931" max="7931" width="7.26953125" style="21" customWidth="1"/>
    <col min="7932" max="7932" width="5.54296875" style="21" customWidth="1"/>
    <col min="7933" max="7933" width="9" style="21" customWidth="1"/>
    <col min="7934" max="7935" width="9.81640625" style="21" customWidth="1"/>
    <col min="7936" max="7936" width="11.1796875" style="21" customWidth="1"/>
    <col min="7937" max="7937" width="2.81640625" style="21" customWidth="1"/>
    <col min="7938" max="7938" width="3.54296875" style="21" customWidth="1"/>
    <col min="7939" max="8183" width="9.1796875" style="21"/>
    <col min="8184" max="8184" width="8.7265625" style="21" customWidth="1"/>
    <col min="8185" max="8185" width="9.81640625" style="21" customWidth="1"/>
    <col min="8186" max="8186" width="14.453125" style="21" customWidth="1"/>
    <col min="8187" max="8187" width="7.26953125" style="21" customWidth="1"/>
    <col min="8188" max="8188" width="5.54296875" style="21" customWidth="1"/>
    <col min="8189" max="8189" width="9" style="21" customWidth="1"/>
    <col min="8190" max="8191" width="9.81640625" style="21" customWidth="1"/>
    <col min="8192" max="8192" width="11.1796875" style="21" customWidth="1"/>
    <col min="8193" max="8193" width="2.81640625" style="21" customWidth="1"/>
    <col min="8194" max="8194" width="3.54296875" style="21" customWidth="1"/>
    <col min="8195" max="8439" width="9.1796875" style="21"/>
    <col min="8440" max="8440" width="8.7265625" style="21" customWidth="1"/>
    <col min="8441" max="8441" width="9.81640625" style="21" customWidth="1"/>
    <col min="8442" max="8442" width="14.453125" style="21" customWidth="1"/>
    <col min="8443" max="8443" width="7.26953125" style="21" customWidth="1"/>
    <col min="8444" max="8444" width="5.54296875" style="21" customWidth="1"/>
    <col min="8445" max="8445" width="9" style="21" customWidth="1"/>
    <col min="8446" max="8447" width="9.81640625" style="21" customWidth="1"/>
    <col min="8448" max="8448" width="11.1796875" style="21" customWidth="1"/>
    <col min="8449" max="8449" width="2.81640625" style="21" customWidth="1"/>
    <col min="8450" max="8450" width="3.54296875" style="21" customWidth="1"/>
    <col min="8451" max="8695" width="9.1796875" style="21"/>
    <col min="8696" max="8696" width="8.7265625" style="21" customWidth="1"/>
    <col min="8697" max="8697" width="9.81640625" style="21" customWidth="1"/>
    <col min="8698" max="8698" width="14.453125" style="21" customWidth="1"/>
    <col min="8699" max="8699" width="7.26953125" style="21" customWidth="1"/>
    <col min="8700" max="8700" width="5.54296875" style="21" customWidth="1"/>
    <col min="8701" max="8701" width="9" style="21" customWidth="1"/>
    <col min="8702" max="8703" width="9.81640625" style="21" customWidth="1"/>
    <col min="8704" max="8704" width="11.1796875" style="21" customWidth="1"/>
    <col min="8705" max="8705" width="2.81640625" style="21" customWidth="1"/>
    <col min="8706" max="8706" width="3.54296875" style="21" customWidth="1"/>
    <col min="8707" max="8951" width="9.1796875" style="21"/>
    <col min="8952" max="8952" width="8.7265625" style="21" customWidth="1"/>
    <col min="8953" max="8953" width="9.81640625" style="21" customWidth="1"/>
    <col min="8954" max="8954" width="14.453125" style="21" customWidth="1"/>
    <col min="8955" max="8955" width="7.26953125" style="21" customWidth="1"/>
    <col min="8956" max="8956" width="5.54296875" style="21" customWidth="1"/>
    <col min="8957" max="8957" width="9" style="21" customWidth="1"/>
    <col min="8958" max="8959" width="9.81640625" style="21" customWidth="1"/>
    <col min="8960" max="8960" width="11.1796875" style="21" customWidth="1"/>
    <col min="8961" max="8961" width="2.81640625" style="21" customWidth="1"/>
    <col min="8962" max="8962" width="3.54296875" style="21" customWidth="1"/>
    <col min="8963" max="9207" width="9.1796875" style="21"/>
    <col min="9208" max="9208" width="8.7265625" style="21" customWidth="1"/>
    <col min="9209" max="9209" width="9.81640625" style="21" customWidth="1"/>
    <col min="9210" max="9210" width="14.453125" style="21" customWidth="1"/>
    <col min="9211" max="9211" width="7.26953125" style="21" customWidth="1"/>
    <col min="9212" max="9212" width="5.54296875" style="21" customWidth="1"/>
    <col min="9213" max="9213" width="9" style="21" customWidth="1"/>
    <col min="9214" max="9215" width="9.81640625" style="21" customWidth="1"/>
    <col min="9216" max="9216" width="11.1796875" style="21" customWidth="1"/>
    <col min="9217" max="9217" width="2.81640625" style="21" customWidth="1"/>
    <col min="9218" max="9218" width="3.54296875" style="21" customWidth="1"/>
    <col min="9219" max="9463" width="9.1796875" style="21"/>
    <col min="9464" max="9464" width="8.7265625" style="21" customWidth="1"/>
    <col min="9465" max="9465" width="9.81640625" style="21" customWidth="1"/>
    <col min="9466" max="9466" width="14.453125" style="21" customWidth="1"/>
    <col min="9467" max="9467" width="7.26953125" style="21" customWidth="1"/>
    <col min="9468" max="9468" width="5.54296875" style="21" customWidth="1"/>
    <col min="9469" max="9469" width="9" style="21" customWidth="1"/>
    <col min="9470" max="9471" width="9.81640625" style="21" customWidth="1"/>
    <col min="9472" max="9472" width="11.1796875" style="21" customWidth="1"/>
    <col min="9473" max="9473" width="2.81640625" style="21" customWidth="1"/>
    <col min="9474" max="9474" width="3.54296875" style="21" customWidth="1"/>
    <col min="9475" max="9719" width="9.1796875" style="21"/>
    <col min="9720" max="9720" width="8.7265625" style="21" customWidth="1"/>
    <col min="9721" max="9721" width="9.81640625" style="21" customWidth="1"/>
    <col min="9722" max="9722" width="14.453125" style="21" customWidth="1"/>
    <col min="9723" max="9723" width="7.26953125" style="21" customWidth="1"/>
    <col min="9724" max="9724" width="5.54296875" style="21" customWidth="1"/>
    <col min="9725" max="9725" width="9" style="21" customWidth="1"/>
    <col min="9726" max="9727" width="9.81640625" style="21" customWidth="1"/>
    <col min="9728" max="9728" width="11.1796875" style="21" customWidth="1"/>
    <col min="9729" max="9729" width="2.81640625" style="21" customWidth="1"/>
    <col min="9730" max="9730" width="3.54296875" style="21" customWidth="1"/>
    <col min="9731" max="9975" width="9.1796875" style="21"/>
    <col min="9976" max="9976" width="8.7265625" style="21" customWidth="1"/>
    <col min="9977" max="9977" width="9.81640625" style="21" customWidth="1"/>
    <col min="9978" max="9978" width="14.453125" style="21" customWidth="1"/>
    <col min="9979" max="9979" width="7.26953125" style="21" customWidth="1"/>
    <col min="9980" max="9980" width="5.54296875" style="21" customWidth="1"/>
    <col min="9981" max="9981" width="9" style="21" customWidth="1"/>
    <col min="9982" max="9983" width="9.81640625" style="21" customWidth="1"/>
    <col min="9984" max="9984" width="11.1796875" style="21" customWidth="1"/>
    <col min="9985" max="9985" width="2.81640625" style="21" customWidth="1"/>
    <col min="9986" max="9986" width="3.54296875" style="21" customWidth="1"/>
    <col min="9987" max="10231" width="9.1796875" style="21"/>
    <col min="10232" max="10232" width="8.7265625" style="21" customWidth="1"/>
    <col min="10233" max="10233" width="9.81640625" style="21" customWidth="1"/>
    <col min="10234" max="10234" width="14.453125" style="21" customWidth="1"/>
    <col min="10235" max="10235" width="7.26953125" style="21" customWidth="1"/>
    <col min="10236" max="10236" width="5.54296875" style="21" customWidth="1"/>
    <col min="10237" max="10237" width="9" style="21" customWidth="1"/>
    <col min="10238" max="10239" width="9.81640625" style="21" customWidth="1"/>
    <col min="10240" max="10240" width="11.1796875" style="21" customWidth="1"/>
    <col min="10241" max="10241" width="2.81640625" style="21" customWidth="1"/>
    <col min="10242" max="10242" width="3.54296875" style="21" customWidth="1"/>
    <col min="10243" max="10487" width="9.1796875" style="21"/>
    <col min="10488" max="10488" width="8.7265625" style="21" customWidth="1"/>
    <col min="10489" max="10489" width="9.81640625" style="21" customWidth="1"/>
    <col min="10490" max="10490" width="14.453125" style="21" customWidth="1"/>
    <col min="10491" max="10491" width="7.26953125" style="21" customWidth="1"/>
    <col min="10492" max="10492" width="5.54296875" style="21" customWidth="1"/>
    <col min="10493" max="10493" width="9" style="21" customWidth="1"/>
    <col min="10494" max="10495" width="9.81640625" style="21" customWidth="1"/>
    <col min="10496" max="10496" width="11.1796875" style="21" customWidth="1"/>
    <col min="10497" max="10497" width="2.81640625" style="21" customWidth="1"/>
    <col min="10498" max="10498" width="3.54296875" style="21" customWidth="1"/>
    <col min="10499" max="10743" width="9.1796875" style="21"/>
    <col min="10744" max="10744" width="8.7265625" style="21" customWidth="1"/>
    <col min="10745" max="10745" width="9.81640625" style="21" customWidth="1"/>
    <col min="10746" max="10746" width="14.453125" style="21" customWidth="1"/>
    <col min="10747" max="10747" width="7.26953125" style="21" customWidth="1"/>
    <col min="10748" max="10748" width="5.54296875" style="21" customWidth="1"/>
    <col min="10749" max="10749" width="9" style="21" customWidth="1"/>
    <col min="10750" max="10751" width="9.81640625" style="21" customWidth="1"/>
    <col min="10752" max="10752" width="11.1796875" style="21" customWidth="1"/>
    <col min="10753" max="10753" width="2.81640625" style="21" customWidth="1"/>
    <col min="10754" max="10754" width="3.54296875" style="21" customWidth="1"/>
    <col min="10755" max="10999" width="9.1796875" style="21"/>
    <col min="11000" max="11000" width="8.7265625" style="21" customWidth="1"/>
    <col min="11001" max="11001" width="9.81640625" style="21" customWidth="1"/>
    <col min="11002" max="11002" width="14.453125" style="21" customWidth="1"/>
    <col min="11003" max="11003" width="7.26953125" style="21" customWidth="1"/>
    <col min="11004" max="11004" width="5.54296875" style="21" customWidth="1"/>
    <col min="11005" max="11005" width="9" style="21" customWidth="1"/>
    <col min="11006" max="11007" width="9.81640625" style="21" customWidth="1"/>
    <col min="11008" max="11008" width="11.1796875" style="21" customWidth="1"/>
    <col min="11009" max="11009" width="2.81640625" style="21" customWidth="1"/>
    <col min="11010" max="11010" width="3.54296875" style="21" customWidth="1"/>
    <col min="11011" max="11255" width="9.1796875" style="21"/>
    <col min="11256" max="11256" width="8.7265625" style="21" customWidth="1"/>
    <col min="11257" max="11257" width="9.81640625" style="21" customWidth="1"/>
    <col min="11258" max="11258" width="14.453125" style="21" customWidth="1"/>
    <col min="11259" max="11259" width="7.26953125" style="21" customWidth="1"/>
    <col min="11260" max="11260" width="5.54296875" style="21" customWidth="1"/>
    <col min="11261" max="11261" width="9" style="21" customWidth="1"/>
    <col min="11262" max="11263" width="9.81640625" style="21" customWidth="1"/>
    <col min="11264" max="11264" width="11.1796875" style="21" customWidth="1"/>
    <col min="11265" max="11265" width="2.81640625" style="21" customWidth="1"/>
    <col min="11266" max="11266" width="3.54296875" style="21" customWidth="1"/>
    <col min="11267" max="11511" width="9.1796875" style="21"/>
    <col min="11512" max="11512" width="8.7265625" style="21" customWidth="1"/>
    <col min="11513" max="11513" width="9.81640625" style="21" customWidth="1"/>
    <col min="11514" max="11514" width="14.453125" style="21" customWidth="1"/>
    <col min="11515" max="11515" width="7.26953125" style="21" customWidth="1"/>
    <col min="11516" max="11516" width="5.54296875" style="21" customWidth="1"/>
    <col min="11517" max="11517" width="9" style="21" customWidth="1"/>
    <col min="11518" max="11519" width="9.81640625" style="21" customWidth="1"/>
    <col min="11520" max="11520" width="11.1796875" style="21" customWidth="1"/>
    <col min="11521" max="11521" width="2.81640625" style="21" customWidth="1"/>
    <col min="11522" max="11522" width="3.54296875" style="21" customWidth="1"/>
    <col min="11523" max="11767" width="9.1796875" style="21"/>
    <col min="11768" max="11768" width="8.7265625" style="21" customWidth="1"/>
    <col min="11769" max="11769" width="9.81640625" style="21" customWidth="1"/>
    <col min="11770" max="11770" width="14.453125" style="21" customWidth="1"/>
    <col min="11771" max="11771" width="7.26953125" style="21" customWidth="1"/>
    <col min="11772" max="11772" width="5.54296875" style="21" customWidth="1"/>
    <col min="11773" max="11773" width="9" style="21" customWidth="1"/>
    <col min="11774" max="11775" width="9.81640625" style="21" customWidth="1"/>
    <col min="11776" max="11776" width="11.1796875" style="21" customWidth="1"/>
    <col min="11777" max="11777" width="2.81640625" style="21" customWidth="1"/>
    <col min="11778" max="11778" width="3.54296875" style="21" customWidth="1"/>
    <col min="11779" max="12023" width="9.1796875" style="21"/>
    <col min="12024" max="12024" width="8.7265625" style="21" customWidth="1"/>
    <col min="12025" max="12025" width="9.81640625" style="21" customWidth="1"/>
    <col min="12026" max="12026" width="14.453125" style="21" customWidth="1"/>
    <col min="12027" max="12027" width="7.26953125" style="21" customWidth="1"/>
    <col min="12028" max="12028" width="5.54296875" style="21" customWidth="1"/>
    <col min="12029" max="12029" width="9" style="21" customWidth="1"/>
    <col min="12030" max="12031" width="9.81640625" style="21" customWidth="1"/>
    <col min="12032" max="12032" width="11.1796875" style="21" customWidth="1"/>
    <col min="12033" max="12033" width="2.81640625" style="21" customWidth="1"/>
    <col min="12034" max="12034" width="3.54296875" style="21" customWidth="1"/>
    <col min="12035" max="12279" width="9.1796875" style="21"/>
    <col min="12280" max="12280" width="8.7265625" style="21" customWidth="1"/>
    <col min="12281" max="12281" width="9.81640625" style="21" customWidth="1"/>
    <col min="12282" max="12282" width="14.453125" style="21" customWidth="1"/>
    <col min="12283" max="12283" width="7.26953125" style="21" customWidth="1"/>
    <col min="12284" max="12284" width="5.54296875" style="21" customWidth="1"/>
    <col min="12285" max="12285" width="9" style="21" customWidth="1"/>
    <col min="12286" max="12287" width="9.81640625" style="21" customWidth="1"/>
    <col min="12288" max="12288" width="11.1796875" style="21" customWidth="1"/>
    <col min="12289" max="12289" width="2.81640625" style="21" customWidth="1"/>
    <col min="12290" max="12290" width="3.54296875" style="21" customWidth="1"/>
    <col min="12291" max="12535" width="9.1796875" style="21"/>
    <col min="12536" max="12536" width="8.7265625" style="21" customWidth="1"/>
    <col min="12537" max="12537" width="9.81640625" style="21" customWidth="1"/>
    <col min="12538" max="12538" width="14.453125" style="21" customWidth="1"/>
    <col min="12539" max="12539" width="7.26953125" style="21" customWidth="1"/>
    <col min="12540" max="12540" width="5.54296875" style="21" customWidth="1"/>
    <col min="12541" max="12541" width="9" style="21" customWidth="1"/>
    <col min="12542" max="12543" width="9.81640625" style="21" customWidth="1"/>
    <col min="12544" max="12544" width="11.1796875" style="21" customWidth="1"/>
    <col min="12545" max="12545" width="2.81640625" style="21" customWidth="1"/>
    <col min="12546" max="12546" width="3.54296875" style="21" customWidth="1"/>
    <col min="12547" max="12791" width="9.1796875" style="21"/>
    <col min="12792" max="12792" width="8.7265625" style="21" customWidth="1"/>
    <col min="12793" max="12793" width="9.81640625" style="21" customWidth="1"/>
    <col min="12794" max="12794" width="14.453125" style="21" customWidth="1"/>
    <col min="12795" max="12795" width="7.26953125" style="21" customWidth="1"/>
    <col min="12796" max="12796" width="5.54296875" style="21" customWidth="1"/>
    <col min="12797" max="12797" width="9" style="21" customWidth="1"/>
    <col min="12798" max="12799" width="9.81640625" style="21" customWidth="1"/>
    <col min="12800" max="12800" width="11.1796875" style="21" customWidth="1"/>
    <col min="12801" max="12801" width="2.81640625" style="21" customWidth="1"/>
    <col min="12802" max="12802" width="3.54296875" style="21" customWidth="1"/>
    <col min="12803" max="13047" width="9.1796875" style="21"/>
    <col min="13048" max="13048" width="8.7265625" style="21" customWidth="1"/>
    <col min="13049" max="13049" width="9.81640625" style="21" customWidth="1"/>
    <col min="13050" max="13050" width="14.453125" style="21" customWidth="1"/>
    <col min="13051" max="13051" width="7.26953125" style="21" customWidth="1"/>
    <col min="13052" max="13052" width="5.54296875" style="21" customWidth="1"/>
    <col min="13053" max="13053" width="9" style="21" customWidth="1"/>
    <col min="13054" max="13055" width="9.81640625" style="21" customWidth="1"/>
    <col min="13056" max="13056" width="11.1796875" style="21" customWidth="1"/>
    <col min="13057" max="13057" width="2.81640625" style="21" customWidth="1"/>
    <col min="13058" max="13058" width="3.54296875" style="21" customWidth="1"/>
    <col min="13059" max="13303" width="9.1796875" style="21"/>
    <col min="13304" max="13304" width="8.7265625" style="21" customWidth="1"/>
    <col min="13305" max="13305" width="9.81640625" style="21" customWidth="1"/>
    <col min="13306" max="13306" width="14.453125" style="21" customWidth="1"/>
    <col min="13307" max="13307" width="7.26953125" style="21" customWidth="1"/>
    <col min="13308" max="13308" width="5.54296875" style="21" customWidth="1"/>
    <col min="13309" max="13309" width="9" style="21" customWidth="1"/>
    <col min="13310" max="13311" width="9.81640625" style="21" customWidth="1"/>
    <col min="13312" max="13312" width="11.1796875" style="21" customWidth="1"/>
    <col min="13313" max="13313" width="2.81640625" style="21" customWidth="1"/>
    <col min="13314" max="13314" width="3.54296875" style="21" customWidth="1"/>
    <col min="13315" max="13559" width="9.1796875" style="21"/>
    <col min="13560" max="13560" width="8.7265625" style="21" customWidth="1"/>
    <col min="13561" max="13561" width="9.81640625" style="21" customWidth="1"/>
    <col min="13562" max="13562" width="14.453125" style="21" customWidth="1"/>
    <col min="13563" max="13563" width="7.26953125" style="21" customWidth="1"/>
    <col min="13564" max="13564" width="5.54296875" style="21" customWidth="1"/>
    <col min="13565" max="13565" width="9" style="21" customWidth="1"/>
    <col min="13566" max="13567" width="9.81640625" style="21" customWidth="1"/>
    <col min="13568" max="13568" width="11.1796875" style="21" customWidth="1"/>
    <col min="13569" max="13569" width="2.81640625" style="21" customWidth="1"/>
    <col min="13570" max="13570" width="3.54296875" style="21" customWidth="1"/>
    <col min="13571" max="13815" width="9.1796875" style="21"/>
    <col min="13816" max="13816" width="8.7265625" style="21" customWidth="1"/>
    <col min="13817" max="13817" width="9.81640625" style="21" customWidth="1"/>
    <col min="13818" max="13818" width="14.453125" style="21" customWidth="1"/>
    <col min="13819" max="13819" width="7.26953125" style="21" customWidth="1"/>
    <col min="13820" max="13820" width="5.54296875" style="21" customWidth="1"/>
    <col min="13821" max="13821" width="9" style="21" customWidth="1"/>
    <col min="13822" max="13823" width="9.81640625" style="21" customWidth="1"/>
    <col min="13824" max="13824" width="11.1796875" style="21" customWidth="1"/>
    <col min="13825" max="13825" width="2.81640625" style="21" customWidth="1"/>
    <col min="13826" max="13826" width="3.54296875" style="21" customWidth="1"/>
    <col min="13827" max="14071" width="9.1796875" style="21"/>
    <col min="14072" max="14072" width="8.7265625" style="21" customWidth="1"/>
    <col min="14073" max="14073" width="9.81640625" style="21" customWidth="1"/>
    <col min="14074" max="14074" width="14.453125" style="21" customWidth="1"/>
    <col min="14075" max="14075" width="7.26953125" style="21" customWidth="1"/>
    <col min="14076" max="14076" width="5.54296875" style="21" customWidth="1"/>
    <col min="14077" max="14077" width="9" style="21" customWidth="1"/>
    <col min="14078" max="14079" width="9.81640625" style="21" customWidth="1"/>
    <col min="14080" max="14080" width="11.1796875" style="21" customWidth="1"/>
    <col min="14081" max="14081" width="2.81640625" style="21" customWidth="1"/>
    <col min="14082" max="14082" width="3.54296875" style="21" customWidth="1"/>
    <col min="14083" max="14327" width="9.1796875" style="21"/>
    <col min="14328" max="14328" width="8.7265625" style="21" customWidth="1"/>
    <col min="14329" max="14329" width="9.81640625" style="21" customWidth="1"/>
    <col min="14330" max="14330" width="14.453125" style="21" customWidth="1"/>
    <col min="14331" max="14331" width="7.26953125" style="21" customWidth="1"/>
    <col min="14332" max="14332" width="5.54296875" style="21" customWidth="1"/>
    <col min="14333" max="14333" width="9" style="21" customWidth="1"/>
    <col min="14334" max="14335" width="9.81640625" style="21" customWidth="1"/>
    <col min="14336" max="14336" width="11.1796875" style="21" customWidth="1"/>
    <col min="14337" max="14337" width="2.81640625" style="21" customWidth="1"/>
    <col min="14338" max="14338" width="3.54296875" style="21" customWidth="1"/>
    <col min="14339" max="14583" width="9.1796875" style="21"/>
    <col min="14584" max="14584" width="8.7265625" style="21" customWidth="1"/>
    <col min="14585" max="14585" width="9.81640625" style="21" customWidth="1"/>
    <col min="14586" max="14586" width="14.453125" style="21" customWidth="1"/>
    <col min="14587" max="14587" width="7.26953125" style="21" customWidth="1"/>
    <col min="14588" max="14588" width="5.54296875" style="21" customWidth="1"/>
    <col min="14589" max="14589" width="9" style="21" customWidth="1"/>
    <col min="14590" max="14591" width="9.81640625" style="21" customWidth="1"/>
    <col min="14592" max="14592" width="11.1796875" style="21" customWidth="1"/>
    <col min="14593" max="14593" width="2.81640625" style="21" customWidth="1"/>
    <col min="14594" max="14594" width="3.54296875" style="21" customWidth="1"/>
    <col min="14595" max="14839" width="9.1796875" style="21"/>
    <col min="14840" max="14840" width="8.7265625" style="21" customWidth="1"/>
    <col min="14841" max="14841" width="9.81640625" style="21" customWidth="1"/>
    <col min="14842" max="14842" width="14.453125" style="21" customWidth="1"/>
    <col min="14843" max="14843" width="7.26953125" style="21" customWidth="1"/>
    <col min="14844" max="14844" width="5.54296875" style="21" customWidth="1"/>
    <col min="14845" max="14845" width="9" style="21" customWidth="1"/>
    <col min="14846" max="14847" width="9.81640625" style="21" customWidth="1"/>
    <col min="14848" max="14848" width="11.1796875" style="21" customWidth="1"/>
    <col min="14849" max="14849" width="2.81640625" style="21" customWidth="1"/>
    <col min="14850" max="14850" width="3.54296875" style="21" customWidth="1"/>
    <col min="14851" max="15095" width="9.1796875" style="21"/>
    <col min="15096" max="15096" width="8.7265625" style="21" customWidth="1"/>
    <col min="15097" max="15097" width="9.81640625" style="21" customWidth="1"/>
    <col min="15098" max="15098" width="14.453125" style="21" customWidth="1"/>
    <col min="15099" max="15099" width="7.26953125" style="21" customWidth="1"/>
    <col min="15100" max="15100" width="5.54296875" style="21" customWidth="1"/>
    <col min="15101" max="15101" width="9" style="21" customWidth="1"/>
    <col min="15102" max="15103" width="9.81640625" style="21" customWidth="1"/>
    <col min="15104" max="15104" width="11.1796875" style="21" customWidth="1"/>
    <col min="15105" max="15105" width="2.81640625" style="21" customWidth="1"/>
    <col min="15106" max="15106" width="3.54296875" style="21" customWidth="1"/>
    <col min="15107" max="15351" width="9.1796875" style="21"/>
    <col min="15352" max="15352" width="8.7265625" style="21" customWidth="1"/>
    <col min="15353" max="15353" width="9.81640625" style="21" customWidth="1"/>
    <col min="15354" max="15354" width="14.453125" style="21" customWidth="1"/>
    <col min="15355" max="15355" width="7.26953125" style="21" customWidth="1"/>
    <col min="15356" max="15356" width="5.54296875" style="21" customWidth="1"/>
    <col min="15357" max="15357" width="9" style="21" customWidth="1"/>
    <col min="15358" max="15359" width="9.81640625" style="21" customWidth="1"/>
    <col min="15360" max="15360" width="11.1796875" style="21" customWidth="1"/>
    <col min="15361" max="15361" width="2.81640625" style="21" customWidth="1"/>
    <col min="15362" max="15362" width="3.54296875" style="21" customWidth="1"/>
    <col min="15363" max="15607" width="9.1796875" style="21"/>
    <col min="15608" max="15608" width="8.7265625" style="21" customWidth="1"/>
    <col min="15609" max="15609" width="9.81640625" style="21" customWidth="1"/>
    <col min="15610" max="15610" width="14.453125" style="21" customWidth="1"/>
    <col min="15611" max="15611" width="7.26953125" style="21" customWidth="1"/>
    <col min="15612" max="15612" width="5.54296875" style="21" customWidth="1"/>
    <col min="15613" max="15613" width="9" style="21" customWidth="1"/>
    <col min="15614" max="15615" width="9.81640625" style="21" customWidth="1"/>
    <col min="15616" max="15616" width="11.1796875" style="21" customWidth="1"/>
    <col min="15617" max="15617" width="2.81640625" style="21" customWidth="1"/>
    <col min="15618" max="15618" width="3.54296875" style="21" customWidth="1"/>
    <col min="15619" max="15863" width="9.1796875" style="21"/>
    <col min="15864" max="15864" width="8.7265625" style="21" customWidth="1"/>
    <col min="15865" max="15865" width="9.81640625" style="21" customWidth="1"/>
    <col min="15866" max="15866" width="14.453125" style="21" customWidth="1"/>
    <col min="15867" max="15867" width="7.26953125" style="21" customWidth="1"/>
    <col min="15868" max="15868" width="5.54296875" style="21" customWidth="1"/>
    <col min="15869" max="15869" width="9" style="21" customWidth="1"/>
    <col min="15870" max="15871" width="9.81640625" style="21" customWidth="1"/>
    <col min="15872" max="15872" width="11.1796875" style="21" customWidth="1"/>
    <col min="15873" max="15873" width="2.81640625" style="21" customWidth="1"/>
    <col min="15874" max="15874" width="3.54296875" style="21" customWidth="1"/>
    <col min="15875" max="16119" width="9.1796875" style="21"/>
    <col min="16120" max="16120" width="8.7265625" style="21" customWidth="1"/>
    <col min="16121" max="16121" width="9.81640625" style="21" customWidth="1"/>
    <col min="16122" max="16122" width="14.453125" style="21" customWidth="1"/>
    <col min="16123" max="16123" width="7.26953125" style="21" customWidth="1"/>
    <col min="16124" max="16124" width="5.54296875" style="21" customWidth="1"/>
    <col min="16125" max="16125" width="9" style="21" customWidth="1"/>
    <col min="16126" max="16127" width="9.81640625" style="21" customWidth="1"/>
    <col min="16128" max="16128" width="11.1796875" style="21" customWidth="1"/>
    <col min="16129" max="16129" width="2.81640625" style="21" customWidth="1"/>
    <col min="16130" max="16130" width="3.54296875" style="21" customWidth="1"/>
    <col min="16131" max="16384" width="9.1796875" style="21"/>
  </cols>
  <sheetData>
    <row r="1" spans="1:26" ht="46.5" customHeight="1" x14ac:dyDescent="0.35">
      <c r="A1" s="190" t="s">
        <v>163</v>
      </c>
      <c r="B1" s="190"/>
      <c r="C1" s="190"/>
      <c r="D1" s="190"/>
      <c r="E1" s="190"/>
      <c r="F1" s="190"/>
      <c r="G1" s="190"/>
      <c r="H1" s="190"/>
    </row>
    <row r="2" spans="1:26" ht="16.5" customHeight="1" x14ac:dyDescent="0.35">
      <c r="A2" s="191" t="s">
        <v>0</v>
      </c>
      <c r="B2" s="191"/>
      <c r="C2" s="191"/>
      <c r="D2" s="191"/>
      <c r="E2" s="191"/>
      <c r="F2" s="191"/>
      <c r="G2" s="191"/>
      <c r="H2" s="191"/>
    </row>
    <row r="3" spans="1:26" x14ac:dyDescent="0.35">
      <c r="A3" s="149" t="s">
        <v>1</v>
      </c>
      <c r="B3" s="149"/>
      <c r="C3" s="149"/>
      <c r="D3" s="149"/>
      <c r="E3" s="149" t="str">
        <f ca="1">TEXT(TODAY(),"DD/MM/YYYY")</f>
        <v>28/09/2025</v>
      </c>
      <c r="F3" s="149"/>
      <c r="G3" s="149"/>
      <c r="H3" s="149"/>
      <c r="K3" s="58" t="s">
        <v>235</v>
      </c>
      <c r="L3" s="55" t="s">
        <v>233</v>
      </c>
      <c r="M3" s="55" t="s">
        <v>238</v>
      </c>
      <c r="N3" s="55" t="s">
        <v>236</v>
      </c>
      <c r="O3" s="55" t="s">
        <v>237</v>
      </c>
      <c r="P3" s="55" t="s">
        <v>239</v>
      </c>
    </row>
    <row r="4" spans="1:26" ht="15" customHeight="1" x14ac:dyDescent="0.35">
      <c r="A4" s="149" t="s">
        <v>232</v>
      </c>
      <c r="B4" s="149"/>
      <c r="C4" s="149"/>
      <c r="D4" s="149"/>
      <c r="E4" s="144" t="s">
        <v>238</v>
      </c>
      <c r="F4" s="144"/>
      <c r="G4" s="144"/>
      <c r="H4" s="144"/>
      <c r="K4" s="54" t="s">
        <v>234</v>
      </c>
      <c r="L4" s="55" t="s">
        <v>169</v>
      </c>
      <c r="M4" s="55" t="s">
        <v>243</v>
      </c>
      <c r="N4" s="55" t="s">
        <v>245</v>
      </c>
      <c r="O4" s="55" t="s">
        <v>247</v>
      </c>
      <c r="P4" s="55"/>
    </row>
    <row r="5" spans="1:26" ht="15" customHeight="1" x14ac:dyDescent="0.35">
      <c r="A5" s="149" t="s">
        <v>2</v>
      </c>
      <c r="B5" s="149"/>
      <c r="C5" s="149"/>
      <c r="D5" s="149"/>
      <c r="E5" s="144" t="s">
        <v>301</v>
      </c>
      <c r="F5" s="144"/>
      <c r="G5" s="144"/>
      <c r="H5" s="144"/>
      <c r="K5" s="54"/>
      <c r="L5" s="55" t="s">
        <v>240</v>
      </c>
      <c r="M5" s="55" t="s">
        <v>244</v>
      </c>
      <c r="N5" s="55" t="s">
        <v>246</v>
      </c>
      <c r="O5" s="55" t="s">
        <v>248</v>
      </c>
      <c r="P5" s="55"/>
    </row>
    <row r="6" spans="1:26" x14ac:dyDescent="0.35">
      <c r="A6" s="149" t="s">
        <v>3</v>
      </c>
      <c r="B6" s="149"/>
      <c r="C6" s="149"/>
      <c r="D6" s="149"/>
      <c r="E6" s="192">
        <v>45927</v>
      </c>
      <c r="F6" s="149"/>
      <c r="G6" s="149"/>
      <c r="H6" s="149"/>
      <c r="K6" s="54"/>
      <c r="L6" s="55" t="s">
        <v>241</v>
      </c>
      <c r="M6" s="55" t="s">
        <v>301</v>
      </c>
      <c r="N6" s="55"/>
      <c r="O6" s="55" t="s">
        <v>249</v>
      </c>
      <c r="P6" s="55"/>
    </row>
    <row r="7" spans="1:26" ht="16.5" customHeight="1" x14ac:dyDescent="0.35">
      <c r="A7" s="149" t="s">
        <v>4</v>
      </c>
      <c r="B7" s="149"/>
      <c r="C7" s="149"/>
      <c r="D7" s="149"/>
      <c r="E7" s="149" t="s">
        <v>302</v>
      </c>
      <c r="F7" s="149"/>
      <c r="G7" s="149"/>
      <c r="H7" s="149"/>
      <c r="K7" s="54"/>
      <c r="L7" s="55" t="s">
        <v>242</v>
      </c>
      <c r="M7" s="55"/>
      <c r="N7" s="55"/>
      <c r="O7" s="55" t="s">
        <v>249</v>
      </c>
      <c r="P7" s="55"/>
    </row>
    <row r="8" spans="1:26" ht="15" customHeight="1" x14ac:dyDescent="0.35">
      <c r="A8" s="149" t="s">
        <v>5</v>
      </c>
      <c r="B8" s="149"/>
      <c r="C8" s="149"/>
      <c r="D8" s="149"/>
      <c r="E8" s="149" t="str">
        <f>E7</f>
        <v>Ashapura Combines</v>
      </c>
      <c r="F8" s="149"/>
      <c r="G8" s="149"/>
      <c r="H8" s="149"/>
      <c r="K8" s="54"/>
      <c r="L8" s="55"/>
      <c r="M8" s="55"/>
      <c r="N8" s="55"/>
      <c r="O8" s="55" t="s">
        <v>250</v>
      </c>
      <c r="P8" s="55"/>
    </row>
    <row r="9" spans="1:26" x14ac:dyDescent="0.35">
      <c r="A9" s="149" t="s">
        <v>6</v>
      </c>
      <c r="B9" s="149"/>
      <c r="C9" s="149"/>
      <c r="D9" s="149"/>
      <c r="E9" s="125" t="s">
        <v>303</v>
      </c>
      <c r="F9" s="125"/>
      <c r="G9" s="125"/>
      <c r="H9" s="125"/>
      <c r="K9" s="54"/>
      <c r="L9" s="55"/>
      <c r="M9" s="55"/>
      <c r="N9" s="55"/>
      <c r="O9" s="55" t="s">
        <v>251</v>
      </c>
      <c r="P9" s="55"/>
    </row>
    <row r="10" spans="1:26" x14ac:dyDescent="0.35">
      <c r="A10" s="149" t="s">
        <v>166</v>
      </c>
      <c r="B10" s="149"/>
      <c r="C10" s="149"/>
      <c r="D10" s="149"/>
      <c r="E10" s="149" t="s">
        <v>322</v>
      </c>
      <c r="F10" s="149"/>
      <c r="G10" s="149"/>
      <c r="H10" s="149"/>
      <c r="K10" s="54"/>
      <c r="L10" s="55"/>
      <c r="M10" s="55"/>
      <c r="N10" s="55"/>
      <c r="O10" s="55"/>
      <c r="P10" s="55"/>
    </row>
    <row r="11" spans="1:26" x14ac:dyDescent="0.35">
      <c r="A11" s="149" t="s">
        <v>167</v>
      </c>
      <c r="B11" s="149"/>
      <c r="C11" s="149"/>
      <c r="D11" s="149"/>
      <c r="E11" s="149" t="s">
        <v>349</v>
      </c>
      <c r="F11" s="149"/>
      <c r="G11" s="149"/>
      <c r="H11" s="149"/>
    </row>
    <row r="12" spans="1:26" x14ac:dyDescent="0.35">
      <c r="A12" s="149" t="s">
        <v>7</v>
      </c>
      <c r="B12" s="149"/>
      <c r="C12" s="149"/>
      <c r="D12" s="149"/>
      <c r="E12" s="149" t="s">
        <v>330</v>
      </c>
      <c r="F12" s="149"/>
      <c r="G12" s="149"/>
      <c r="H12" s="149"/>
    </row>
    <row r="13" spans="1:26" x14ac:dyDescent="0.35">
      <c r="A13" s="149" t="s">
        <v>170</v>
      </c>
      <c r="B13" s="149"/>
      <c r="C13" s="149"/>
      <c r="D13" s="149"/>
      <c r="E13" s="149" t="s">
        <v>28</v>
      </c>
      <c r="F13" s="149"/>
      <c r="G13" s="149"/>
      <c r="H13" s="149"/>
      <c r="S13" s="55" t="s">
        <v>177</v>
      </c>
      <c r="T13" s="55" t="s">
        <v>187</v>
      </c>
      <c r="U13" s="55" t="s">
        <v>171</v>
      </c>
      <c r="V13" s="55" t="s">
        <v>192</v>
      </c>
      <c r="W13" s="55" t="s">
        <v>210</v>
      </c>
      <c r="X13"/>
      <c r="Y13" t="s">
        <v>192</v>
      </c>
      <c r="Z13" t="e">
        <f ca="1">OFFSET($S$13,1,MATCH($G20,$S$13:$W$13,0)-1,15,1)</f>
        <v>#VALUE!</v>
      </c>
    </row>
    <row r="14" spans="1:26" ht="18" customHeight="1" x14ac:dyDescent="0.35">
      <c r="A14" s="91" t="s">
        <v>278</v>
      </c>
      <c r="B14" s="91"/>
      <c r="C14" s="91"/>
      <c r="D14" s="91"/>
      <c r="E14" s="157" t="s">
        <v>225</v>
      </c>
      <c r="F14" s="157"/>
      <c r="G14" s="157"/>
      <c r="H14" s="157"/>
      <c r="S14" s="55" t="s">
        <v>178</v>
      </c>
      <c r="T14" s="55" t="s">
        <v>185</v>
      </c>
      <c r="U14" s="55" t="s">
        <v>207</v>
      </c>
      <c r="V14" s="55" t="s">
        <v>193</v>
      </c>
      <c r="W14" s="55" t="s">
        <v>211</v>
      </c>
      <c r="X14"/>
      <c r="Y14"/>
      <c r="Z14"/>
    </row>
    <row r="15" spans="1:26" x14ac:dyDescent="0.35">
      <c r="A15" s="91" t="s">
        <v>8</v>
      </c>
      <c r="B15" s="91"/>
      <c r="C15" s="91"/>
      <c r="D15" s="91"/>
      <c r="E15" s="157" t="s">
        <v>304</v>
      </c>
      <c r="F15" s="144"/>
      <c r="G15" s="144"/>
      <c r="H15" s="144"/>
      <c r="I15" s="216" t="e">
        <f ca="1">OFFSET($D$5,1,MATCH($J13,$D$5:$H$5,0)-1,15,1)</f>
        <v>#N/A</v>
      </c>
      <c r="J15" s="217"/>
      <c r="K15" s="217"/>
      <c r="L15" s="217"/>
      <c r="M15" s="217"/>
      <c r="N15" s="217"/>
      <c r="O15" s="217"/>
      <c r="P15" s="217"/>
      <c r="S15" s="55" t="s">
        <v>179</v>
      </c>
      <c r="T15" s="55" t="s">
        <v>186</v>
      </c>
      <c r="U15" s="55" t="s">
        <v>208</v>
      </c>
      <c r="V15" s="55" t="s">
        <v>194</v>
      </c>
      <c r="W15" s="55" t="s">
        <v>224</v>
      </c>
      <c r="X15"/>
      <c r="Y15"/>
      <c r="Z15"/>
    </row>
    <row r="16" spans="1:26" ht="48.75" customHeight="1" x14ac:dyDescent="0.35">
      <c r="A16" s="132" t="s">
        <v>9</v>
      </c>
      <c r="B16" s="132"/>
      <c r="C16" s="132" t="str">
        <f>CONCATENATE((IF(OR(E9="",E9="NA"),"",E9)),", ",(IF(OR(A17="",A17="NA"),"",A17)),".",(IF(OR(C17="",C17="NA"),"",C17)),", near ",(IF(OR(C22="",C22="NA"),"",C22)),", ",(IF(OR(C19="",C19="NA"),"",C19)),", ",(IF(OR(C18="",C18="NA"),"",C18)),", ",(IF(OR(G19="",G19="NA"),"",G19)),", ",(IF(OR(C20="",C20="NA"),"",C20)),", ",(IF(OR(C21="",C21="NA"),"",C21)),", ",(IF(OR(G20="",G20="NA"),"",G20))," - ",(IF(OR(G21="",G21="NA"),"",G21)),".")</f>
        <v>Bileshwar, Survey No.89 H No.1, 2, 3 &amp; 5, S. No.90 H. No.5, 7, 8, Plot No. 1, near Neelkanth Srushti Complex, Internal Road, Adharwadi, Khadakpada, Wadeghar, Kalyan West, Kalyan, Thane  - 421301.</v>
      </c>
      <c r="D16" s="132"/>
      <c r="E16" s="132"/>
      <c r="F16" s="132"/>
      <c r="G16" s="132"/>
      <c r="H16" s="132"/>
      <c r="S16" s="55" t="s">
        <v>180</v>
      </c>
      <c r="T16" s="55" t="s">
        <v>188</v>
      </c>
      <c r="U16" s="55" t="s">
        <v>209</v>
      </c>
      <c r="V16" s="55" t="s">
        <v>195</v>
      </c>
      <c r="W16" s="55" t="s">
        <v>212</v>
      </c>
      <c r="X16"/>
      <c r="Y16"/>
      <c r="Z16"/>
    </row>
    <row r="17" spans="1:26" x14ac:dyDescent="0.35">
      <c r="A17" s="157" t="s">
        <v>305</v>
      </c>
      <c r="B17" s="157"/>
      <c r="C17" s="157" t="s">
        <v>331</v>
      </c>
      <c r="D17" s="157"/>
      <c r="E17" s="157"/>
      <c r="F17" s="157"/>
      <c r="G17" s="157"/>
      <c r="H17" s="157"/>
      <c r="S17" s="55" t="s">
        <v>181</v>
      </c>
      <c r="T17" s="55" t="s">
        <v>189</v>
      </c>
      <c r="U17" s="55" t="s">
        <v>171</v>
      </c>
      <c r="V17" s="55" t="s">
        <v>196</v>
      </c>
      <c r="W17" s="55" t="s">
        <v>213</v>
      </c>
      <c r="X17"/>
      <c r="Y17"/>
      <c r="Z17"/>
    </row>
    <row r="18" spans="1:26" ht="15.75" customHeight="1" x14ac:dyDescent="0.35">
      <c r="A18" s="148" t="s">
        <v>161</v>
      </c>
      <c r="B18" s="148"/>
      <c r="C18" s="148" t="s">
        <v>332</v>
      </c>
      <c r="D18" s="148"/>
      <c r="E18" s="148"/>
      <c r="F18" s="148"/>
      <c r="G18" s="148"/>
      <c r="H18" s="148"/>
      <c r="S18" s="55" t="s">
        <v>182</v>
      </c>
      <c r="T18" s="55" t="s">
        <v>187</v>
      </c>
      <c r="U18" s="55"/>
      <c r="V18" s="55" t="s">
        <v>197</v>
      </c>
      <c r="W18" s="55" t="s">
        <v>214</v>
      </c>
      <c r="X18"/>
      <c r="Y18"/>
      <c r="Z18"/>
    </row>
    <row r="19" spans="1:26" ht="15.75" customHeight="1" x14ac:dyDescent="0.35">
      <c r="A19" s="132" t="s">
        <v>10</v>
      </c>
      <c r="B19" s="132"/>
      <c r="C19" s="144" t="s">
        <v>320</v>
      </c>
      <c r="D19" s="144"/>
      <c r="E19" s="157" t="s">
        <v>70</v>
      </c>
      <c r="F19" s="157"/>
      <c r="G19" s="157" t="s">
        <v>306</v>
      </c>
      <c r="H19" s="157"/>
      <c r="S19" s="55" t="s">
        <v>183</v>
      </c>
      <c r="T19" s="55" t="s">
        <v>190</v>
      </c>
      <c r="U19" s="55"/>
      <c r="V19" s="55" t="s">
        <v>198</v>
      </c>
      <c r="W19" s="55" t="s">
        <v>215</v>
      </c>
      <c r="X19"/>
      <c r="Y19"/>
      <c r="Z19"/>
    </row>
    <row r="20" spans="1:26" x14ac:dyDescent="0.35">
      <c r="A20" s="91" t="s">
        <v>12</v>
      </c>
      <c r="B20" s="91"/>
      <c r="C20" s="157" t="s">
        <v>324</v>
      </c>
      <c r="D20" s="157"/>
      <c r="E20" s="157" t="s">
        <v>11</v>
      </c>
      <c r="F20" s="157"/>
      <c r="G20" s="189" t="s">
        <v>177</v>
      </c>
      <c r="H20" s="189"/>
      <c r="S20" s="55" t="s">
        <v>184</v>
      </c>
      <c r="T20" s="55" t="s">
        <v>191</v>
      </c>
      <c r="U20" s="55"/>
      <c r="V20" s="55" t="s">
        <v>199</v>
      </c>
      <c r="W20" s="55" t="s">
        <v>216</v>
      </c>
      <c r="X20"/>
      <c r="Y20"/>
      <c r="Z20"/>
    </row>
    <row r="21" spans="1:26" x14ac:dyDescent="0.35">
      <c r="A21" s="91" t="s">
        <v>71</v>
      </c>
      <c r="B21" s="91"/>
      <c r="C21" s="157" t="s">
        <v>180</v>
      </c>
      <c r="D21" s="157"/>
      <c r="E21" s="157" t="s">
        <v>13</v>
      </c>
      <c r="F21" s="157"/>
      <c r="G21" s="157">
        <v>421301</v>
      </c>
      <c r="H21" s="157"/>
      <c r="S21" s="55"/>
      <c r="T21" s="55"/>
      <c r="U21" s="55"/>
      <c r="V21" s="55" t="s">
        <v>200</v>
      </c>
      <c r="W21" s="55" t="s">
        <v>217</v>
      </c>
      <c r="X21"/>
      <c r="Y21"/>
      <c r="Z21"/>
    </row>
    <row r="22" spans="1:26" ht="32.25" customHeight="1" x14ac:dyDescent="0.35">
      <c r="A22" s="91" t="s">
        <v>117</v>
      </c>
      <c r="B22" s="91"/>
      <c r="C22" s="157" t="s">
        <v>319</v>
      </c>
      <c r="D22" s="157"/>
      <c r="E22" s="157" t="s">
        <v>14</v>
      </c>
      <c r="F22" s="157"/>
      <c r="G22" s="157" t="s">
        <v>323</v>
      </c>
      <c r="H22" s="157"/>
      <c r="S22" s="55"/>
      <c r="T22" s="55"/>
      <c r="U22" s="55"/>
      <c r="V22" s="55" t="s">
        <v>201</v>
      </c>
      <c r="W22" s="55" t="s">
        <v>218</v>
      </c>
      <c r="X22"/>
      <c r="Y22"/>
      <c r="Z22"/>
    </row>
    <row r="23" spans="1:26" ht="15" customHeight="1" x14ac:dyDescent="0.35">
      <c r="A23" s="132" t="s">
        <v>73</v>
      </c>
      <c r="B23" s="132"/>
      <c r="C23" s="132"/>
      <c r="D23" s="132"/>
      <c r="E23" s="149" t="s">
        <v>15</v>
      </c>
      <c r="F23" s="149"/>
      <c r="G23" s="149"/>
      <c r="H23" s="149"/>
      <c r="S23" s="55"/>
      <c r="T23" s="55"/>
      <c r="U23" s="55"/>
      <c r="V23" s="55" t="s">
        <v>202</v>
      </c>
      <c r="W23" s="55" t="s">
        <v>219</v>
      </c>
      <c r="X23"/>
      <c r="Y23"/>
      <c r="Z23"/>
    </row>
    <row r="24" spans="1:26" ht="18.75" customHeight="1" x14ac:dyDescent="0.35">
      <c r="A24" s="132"/>
      <c r="B24" s="132"/>
      <c r="C24" s="132"/>
      <c r="D24" s="132"/>
      <c r="E24" s="149"/>
      <c r="F24" s="149"/>
      <c r="G24" s="149"/>
      <c r="H24" s="149"/>
      <c r="S24" s="55"/>
      <c r="T24" s="55"/>
      <c r="U24" s="55"/>
      <c r="V24" s="55" t="s">
        <v>203</v>
      </c>
      <c r="W24" s="55" t="s">
        <v>220</v>
      </c>
      <c r="X24"/>
      <c r="Y24"/>
      <c r="Z24"/>
    </row>
    <row r="25" spans="1:26" ht="15" customHeight="1" x14ac:dyDescent="0.35">
      <c r="A25" s="132" t="s">
        <v>16</v>
      </c>
      <c r="B25" s="132"/>
      <c r="C25" s="132"/>
      <c r="D25" s="132"/>
      <c r="E25" s="148" t="s">
        <v>17</v>
      </c>
      <c r="F25" s="148"/>
      <c r="G25" s="148"/>
      <c r="H25" s="148"/>
      <c r="S25" s="55"/>
      <c r="T25" s="55"/>
      <c r="U25" s="55"/>
      <c r="V25" s="55" t="s">
        <v>204</v>
      </c>
      <c r="W25" s="55" t="s">
        <v>221</v>
      </c>
      <c r="X25"/>
      <c r="Y25"/>
      <c r="Z25"/>
    </row>
    <row r="26" spans="1:26" ht="15" customHeight="1" x14ac:dyDescent="0.35">
      <c r="A26" s="91" t="s">
        <v>18</v>
      </c>
      <c r="B26" s="91"/>
      <c r="C26" s="91"/>
      <c r="D26" s="91"/>
      <c r="E26" s="148" t="str">
        <f>IF(AND(G20="Mumbai"),"Upper Class","Middle Class")</f>
        <v>Middle Class</v>
      </c>
      <c r="F26" s="148"/>
      <c r="G26" s="148"/>
      <c r="H26" s="148"/>
      <c r="S26" s="55"/>
      <c r="T26" s="55"/>
      <c r="U26" s="55"/>
      <c r="V26" s="55" t="s">
        <v>205</v>
      </c>
      <c r="W26" s="55" t="s">
        <v>222</v>
      </c>
      <c r="X26"/>
      <c r="Y26"/>
      <c r="Z26"/>
    </row>
    <row r="27" spans="1:26" x14ac:dyDescent="0.35">
      <c r="A27" s="91" t="s">
        <v>19</v>
      </c>
      <c r="B27" s="91"/>
      <c r="C27" s="91"/>
      <c r="D27" s="91"/>
      <c r="E27" s="148" t="s">
        <v>20</v>
      </c>
      <c r="F27" s="148"/>
      <c r="G27" s="148"/>
      <c r="H27" s="148"/>
      <c r="S27" s="55"/>
      <c r="T27" s="55"/>
      <c r="U27" s="55"/>
      <c r="V27" s="55" t="s">
        <v>206</v>
      </c>
      <c r="W27" s="55" t="s">
        <v>223</v>
      </c>
      <c r="X27"/>
      <c r="Y27"/>
      <c r="Z27"/>
    </row>
    <row r="28" spans="1:26" ht="15.75" customHeight="1" x14ac:dyDescent="0.35">
      <c r="A28" s="91" t="s">
        <v>21</v>
      </c>
      <c r="B28" s="91"/>
      <c r="C28" s="91"/>
      <c r="D28" s="91"/>
      <c r="E28" s="148" t="str">
        <f>IF(AND(G20="Mumbai"),"Developed","Developing")</f>
        <v>Developing</v>
      </c>
      <c r="F28" s="148"/>
      <c r="G28" s="148"/>
      <c r="H28" s="148"/>
    </row>
    <row r="29" spans="1:26" x14ac:dyDescent="0.35">
      <c r="A29" s="91" t="s">
        <v>22</v>
      </c>
      <c r="B29" s="91"/>
      <c r="C29" s="91"/>
      <c r="D29" s="91"/>
      <c r="E29" s="148" t="s">
        <v>23</v>
      </c>
      <c r="F29" s="148"/>
      <c r="G29" s="148"/>
      <c r="H29" s="148"/>
    </row>
    <row r="30" spans="1:26" ht="15.75" customHeight="1" x14ac:dyDescent="0.35">
      <c r="A30" s="91" t="s">
        <v>78</v>
      </c>
      <c r="B30" s="91"/>
      <c r="C30" s="91"/>
      <c r="D30" s="91"/>
      <c r="E30" s="148" t="s">
        <v>79</v>
      </c>
      <c r="F30" s="148"/>
      <c r="G30" s="148"/>
      <c r="H30" s="148"/>
    </row>
    <row r="31" spans="1:26" ht="15" customHeight="1" x14ac:dyDescent="0.35">
      <c r="A31" s="91" t="s">
        <v>30</v>
      </c>
      <c r="B31" s="91"/>
      <c r="C31" s="91"/>
      <c r="D31" s="91"/>
      <c r="E31" s="148" t="str">
        <f>IF(AND(ISNUMBER(SEARCH("Flat",D63)),ISNUMBER(SEARCH("Shop",D63)),ISNUMBER(SEARCH("Office",D63))),"Residential + Commercial",IF(AND(ISNUMBER(SEARCH("Flat",D63)),ISNUMBER(SEARCH("Shop",D63))),"Residential + Commercial",IF(AND(ISNUMBER(SEARCH("Flat",D63)),ISNUMBER(SEARCH("Office",D63))),"Residential + Commercial",IF(AND(ISNUMBER(SEARCH("Shop",D63)),ISNUMBER(SEARCH("Office",D63))),"Commercial",IF(ISNUMBER(SEARCH("Shop",D63)),"Commercial",IF(ISNUMBER(SEARCH("Office",D63)),"Commercial",IF(ISNUMBER(SEARCH("Flat",D63)),"Residential")))))))</f>
        <v>Residential + Commercial</v>
      </c>
      <c r="F31" s="148"/>
      <c r="G31" s="148"/>
      <c r="H31" s="148"/>
    </row>
    <row r="32" spans="1:26" ht="15.75" customHeight="1" x14ac:dyDescent="0.35">
      <c r="A32" s="91" t="s">
        <v>90</v>
      </c>
      <c r="B32" s="91"/>
      <c r="C32" s="91"/>
      <c r="D32" s="91"/>
      <c r="E32" s="148" t="s">
        <v>31</v>
      </c>
      <c r="F32" s="148"/>
      <c r="G32" s="148"/>
      <c r="H32" s="148"/>
    </row>
    <row r="33" spans="1:19" s="22" customFormat="1" x14ac:dyDescent="0.35">
      <c r="A33" s="188" t="s">
        <v>91</v>
      </c>
      <c r="B33" s="188"/>
      <c r="C33" s="185" t="s">
        <v>172</v>
      </c>
      <c r="D33" s="186"/>
      <c r="E33" s="187"/>
      <c r="F33" s="185" t="s">
        <v>29</v>
      </c>
      <c r="G33" s="186"/>
      <c r="H33" s="187"/>
      <c r="S33" s="22" t="e">
        <f ca="1">OFFSET($S$13,1,MATCH($G20,$S$13:$W$13,0)-1,15,1)</f>
        <v>#VALUE!</v>
      </c>
    </row>
    <row r="34" spans="1:19" s="22" customFormat="1" x14ac:dyDescent="0.35">
      <c r="A34" s="174" t="s">
        <v>24</v>
      </c>
      <c r="B34" s="174" t="s">
        <v>28</v>
      </c>
      <c r="C34" s="175" t="s">
        <v>329</v>
      </c>
      <c r="D34" s="176"/>
      <c r="E34" s="177"/>
      <c r="F34" s="175" t="s">
        <v>319</v>
      </c>
      <c r="G34" s="176"/>
      <c r="H34" s="177"/>
    </row>
    <row r="35" spans="1:19" x14ac:dyDescent="0.35">
      <c r="A35" s="174" t="s">
        <v>25</v>
      </c>
      <c r="B35" s="174" t="s">
        <v>28</v>
      </c>
      <c r="C35" s="175" t="s">
        <v>327</v>
      </c>
      <c r="D35" s="176"/>
      <c r="E35" s="177"/>
      <c r="F35" s="175" t="s">
        <v>321</v>
      </c>
      <c r="G35" s="176"/>
      <c r="H35" s="177"/>
    </row>
    <row r="36" spans="1:19" s="22" customFormat="1" x14ac:dyDescent="0.35">
      <c r="A36" s="174" t="s">
        <v>27</v>
      </c>
      <c r="B36" s="174" t="s">
        <v>28</v>
      </c>
      <c r="C36" s="175" t="s">
        <v>327</v>
      </c>
      <c r="D36" s="176"/>
      <c r="E36" s="177"/>
      <c r="F36" s="175" t="s">
        <v>333</v>
      </c>
      <c r="G36" s="176"/>
      <c r="H36" s="177"/>
    </row>
    <row r="37" spans="1:19" x14ac:dyDescent="0.35">
      <c r="A37" s="174" t="s">
        <v>26</v>
      </c>
      <c r="B37" s="174" t="s">
        <v>28</v>
      </c>
      <c r="C37" s="175" t="s">
        <v>328</v>
      </c>
      <c r="D37" s="176"/>
      <c r="E37" s="177"/>
      <c r="F37" s="175" t="s">
        <v>320</v>
      </c>
      <c r="G37" s="176"/>
      <c r="H37" s="177"/>
    </row>
    <row r="38" spans="1:19" x14ac:dyDescent="0.35">
      <c r="A38" s="91" t="s">
        <v>279</v>
      </c>
      <c r="B38" s="91"/>
      <c r="C38" s="91"/>
      <c r="D38" s="91"/>
      <c r="E38" s="91"/>
      <c r="F38" s="91"/>
      <c r="G38" s="91"/>
      <c r="H38" s="91"/>
    </row>
    <row r="39" spans="1:19" ht="15.75" customHeight="1" x14ac:dyDescent="0.35">
      <c r="A39" s="91" t="s">
        <v>164</v>
      </c>
      <c r="B39" s="91"/>
      <c r="C39" s="163" t="s">
        <v>317</v>
      </c>
      <c r="D39" s="163"/>
      <c r="E39" s="163"/>
      <c r="F39" s="163"/>
      <c r="G39" s="163"/>
      <c r="H39" s="163"/>
    </row>
    <row r="40" spans="1:19" x14ac:dyDescent="0.35">
      <c r="A40" s="91" t="s">
        <v>160</v>
      </c>
      <c r="B40" s="91"/>
      <c r="C40" s="173" t="s">
        <v>318</v>
      </c>
      <c r="D40" s="148"/>
      <c r="E40" s="148"/>
      <c r="F40" s="148"/>
      <c r="G40" s="148"/>
      <c r="H40" s="148"/>
    </row>
    <row r="41" spans="1:19" x14ac:dyDescent="0.35">
      <c r="A41" s="163" t="s">
        <v>32</v>
      </c>
      <c r="B41" s="163"/>
      <c r="C41" s="163"/>
      <c r="D41" s="163"/>
      <c r="E41" s="163"/>
      <c r="F41" s="163"/>
      <c r="G41" s="163"/>
      <c r="H41" s="163"/>
    </row>
    <row r="42" spans="1:19" x14ac:dyDescent="0.35">
      <c r="A42" s="91" t="s">
        <v>33</v>
      </c>
      <c r="B42" s="91"/>
      <c r="C42" s="91"/>
      <c r="D42" s="91"/>
      <c r="E42" s="178">
        <v>2949.19</v>
      </c>
      <c r="F42" s="178"/>
      <c r="G42" s="178"/>
      <c r="H42" s="178"/>
    </row>
    <row r="43" spans="1:19" x14ac:dyDescent="0.35">
      <c r="A43" s="91" t="s">
        <v>34</v>
      </c>
      <c r="B43" s="91"/>
      <c r="C43" s="91"/>
      <c r="D43" s="91"/>
      <c r="E43" s="183">
        <f>3244.11/E42</f>
        <v>1.1000003390761532</v>
      </c>
      <c r="F43" s="183"/>
      <c r="G43" s="183"/>
      <c r="H43" s="183"/>
    </row>
    <row r="44" spans="1:19" x14ac:dyDescent="0.35">
      <c r="A44" s="91" t="s">
        <v>35</v>
      </c>
      <c r="B44" s="91"/>
      <c r="C44" s="91"/>
      <c r="D44" s="91"/>
      <c r="E44" s="183">
        <f>E46/E42-E43</f>
        <v>5.014122521777165</v>
      </c>
      <c r="F44" s="183"/>
      <c r="G44" s="183"/>
      <c r="H44" s="183"/>
    </row>
    <row r="45" spans="1:19" x14ac:dyDescent="0.35">
      <c r="A45" s="91" t="s">
        <v>36</v>
      </c>
      <c r="B45" s="91"/>
      <c r="C45" s="91"/>
      <c r="D45" s="91"/>
      <c r="E45" s="183">
        <f>E43+E44</f>
        <v>6.1141228608533185</v>
      </c>
      <c r="F45" s="183"/>
      <c r="G45" s="183"/>
      <c r="H45" s="183"/>
      <c r="I45" s="69">
        <f>E46/E42</f>
        <v>6.1141228608533185</v>
      </c>
    </row>
    <row r="46" spans="1:19" x14ac:dyDescent="0.35">
      <c r="A46" s="91" t="s">
        <v>89</v>
      </c>
      <c r="B46" s="91"/>
      <c r="C46" s="91"/>
      <c r="D46" s="91"/>
      <c r="E46" s="184">
        <v>18031.71</v>
      </c>
      <c r="F46" s="184"/>
      <c r="G46" s="184"/>
      <c r="H46" s="184"/>
    </row>
    <row r="47" spans="1:19" x14ac:dyDescent="0.35">
      <c r="A47" s="149" t="s">
        <v>37</v>
      </c>
      <c r="B47" s="149"/>
      <c r="C47" s="149"/>
      <c r="D47" s="149"/>
      <c r="E47" s="144" t="s">
        <v>334</v>
      </c>
      <c r="F47" s="144"/>
      <c r="G47" s="144"/>
      <c r="H47" s="144"/>
    </row>
    <row r="48" spans="1:19" x14ac:dyDescent="0.35">
      <c r="A48" s="163" t="s">
        <v>38</v>
      </c>
      <c r="B48" s="163"/>
      <c r="C48" s="163"/>
      <c r="D48" s="163"/>
      <c r="E48" s="163"/>
      <c r="F48" s="163"/>
      <c r="G48" s="163"/>
      <c r="H48" s="163"/>
    </row>
    <row r="49" spans="1:24" ht="33.75" customHeight="1" x14ac:dyDescent="0.35">
      <c r="A49" s="135" t="s">
        <v>149</v>
      </c>
      <c r="B49" s="136"/>
      <c r="C49" s="137" t="s">
        <v>260</v>
      </c>
      <c r="D49" s="138"/>
      <c r="E49" s="138"/>
      <c r="F49" s="138"/>
      <c r="G49" s="138"/>
      <c r="H49" s="139"/>
      <c r="R49" t="s">
        <v>252</v>
      </c>
      <c r="S49" t="s">
        <v>171</v>
      </c>
      <c r="T49" t="s">
        <v>177</v>
      </c>
      <c r="U49" t="s">
        <v>192</v>
      </c>
      <c r="V49" t="s">
        <v>187</v>
      </c>
    </row>
    <row r="50" spans="1:24" ht="15.75" customHeight="1" x14ac:dyDescent="0.35">
      <c r="A50" s="135" t="s">
        <v>39</v>
      </c>
      <c r="B50" s="136"/>
      <c r="C50" s="135" t="s">
        <v>307</v>
      </c>
      <c r="D50" s="145"/>
      <c r="E50" s="136"/>
      <c r="F50" s="18" t="s">
        <v>40</v>
      </c>
      <c r="G50" s="146">
        <v>45022</v>
      </c>
      <c r="H50" s="136"/>
      <c r="R50"/>
      <c r="S50" t="s">
        <v>253</v>
      </c>
      <c r="T50" t="s">
        <v>258</v>
      </c>
      <c r="U50" t="s">
        <v>269</v>
      </c>
      <c r="V50" t="s">
        <v>274</v>
      </c>
    </row>
    <row r="51" spans="1:24" x14ac:dyDescent="0.35">
      <c r="A51" s="135" t="s">
        <v>41</v>
      </c>
      <c r="B51" s="136"/>
      <c r="C51" s="135" t="str">
        <f>C50</f>
        <v>KDMC/TPD/BP/KD/2023-24/01</v>
      </c>
      <c r="D51" s="145"/>
      <c r="E51" s="136"/>
      <c r="F51" s="18" t="s">
        <v>40</v>
      </c>
      <c r="G51" s="146">
        <v>45022</v>
      </c>
      <c r="H51" s="136"/>
      <c r="R51"/>
      <c r="S51" t="s">
        <v>254</v>
      </c>
      <c r="T51" t="s">
        <v>259</v>
      </c>
      <c r="U51" t="s">
        <v>267</v>
      </c>
      <c r="V51" t="s">
        <v>275</v>
      </c>
    </row>
    <row r="52" spans="1:24" s="23" customFormat="1" ht="15.75" customHeight="1" x14ac:dyDescent="0.35">
      <c r="A52" s="226" t="s">
        <v>153</v>
      </c>
      <c r="B52" s="227"/>
      <c r="C52" s="135" t="str">
        <f>C51</f>
        <v>KDMC/TPD/BP/KD/2023-24/01</v>
      </c>
      <c r="D52" s="145"/>
      <c r="E52" s="136"/>
      <c r="F52" s="18" t="s">
        <v>40</v>
      </c>
      <c r="G52" s="146">
        <v>45022</v>
      </c>
      <c r="H52" s="136"/>
      <c r="R52"/>
      <c r="S52" t="s">
        <v>255</v>
      </c>
      <c r="T52" t="s">
        <v>260</v>
      </c>
      <c r="U52" t="s">
        <v>257</v>
      </c>
      <c r="V52" t="s">
        <v>276</v>
      </c>
    </row>
    <row r="53" spans="1:24" s="23" customFormat="1" ht="33" customHeight="1" x14ac:dyDescent="0.35">
      <c r="A53" s="228"/>
      <c r="B53" s="229"/>
      <c r="C53" s="135" t="s">
        <v>335</v>
      </c>
      <c r="D53" s="145"/>
      <c r="E53" s="145"/>
      <c r="F53" s="145"/>
      <c r="G53" s="145"/>
      <c r="H53" s="136"/>
      <c r="R53"/>
      <c r="S53" t="s">
        <v>256</v>
      </c>
      <c r="T53" t="s">
        <v>263</v>
      </c>
      <c r="U53" t="s">
        <v>270</v>
      </c>
    </row>
    <row r="54" spans="1:24" s="23" customFormat="1" hidden="1" x14ac:dyDescent="0.35">
      <c r="A54" s="222" t="s">
        <v>280</v>
      </c>
      <c r="B54" s="223"/>
      <c r="C54" s="135" t="str">
        <f>C53</f>
        <v xml:space="preserve">Building No.1 =  Stilt(Pt)/Gr.(Pt) +1st to 18th Floor 
Building No.2 =  Stilt(Pt)/Gr.(Pt) +1st to 18th Floor </v>
      </c>
      <c r="D54" s="145"/>
      <c r="E54" s="136"/>
      <c r="F54" s="18" t="s">
        <v>40</v>
      </c>
      <c r="G54" s="135"/>
      <c r="H54" s="136"/>
      <c r="R54"/>
      <c r="S54" t="s">
        <v>255</v>
      </c>
      <c r="T54" t="s">
        <v>260</v>
      </c>
      <c r="U54" t="s">
        <v>257</v>
      </c>
      <c r="V54" t="s">
        <v>276</v>
      </c>
    </row>
    <row r="55" spans="1:24" s="23" customFormat="1" ht="32.25" hidden="1" customHeight="1" x14ac:dyDescent="0.35">
      <c r="A55" s="224"/>
      <c r="B55" s="225"/>
      <c r="C55" s="154"/>
      <c r="D55" s="155"/>
      <c r="E55" s="155"/>
      <c r="F55" s="155"/>
      <c r="G55" s="155"/>
      <c r="H55" s="156"/>
      <c r="R55"/>
      <c r="S55" t="s">
        <v>257</v>
      </c>
      <c r="T55" t="s">
        <v>261</v>
      </c>
      <c r="U55" t="s">
        <v>271</v>
      </c>
      <c r="V55" s="21"/>
      <c r="W55" s="21"/>
      <c r="X55" s="21"/>
    </row>
    <row r="56" spans="1:24" s="23" customFormat="1" ht="34.5" hidden="1" customHeight="1" x14ac:dyDescent="0.35">
      <c r="A56" s="222" t="s">
        <v>281</v>
      </c>
      <c r="B56" s="223"/>
      <c r="C56" s="135">
        <f>C55</f>
        <v>0</v>
      </c>
      <c r="D56" s="145"/>
      <c r="E56" s="136"/>
      <c r="F56" s="18" t="s">
        <v>40</v>
      </c>
      <c r="G56" s="135">
        <f>G55</f>
        <v>0</v>
      </c>
      <c r="H56" s="136"/>
      <c r="R56"/>
      <c r="S56" s="21"/>
      <c r="T56" t="s">
        <v>262</v>
      </c>
      <c r="U56" t="s">
        <v>272</v>
      </c>
      <c r="V56" s="21"/>
      <c r="W56" s="21"/>
      <c r="X56" s="21"/>
    </row>
    <row r="57" spans="1:24" s="23" customFormat="1" ht="41.25" hidden="1" customHeight="1" x14ac:dyDescent="0.35">
      <c r="A57" s="224"/>
      <c r="B57" s="225"/>
      <c r="C57" s="135"/>
      <c r="D57" s="145"/>
      <c r="E57" s="145"/>
      <c r="F57" s="145"/>
      <c r="G57" s="145"/>
      <c r="H57" s="136"/>
      <c r="R57"/>
      <c r="S57" s="21"/>
      <c r="T57" t="s">
        <v>264</v>
      </c>
      <c r="U57" t="s">
        <v>273</v>
      </c>
      <c r="V57" s="21"/>
      <c r="W57" s="21"/>
      <c r="X57" s="21"/>
    </row>
    <row r="58" spans="1:24" s="23" customFormat="1" ht="15.75" hidden="1" customHeight="1" x14ac:dyDescent="0.35">
      <c r="A58" s="222" t="s">
        <v>282</v>
      </c>
      <c r="B58" s="223"/>
      <c r="C58" s="135">
        <f>C57</f>
        <v>0</v>
      </c>
      <c r="D58" s="145"/>
      <c r="E58" s="136"/>
      <c r="F58" s="18" t="s">
        <v>40</v>
      </c>
      <c r="G58" s="135">
        <f>G57</f>
        <v>0</v>
      </c>
      <c r="H58" s="136"/>
      <c r="R58"/>
      <c r="S58" s="21"/>
      <c r="T58" t="s">
        <v>265</v>
      </c>
      <c r="U58" s="21" t="s">
        <v>296</v>
      </c>
      <c r="V58" s="21"/>
      <c r="W58" s="21"/>
      <c r="X58" s="21"/>
    </row>
    <row r="59" spans="1:24" s="23" customFormat="1" ht="33.75" hidden="1" customHeight="1" x14ac:dyDescent="0.35">
      <c r="A59" s="224"/>
      <c r="B59" s="225"/>
      <c r="C59" s="135"/>
      <c r="D59" s="145"/>
      <c r="E59" s="145"/>
      <c r="F59" s="145"/>
      <c r="G59" s="145"/>
      <c r="H59" s="136"/>
      <c r="R59"/>
      <c r="S59" s="21"/>
      <c r="T59" t="s">
        <v>266</v>
      </c>
      <c r="U59" s="21"/>
      <c r="V59" s="21"/>
      <c r="W59" s="21"/>
      <c r="X59" s="21"/>
    </row>
    <row r="60" spans="1:24" hidden="1" x14ac:dyDescent="0.35">
      <c r="A60" s="219" t="s">
        <v>42</v>
      </c>
      <c r="B60" s="220"/>
      <c r="C60" s="219" t="s">
        <v>103</v>
      </c>
      <c r="D60" s="221"/>
      <c r="E60" s="220"/>
      <c r="F60" s="45" t="s">
        <v>40</v>
      </c>
      <c r="G60" s="150" t="s">
        <v>28</v>
      </c>
      <c r="H60" s="151"/>
      <c r="R60"/>
      <c r="T60" t="s">
        <v>268</v>
      </c>
    </row>
    <row r="61" spans="1:24" x14ac:dyDescent="0.35">
      <c r="A61" s="147" t="s">
        <v>44</v>
      </c>
      <c r="B61" s="147"/>
      <c r="C61" s="147"/>
      <c r="D61" s="147"/>
      <c r="E61" s="147"/>
      <c r="F61" s="147"/>
      <c r="G61" s="147"/>
      <c r="H61" s="147"/>
      <c r="T61" t="s">
        <v>277</v>
      </c>
    </row>
    <row r="62" spans="1:24" x14ac:dyDescent="0.35">
      <c r="A62" s="132" t="s">
        <v>88</v>
      </c>
      <c r="B62" s="132"/>
      <c r="C62" s="132"/>
      <c r="D62" s="91">
        <f>E46</f>
        <v>18031.71</v>
      </c>
      <c r="E62" s="91"/>
      <c r="F62" s="91"/>
      <c r="G62" s="91"/>
      <c r="H62" s="91"/>
      <c r="R62"/>
    </row>
    <row r="63" spans="1:24" x14ac:dyDescent="0.35">
      <c r="A63" s="148" t="s">
        <v>45</v>
      </c>
      <c r="B63" s="149"/>
      <c r="C63" s="149"/>
      <c r="D63" s="144" t="s">
        <v>326</v>
      </c>
      <c r="E63" s="144"/>
      <c r="F63" s="144"/>
      <c r="G63" s="144"/>
      <c r="H63" s="144"/>
      <c r="I63" s="24"/>
      <c r="R63"/>
    </row>
    <row r="64" spans="1:24" ht="33.75" customHeight="1" x14ac:dyDescent="0.35">
      <c r="A64" s="140" t="s">
        <v>46</v>
      </c>
      <c r="B64" s="141"/>
      <c r="C64" s="158"/>
      <c r="D64" s="157" t="s">
        <v>335</v>
      </c>
      <c r="E64" s="144"/>
      <c r="F64" s="144"/>
      <c r="G64" s="144"/>
      <c r="H64" s="144"/>
      <c r="R64"/>
    </row>
    <row r="65" spans="1:19" ht="15.75" customHeight="1" x14ac:dyDescent="0.35">
      <c r="A65" s="140" t="s">
        <v>86</v>
      </c>
      <c r="B65" s="141"/>
      <c r="C65" s="141"/>
      <c r="D65" s="144" t="s">
        <v>350</v>
      </c>
      <c r="E65" s="144"/>
      <c r="F65" s="144"/>
      <c r="G65" s="144"/>
      <c r="H65" s="144"/>
      <c r="R65"/>
    </row>
    <row r="66" spans="1:19" ht="15.75" hidden="1" customHeight="1" x14ac:dyDescent="0.35">
      <c r="A66" s="142"/>
      <c r="B66" s="143"/>
      <c r="C66" s="143"/>
      <c r="D66" s="144" t="s">
        <v>336</v>
      </c>
      <c r="E66" s="144"/>
      <c r="F66" s="144"/>
      <c r="G66" s="144"/>
      <c r="H66" s="144"/>
      <c r="R66"/>
    </row>
    <row r="67" spans="1:19" ht="15.75" customHeight="1" x14ac:dyDescent="0.35">
      <c r="A67" s="91" t="s">
        <v>43</v>
      </c>
      <c r="B67" s="91"/>
      <c r="C67" s="91"/>
      <c r="D67" s="157" t="s">
        <v>308</v>
      </c>
      <c r="E67" s="157"/>
      <c r="F67" s="157"/>
      <c r="G67" s="157"/>
      <c r="H67" s="157"/>
      <c r="J67" s="25"/>
      <c r="K67" s="24"/>
      <c r="N67" s="24"/>
      <c r="S67"/>
    </row>
    <row r="68" spans="1:19" ht="15.75" customHeight="1" x14ac:dyDescent="0.35">
      <c r="A68" s="91" t="s">
        <v>84</v>
      </c>
      <c r="B68" s="91"/>
      <c r="C68" s="91"/>
      <c r="D68" s="182" t="str">
        <f>(IF(G60="NA","60 Years After Completion",IF(G60&lt;&gt;"NA",""&amp;60-ROUNDDOWN((E3-G60)/360,0)&amp;" Years"," ")))</f>
        <v>60 Years After Completion</v>
      </c>
      <c r="E68" s="182"/>
      <c r="F68" s="182"/>
      <c r="G68" s="182"/>
      <c r="H68" s="182"/>
      <c r="N68" s="24"/>
      <c r="S68"/>
    </row>
    <row r="69" spans="1:19" ht="15.75" customHeight="1" x14ac:dyDescent="0.35">
      <c r="A69" s="91" t="s">
        <v>85</v>
      </c>
      <c r="B69" s="91"/>
      <c r="C69" s="91"/>
      <c r="D69" s="132" t="s">
        <v>23</v>
      </c>
      <c r="E69" s="132"/>
      <c r="F69" s="132"/>
      <c r="G69" s="132"/>
      <c r="H69" s="132"/>
      <c r="J69" s="26"/>
      <c r="K69" s="26"/>
      <c r="S69"/>
    </row>
    <row r="70" spans="1:19" ht="31.5" customHeight="1" x14ac:dyDescent="0.35">
      <c r="A70" s="144" t="s">
        <v>337</v>
      </c>
      <c r="B70" s="144"/>
      <c r="C70" s="144"/>
      <c r="D70" s="157" t="s">
        <v>338</v>
      </c>
      <c r="E70" s="157"/>
      <c r="F70" s="157"/>
      <c r="G70" s="157"/>
      <c r="H70" s="157"/>
      <c r="S70"/>
    </row>
    <row r="71" spans="1:19" x14ac:dyDescent="0.35">
      <c r="A71" s="132" t="s">
        <v>145</v>
      </c>
      <c r="B71" s="132"/>
      <c r="C71" s="132"/>
      <c r="D71" s="132" t="s">
        <v>28</v>
      </c>
      <c r="E71" s="132"/>
      <c r="F71" s="132"/>
      <c r="G71" s="132"/>
      <c r="H71" s="132"/>
      <c r="I71" s="27"/>
      <c r="J71" s="27"/>
      <c r="K71" s="27"/>
      <c r="L71" s="27"/>
      <c r="M71" s="27"/>
      <c r="N71" s="27"/>
    </row>
    <row r="72" spans="1:19" ht="15.75" customHeight="1" x14ac:dyDescent="0.35">
      <c r="A72" s="91" t="s">
        <v>83</v>
      </c>
      <c r="B72" s="91"/>
      <c r="C72" s="91"/>
      <c r="D72" s="148" t="str">
        <f ca="1">(IF(G78&gt;95%,"Nothing",IF(G78&gt;0%,"Cement, Aggregate, Steel, etc",IF(G78=0%,"Work not yet Started"))))</f>
        <v>Cement, Aggregate, Steel, etc</v>
      </c>
      <c r="E72" s="148"/>
      <c r="F72" s="148"/>
      <c r="G72" s="148"/>
      <c r="H72" s="148"/>
      <c r="J72" s="26"/>
      <c r="S72"/>
    </row>
    <row r="73" spans="1:19" ht="33.75" customHeight="1" thickBot="1" x14ac:dyDescent="0.4">
      <c r="A73" s="132" t="s">
        <v>116</v>
      </c>
      <c r="B73" s="132"/>
      <c r="C73" s="132"/>
      <c r="D73" s="148" t="str">
        <f ca="1">(IF(D72="Nothing","Yes",IF(D72="Cement, Aggregate, Steel, etc","Under Construction",IF(D72="Work not yet Started","Work not yet Started"))))</f>
        <v>Under Construction</v>
      </c>
      <c r="E73" s="148"/>
      <c r="F73" s="148" t="str">
        <f ca="1">(IF(D72="Nothing","Yes",IF(D72="Cement, Aggregate, Steel, etc","Under Construction",IF(D72="Work not yet Started","Work not yet Started"))))</f>
        <v>Under Construction</v>
      </c>
      <c r="G73" s="148"/>
      <c r="H73" s="148"/>
      <c r="S73"/>
    </row>
    <row r="74" spans="1:19" ht="15.75" customHeight="1" x14ac:dyDescent="0.35">
      <c r="A74" s="133" t="s">
        <v>135</v>
      </c>
      <c r="B74" s="133"/>
      <c r="C74" s="99" t="str">
        <f>D65</f>
        <v xml:space="preserve">Building No.1 &amp; 2 =  Stilt(Pt)/Gr.(Pt) +1st to 18th Floor </v>
      </c>
      <c r="D74" s="99"/>
      <c r="E74" s="99"/>
      <c r="F74" s="99"/>
      <c r="G74" s="99"/>
      <c r="H74" s="99"/>
      <c r="I74" s="232" t="str">
        <f ca="1">IF(D87=100%,"All work Completed. Possession granted to the Building.",IF(D86=100%,"All work Completed, Waiting for OC",I75&amp;""&amp;I76&amp;""&amp;J75&amp;""&amp;J74&amp;" "&amp;J76))</f>
        <v>Excavation, Plinth, RCC Slab Completed, Brickwork upto 17 Floor, Internal Plaster upto 10 Floor, External Plaster upto 6 Floor, Flooring upto 4 Floor, Painting upto 4 Floor Completed</v>
      </c>
      <c r="J74" s="50" t="str">
        <f ca="1">(IF(C80=(D75+F75+H75),"",IF(C80&gt;0,", RCC upto "&amp;C80&amp;" Slab","")))&amp;(IF(C81=H75,"",IF(C81&gt;0,", Brickwork upto "&amp;C81&amp;" Floor","")))&amp;(IF(C82=H75,"",IF(C82&gt;0,", Internal Plaster upto "&amp;C82&amp;" Floor","")))&amp;(IF(C83=H75,"",IF(C83&gt;0,", External Plaster upto "&amp;C83&amp;" Floor","")))&amp;(IF(C84=H75,"",IF(C84&gt;0,", Flooring upto "&amp;C84&amp;" Floor","")))&amp;(IF(C85=H75,"",IF(C85&gt;0,", Painting upto "&amp;C85&amp;" Floor","")))&amp;(IF(C86=H75,"",IF(C86&gt;0,", Finishing upto "&amp;C86&amp;" Floor","")))&amp;(IF(C87=H75,"",IF(C87&gt;0,", Possession upto "&amp;C87&amp;" Floor","")))</f>
        <v>, Brickwork upto 17 Floor, Internal Plaster upto 10 Floor, External Plaster upto 6 Floor, Flooring upto 4 Floor, Painting upto 4 Floor</v>
      </c>
      <c r="S74"/>
    </row>
    <row r="75" spans="1:19" x14ac:dyDescent="0.35">
      <c r="A75" s="85" t="s">
        <v>137</v>
      </c>
      <c r="B75" s="85">
        <f>IF(AND(ISNUMBER(SEARCH("1B",C74))),1,IF(AND(ISNUMBER(SEARCH("2B",C74))),2,IF(AND(ISNUMBER(SEARCH("3B",C74))),3,IF(AND(ISNUMBER(SEARCH("4B",C74))),4,IF(ISNUMBER(SEARCH("5B",C74)),5,0)))))</f>
        <v>0</v>
      </c>
      <c r="C75" s="85" t="s">
        <v>69</v>
      </c>
      <c r="D75" s="85">
        <v>1</v>
      </c>
      <c r="E75" s="85" t="s">
        <v>68</v>
      </c>
      <c r="F75" s="85">
        <v>0</v>
      </c>
      <c r="G75" s="85" t="s">
        <v>77</v>
      </c>
      <c r="H75" s="85">
        <f ca="1">--TRIM(RIGHT(SUBSTITUTE(LEFT(C74,_xlfn.AGGREGATE(16,6,FIND({0,1,2,3,4,5,6,7,8,9},C74,ROW(INDIRECT("1:"&amp;LEN(C74)))),1))," ",REPT(" ",LEN(C74))),LEN(C74)))</f>
        <v>18</v>
      </c>
      <c r="I75" s="233" t="str">
        <f ca="1">IF(D78=100%,"Excavation","")&amp;IF(D79=100%,", Plinth","")&amp;IF(D80=100%,", RCC Slab","")&amp;IF(D81=100%,", Brickwork","")&amp;IF(D82=100%,", Internal Plaster","")&amp;IF(D83=100%,", External Plaster","")&amp;IF(D84=100%,", Flooring","")&amp;IF(D85=100%,", Painting","")&amp;IF(D86=100%,", Building common Amenities","")</f>
        <v>Excavation, Plinth, RCC Slab</v>
      </c>
      <c r="J75" s="52" t="str">
        <f ca="1">(IF(C78=0,"Work not yet Started.",IF(D78=25%,"Piling work in process",IF(D78=50%,"Excavation work in process",IF(D78=100%,"","0")))))&amp;(IF(C79=0%,"",IF(C79=J80,", Footing work is process",IF(C79=J81,", Footing work Completed",IF(C79=J82,", 1st Basement Completed",IF(C79=J83,", 1st &amp; 2nd Basement Completed",IF(C79=J84,", 1st to 3rd Basement Completed",IF(C79=J85,", 1st to 4th Basement Completed",IF(C79=J86,", Plinth work is process",IF(C79=J87,"","0"))))))))))</f>
        <v/>
      </c>
      <c r="S75"/>
    </row>
    <row r="76" spans="1:19" ht="48" customHeight="1" x14ac:dyDescent="0.35">
      <c r="A76" s="129" t="s">
        <v>87</v>
      </c>
      <c r="B76" s="129"/>
      <c r="C76" s="133" t="str">
        <f ca="1">I74</f>
        <v>Excavation, Plinth, RCC Slab Completed, Brickwork upto 17 Floor, Internal Plaster upto 10 Floor, External Plaster upto 6 Floor, Flooring upto 4 Floor, Painting upto 4 Floor Completed</v>
      </c>
      <c r="D76" s="133"/>
      <c r="E76" s="133"/>
      <c r="F76" s="133"/>
      <c r="G76" s="133"/>
      <c r="H76" s="133"/>
      <c r="I76" s="233" t="str">
        <f ca="1">IF(I75&lt;&gt;""," Completed","")</f>
        <v xml:space="preserve"> Completed</v>
      </c>
      <c r="J76" s="52" t="str">
        <f ca="1">IF(J74&lt;&gt;"","Completed","")</f>
        <v>Completed</v>
      </c>
      <c r="S76"/>
    </row>
    <row r="77" spans="1:19" ht="15.75" customHeight="1" x14ac:dyDescent="0.35">
      <c r="A77" s="94" t="s">
        <v>47</v>
      </c>
      <c r="B77" s="95"/>
      <c r="C77" s="75" t="s">
        <v>134</v>
      </c>
      <c r="D77" s="75" t="s">
        <v>80</v>
      </c>
      <c r="E77" s="95" t="s">
        <v>82</v>
      </c>
      <c r="F77" s="95"/>
      <c r="G77" s="95" t="s">
        <v>81</v>
      </c>
      <c r="H77" s="123"/>
      <c r="I77" s="13" t="s">
        <v>136</v>
      </c>
      <c r="J77" s="28">
        <f ca="1">H75*25%</f>
        <v>4.5</v>
      </c>
      <c r="S77"/>
    </row>
    <row r="78" spans="1:19" x14ac:dyDescent="0.35">
      <c r="A78" s="94" t="s">
        <v>123</v>
      </c>
      <c r="B78" s="95"/>
      <c r="C78" s="75">
        <f ca="1">J79</f>
        <v>18</v>
      </c>
      <c r="D78" s="19">
        <f ca="1">((100/H75)*C78)/100</f>
        <v>1</v>
      </c>
      <c r="E78" s="113">
        <f ca="1">(((C79/H75*10)+(40/(D75+F75+H75)*C80)+(7.5/(H75)*C81)+(7.5/(H75)*C82)+(10/H75*C83)+(10/H75*C84)+(5/H75*C85)+(5/H75*C86)+(5/H75*C87))/100)</f>
        <v>0.6791666666666667</v>
      </c>
      <c r="F78" s="179"/>
      <c r="G78" s="113">
        <f ca="1">((((C78/H75)*20)+((C79/H75)*25)+(30/(H75+F75+D75)*C80)+(5/H75*C81)+(5/H75*C82)+(5/H75*C83)+(5/H75*C84)+(0/H75*C85)+(0/H75*C86)+(5/H75*C87))/100)</f>
        <v>0.85277777777777786</v>
      </c>
      <c r="H78" s="114"/>
      <c r="I78" s="13" t="s">
        <v>98</v>
      </c>
      <c r="J78" s="29">
        <f ca="1">H75*50%</f>
        <v>9</v>
      </c>
    </row>
    <row r="79" spans="1:19" x14ac:dyDescent="0.35">
      <c r="A79" s="94" t="s">
        <v>48</v>
      </c>
      <c r="B79" s="95"/>
      <c r="C79" s="75">
        <f ca="1">J87</f>
        <v>18</v>
      </c>
      <c r="D79" s="19">
        <f ca="1">((100/H75)*C79)/100</f>
        <v>1</v>
      </c>
      <c r="E79" s="115"/>
      <c r="F79" s="180"/>
      <c r="G79" s="115"/>
      <c r="H79" s="116"/>
      <c r="I79" s="13" t="s">
        <v>99</v>
      </c>
      <c r="J79" s="29">
        <f ca="1">H75</f>
        <v>18</v>
      </c>
      <c r="S79"/>
    </row>
    <row r="80" spans="1:19" ht="15.75" customHeight="1" x14ac:dyDescent="0.35">
      <c r="A80" s="94" t="s">
        <v>124</v>
      </c>
      <c r="B80" s="95"/>
      <c r="C80" s="75">
        <v>19</v>
      </c>
      <c r="D80" s="19">
        <f ca="1">((100/(D75+F75+H75))*C80)/100</f>
        <v>1</v>
      </c>
      <c r="E80" s="115"/>
      <c r="F80" s="180"/>
      <c r="G80" s="115"/>
      <c r="H80" s="116"/>
      <c r="I80" s="13" t="s">
        <v>100</v>
      </c>
      <c r="J80" s="30">
        <f ca="1">(IF(B75&gt;1,(H75/(B75+2)),H75/4))</f>
        <v>4.5</v>
      </c>
      <c r="S80"/>
    </row>
    <row r="81" spans="1:10" ht="15.75" customHeight="1" x14ac:dyDescent="0.35">
      <c r="A81" s="94" t="s">
        <v>131</v>
      </c>
      <c r="B81" s="95" t="s">
        <v>125</v>
      </c>
      <c r="C81" s="75">
        <v>17</v>
      </c>
      <c r="D81" s="19">
        <f ca="1">((100/H75)*C81)/100</f>
        <v>0.94444444444444442</v>
      </c>
      <c r="E81" s="115"/>
      <c r="F81" s="180"/>
      <c r="G81" s="115"/>
      <c r="H81" s="116"/>
      <c r="I81" s="13" t="s">
        <v>101</v>
      </c>
      <c r="J81" s="30">
        <f ca="1">(IF(B75&gt;1,(H75/(B75+2)+J80),H75/4+J80))</f>
        <v>9</v>
      </c>
    </row>
    <row r="82" spans="1:10" ht="15.75" customHeight="1" x14ac:dyDescent="0.35">
      <c r="A82" s="94" t="s">
        <v>132</v>
      </c>
      <c r="B82" s="95" t="s">
        <v>125</v>
      </c>
      <c r="C82" s="75">
        <v>10</v>
      </c>
      <c r="D82" s="19">
        <f ca="1">((100/H75)*C82)/100</f>
        <v>0.55555555555555558</v>
      </c>
      <c r="E82" s="115"/>
      <c r="F82" s="180"/>
      <c r="G82" s="115"/>
      <c r="H82" s="116"/>
      <c r="I82" s="13" t="s">
        <v>143</v>
      </c>
      <c r="J82" s="30">
        <f>(IF(B75&gt;1,(H75/(B75+2)+J81),0))</f>
        <v>0</v>
      </c>
    </row>
    <row r="83" spans="1:10" ht="15" customHeight="1" x14ac:dyDescent="0.35">
      <c r="A83" s="94" t="s">
        <v>130</v>
      </c>
      <c r="B83" s="95" t="s">
        <v>127</v>
      </c>
      <c r="C83" s="75">
        <v>6</v>
      </c>
      <c r="D83" s="19">
        <f ca="1">((100/(H75))*C83)/100</f>
        <v>0.33333333333333326</v>
      </c>
      <c r="E83" s="115"/>
      <c r="F83" s="180"/>
      <c r="G83" s="115"/>
      <c r="H83" s="116"/>
      <c r="I83" s="13" t="s">
        <v>138</v>
      </c>
      <c r="J83" s="30">
        <f>(IF(B75&gt;2,(H75/(B75+2)+J82),0))</f>
        <v>0</v>
      </c>
    </row>
    <row r="84" spans="1:10" ht="15.75" customHeight="1" x14ac:dyDescent="0.35">
      <c r="A84" s="94" t="s">
        <v>126</v>
      </c>
      <c r="B84" s="95" t="s">
        <v>126</v>
      </c>
      <c r="C84" s="75">
        <v>4</v>
      </c>
      <c r="D84" s="19">
        <f ca="1">((100/H75)*C84)/100</f>
        <v>0.22222222222222221</v>
      </c>
      <c r="E84" s="115"/>
      <c r="F84" s="180"/>
      <c r="G84" s="115"/>
      <c r="H84" s="116"/>
      <c r="I84" s="13" t="s">
        <v>139</v>
      </c>
      <c r="J84" s="31">
        <f>(IF(B75&gt;3,(H75/(B75+2)+J83),0))</f>
        <v>0</v>
      </c>
    </row>
    <row r="85" spans="1:10" ht="15.75" customHeight="1" x14ac:dyDescent="0.35">
      <c r="A85" s="94" t="s">
        <v>133</v>
      </c>
      <c r="B85" s="95"/>
      <c r="C85" s="75">
        <v>4</v>
      </c>
      <c r="D85" s="19">
        <f ca="1">((100/H75)*C85)/100</f>
        <v>0.22222222222222221</v>
      </c>
      <c r="E85" s="115"/>
      <c r="F85" s="180"/>
      <c r="G85" s="115"/>
      <c r="H85" s="116"/>
      <c r="I85" s="13" t="s">
        <v>140</v>
      </c>
      <c r="J85" s="30">
        <f>(IF(B75&gt;4,(H75/(B75+2)+J84),0))</f>
        <v>0</v>
      </c>
    </row>
    <row r="86" spans="1:10" ht="15.75" customHeight="1" x14ac:dyDescent="0.35">
      <c r="A86" s="94" t="s">
        <v>128</v>
      </c>
      <c r="B86" s="95" t="s">
        <v>128</v>
      </c>
      <c r="C86" s="75">
        <v>0</v>
      </c>
      <c r="D86" s="19">
        <f ca="1">((100/(H75))*C86)/100</f>
        <v>0</v>
      </c>
      <c r="E86" s="115"/>
      <c r="F86" s="180"/>
      <c r="G86" s="115"/>
      <c r="H86" s="116"/>
      <c r="I86" s="13" t="s">
        <v>144</v>
      </c>
      <c r="J86" s="30">
        <f ca="1">(IF(B75=1,(H75/(B75+3)+J81),IF(B75=0,(H75/4+J81),IF(B75&gt;1,0))))</f>
        <v>13.5</v>
      </c>
    </row>
    <row r="87" spans="1:10" ht="16" thickBot="1" x14ac:dyDescent="0.4">
      <c r="A87" s="92" t="s">
        <v>129</v>
      </c>
      <c r="B87" s="93"/>
      <c r="C87" s="74">
        <v>0</v>
      </c>
      <c r="D87" s="20">
        <f ca="1">((100/(H75))*C87)/100</f>
        <v>0</v>
      </c>
      <c r="E87" s="117"/>
      <c r="F87" s="181"/>
      <c r="G87" s="117"/>
      <c r="H87" s="118"/>
      <c r="I87" s="15" t="s">
        <v>102</v>
      </c>
      <c r="J87" s="32">
        <f ca="1">(IF(B75&gt;1.5,(H75/(B75+2)+J81+MAX(0,J82-J81)+MAX(0,J83-J82)+MAX(0,J84-J83)+MAX(0,J85-J84)+MAX(0,J86-J85)),IF(B75=1,(H75/(B75+3)+J86),IF(B75=0,H75/4+J86))))</f>
        <v>18</v>
      </c>
    </row>
    <row r="88" spans="1:10" ht="15.75" hidden="1" customHeight="1" x14ac:dyDescent="0.35">
      <c r="A88" s="130" t="s">
        <v>135</v>
      </c>
      <c r="B88" s="131"/>
      <c r="C88" s="160" t="str">
        <f>D66</f>
        <v xml:space="preserve">Building No.2 =  Stilt(Pt)/Gr.(Pt) +1st to 18th Floor </v>
      </c>
      <c r="D88" s="161"/>
      <c r="E88" s="161"/>
      <c r="F88" s="161"/>
      <c r="G88" s="161"/>
      <c r="H88" s="162"/>
      <c r="I88" s="49" t="str">
        <f ca="1">IF(D101=100%,"All work Completed. Possession granted to the Building.",IF(D100=100%,"All work Completed, Waiting for OC",I89&amp;""&amp;I90&amp;""&amp;J89&amp;""&amp;J88&amp;" "&amp;J90))</f>
        <v>Excavation, Plinth, RCC Slab Completed, Brickwork upto 17 Floor, Internal Plaster upto 10 Floor, External Plaster upto 6 Floor, Flooring upto 4 Floor, Painting upto 4 Floor Completed</v>
      </c>
      <c r="J88" s="50" t="str">
        <f ca="1">(IF(C94=(D89+F89+H89),"",IF(C94&gt;0,", RCC upto "&amp;C94&amp;" Slab","")))&amp;(IF(C95=H89,"",IF(C95&gt;0,", Brickwork upto "&amp;C95&amp;" Floor","")))&amp;(IF(C96=H89,"",IF(C96&gt;0,", Internal Plaster upto "&amp;C96&amp;" Floor","")))&amp;(IF(C97=H89,"",IF(C97&gt;0,", External Plaster upto "&amp;C97&amp;" Floor","")))&amp;(IF(C98=H89,"",IF(C98&gt;0,", Flooring upto "&amp;C98&amp;" Floor","")))&amp;(IF(C99=H89,"",IF(C99&gt;0,", Painting upto "&amp;C99&amp;" Floor","")))&amp;(IF(C100=H89,"",IF(C100&gt;0,", Finishing upto "&amp;C100&amp;" Floor","")))&amp;(IF(C101=H89,"",IF(C101&gt;0,", Possession upto "&amp;C101&amp;" Floor","")))</f>
        <v>, Brickwork upto 17 Floor, Internal Plaster upto 10 Floor, External Plaster upto 6 Floor, Flooring upto 4 Floor, Painting upto 4 Floor</v>
      </c>
    </row>
    <row r="89" spans="1:10" hidden="1" x14ac:dyDescent="0.35">
      <c r="A89" s="84" t="s">
        <v>137</v>
      </c>
      <c r="B89" s="85">
        <f>IF(AND(ISNUMBER(SEARCH("1B",C88))),1,IF(AND(ISNUMBER(SEARCH("2B",C88))),2,IF(AND(ISNUMBER(SEARCH("3B",C88))),3,IF(AND(ISNUMBER(SEARCH("4B",C88))),4,IF(ISNUMBER(SEARCH("5B",C88)),5,0)))))</f>
        <v>0</v>
      </c>
      <c r="C89" s="85" t="s">
        <v>69</v>
      </c>
      <c r="D89" s="85">
        <v>1</v>
      </c>
      <c r="E89" s="85" t="s">
        <v>68</v>
      </c>
      <c r="F89" s="85">
        <v>0</v>
      </c>
      <c r="G89" s="85" t="s">
        <v>77</v>
      </c>
      <c r="H89" s="86">
        <f ca="1">--TRIM(RIGHT(SUBSTITUTE(LEFT(C88,_xlfn.AGGREGATE(16,6,FIND({0,1,2,3,4,5,6,7,8,9},C88,ROW(INDIRECT("1:"&amp;LEN(C88)))),1))," ",REPT(" ",LEN(C88))),LEN(C88)))</f>
        <v>18</v>
      </c>
      <c r="I89" s="51" t="str">
        <f ca="1">IF(D92=100%,"Excavation","")&amp;IF(D93=100%,", Plinth","")&amp;IF(D94=100%,", RCC Slab","")&amp;IF(D95=100%,", Brickwork","")&amp;IF(D96=100%,", Internal Plaster","")&amp;IF(D97=100%,", External Plaster","")&amp;IF(D98=100%,", Flooring","")&amp;IF(D99=100%,", Painting","")&amp;IF(D100=100%,", Building common Amenities","")</f>
        <v>Excavation, Plinth, RCC Slab</v>
      </c>
      <c r="J89" s="52" t="str">
        <f ca="1">(IF(C92=0,"Work not yet Started.",IF(D92=25%,"Piling work in process",IF(D92=50%,"Excavation work in process",IF(D92=100%,"","0")))))&amp;(IF(C93=0%,"",IF(C93=J94,", Footing work is process",IF(C93=J95,", Footing work Completed",IF(C93=J96,", 1st Basement Completed",IF(C93=J97,", 1st &amp; 2nd Basement Completed",IF(C93=J98,", 1st to 3rd Basement Completed",IF(C93=J99,", 1st to 4th Basement Completed",IF(C93=J100,", Plinth work is process",IF(C93=J101,"","0"))))))))))</f>
        <v/>
      </c>
    </row>
    <row r="90" spans="1:10" ht="48.5" hidden="1" customHeight="1" x14ac:dyDescent="0.35">
      <c r="A90" s="128" t="s">
        <v>87</v>
      </c>
      <c r="B90" s="129"/>
      <c r="C90" s="133" t="str">
        <f ca="1">(IF($G$60="NA",I88,"All work Completed. OC Received."))</f>
        <v>Excavation, Plinth, RCC Slab Completed, Brickwork upto 17 Floor, Internal Plaster upto 10 Floor, External Plaster upto 6 Floor, Flooring upto 4 Floor, Painting upto 4 Floor Completed</v>
      </c>
      <c r="D90" s="133"/>
      <c r="E90" s="133"/>
      <c r="F90" s="133"/>
      <c r="G90" s="133"/>
      <c r="H90" s="134"/>
      <c r="I90" s="51" t="str">
        <f ca="1">IF(I89&lt;&gt;""," Completed","")</f>
        <v xml:space="preserve"> Completed</v>
      </c>
      <c r="J90" s="52" t="str">
        <f ca="1">IF(J88&lt;&gt;"","Completed","")</f>
        <v>Completed</v>
      </c>
    </row>
    <row r="91" spans="1:10" ht="15.75" hidden="1" customHeight="1" x14ac:dyDescent="0.35">
      <c r="A91" s="94" t="s">
        <v>47</v>
      </c>
      <c r="B91" s="95"/>
      <c r="C91" s="75" t="s">
        <v>134</v>
      </c>
      <c r="D91" s="75" t="s">
        <v>80</v>
      </c>
      <c r="E91" s="95" t="s">
        <v>82</v>
      </c>
      <c r="F91" s="95"/>
      <c r="G91" s="95" t="s">
        <v>81</v>
      </c>
      <c r="H91" s="123"/>
      <c r="I91" s="13" t="s">
        <v>136</v>
      </c>
      <c r="J91" s="28">
        <f ca="1">H89*25%</f>
        <v>4.5</v>
      </c>
    </row>
    <row r="92" spans="1:10" hidden="1" x14ac:dyDescent="0.35">
      <c r="A92" s="94" t="s">
        <v>123</v>
      </c>
      <c r="B92" s="95"/>
      <c r="C92" s="75">
        <f ca="1">J93</f>
        <v>18</v>
      </c>
      <c r="D92" s="19">
        <f ca="1">((100/H89)*C92)/100</f>
        <v>1</v>
      </c>
      <c r="E92" s="113">
        <f ca="1">(((C93/H89*10)+(40/(D89+F89+H89)*C94)+(7.5/(H89)*C95)+(7.5/(H89)*C96)+(10/H89*C97)+(10/H89*C98)+(5/H89*C99)+(5/H89*C100)+(5/H89*C101))/100)</f>
        <v>0.6791666666666667</v>
      </c>
      <c r="F92" s="179"/>
      <c r="G92" s="113">
        <f ca="1">((((C92/H89)*20)+((C93/H89)*25)+(30/(H89+F89+D89)*C94)+(5/H89*C95)+(5/H89*C96)+(5/H89*C97)+(5/H89*C98)+(0/H89*C99)+(0/H89*C100)+(5/H89*C101))/100)</f>
        <v>0.85277777777777786</v>
      </c>
      <c r="H92" s="114"/>
      <c r="I92" s="13" t="s">
        <v>98</v>
      </c>
      <c r="J92" s="29">
        <f ca="1">H89*50%</f>
        <v>9</v>
      </c>
    </row>
    <row r="93" spans="1:10" hidden="1" x14ac:dyDescent="0.35">
      <c r="A93" s="94" t="s">
        <v>48</v>
      </c>
      <c r="B93" s="95"/>
      <c r="C93" s="87">
        <f ca="1">J101</f>
        <v>18</v>
      </c>
      <c r="D93" s="19">
        <f ca="1">((100/H89)*C93)/100</f>
        <v>1</v>
      </c>
      <c r="E93" s="115"/>
      <c r="F93" s="180"/>
      <c r="G93" s="115"/>
      <c r="H93" s="116"/>
      <c r="I93" s="13" t="s">
        <v>99</v>
      </c>
      <c r="J93" s="29">
        <f ca="1">H89</f>
        <v>18</v>
      </c>
    </row>
    <row r="94" spans="1:10" ht="15.75" hidden="1" customHeight="1" x14ac:dyDescent="0.35">
      <c r="A94" s="94" t="s">
        <v>124</v>
      </c>
      <c r="B94" s="95"/>
      <c r="C94" s="75">
        <v>19</v>
      </c>
      <c r="D94" s="19">
        <f ca="1">((100/(D89+F89+H89))*C94)/100</f>
        <v>1</v>
      </c>
      <c r="E94" s="115"/>
      <c r="F94" s="180"/>
      <c r="G94" s="115"/>
      <c r="H94" s="116"/>
      <c r="I94" s="13" t="s">
        <v>100</v>
      </c>
      <c r="J94" s="30">
        <f ca="1">(IF(B89&gt;1,(H89/(B89+2)),H89/4))</f>
        <v>4.5</v>
      </c>
    </row>
    <row r="95" spans="1:10" ht="15.75" hidden="1" customHeight="1" x14ac:dyDescent="0.35">
      <c r="A95" s="94" t="s">
        <v>131</v>
      </c>
      <c r="B95" s="95" t="s">
        <v>125</v>
      </c>
      <c r="C95" s="75">
        <v>17</v>
      </c>
      <c r="D95" s="19">
        <f ca="1">((100/H89)*C95)/100</f>
        <v>0.94444444444444442</v>
      </c>
      <c r="E95" s="115"/>
      <c r="F95" s="180"/>
      <c r="G95" s="115"/>
      <c r="H95" s="116"/>
      <c r="I95" s="13" t="s">
        <v>101</v>
      </c>
      <c r="J95" s="30">
        <f ca="1">(IF(B89&gt;1,(H89/(B89+2)+J94),H89/4+J94))</f>
        <v>9</v>
      </c>
    </row>
    <row r="96" spans="1:10" ht="15.75" hidden="1" customHeight="1" x14ac:dyDescent="0.35">
      <c r="A96" s="94" t="s">
        <v>132</v>
      </c>
      <c r="B96" s="95" t="s">
        <v>125</v>
      </c>
      <c r="C96" s="75">
        <v>10</v>
      </c>
      <c r="D96" s="19">
        <f ca="1">((100/H89)*C96)/100</f>
        <v>0.55555555555555558</v>
      </c>
      <c r="E96" s="115"/>
      <c r="F96" s="180"/>
      <c r="G96" s="115"/>
      <c r="H96" s="116"/>
      <c r="I96" s="13" t="s">
        <v>143</v>
      </c>
      <c r="J96" s="30">
        <f>(IF(B89&gt;1,(H89/(B89+2)+J95),0))</f>
        <v>0</v>
      </c>
    </row>
    <row r="97" spans="1:10" ht="15" hidden="1" customHeight="1" x14ac:dyDescent="0.35">
      <c r="A97" s="94" t="s">
        <v>130</v>
      </c>
      <c r="B97" s="95" t="s">
        <v>127</v>
      </c>
      <c r="C97" s="75">
        <v>6</v>
      </c>
      <c r="D97" s="19">
        <f ca="1">((100/(H89))*C97)/100</f>
        <v>0.33333333333333326</v>
      </c>
      <c r="E97" s="115"/>
      <c r="F97" s="180"/>
      <c r="G97" s="115"/>
      <c r="H97" s="116"/>
      <c r="I97" s="13" t="s">
        <v>138</v>
      </c>
      <c r="J97" s="30">
        <f>(IF(B89&gt;2,(H89/(B89+2)+J96),0))</f>
        <v>0</v>
      </c>
    </row>
    <row r="98" spans="1:10" ht="15.75" hidden="1" customHeight="1" x14ac:dyDescent="0.35">
      <c r="A98" s="94" t="s">
        <v>126</v>
      </c>
      <c r="B98" s="95" t="s">
        <v>126</v>
      </c>
      <c r="C98" s="75">
        <v>4</v>
      </c>
      <c r="D98" s="19">
        <f ca="1">((100/H89)*C98)/100</f>
        <v>0.22222222222222221</v>
      </c>
      <c r="E98" s="115"/>
      <c r="F98" s="180"/>
      <c r="G98" s="115"/>
      <c r="H98" s="116"/>
      <c r="I98" s="13" t="s">
        <v>139</v>
      </c>
      <c r="J98" s="31">
        <f>(IF(B89&gt;3,(H89/(B89+2)+J97),0))</f>
        <v>0</v>
      </c>
    </row>
    <row r="99" spans="1:10" ht="15.75" hidden="1" customHeight="1" x14ac:dyDescent="0.35">
      <c r="A99" s="94" t="s">
        <v>133</v>
      </c>
      <c r="B99" s="95"/>
      <c r="C99" s="75">
        <v>4</v>
      </c>
      <c r="D99" s="19">
        <f ca="1">((100/H89)*C99)/100</f>
        <v>0.22222222222222221</v>
      </c>
      <c r="E99" s="115"/>
      <c r="F99" s="180"/>
      <c r="G99" s="115"/>
      <c r="H99" s="116"/>
      <c r="I99" s="13" t="s">
        <v>140</v>
      </c>
      <c r="J99" s="30">
        <f>(IF(B89&gt;4,(H89/(B89+2)+J98),0))</f>
        <v>0</v>
      </c>
    </row>
    <row r="100" spans="1:10" ht="15.75" hidden="1" customHeight="1" x14ac:dyDescent="0.35">
      <c r="A100" s="94" t="s">
        <v>128</v>
      </c>
      <c r="B100" s="95" t="s">
        <v>128</v>
      </c>
      <c r="C100" s="75">
        <v>0</v>
      </c>
      <c r="D100" s="19">
        <f ca="1">((100/(H89))*C100)/100</f>
        <v>0</v>
      </c>
      <c r="E100" s="115"/>
      <c r="F100" s="180"/>
      <c r="G100" s="115"/>
      <c r="H100" s="116"/>
      <c r="I100" s="13" t="s">
        <v>144</v>
      </c>
      <c r="J100" s="30">
        <f ca="1">(IF(B89=1,(H89/(B89+3)+J95),IF(B89=0,(H89/4+J95),IF(B89&gt;1,0))))</f>
        <v>13.5</v>
      </c>
    </row>
    <row r="101" spans="1:10" ht="16" hidden="1" thickBot="1" x14ac:dyDescent="0.4">
      <c r="A101" s="92" t="s">
        <v>129</v>
      </c>
      <c r="B101" s="93"/>
      <c r="C101" s="74">
        <v>0</v>
      </c>
      <c r="D101" s="20">
        <f ca="1">((100/(H89))*C101)/100</f>
        <v>0</v>
      </c>
      <c r="E101" s="117"/>
      <c r="F101" s="181"/>
      <c r="G101" s="117"/>
      <c r="H101" s="118"/>
      <c r="I101" s="15" t="s">
        <v>102</v>
      </c>
      <c r="J101" s="32">
        <f ca="1">(IF(B89&gt;1.5,(H89/(B89+2)+J95+MAX(0,J96-J95)+MAX(0,J97-J96)+MAX(0,J98-J97)+MAX(0,J99-J98)+MAX(0,J100-J99)),IF(B89=1,(H89/(B89+3)+J100),IF(B89=0,H89/4+J100))))</f>
        <v>18</v>
      </c>
    </row>
    <row r="102" spans="1:10" ht="15.75" hidden="1" customHeight="1" x14ac:dyDescent="0.35">
      <c r="A102" s="165" t="s">
        <v>135</v>
      </c>
      <c r="B102" s="166"/>
      <c r="C102" s="167" t="e">
        <f>#REF!</f>
        <v>#REF!</v>
      </c>
      <c r="D102" s="168"/>
      <c r="E102" s="168"/>
      <c r="F102" s="168"/>
      <c r="G102" s="168"/>
      <c r="H102" s="169"/>
      <c r="I102" s="49" t="e">
        <f ca="1">IF(D115=100%,"All work Completed. Possession granted to the Building.",IF(D114=100%,"All work Completed, Waiting for OC",I103&amp;""&amp;I104&amp;""&amp;J103&amp;""&amp;J102&amp;" "&amp;J104))</f>
        <v>#REF!</v>
      </c>
      <c r="J102" s="50" t="e">
        <f ca="1">(IF(C108=(D103+F103+H103),"",IF(C108&gt;0,", RCC upto "&amp;C108&amp;" Slab","")))&amp;(IF(C109=H103,"",IF(C109&gt;0,", Brickwork upto "&amp;C109&amp;" Floor","")))&amp;(IF(C110=H103,"",IF(C110&gt;0,", Internal Plaster upto "&amp;C110&amp;" Floor","")))&amp;(IF(C111=H103,"",IF(C111&gt;0,", External Plaster upto "&amp;C111&amp;" Floor","")))&amp;(IF(C112=H103,"",IF(C112&gt;0,", Flooring upto "&amp;C112&amp;" Floor","")))&amp;(IF(C113=H103,"",IF(C113&gt;0,", Painting upto "&amp;C113&amp;" Floor","")))&amp;(IF(C114=H103,"",IF(C114&gt;0,", Finishing upto "&amp;C114&amp;" Floor","")))&amp;(IF(C115=H103,"",IF(C115&gt;0,", Possession upto "&amp;C115&amp;" Floor","")))</f>
        <v>#REF!</v>
      </c>
    </row>
    <row r="103" spans="1:10" hidden="1" x14ac:dyDescent="0.35">
      <c r="A103" s="16" t="s">
        <v>137</v>
      </c>
      <c r="B103" s="53">
        <f>IF(AND(ISNUMBER(SEARCH("1B",C102))),1,IF(AND(ISNUMBER(SEARCH("2B",C102))),2,IF(AND(ISNUMBER(SEARCH("3B",C102))),3,IF(AND(ISNUMBER(SEARCH("4B",C102))),4,IF(ISNUMBER(SEARCH("5B",C102)),5,0)))))</f>
        <v>0</v>
      </c>
      <c r="C103" s="47" t="s">
        <v>69</v>
      </c>
      <c r="D103" s="47">
        <v>1</v>
      </c>
      <c r="E103" s="47" t="s">
        <v>68</v>
      </c>
      <c r="F103" s="14">
        <v>0</v>
      </c>
      <c r="G103" s="48" t="s">
        <v>77</v>
      </c>
      <c r="H103" s="17" t="e">
        <f ca="1">--TRIM(RIGHT(SUBSTITUTE(LEFT(C102,_xlfn.AGGREGATE(16,6,FIND({0,1,2,3,4,5,6,7,8,9},C102,ROW(INDIRECT("1:"&amp;LEN(C102)))),1))," ",REPT(" ",LEN(C102))),LEN(C102)))</f>
        <v>#REF!</v>
      </c>
      <c r="I103" s="51" t="e">
        <f ca="1">IF(D106=100%,"Excavation","")&amp;IF(D107=100%,", Plinth","")&amp;IF(D108=100%,", RCC Slab","")&amp;IF(D109=100%,", Brickwork","")&amp;IF(D110=100%,", Internal Plaster","")&amp;IF(D111=100%,", External Plaster","")&amp;IF(D112=100%,", Flooring","")&amp;IF(D113=100%,", Painting","")&amp;IF(D114=100%,", Building common Amenities","")</f>
        <v>#REF!</v>
      </c>
      <c r="J103" s="52" t="e">
        <f ca="1">(IF(C106=0,"Work not yet Started.",IF(D106=25%,"Piling work in process",IF(D106=50%,"Excavation work in process",IF(D106=100%,"","0")))))&amp;(IF(C107=0%,"",IF(C107=J108,", Footing work is process",IF(C107=J109,", Footing work Completed",IF(C107=J110,", 1st Basement Completed",IF(C107=J111,", 1st &amp; 2nd Basement Completed",IF(C107=J112,", 1st to 3rd Basement Completed",IF(C107=J113,", 1st to 4th Basement Completed",IF(C107=J114,", Plinth work is process",IF(C107=J115,"","0"))))))))))</f>
        <v>#REF!</v>
      </c>
    </row>
    <row r="104" spans="1:10" hidden="1" x14ac:dyDescent="0.35">
      <c r="A104" s="124" t="s">
        <v>87</v>
      </c>
      <c r="B104" s="125"/>
      <c r="C104" s="99" t="e">
        <f ca="1">(IF($G$60="NA",I102,"All work Completed. OC Received."))</f>
        <v>#REF!</v>
      </c>
      <c r="D104" s="99"/>
      <c r="E104" s="99"/>
      <c r="F104" s="99"/>
      <c r="G104" s="99"/>
      <c r="H104" s="100"/>
      <c r="I104" s="51" t="e">
        <f ca="1">IF(I103&lt;&gt;""," Completed","")</f>
        <v>#REF!</v>
      </c>
      <c r="J104" s="52" t="e">
        <f ca="1">IF(J102&lt;&gt;"","Completed","")</f>
        <v>#REF!</v>
      </c>
    </row>
    <row r="105" spans="1:10" ht="15.75" hidden="1" customHeight="1" x14ac:dyDescent="0.35">
      <c r="A105" s="94" t="s">
        <v>47</v>
      </c>
      <c r="B105" s="95"/>
      <c r="C105" s="43" t="s">
        <v>134</v>
      </c>
      <c r="D105" s="43" t="s">
        <v>80</v>
      </c>
      <c r="E105" s="95" t="s">
        <v>82</v>
      </c>
      <c r="F105" s="95"/>
      <c r="G105" s="95" t="s">
        <v>81</v>
      </c>
      <c r="H105" s="123"/>
      <c r="I105" s="13" t="s">
        <v>136</v>
      </c>
      <c r="J105" s="28" t="e">
        <f ca="1">H103*25%</f>
        <v>#REF!</v>
      </c>
    </row>
    <row r="106" spans="1:10" hidden="1" x14ac:dyDescent="0.35">
      <c r="A106" s="94" t="s">
        <v>123</v>
      </c>
      <c r="B106" s="95"/>
      <c r="C106" s="43" t="e">
        <f ca="1">J107</f>
        <v>#REF!</v>
      </c>
      <c r="D106" s="19" t="e">
        <f ca="1">((100/H103)*C106)/100</f>
        <v>#REF!</v>
      </c>
      <c r="E106" s="113" t="e">
        <f ca="1">(((C107/H103*10)+(40/(D103+F103+H103)*C108)+(7.5/(H103)*C109)+(7.5/(H103)*C110)+(10/H103*C111)+(10/H103*C112)+(5/H103*C113)+(5/H103*C114)+(5/H103*C115))/100)</f>
        <v>#REF!</v>
      </c>
      <c r="F106" s="179"/>
      <c r="G106" s="113" t="e">
        <f ca="1">((((C106/H103)*20)+((C107/H103)*25)+(30/(H103+F103+D103)*C108)+(5/H103*C109)+(5/H103*C110)+(5/H103*C111)+(5/H103*C112)+(0/H103*C113)+(0/H103*C114)+(5/H103*C115))/100)</f>
        <v>#REF!</v>
      </c>
      <c r="H106" s="114"/>
      <c r="I106" s="13" t="s">
        <v>98</v>
      </c>
      <c r="J106" s="29" t="e">
        <f ca="1">H103*50%</f>
        <v>#REF!</v>
      </c>
    </row>
    <row r="107" spans="1:10" hidden="1" x14ac:dyDescent="0.35">
      <c r="A107" s="94" t="s">
        <v>48</v>
      </c>
      <c r="B107" s="95"/>
      <c r="C107" s="43" t="e">
        <f ca="1">J115</f>
        <v>#REF!</v>
      </c>
      <c r="D107" s="19" t="e">
        <f ca="1">((100/H103)*C107)/100</f>
        <v>#REF!</v>
      </c>
      <c r="E107" s="115"/>
      <c r="F107" s="180"/>
      <c r="G107" s="115"/>
      <c r="H107" s="116"/>
      <c r="I107" s="13" t="s">
        <v>99</v>
      </c>
      <c r="J107" s="29" t="e">
        <f ca="1">H103</f>
        <v>#REF!</v>
      </c>
    </row>
    <row r="108" spans="1:10" ht="15.75" hidden="1" customHeight="1" x14ac:dyDescent="0.35">
      <c r="A108" s="94" t="s">
        <v>124</v>
      </c>
      <c r="B108" s="95"/>
      <c r="C108" s="43" t="e">
        <f ca="1">D103+H103</f>
        <v>#REF!</v>
      </c>
      <c r="D108" s="19" t="e">
        <f ca="1">((100/(D103+F103+H103))*C108)/100</f>
        <v>#REF!</v>
      </c>
      <c r="E108" s="115"/>
      <c r="F108" s="180"/>
      <c r="G108" s="115"/>
      <c r="H108" s="116"/>
      <c r="I108" s="13" t="s">
        <v>100</v>
      </c>
      <c r="J108" s="30" t="e">
        <f ca="1">(IF(B103&gt;1,(H103/(B103+2)),H103/4))</f>
        <v>#REF!</v>
      </c>
    </row>
    <row r="109" spans="1:10" ht="15.75" hidden="1" customHeight="1" x14ac:dyDescent="0.35">
      <c r="A109" s="94" t="s">
        <v>131</v>
      </c>
      <c r="B109" s="95" t="s">
        <v>125</v>
      </c>
      <c r="C109" s="43">
        <v>0</v>
      </c>
      <c r="D109" s="19" t="e">
        <f ca="1">((100/H103)*C109)/100</f>
        <v>#REF!</v>
      </c>
      <c r="E109" s="115"/>
      <c r="F109" s="180"/>
      <c r="G109" s="115"/>
      <c r="H109" s="116"/>
      <c r="I109" s="13" t="s">
        <v>101</v>
      </c>
      <c r="J109" s="30" t="e">
        <f ca="1">(IF(B103&gt;1,(H103/(B103+2)+J108),H103/4+J108))</f>
        <v>#REF!</v>
      </c>
    </row>
    <row r="110" spans="1:10" ht="15.75" hidden="1" customHeight="1" x14ac:dyDescent="0.35">
      <c r="A110" s="94" t="s">
        <v>132</v>
      </c>
      <c r="B110" s="95" t="s">
        <v>125</v>
      </c>
      <c r="C110" s="43">
        <v>0</v>
      </c>
      <c r="D110" s="19" t="e">
        <f ca="1">((100/H103)*C110)/100</f>
        <v>#REF!</v>
      </c>
      <c r="E110" s="115"/>
      <c r="F110" s="180"/>
      <c r="G110" s="115"/>
      <c r="H110" s="116"/>
      <c r="I110" s="13" t="s">
        <v>143</v>
      </c>
      <c r="J110" s="30">
        <f>(IF(B103&gt;1,(H103/(B103+2)+J109),0))</f>
        <v>0</v>
      </c>
    </row>
    <row r="111" spans="1:10" ht="15" hidden="1" customHeight="1" x14ac:dyDescent="0.35">
      <c r="A111" s="94" t="s">
        <v>130</v>
      </c>
      <c r="B111" s="95" t="s">
        <v>127</v>
      </c>
      <c r="C111" s="43">
        <v>0</v>
      </c>
      <c r="D111" s="19" t="e">
        <f ca="1">((100/(H103))*C111)/100</f>
        <v>#REF!</v>
      </c>
      <c r="E111" s="115"/>
      <c r="F111" s="180"/>
      <c r="G111" s="115"/>
      <c r="H111" s="116"/>
      <c r="I111" s="13" t="s">
        <v>138</v>
      </c>
      <c r="J111" s="30">
        <f>(IF(B103&gt;2,(H103/(B103+2)+J110),0))</f>
        <v>0</v>
      </c>
    </row>
    <row r="112" spans="1:10" ht="15.75" hidden="1" customHeight="1" x14ac:dyDescent="0.35">
      <c r="A112" s="94" t="s">
        <v>126</v>
      </c>
      <c r="B112" s="95" t="s">
        <v>126</v>
      </c>
      <c r="C112" s="43">
        <v>0</v>
      </c>
      <c r="D112" s="19" t="e">
        <f ca="1">((100/H103)*C112)/100</f>
        <v>#REF!</v>
      </c>
      <c r="E112" s="115"/>
      <c r="F112" s="180"/>
      <c r="G112" s="115"/>
      <c r="H112" s="116"/>
      <c r="I112" s="13" t="s">
        <v>139</v>
      </c>
      <c r="J112" s="31">
        <f>(IF(B103&gt;3,(H103/(B103+2)+J111),0))</f>
        <v>0</v>
      </c>
    </row>
    <row r="113" spans="1:22" ht="15.75" hidden="1" customHeight="1" x14ac:dyDescent="0.35">
      <c r="A113" s="94" t="s">
        <v>133</v>
      </c>
      <c r="B113" s="95"/>
      <c r="C113" s="43">
        <v>0</v>
      </c>
      <c r="D113" s="19" t="e">
        <f ca="1">((100/H103)*C113)/100</f>
        <v>#REF!</v>
      </c>
      <c r="E113" s="115"/>
      <c r="F113" s="180"/>
      <c r="G113" s="115"/>
      <c r="H113" s="116"/>
      <c r="I113" s="13" t="s">
        <v>140</v>
      </c>
      <c r="J113" s="30">
        <f>(IF(B103&gt;4,(H103/(B103+2)+J112),0))</f>
        <v>0</v>
      </c>
    </row>
    <row r="114" spans="1:22" ht="15.75" hidden="1" customHeight="1" x14ac:dyDescent="0.35">
      <c r="A114" s="94" t="s">
        <v>128</v>
      </c>
      <c r="B114" s="95" t="s">
        <v>128</v>
      </c>
      <c r="C114" s="43">
        <v>0</v>
      </c>
      <c r="D114" s="19" t="e">
        <f ca="1">((100/(H103))*C114)/100</f>
        <v>#REF!</v>
      </c>
      <c r="E114" s="115"/>
      <c r="F114" s="180"/>
      <c r="G114" s="115"/>
      <c r="H114" s="116"/>
      <c r="I114" s="13" t="s">
        <v>144</v>
      </c>
      <c r="J114" s="30" t="e">
        <f ca="1">(IF(B103=1,(H103/(B103+3)+J109),IF(B103=0,(H103/4+J109),IF(B103&gt;1,0))))</f>
        <v>#REF!</v>
      </c>
    </row>
    <row r="115" spans="1:22" ht="16" hidden="1" thickBot="1" x14ac:dyDescent="0.4">
      <c r="A115" s="92" t="s">
        <v>129</v>
      </c>
      <c r="B115" s="93"/>
      <c r="C115" s="44">
        <v>0</v>
      </c>
      <c r="D115" s="20" t="e">
        <f ca="1">((100/(H103))*C115)/100</f>
        <v>#REF!</v>
      </c>
      <c r="E115" s="117"/>
      <c r="F115" s="181"/>
      <c r="G115" s="117"/>
      <c r="H115" s="118"/>
      <c r="I115" s="15" t="s">
        <v>102</v>
      </c>
      <c r="J115" s="32" t="e">
        <f ca="1">(IF(B103&gt;1.5,(H103/(B103+2)+J109+MAX(0,J110-J109)+MAX(0,J111-J110)+MAX(0,J112-J111)+MAX(0,J113-J112)+MAX(0,J114-J113)),IF(B103=1,(H103/(B103+3)+J114),IF(B103=0,H103/4+J114))))</f>
        <v>#REF!</v>
      </c>
    </row>
    <row r="116" spans="1:22" x14ac:dyDescent="0.35">
      <c r="A116" s="122" t="s">
        <v>155</v>
      </c>
      <c r="B116" s="122"/>
      <c r="C116" s="122"/>
      <c r="D116" s="122"/>
      <c r="E116" s="122"/>
      <c r="F116" s="159" t="s">
        <v>159</v>
      </c>
      <c r="G116" s="159"/>
      <c r="H116" s="159"/>
      <c r="R116" t="s">
        <v>252</v>
      </c>
      <c r="S116" t="s">
        <v>171</v>
      </c>
      <c r="T116" t="s">
        <v>177</v>
      </c>
      <c r="U116" t="s">
        <v>192</v>
      </c>
      <c r="V116" t="s">
        <v>187</v>
      </c>
    </row>
    <row r="117" spans="1:22" x14ac:dyDescent="0.35">
      <c r="A117" s="91" t="s">
        <v>157</v>
      </c>
      <c r="B117" s="91"/>
      <c r="C117" s="91"/>
      <c r="D117" s="91"/>
      <c r="E117" s="91"/>
      <c r="F117" s="119">
        <v>6200</v>
      </c>
      <c r="G117" s="119"/>
      <c r="H117" s="119"/>
      <c r="R117"/>
      <c r="S117">
        <v>800000</v>
      </c>
      <c r="T117">
        <v>150000</v>
      </c>
      <c r="U117">
        <v>100000</v>
      </c>
      <c r="V117">
        <v>100000</v>
      </c>
    </row>
    <row r="118" spans="1:22" x14ac:dyDescent="0.35">
      <c r="A118" s="91" t="s">
        <v>156</v>
      </c>
      <c r="B118" s="91"/>
      <c r="C118" s="91"/>
      <c r="D118" s="91"/>
      <c r="E118" s="91"/>
      <c r="F118" s="119">
        <v>12000</v>
      </c>
      <c r="G118" s="119"/>
      <c r="H118" s="119"/>
      <c r="R118"/>
      <c r="S118">
        <v>900000</v>
      </c>
      <c r="T118">
        <v>200000</v>
      </c>
      <c r="U118">
        <v>150000</v>
      </c>
      <c r="V118">
        <v>150000</v>
      </c>
    </row>
    <row r="119" spans="1:22" hidden="1" x14ac:dyDescent="0.35">
      <c r="A119" s="91" t="s">
        <v>158</v>
      </c>
      <c r="B119" s="91"/>
      <c r="C119" s="91"/>
      <c r="D119" s="91"/>
      <c r="E119" s="91"/>
      <c r="F119" s="119"/>
      <c r="G119" s="119"/>
      <c r="H119" s="119"/>
      <c r="R119"/>
      <c r="S119">
        <v>1000000</v>
      </c>
      <c r="T119">
        <v>250000</v>
      </c>
      <c r="U119">
        <v>200000</v>
      </c>
      <c r="V119">
        <v>200000</v>
      </c>
    </row>
    <row r="120" spans="1:22" s="33" customFormat="1" hidden="1" x14ac:dyDescent="0.35">
      <c r="A120" s="91" t="s">
        <v>174</v>
      </c>
      <c r="B120" s="91"/>
      <c r="C120" s="91"/>
      <c r="D120" s="91"/>
      <c r="E120" s="91"/>
      <c r="F120" s="119"/>
      <c r="G120" s="119"/>
      <c r="H120" s="119"/>
      <c r="R120"/>
      <c r="S120">
        <v>1100000</v>
      </c>
      <c r="T120">
        <v>300000</v>
      </c>
      <c r="U120">
        <v>250000</v>
      </c>
      <c r="V120" s="23">
        <v>250000</v>
      </c>
    </row>
    <row r="121" spans="1:22" s="33" customFormat="1" hidden="1" x14ac:dyDescent="0.35">
      <c r="A121" s="91" t="s">
        <v>92</v>
      </c>
      <c r="B121" s="91"/>
      <c r="C121" s="91"/>
      <c r="D121" s="91"/>
      <c r="E121" s="91"/>
      <c r="F121" s="119"/>
      <c r="G121" s="119"/>
      <c r="H121" s="119"/>
      <c r="R121"/>
      <c r="S121">
        <v>1200000</v>
      </c>
      <c r="T121">
        <v>350000</v>
      </c>
      <c r="U121">
        <v>300000</v>
      </c>
      <c r="V121">
        <v>300000</v>
      </c>
    </row>
    <row r="122" spans="1:22" s="33" customFormat="1" hidden="1" x14ac:dyDescent="0.35">
      <c r="A122" s="91" t="s">
        <v>93</v>
      </c>
      <c r="B122" s="91"/>
      <c r="C122" s="91"/>
      <c r="D122" s="91"/>
      <c r="E122" s="91"/>
      <c r="F122" s="119"/>
      <c r="G122" s="119"/>
      <c r="H122" s="119"/>
      <c r="R122"/>
      <c r="S122">
        <v>1300000</v>
      </c>
      <c r="T122">
        <v>400000</v>
      </c>
      <c r="U122">
        <v>350000</v>
      </c>
      <c r="V122" s="23">
        <v>400000</v>
      </c>
    </row>
    <row r="123" spans="1:22" s="33" customFormat="1" hidden="1" x14ac:dyDescent="0.35">
      <c r="A123" s="91" t="s">
        <v>94</v>
      </c>
      <c r="B123" s="91"/>
      <c r="C123" s="91"/>
      <c r="D123" s="91"/>
      <c r="E123" s="91"/>
      <c r="F123" s="119"/>
      <c r="G123" s="119"/>
      <c r="H123" s="119"/>
      <c r="R123"/>
      <c r="S123">
        <v>1400000</v>
      </c>
      <c r="T123">
        <v>500000</v>
      </c>
      <c r="U123">
        <v>400000</v>
      </c>
      <c r="V123"/>
    </row>
    <row r="124" spans="1:22" s="33" customFormat="1" hidden="1" x14ac:dyDescent="0.35">
      <c r="A124" s="91" t="s">
        <v>95</v>
      </c>
      <c r="B124" s="91"/>
      <c r="C124" s="91"/>
      <c r="D124" s="91"/>
      <c r="E124" s="91"/>
      <c r="F124" s="119"/>
      <c r="G124" s="119"/>
      <c r="H124" s="119"/>
      <c r="R124"/>
      <c r="S124">
        <v>1500000</v>
      </c>
      <c r="T124">
        <v>600000</v>
      </c>
      <c r="U124">
        <v>500000</v>
      </c>
      <c r="V124" s="23"/>
    </row>
    <row r="125" spans="1:22" s="33" customFormat="1" hidden="1" x14ac:dyDescent="0.35">
      <c r="A125" s="91" t="s">
        <v>96</v>
      </c>
      <c r="B125" s="91"/>
      <c r="C125" s="91"/>
      <c r="D125" s="91"/>
      <c r="E125" s="91"/>
      <c r="F125" s="119"/>
      <c r="G125" s="119"/>
      <c r="H125" s="119"/>
      <c r="R125"/>
      <c r="S125">
        <v>1600000</v>
      </c>
      <c r="T125">
        <v>700000</v>
      </c>
      <c r="U125">
        <v>600000</v>
      </c>
      <c r="V125"/>
    </row>
    <row r="126" spans="1:22" s="33" customFormat="1" hidden="1" x14ac:dyDescent="0.35">
      <c r="A126" s="91" t="s">
        <v>97</v>
      </c>
      <c r="B126" s="91"/>
      <c r="C126" s="91"/>
      <c r="D126" s="91"/>
      <c r="E126" s="91"/>
      <c r="F126" s="119"/>
      <c r="G126" s="119"/>
      <c r="H126" s="119"/>
      <c r="R126"/>
      <c r="S126">
        <v>1700000</v>
      </c>
      <c r="T126">
        <v>800000</v>
      </c>
      <c r="U126"/>
      <c r="V126" s="23"/>
    </row>
    <row r="127" spans="1:22" x14ac:dyDescent="0.35">
      <c r="A127" s="91" t="s">
        <v>49</v>
      </c>
      <c r="B127" s="91"/>
      <c r="C127" s="91"/>
      <c r="D127" s="91"/>
      <c r="E127" s="91"/>
      <c r="F127" s="196">
        <v>300000</v>
      </c>
      <c r="G127" s="196"/>
      <c r="H127" s="196"/>
      <c r="R127"/>
      <c r="S127">
        <v>1800000</v>
      </c>
      <c r="T127">
        <v>900000</v>
      </c>
      <c r="U127"/>
    </row>
    <row r="128" spans="1:22" s="34" customFormat="1" x14ac:dyDescent="0.35">
      <c r="A128" s="163" t="s">
        <v>50</v>
      </c>
      <c r="B128" s="163"/>
      <c r="C128" s="163"/>
      <c r="D128" s="163"/>
      <c r="E128" s="163"/>
      <c r="F128" s="119">
        <f>F117*0.8</f>
        <v>4960</v>
      </c>
      <c r="G128" s="119"/>
      <c r="H128" s="119"/>
      <c r="R128" s="21"/>
      <c r="S128" s="21"/>
      <c r="T128">
        <v>1000000</v>
      </c>
      <c r="U128"/>
      <c r="V128" s="21"/>
    </row>
    <row r="129" spans="1:22" s="35" customFormat="1" ht="15.75" customHeight="1" x14ac:dyDescent="0.35">
      <c r="A129" s="103" t="s">
        <v>72</v>
      </c>
      <c r="B129" s="103"/>
      <c r="C129" s="103"/>
      <c r="D129" s="103"/>
      <c r="E129" s="103"/>
      <c r="F129" s="103"/>
      <c r="G129" s="103"/>
      <c r="H129" s="103"/>
      <c r="R129"/>
      <c r="S129" s="21"/>
      <c r="T129"/>
      <c r="U129"/>
      <c r="V129" s="21"/>
    </row>
    <row r="130" spans="1:22" s="35" customFormat="1" ht="15.75" customHeight="1" x14ac:dyDescent="0.35">
      <c r="A130" s="198" t="s">
        <v>51</v>
      </c>
      <c r="B130" s="198"/>
      <c r="C130" s="105" t="s">
        <v>75</v>
      </c>
      <c r="D130" s="105"/>
      <c r="E130" s="200" t="s">
        <v>52</v>
      </c>
      <c r="F130" s="200"/>
      <c r="G130" s="198" t="s">
        <v>53</v>
      </c>
      <c r="H130" s="198"/>
      <c r="R130"/>
      <c r="S130" s="21"/>
      <c r="T130"/>
      <c r="U130" s="21"/>
      <c r="V130" s="21"/>
    </row>
    <row r="131" spans="1:22" s="35" customFormat="1" x14ac:dyDescent="0.35">
      <c r="A131" s="106" t="s">
        <v>309</v>
      </c>
      <c r="B131" s="106"/>
      <c r="C131" s="101">
        <f>COUNT(D146:D156)</f>
        <v>11</v>
      </c>
      <c r="D131" s="102"/>
      <c r="E131" s="101">
        <f t="shared" ref="E131" si="0">SUM(F146:F156)</f>
        <v>1598.5616399999999</v>
      </c>
      <c r="F131" s="102"/>
      <c r="G131" s="101">
        <f t="shared" ref="G131" si="1">SUM(H146:H156)</f>
        <v>2477.7705419999998</v>
      </c>
      <c r="H131" s="102"/>
      <c r="R131"/>
      <c r="S131" s="21"/>
      <c r="T131"/>
      <c r="U131" s="21"/>
      <c r="V131" s="21"/>
    </row>
    <row r="132" spans="1:22" s="35" customFormat="1" x14ac:dyDescent="0.35">
      <c r="A132" s="106" t="s">
        <v>310</v>
      </c>
      <c r="B132" s="106"/>
      <c r="C132" s="101">
        <f>COUNT(D159:D174)</f>
        <v>16</v>
      </c>
      <c r="D132" s="102"/>
      <c r="E132" s="101">
        <f t="shared" ref="E132" si="2">SUM(F159:F174)</f>
        <v>2653.7565599999998</v>
      </c>
      <c r="F132" s="102"/>
      <c r="G132" s="101">
        <f t="shared" ref="G132" si="3">SUM(H159:H174)</f>
        <v>4113.3226679999998</v>
      </c>
      <c r="H132" s="102"/>
      <c r="R132"/>
      <c r="S132" s="21"/>
      <c r="T132"/>
      <c r="U132" s="21"/>
      <c r="V132" s="21"/>
    </row>
    <row r="133" spans="1:22" s="35" customFormat="1" x14ac:dyDescent="0.35">
      <c r="A133" s="103" t="s">
        <v>148</v>
      </c>
      <c r="B133" s="103"/>
      <c r="C133" s="104">
        <f>SUM(C131:C132)</f>
        <v>27</v>
      </c>
      <c r="D133" s="105"/>
      <c r="E133" s="104">
        <f>SUM(E131:E132)</f>
        <v>4252.3181999999997</v>
      </c>
      <c r="F133" s="105"/>
      <c r="G133" s="104">
        <f>SUM(G131:G132)</f>
        <v>6591.0932099999991</v>
      </c>
      <c r="H133" s="105"/>
      <c r="R133"/>
      <c r="S133" s="21"/>
      <c r="T133"/>
      <c r="U133" s="21"/>
      <c r="V133" s="21"/>
    </row>
    <row r="134" spans="1:22" s="35" customFormat="1" x14ac:dyDescent="0.35">
      <c r="A134" s="103" t="s">
        <v>67</v>
      </c>
      <c r="B134" s="103"/>
      <c r="C134" s="103"/>
      <c r="D134" s="103"/>
      <c r="E134" s="103"/>
      <c r="F134" s="103"/>
      <c r="G134" s="103"/>
      <c r="H134" s="103"/>
      <c r="T134"/>
    </row>
    <row r="135" spans="1:22" s="35" customFormat="1" ht="15.75" customHeight="1" x14ac:dyDescent="0.35">
      <c r="A135" s="198" t="s">
        <v>51</v>
      </c>
      <c r="B135" s="198"/>
      <c r="C135" s="105" t="s">
        <v>75</v>
      </c>
      <c r="D135" s="105"/>
      <c r="E135" s="200" t="s">
        <v>52</v>
      </c>
      <c r="F135" s="200"/>
      <c r="G135" s="198" t="s">
        <v>53</v>
      </c>
      <c r="H135" s="198"/>
      <c r="T135"/>
    </row>
    <row r="136" spans="1:22" s="35" customFormat="1" ht="15.75" customHeight="1" x14ac:dyDescent="0.35">
      <c r="A136" s="106" t="s">
        <v>309</v>
      </c>
      <c r="B136" s="106"/>
      <c r="C136" s="101">
        <f>COUNT(D181:D185)*15+COUNT(D193:D194,D196:D197)*3</f>
        <v>87</v>
      </c>
      <c r="D136" s="101"/>
      <c r="E136" s="101">
        <f>SUM(F181:F185)*15+SUM(F193:F194,F196:F197)*3</f>
        <v>47960.659656000003</v>
      </c>
      <c r="F136" s="101"/>
      <c r="G136" s="101">
        <f>SUM(H181:H185)*15+SUM(H193:H194,H196:H197)*3</f>
        <v>72370.473083999997</v>
      </c>
      <c r="H136" s="101"/>
      <c r="T136"/>
    </row>
    <row r="137" spans="1:22" s="35" customFormat="1" ht="15.75" customHeight="1" x14ac:dyDescent="0.35">
      <c r="A137" s="106" t="s">
        <v>310</v>
      </c>
      <c r="B137" s="106"/>
      <c r="C137" s="101">
        <f>COUNT(D201:D210)*15+COUNT(D223:D227,D229:D232)*3</f>
        <v>177</v>
      </c>
      <c r="D137" s="101"/>
      <c r="E137" s="101">
        <f>SUM(F201:F210)*15+SUM(F223:F227,F229:F232)*3</f>
        <v>95028.833016000004</v>
      </c>
      <c r="F137" s="101"/>
      <c r="G137" s="101">
        <f>SUM(H201:H210)*15+SUM(H223:H227,H229:H232)*3</f>
        <v>143055.48137400002</v>
      </c>
      <c r="H137" s="101"/>
      <c r="T137"/>
    </row>
    <row r="138" spans="1:22" s="35" customFormat="1" ht="16" thickBot="1" x14ac:dyDescent="0.4">
      <c r="A138" s="96" t="s">
        <v>148</v>
      </c>
      <c r="B138" s="96"/>
      <c r="C138" s="97">
        <f>SUM(C136:C137)</f>
        <v>264</v>
      </c>
      <c r="D138" s="98"/>
      <c r="E138" s="97">
        <f>SUM(E136:E137)</f>
        <v>142989.49267200002</v>
      </c>
      <c r="F138" s="98"/>
      <c r="G138" s="97">
        <f>SUM(G136:G137)</f>
        <v>215425.95445800002</v>
      </c>
      <c r="H138" s="98"/>
      <c r="T138"/>
    </row>
    <row r="139" spans="1:22" s="35" customFormat="1" ht="16" thickBot="1" x14ac:dyDescent="0.4">
      <c r="A139" s="207" t="s">
        <v>165</v>
      </c>
      <c r="B139" s="208"/>
      <c r="C139" s="209">
        <f>C133+C138</f>
        <v>291</v>
      </c>
      <c r="D139" s="209"/>
      <c r="E139" s="210">
        <f>E133+E138</f>
        <v>147241.81087200003</v>
      </c>
      <c r="F139" s="210"/>
      <c r="G139" s="152">
        <f>G133+G138</f>
        <v>222017.04766800001</v>
      </c>
      <c r="H139" s="153"/>
      <c r="T139"/>
    </row>
    <row r="140" spans="1:22" s="34" customFormat="1" x14ac:dyDescent="0.35">
      <c r="A140" s="201" t="s">
        <v>54</v>
      </c>
      <c r="B140" s="201"/>
      <c r="C140" s="201"/>
      <c r="D140" s="201"/>
      <c r="E140" s="201"/>
      <c r="F140" s="201"/>
      <c r="G140" s="201"/>
      <c r="H140" s="201"/>
      <c r="T140" s="35"/>
    </row>
    <row r="141" spans="1:22" x14ac:dyDescent="0.35">
      <c r="A141" s="218" t="s">
        <v>173</v>
      </c>
      <c r="B141" s="218"/>
      <c r="C141" s="218"/>
      <c r="D141" s="218"/>
      <c r="E141" s="218"/>
      <c r="F141" s="218"/>
      <c r="G141" s="218"/>
      <c r="H141" s="218"/>
      <c r="T141" s="35"/>
    </row>
    <row r="142" spans="1:22" ht="47.25" customHeight="1" x14ac:dyDescent="0.35">
      <c r="A142" s="120" t="s">
        <v>339</v>
      </c>
      <c r="B142" s="120" t="s">
        <v>175</v>
      </c>
      <c r="C142" s="120" t="s">
        <v>55</v>
      </c>
      <c r="D142" s="120" t="s">
        <v>230</v>
      </c>
      <c r="E142" s="126" t="s">
        <v>154</v>
      </c>
      <c r="F142" s="120" t="s">
        <v>56</v>
      </c>
      <c r="G142" s="126" t="s">
        <v>57</v>
      </c>
      <c r="H142" s="78" t="s">
        <v>146</v>
      </c>
      <c r="T142" s="35"/>
    </row>
    <row r="143" spans="1:22" s="37" customFormat="1" x14ac:dyDescent="0.35">
      <c r="A143" s="121"/>
      <c r="B143" s="121"/>
      <c r="C143" s="121"/>
      <c r="D143" s="121"/>
      <c r="E143" s="127"/>
      <c r="F143" s="121"/>
      <c r="G143" s="127"/>
      <c r="H143" s="79">
        <v>0.55000000000000004</v>
      </c>
      <c r="T143" s="35"/>
    </row>
    <row r="144" spans="1:22" s="71" customFormat="1" x14ac:dyDescent="0.35">
      <c r="A144" s="170" t="s">
        <v>309</v>
      </c>
      <c r="B144" s="171"/>
      <c r="C144" s="171"/>
      <c r="D144" s="171"/>
      <c r="E144" s="171"/>
      <c r="F144" s="171"/>
      <c r="G144" s="171"/>
      <c r="H144" s="172"/>
      <c r="J144" s="36"/>
      <c r="T144" s="35"/>
    </row>
    <row r="145" spans="1:20" s="37" customFormat="1" x14ac:dyDescent="0.35">
      <c r="A145" s="170" t="s">
        <v>340</v>
      </c>
      <c r="B145" s="171"/>
      <c r="C145" s="171"/>
      <c r="D145" s="171"/>
      <c r="E145" s="171"/>
      <c r="F145" s="171"/>
      <c r="G145" s="171"/>
      <c r="H145" s="172"/>
      <c r="J145" s="36"/>
      <c r="T145" s="35"/>
    </row>
    <row r="146" spans="1:20" s="37" customFormat="1" ht="15.75" customHeight="1" x14ac:dyDescent="0.35">
      <c r="A146" s="110">
        <v>1</v>
      </c>
      <c r="B146" s="111"/>
      <c r="C146" s="42" t="s">
        <v>311</v>
      </c>
      <c r="D146" s="70">
        <f>(14.1)*10.764</f>
        <v>151.77239999999998</v>
      </c>
      <c r="E146" s="42">
        <v>0</v>
      </c>
      <c r="F146" s="63">
        <f>D146+(IF(E146&lt;201,E146,IF(E146&lt;301,E146/2,E146/3)))</f>
        <v>151.77239999999998</v>
      </c>
      <c r="G146" s="64">
        <v>0</v>
      </c>
      <c r="H146" s="63">
        <f>(F146+(IF(G146&lt;101,G146,IF(G146&lt;201,G146/2,IF(G146&lt;=301,G146/3,G146/4)))))*(($H$143)+1)</f>
        <v>235.24721999999997</v>
      </c>
      <c r="I146" s="80">
        <f>2.9*3.75+2.1*1.2</f>
        <v>13.395</v>
      </c>
      <c r="J146" s="70">
        <v>10.763999999999999</v>
      </c>
      <c r="L146" s="164"/>
      <c r="M146" s="164"/>
      <c r="N146" s="36"/>
      <c r="T146" s="35"/>
    </row>
    <row r="147" spans="1:20" s="37" customFormat="1" ht="15.75" customHeight="1" x14ac:dyDescent="0.35">
      <c r="A147" s="110">
        <f>A146+1</f>
        <v>2</v>
      </c>
      <c r="B147" s="111"/>
      <c r="C147" s="70" t="s">
        <v>311</v>
      </c>
      <c r="D147" s="70">
        <f>(13.9)*10.764</f>
        <v>149.61959999999999</v>
      </c>
      <c r="E147" s="42">
        <v>0</v>
      </c>
      <c r="F147" s="63">
        <f t="shared" ref="F147:F149" si="4">D147+(IF(E147&lt;201,E147,IF(E147&lt;301,E147/2,E147/3)))</f>
        <v>149.61959999999999</v>
      </c>
      <c r="G147" s="56">
        <v>0</v>
      </c>
      <c r="H147" s="63">
        <f t="shared" ref="H147:H149" si="5">(F147+(IF(G147&lt;101,G147,IF(G147&lt;201,G147/2,IF(G147&lt;=301,G147/3,G147/4)))))*(($H$143)+1)</f>
        <v>231.91038</v>
      </c>
      <c r="I147" s="80">
        <f>2.3*5.42</f>
        <v>12.465999999999999</v>
      </c>
      <c r="L147" s="164"/>
      <c r="M147" s="164"/>
      <c r="N147" s="36"/>
      <c r="T147" s="34"/>
    </row>
    <row r="148" spans="1:20" s="37" customFormat="1" ht="15.75" customHeight="1" x14ac:dyDescent="0.35">
      <c r="A148" s="110">
        <f>A147+1</f>
        <v>3</v>
      </c>
      <c r="B148" s="111"/>
      <c r="C148" s="70" t="s">
        <v>311</v>
      </c>
      <c r="D148" s="70">
        <f>(16.03)*10.764</f>
        <v>172.54692</v>
      </c>
      <c r="E148" s="42">
        <v>0</v>
      </c>
      <c r="F148" s="63">
        <f t="shared" si="4"/>
        <v>172.54692</v>
      </c>
      <c r="G148" s="56">
        <v>0</v>
      </c>
      <c r="H148" s="63">
        <f t="shared" si="5"/>
        <v>267.44772599999999</v>
      </c>
      <c r="I148" s="36"/>
      <c r="L148" s="164"/>
      <c r="M148" s="164"/>
      <c r="N148" s="36"/>
      <c r="T148" s="21"/>
    </row>
    <row r="149" spans="1:20" s="37" customFormat="1" ht="15.75" customHeight="1" x14ac:dyDescent="0.35">
      <c r="A149" s="110">
        <f>A148+1</f>
        <v>4</v>
      </c>
      <c r="B149" s="111"/>
      <c r="C149" s="70" t="s">
        <v>311</v>
      </c>
      <c r="D149" s="70">
        <f>(5.76)*10.764</f>
        <v>62.000639999999997</v>
      </c>
      <c r="E149" s="42">
        <v>0</v>
      </c>
      <c r="F149" s="63">
        <f t="shared" si="4"/>
        <v>62.000639999999997</v>
      </c>
      <c r="G149" s="56">
        <v>0</v>
      </c>
      <c r="H149" s="63">
        <f t="shared" si="5"/>
        <v>96.100992000000005</v>
      </c>
      <c r="I149" s="36"/>
      <c r="L149" s="164"/>
      <c r="M149" s="164"/>
      <c r="N149" s="36"/>
      <c r="T149" s="21"/>
    </row>
    <row r="150" spans="1:20" s="71" customFormat="1" ht="15.75" customHeight="1" x14ac:dyDescent="0.35">
      <c r="A150" s="110">
        <f>A149+1</f>
        <v>5</v>
      </c>
      <c r="B150" s="111"/>
      <c r="C150" s="70" t="s">
        <v>311</v>
      </c>
      <c r="D150" s="70">
        <f>(6.89)*10.764</f>
        <v>74.163959999999989</v>
      </c>
      <c r="E150" s="70">
        <v>0</v>
      </c>
      <c r="F150" s="70">
        <f t="shared" ref="F150:F151" si="6">D150+(IF(E150&lt;201,E150,IF(E150&lt;301,E150/2,E150/3)))</f>
        <v>74.163959999999989</v>
      </c>
      <c r="G150" s="70">
        <v>0</v>
      </c>
      <c r="H150" s="70">
        <f t="shared" ref="H150:H151" si="7">(F150+(IF(G150&lt;101,G150,IF(G150&lt;201,G150/2,IF(G150&lt;=301,G150/3,G150/4)))))*(($H$143)+1)</f>
        <v>114.95413799999999</v>
      </c>
      <c r="I150" s="36">
        <f>2.25*2.92</f>
        <v>6.57</v>
      </c>
      <c r="L150" s="164"/>
      <c r="M150" s="164"/>
      <c r="N150" s="36"/>
      <c r="T150" s="21"/>
    </row>
    <row r="151" spans="1:20" s="71" customFormat="1" ht="15.75" customHeight="1" x14ac:dyDescent="0.35">
      <c r="A151" s="110">
        <f>A150+1</f>
        <v>6</v>
      </c>
      <c r="B151" s="111"/>
      <c r="C151" s="70" t="s">
        <v>311</v>
      </c>
      <c r="D151" s="70">
        <f>(17.72)*10.764</f>
        <v>190.73807999999997</v>
      </c>
      <c r="E151" s="70">
        <v>0</v>
      </c>
      <c r="F151" s="70">
        <f t="shared" si="6"/>
        <v>190.73807999999997</v>
      </c>
      <c r="G151" s="70">
        <v>0</v>
      </c>
      <c r="H151" s="70">
        <f t="shared" si="7"/>
        <v>295.64402399999994</v>
      </c>
      <c r="I151" s="36"/>
      <c r="L151" s="164"/>
      <c r="M151" s="164"/>
      <c r="N151" s="36"/>
      <c r="T151" s="21"/>
    </row>
    <row r="152" spans="1:20" s="71" customFormat="1" ht="15.75" customHeight="1" x14ac:dyDescent="0.35">
      <c r="A152" s="110">
        <f t="shared" ref="A152:A156" si="8">A151+1</f>
        <v>7</v>
      </c>
      <c r="B152" s="111"/>
      <c r="C152" s="70" t="s">
        <v>311</v>
      </c>
      <c r="D152" s="70">
        <f>(13.32)*10.764</f>
        <v>143.37647999999999</v>
      </c>
      <c r="E152" s="70">
        <v>0</v>
      </c>
      <c r="F152" s="70">
        <f>D152+(IF(E152&lt;201,E152,IF(E152&lt;301,E152/2,E152/3)))</f>
        <v>143.37647999999999</v>
      </c>
      <c r="G152" s="64">
        <v>0</v>
      </c>
      <c r="H152" s="70">
        <f>(F152+(IF(G152&lt;101,G152,IF(G152&lt;201,G152/2,IF(G152&lt;=301,G152/3,G152/4)))))*(($H$143)+1)</f>
        <v>222.23354399999999</v>
      </c>
      <c r="I152" s="36"/>
      <c r="L152" s="164"/>
      <c r="M152" s="164"/>
      <c r="N152" s="36"/>
      <c r="T152" s="35"/>
    </row>
    <row r="153" spans="1:20" s="71" customFormat="1" ht="15.75" customHeight="1" x14ac:dyDescent="0.35">
      <c r="A153" s="110">
        <f t="shared" si="8"/>
        <v>8</v>
      </c>
      <c r="B153" s="111"/>
      <c r="C153" s="70" t="s">
        <v>311</v>
      </c>
      <c r="D153" s="70">
        <f>(15.22)*10.764</f>
        <v>163.82808</v>
      </c>
      <c r="E153" s="70">
        <v>0</v>
      </c>
      <c r="F153" s="70">
        <f t="shared" ref="F153:F156" si="9">D153+(IF(E153&lt;201,E153,IF(E153&lt;301,E153/2,E153/3)))</f>
        <v>163.82808</v>
      </c>
      <c r="G153" s="70">
        <v>0</v>
      </c>
      <c r="H153" s="70">
        <f t="shared" ref="H153:H156" si="10">(F153+(IF(G153&lt;101,G153,IF(G153&lt;201,G153/2,IF(G153&lt;=301,G153/3,G153/4)))))*(($H$143)+1)</f>
        <v>253.93352400000001</v>
      </c>
      <c r="I153" s="36"/>
      <c r="L153" s="164"/>
      <c r="M153" s="164"/>
      <c r="N153" s="36"/>
      <c r="T153" s="34"/>
    </row>
    <row r="154" spans="1:20" s="71" customFormat="1" ht="15.75" customHeight="1" x14ac:dyDescent="0.35">
      <c r="A154" s="110">
        <f t="shared" si="8"/>
        <v>9</v>
      </c>
      <c r="B154" s="111"/>
      <c r="C154" s="70" t="s">
        <v>311</v>
      </c>
      <c r="D154" s="70">
        <f>(17.72)*10.764</f>
        <v>190.73807999999997</v>
      </c>
      <c r="E154" s="70">
        <v>0</v>
      </c>
      <c r="F154" s="70">
        <f t="shared" si="9"/>
        <v>190.73807999999997</v>
      </c>
      <c r="G154" s="70">
        <v>0</v>
      </c>
      <c r="H154" s="70">
        <f t="shared" si="10"/>
        <v>295.64402399999994</v>
      </c>
      <c r="I154" s="36"/>
      <c r="L154" s="164"/>
      <c r="M154" s="164"/>
      <c r="N154" s="36"/>
      <c r="T154" s="21"/>
    </row>
    <row r="155" spans="1:20" s="71" customFormat="1" ht="15.75" customHeight="1" x14ac:dyDescent="0.35">
      <c r="A155" s="110">
        <f t="shared" si="8"/>
        <v>10</v>
      </c>
      <c r="B155" s="111"/>
      <c r="C155" s="70" t="s">
        <v>311</v>
      </c>
      <c r="D155" s="70">
        <f>(13.22)*10.764</f>
        <v>142.30008000000001</v>
      </c>
      <c r="E155" s="70">
        <v>0</v>
      </c>
      <c r="F155" s="70">
        <f t="shared" si="9"/>
        <v>142.30008000000001</v>
      </c>
      <c r="G155" s="70">
        <v>0</v>
      </c>
      <c r="H155" s="70">
        <f t="shared" si="10"/>
        <v>220.56512400000003</v>
      </c>
      <c r="I155" s="36">
        <f>2.28*5.1+1.2*0.9</f>
        <v>12.707999999999998</v>
      </c>
      <c r="L155" s="164"/>
      <c r="M155" s="164"/>
      <c r="N155" s="36"/>
      <c r="T155" s="21"/>
    </row>
    <row r="156" spans="1:20" s="71" customFormat="1" ht="15.75" customHeight="1" x14ac:dyDescent="0.35">
      <c r="A156" s="110">
        <f t="shared" si="8"/>
        <v>11</v>
      </c>
      <c r="B156" s="111"/>
      <c r="C156" s="70" t="s">
        <v>311</v>
      </c>
      <c r="D156" s="70">
        <f>(14.63)*10.764</f>
        <v>157.47731999999999</v>
      </c>
      <c r="E156" s="70">
        <v>0</v>
      </c>
      <c r="F156" s="70">
        <f t="shared" si="9"/>
        <v>157.47731999999999</v>
      </c>
      <c r="G156" s="70">
        <v>0</v>
      </c>
      <c r="H156" s="70">
        <f t="shared" si="10"/>
        <v>244.08984599999999</v>
      </c>
      <c r="I156" s="36"/>
      <c r="L156" s="164"/>
      <c r="M156" s="164"/>
      <c r="N156" s="36"/>
      <c r="T156" s="21"/>
    </row>
    <row r="157" spans="1:20" s="71" customFormat="1" x14ac:dyDescent="0.35">
      <c r="A157" s="170" t="s">
        <v>310</v>
      </c>
      <c r="B157" s="171"/>
      <c r="C157" s="171"/>
      <c r="D157" s="171"/>
      <c r="E157" s="171"/>
      <c r="F157" s="171"/>
      <c r="G157" s="171"/>
      <c r="H157" s="172"/>
      <c r="J157" s="36"/>
      <c r="T157" s="35"/>
    </row>
    <row r="158" spans="1:20" s="71" customFormat="1" x14ac:dyDescent="0.35">
      <c r="A158" s="170" t="s">
        <v>325</v>
      </c>
      <c r="B158" s="171"/>
      <c r="C158" s="171"/>
      <c r="D158" s="171"/>
      <c r="E158" s="171"/>
      <c r="F158" s="171"/>
      <c r="G158" s="171"/>
      <c r="H158" s="172"/>
      <c r="J158" s="36"/>
      <c r="T158" s="35"/>
    </row>
    <row r="159" spans="1:20" s="71" customFormat="1" ht="15.75" customHeight="1" x14ac:dyDescent="0.35">
      <c r="A159" s="110">
        <v>12</v>
      </c>
      <c r="B159" s="111"/>
      <c r="C159" s="70" t="s">
        <v>311</v>
      </c>
      <c r="D159" s="70">
        <f>(14.56)*10.764</f>
        <v>156.72384</v>
      </c>
      <c r="E159" s="70">
        <v>0</v>
      </c>
      <c r="F159" s="70">
        <f>D159+(IF(E159&lt;201,E159,IF(E159&lt;301,E159/2,E159/3)))</f>
        <v>156.72384</v>
      </c>
      <c r="G159" s="64">
        <v>0</v>
      </c>
      <c r="H159" s="70">
        <f>(F159+(IF(G159&lt;101,G159,IF(G159&lt;201,G159/2,IF(G159&lt;=301,G159/3,G159/4)))))*(($H$143)+1)</f>
        <v>242.921952</v>
      </c>
      <c r="I159" s="36"/>
      <c r="L159" s="164"/>
      <c r="M159" s="164"/>
      <c r="N159" s="36"/>
      <c r="T159" s="35"/>
    </row>
    <row r="160" spans="1:20" s="71" customFormat="1" ht="15.75" customHeight="1" x14ac:dyDescent="0.35">
      <c r="A160" s="110">
        <f>A159+1</f>
        <v>13</v>
      </c>
      <c r="B160" s="111"/>
      <c r="C160" s="70" t="s">
        <v>311</v>
      </c>
      <c r="D160" s="70">
        <f>(13.22)*10.764</f>
        <v>142.30008000000001</v>
      </c>
      <c r="E160" s="70">
        <v>0</v>
      </c>
      <c r="F160" s="70">
        <f t="shared" ref="F160:F164" si="11">D160+(IF(E160&lt;201,E160,IF(E160&lt;301,E160/2,E160/3)))</f>
        <v>142.30008000000001</v>
      </c>
      <c r="G160" s="70">
        <v>0</v>
      </c>
      <c r="H160" s="70">
        <f t="shared" ref="H160:H164" si="12">(F160+(IF(G160&lt;101,G160,IF(G160&lt;201,G160/2,IF(G160&lt;=301,G160/3,G160/4)))))*(($H$143)+1)</f>
        <v>220.56512400000003</v>
      </c>
      <c r="I160" s="36"/>
      <c r="L160" s="164"/>
      <c r="M160" s="164"/>
      <c r="N160" s="36"/>
      <c r="T160" s="34"/>
    </row>
    <row r="161" spans="1:20" s="71" customFormat="1" ht="15.75" customHeight="1" x14ac:dyDescent="0.35">
      <c r="A161" s="110">
        <f>A160+1</f>
        <v>14</v>
      </c>
      <c r="B161" s="111"/>
      <c r="C161" s="70" t="s">
        <v>311</v>
      </c>
      <c r="D161" s="70">
        <f>(17.72)*10.764</f>
        <v>190.73807999999997</v>
      </c>
      <c r="E161" s="70">
        <v>0</v>
      </c>
      <c r="F161" s="70">
        <f t="shared" si="11"/>
        <v>190.73807999999997</v>
      </c>
      <c r="G161" s="70">
        <v>0</v>
      </c>
      <c r="H161" s="70">
        <f t="shared" si="12"/>
        <v>295.64402399999994</v>
      </c>
      <c r="I161" s="36">
        <f>2.9*6.15</f>
        <v>17.835000000000001</v>
      </c>
      <c r="L161" s="164"/>
      <c r="M161" s="164"/>
      <c r="N161" s="36"/>
      <c r="T161" s="21"/>
    </row>
    <row r="162" spans="1:20" s="71" customFormat="1" ht="15.75" customHeight="1" x14ac:dyDescent="0.35">
      <c r="A162" s="110">
        <f>A161+1</f>
        <v>15</v>
      </c>
      <c r="B162" s="111"/>
      <c r="C162" s="70" t="s">
        <v>311</v>
      </c>
      <c r="D162" s="70">
        <f>(17.72)*10.764</f>
        <v>190.73807999999997</v>
      </c>
      <c r="E162" s="70">
        <v>0</v>
      </c>
      <c r="F162" s="70">
        <f t="shared" si="11"/>
        <v>190.73807999999997</v>
      </c>
      <c r="G162" s="70">
        <v>0</v>
      </c>
      <c r="H162" s="70">
        <f t="shared" si="12"/>
        <v>295.64402399999994</v>
      </c>
      <c r="I162" s="36"/>
      <c r="L162" s="164"/>
      <c r="M162" s="164"/>
      <c r="N162" s="36"/>
      <c r="T162" s="21"/>
    </row>
    <row r="163" spans="1:20" s="71" customFormat="1" ht="15.75" customHeight="1" x14ac:dyDescent="0.35">
      <c r="A163" s="110">
        <f>A162+1</f>
        <v>16</v>
      </c>
      <c r="B163" s="111"/>
      <c r="C163" s="70" t="s">
        <v>311</v>
      </c>
      <c r="D163" s="70">
        <f>(13.22)*10.764</f>
        <v>142.30008000000001</v>
      </c>
      <c r="E163" s="70">
        <v>0</v>
      </c>
      <c r="F163" s="70">
        <f t="shared" si="11"/>
        <v>142.30008000000001</v>
      </c>
      <c r="G163" s="70">
        <v>0</v>
      </c>
      <c r="H163" s="70">
        <f t="shared" si="12"/>
        <v>220.56512400000003</v>
      </c>
      <c r="I163" s="36"/>
      <c r="L163" s="164"/>
      <c r="M163" s="164"/>
      <c r="N163" s="36"/>
      <c r="T163" s="21"/>
    </row>
    <row r="164" spans="1:20" s="71" customFormat="1" ht="15.75" customHeight="1" x14ac:dyDescent="0.35">
      <c r="A164" s="110">
        <f>A163+1</f>
        <v>17</v>
      </c>
      <c r="B164" s="111"/>
      <c r="C164" s="70" t="s">
        <v>311</v>
      </c>
      <c r="D164" s="70">
        <f>(14.6)*10.764</f>
        <v>157.15439999999998</v>
      </c>
      <c r="E164" s="70">
        <v>0</v>
      </c>
      <c r="F164" s="70">
        <f t="shared" si="11"/>
        <v>157.15439999999998</v>
      </c>
      <c r="G164" s="70">
        <v>0</v>
      </c>
      <c r="H164" s="70">
        <f t="shared" si="12"/>
        <v>243.58931999999999</v>
      </c>
      <c r="I164" s="36">
        <f>2.8*5.1</f>
        <v>14.279999999999998</v>
      </c>
      <c r="L164" s="164"/>
      <c r="M164" s="164"/>
      <c r="N164" s="36"/>
      <c r="T164" s="21"/>
    </row>
    <row r="165" spans="1:20" s="71" customFormat="1" ht="15.75" customHeight="1" x14ac:dyDescent="0.35">
      <c r="A165" s="110">
        <f t="shared" ref="A165:A169" si="13">A164+1</f>
        <v>18</v>
      </c>
      <c r="B165" s="111"/>
      <c r="C165" s="70" t="s">
        <v>311</v>
      </c>
      <c r="D165" s="70">
        <f>(14.6)*10.764</f>
        <v>157.15439999999998</v>
      </c>
      <c r="E165" s="70">
        <v>0</v>
      </c>
      <c r="F165" s="70">
        <f>D165+(IF(E165&lt;201,E165,IF(E165&lt;301,E165/2,E165/3)))</f>
        <v>157.15439999999998</v>
      </c>
      <c r="G165" s="64">
        <v>0</v>
      </c>
      <c r="H165" s="70">
        <f>(F165+(IF(G165&lt;101,G165,IF(G165&lt;201,G165/2,IF(G165&lt;=301,G165/3,G165/4)))))*(($H$143)+1)</f>
        <v>243.58931999999999</v>
      </c>
      <c r="I165" s="36"/>
      <c r="L165" s="164"/>
      <c r="M165" s="164"/>
      <c r="N165" s="36"/>
      <c r="T165" s="35"/>
    </row>
    <row r="166" spans="1:20" s="71" customFormat="1" ht="15.75" customHeight="1" x14ac:dyDescent="0.35">
      <c r="A166" s="110">
        <f t="shared" si="13"/>
        <v>19</v>
      </c>
      <c r="B166" s="111"/>
      <c r="C166" s="70" t="s">
        <v>311</v>
      </c>
      <c r="D166" s="70">
        <f>(13.22)*10.764</f>
        <v>142.30008000000001</v>
      </c>
      <c r="E166" s="70">
        <v>0</v>
      </c>
      <c r="F166" s="70">
        <f t="shared" ref="F166:F170" si="14">D166+(IF(E166&lt;201,E166,IF(E166&lt;301,E166/2,E166/3)))</f>
        <v>142.30008000000001</v>
      </c>
      <c r="G166" s="70">
        <v>0</v>
      </c>
      <c r="H166" s="70">
        <f t="shared" ref="H166:H170" si="15">(F166+(IF(G166&lt;101,G166,IF(G166&lt;201,G166/2,IF(G166&lt;=301,G166/3,G166/4)))))*(($H$143)+1)</f>
        <v>220.56512400000003</v>
      </c>
      <c r="I166" s="36"/>
      <c r="L166" s="164"/>
      <c r="M166" s="164"/>
      <c r="N166" s="36"/>
      <c r="T166" s="34"/>
    </row>
    <row r="167" spans="1:20" s="71" customFormat="1" ht="15.75" customHeight="1" x14ac:dyDescent="0.35">
      <c r="A167" s="110">
        <f t="shared" si="13"/>
        <v>20</v>
      </c>
      <c r="B167" s="111"/>
      <c r="C167" s="70" t="s">
        <v>311</v>
      </c>
      <c r="D167" s="70">
        <f>(17.72)*10.764</f>
        <v>190.73807999999997</v>
      </c>
      <c r="E167" s="70">
        <v>0</v>
      </c>
      <c r="F167" s="70">
        <f t="shared" si="14"/>
        <v>190.73807999999997</v>
      </c>
      <c r="G167" s="70">
        <v>0</v>
      </c>
      <c r="H167" s="70">
        <f t="shared" si="15"/>
        <v>295.64402399999994</v>
      </c>
      <c r="I167" s="36"/>
      <c r="L167" s="164"/>
      <c r="M167" s="164"/>
      <c r="N167" s="36"/>
      <c r="T167" s="21"/>
    </row>
    <row r="168" spans="1:20" s="71" customFormat="1" ht="15.75" customHeight="1" x14ac:dyDescent="0.35">
      <c r="A168" s="110">
        <f t="shared" si="13"/>
        <v>21</v>
      </c>
      <c r="B168" s="111"/>
      <c r="C168" s="70" t="s">
        <v>311</v>
      </c>
      <c r="D168" s="70">
        <f>(17.72)*10.764</f>
        <v>190.73807999999997</v>
      </c>
      <c r="E168" s="70">
        <v>0</v>
      </c>
      <c r="F168" s="70">
        <f t="shared" si="14"/>
        <v>190.73807999999997</v>
      </c>
      <c r="G168" s="70">
        <v>0</v>
      </c>
      <c r="H168" s="70">
        <f t="shared" si="15"/>
        <v>295.64402399999994</v>
      </c>
      <c r="I168" s="36"/>
      <c r="L168" s="164"/>
      <c r="M168" s="164"/>
      <c r="N168" s="36"/>
      <c r="T168" s="21"/>
    </row>
    <row r="169" spans="1:20" s="71" customFormat="1" ht="15.75" customHeight="1" x14ac:dyDescent="0.35">
      <c r="A169" s="110">
        <f t="shared" si="13"/>
        <v>22</v>
      </c>
      <c r="B169" s="111"/>
      <c r="C169" s="70" t="s">
        <v>311</v>
      </c>
      <c r="D169" s="70">
        <f>(13.22)*10.764</f>
        <v>142.30008000000001</v>
      </c>
      <c r="E169" s="70">
        <v>0</v>
      </c>
      <c r="F169" s="70">
        <f t="shared" si="14"/>
        <v>142.30008000000001</v>
      </c>
      <c r="G169" s="70">
        <v>0</v>
      </c>
      <c r="H169" s="70">
        <f t="shared" si="15"/>
        <v>220.56512400000003</v>
      </c>
      <c r="I169" s="36"/>
      <c r="L169" s="164"/>
      <c r="M169" s="164"/>
      <c r="N169" s="36"/>
      <c r="T169" s="21"/>
    </row>
    <row r="170" spans="1:20" s="71" customFormat="1" ht="15.75" customHeight="1" x14ac:dyDescent="0.35">
      <c r="A170" s="110">
        <f>A169+1</f>
        <v>23</v>
      </c>
      <c r="B170" s="111"/>
      <c r="C170" s="70" t="s">
        <v>311</v>
      </c>
      <c r="D170" s="70">
        <f>(14.6)*10.764</f>
        <v>157.15439999999998</v>
      </c>
      <c r="E170" s="70">
        <v>0</v>
      </c>
      <c r="F170" s="70">
        <f t="shared" si="14"/>
        <v>157.15439999999998</v>
      </c>
      <c r="G170" s="70">
        <v>0</v>
      </c>
      <c r="H170" s="70">
        <f t="shared" si="15"/>
        <v>243.58931999999999</v>
      </c>
      <c r="I170" s="36"/>
      <c r="L170" s="164"/>
      <c r="M170" s="164"/>
      <c r="N170" s="36"/>
      <c r="T170" s="21"/>
    </row>
    <row r="171" spans="1:20" s="71" customFormat="1" ht="15.75" customHeight="1" x14ac:dyDescent="0.35">
      <c r="A171" s="110">
        <f t="shared" ref="A171:A174" si="16">A170+1</f>
        <v>24</v>
      </c>
      <c r="B171" s="111"/>
      <c r="C171" s="70" t="s">
        <v>311</v>
      </c>
      <c r="D171" s="70">
        <f>(14.6)*10.764</f>
        <v>157.15439999999998</v>
      </c>
      <c r="E171" s="70">
        <v>0</v>
      </c>
      <c r="F171" s="70">
        <f>D171+(IF(E171&lt;201,E171,IF(E171&lt;301,E171/2,E171/3)))</f>
        <v>157.15439999999998</v>
      </c>
      <c r="G171" s="64">
        <v>0</v>
      </c>
      <c r="H171" s="70">
        <f>(F171+(IF(G171&lt;101,G171,IF(G171&lt;201,G171/2,IF(G171&lt;=301,G171/3,G171/4)))))*(($H$143)+1)</f>
        <v>243.58931999999999</v>
      </c>
      <c r="I171" s="36">
        <f>2.8*5.1</f>
        <v>14.279999999999998</v>
      </c>
      <c r="L171" s="164"/>
      <c r="M171" s="164"/>
      <c r="N171" s="36"/>
      <c r="T171" s="35"/>
    </row>
    <row r="172" spans="1:20" s="71" customFormat="1" ht="15.75" customHeight="1" x14ac:dyDescent="0.35">
      <c r="A172" s="110">
        <f t="shared" si="16"/>
        <v>25</v>
      </c>
      <c r="B172" s="111"/>
      <c r="C172" s="70" t="s">
        <v>311</v>
      </c>
      <c r="D172" s="70">
        <f>(17.72)*10.764</f>
        <v>190.73807999999997</v>
      </c>
      <c r="E172" s="70">
        <v>0</v>
      </c>
      <c r="F172" s="70">
        <f t="shared" ref="F172:F174" si="17">D172+(IF(E172&lt;201,E172,IF(E172&lt;301,E172/2,E172/3)))</f>
        <v>190.73807999999997</v>
      </c>
      <c r="G172" s="70">
        <v>0</v>
      </c>
      <c r="H172" s="70">
        <f t="shared" ref="H172:H174" si="18">(F172+(IF(G172&lt;101,G172,IF(G172&lt;201,G172/2,IF(G172&lt;=301,G172/3,G172/4)))))*(($H$143)+1)</f>
        <v>295.64402399999994</v>
      </c>
      <c r="I172" s="36"/>
      <c r="L172" s="164"/>
      <c r="M172" s="164"/>
      <c r="N172" s="36"/>
      <c r="T172" s="34"/>
    </row>
    <row r="173" spans="1:20" s="71" customFormat="1" ht="15.75" customHeight="1" x14ac:dyDescent="0.35">
      <c r="A173" s="110">
        <f t="shared" si="16"/>
        <v>26</v>
      </c>
      <c r="B173" s="111"/>
      <c r="C173" s="70" t="s">
        <v>311</v>
      </c>
      <c r="D173" s="70">
        <f>(14.38)*10.764</f>
        <v>154.78631999999999</v>
      </c>
      <c r="E173" s="70">
        <v>0</v>
      </c>
      <c r="F173" s="70">
        <f t="shared" si="17"/>
        <v>154.78631999999999</v>
      </c>
      <c r="G173" s="70">
        <v>0</v>
      </c>
      <c r="H173" s="70">
        <f t="shared" si="18"/>
        <v>239.91879599999999</v>
      </c>
      <c r="I173" s="36">
        <f>2.3*6</f>
        <v>13.799999999999999</v>
      </c>
      <c r="L173" s="164"/>
      <c r="M173" s="164"/>
      <c r="N173" s="36"/>
      <c r="T173" s="21"/>
    </row>
    <row r="174" spans="1:20" s="71" customFormat="1" ht="15.75" customHeight="1" x14ac:dyDescent="0.35">
      <c r="A174" s="110">
        <f t="shared" si="16"/>
        <v>27</v>
      </c>
      <c r="B174" s="111"/>
      <c r="C174" s="70" t="s">
        <v>311</v>
      </c>
      <c r="D174" s="70">
        <f>(17.72)*10.764</f>
        <v>190.73807999999997</v>
      </c>
      <c r="E174" s="70">
        <v>0</v>
      </c>
      <c r="F174" s="70">
        <f t="shared" si="17"/>
        <v>190.73807999999997</v>
      </c>
      <c r="G174" s="70">
        <v>0</v>
      </c>
      <c r="H174" s="70">
        <f t="shared" si="18"/>
        <v>295.64402399999994</v>
      </c>
      <c r="I174" s="36"/>
      <c r="L174" s="164"/>
      <c r="M174" s="164"/>
      <c r="N174" s="36"/>
      <c r="T174" s="21"/>
    </row>
    <row r="175" spans="1:20" s="37" customFormat="1" x14ac:dyDescent="0.35">
      <c r="A175" s="110"/>
      <c r="B175" s="199"/>
      <c r="C175" s="199"/>
      <c r="D175" s="199"/>
      <c r="E175" s="199"/>
      <c r="F175" s="199"/>
      <c r="G175" s="199"/>
      <c r="H175" s="111"/>
      <c r="I175" s="36"/>
      <c r="N175" s="36"/>
    </row>
    <row r="176" spans="1:20" ht="47.25" customHeight="1" x14ac:dyDescent="0.35">
      <c r="A176" s="202" t="s">
        <v>341</v>
      </c>
      <c r="B176" s="120" t="s">
        <v>176</v>
      </c>
      <c r="C176" s="120" t="s">
        <v>55</v>
      </c>
      <c r="D176" s="120" t="s">
        <v>230</v>
      </c>
      <c r="E176" s="120" t="s">
        <v>346</v>
      </c>
      <c r="F176" s="120" t="s">
        <v>56</v>
      </c>
      <c r="G176" s="126" t="s">
        <v>57</v>
      </c>
      <c r="H176" s="78" t="s">
        <v>146</v>
      </c>
      <c r="I176" s="36"/>
      <c r="T176" s="37"/>
    </row>
    <row r="177" spans="1:20" s="37" customFormat="1" x14ac:dyDescent="0.35">
      <c r="A177" s="203"/>
      <c r="B177" s="121"/>
      <c r="C177" s="121"/>
      <c r="D177" s="121"/>
      <c r="E177" s="121"/>
      <c r="F177" s="121"/>
      <c r="G177" s="127"/>
      <c r="H177" s="79">
        <v>0.5</v>
      </c>
      <c r="I177" s="36"/>
    </row>
    <row r="178" spans="1:20" s="71" customFormat="1" x14ac:dyDescent="0.35">
      <c r="A178" s="170" t="s">
        <v>309</v>
      </c>
      <c r="B178" s="171"/>
      <c r="C178" s="171"/>
      <c r="D178" s="171"/>
      <c r="E178" s="171"/>
      <c r="F178" s="171"/>
      <c r="G178" s="171"/>
      <c r="H178" s="172"/>
      <c r="J178" s="36"/>
      <c r="T178" s="35"/>
    </row>
    <row r="179" spans="1:20" s="71" customFormat="1" ht="33.75" customHeight="1" x14ac:dyDescent="0.35">
      <c r="A179" s="170" t="s">
        <v>340</v>
      </c>
      <c r="B179" s="171"/>
      <c r="C179" s="171"/>
      <c r="D179" s="171"/>
      <c r="E179" s="171"/>
      <c r="F179" s="171"/>
      <c r="G179" s="171"/>
      <c r="H179" s="172"/>
      <c r="J179" s="36"/>
      <c r="T179" s="35"/>
    </row>
    <row r="180" spans="1:20" s="71" customFormat="1" ht="15.75" customHeight="1" x14ac:dyDescent="0.35">
      <c r="A180" s="170" t="s">
        <v>348</v>
      </c>
      <c r="B180" s="171"/>
      <c r="C180" s="171"/>
      <c r="D180" s="171"/>
      <c r="E180" s="171"/>
      <c r="F180" s="171"/>
      <c r="G180" s="171"/>
      <c r="H180" s="172"/>
      <c r="J180" s="83">
        <v>10.763999999999999</v>
      </c>
    </row>
    <row r="181" spans="1:20" s="37" customFormat="1" ht="15.75" customHeight="1" x14ac:dyDescent="0.35">
      <c r="A181" s="110">
        <v>1</v>
      </c>
      <c r="B181" s="111"/>
      <c r="C181" s="42" t="s">
        <v>312</v>
      </c>
      <c r="D181" s="70">
        <f>(38.04)*10.764</f>
        <v>409.46255999999994</v>
      </c>
      <c r="E181" s="83">
        <f>(2.9*1.3)*10.764</f>
        <v>40.580279999999995</v>
      </c>
      <c r="F181" s="42">
        <f>D181+E181</f>
        <v>450.04283999999996</v>
      </c>
      <c r="G181" s="56">
        <v>0</v>
      </c>
      <c r="H181" s="56">
        <f>F181*(($H$177)+1)+(IF(G181&lt;101,G181,IF(G181&lt;201,G181/2,IF(G181&lt;=301,G181/3,G181/4))))</f>
        <v>675.06425999999988</v>
      </c>
      <c r="I181" s="36">
        <f>2.9*4.7+2.28*2.6+2.9*3.3+1.2*2.1+1.2*2.25+1.2*1+0.85*1.2</f>
        <v>36.568000000000005</v>
      </c>
      <c r="J181" s="36">
        <f>2.9*1.3</f>
        <v>3.77</v>
      </c>
      <c r="K181" s="37">
        <f>2.9*4.7+2.28*2.6+2.9*3.3+1.2*2.25+1.2*2.1+0.9*2.28</f>
        <v>36.4</v>
      </c>
      <c r="L181" s="164">
        <f>2.9*1.3</f>
        <v>3.77</v>
      </c>
      <c r="M181" s="164"/>
      <c r="N181" s="36"/>
    </row>
    <row r="182" spans="1:20" s="37" customFormat="1" ht="15.75" customHeight="1" x14ac:dyDescent="0.35">
      <c r="A182" s="110">
        <f>A181+1</f>
        <v>2</v>
      </c>
      <c r="B182" s="111"/>
      <c r="C182" s="70" t="s">
        <v>312</v>
      </c>
      <c r="D182" s="70">
        <f>(38.24)*10.764</f>
        <v>411.61536000000001</v>
      </c>
      <c r="E182" s="83">
        <f>(2.9*1.3+0.6*(2.28+2.8))*10.764</f>
        <v>73.388951999999989</v>
      </c>
      <c r="F182" s="56">
        <f>D182+E182</f>
        <v>485.00431200000003</v>
      </c>
      <c r="G182" s="56">
        <v>0</v>
      </c>
      <c r="H182" s="56">
        <f>F182*(($H$177)+1)+(IF(G182&lt;101,G182,IF(G182&lt;201,G182/2,IF(G182&lt;=301,G182/3,G182/4))))</f>
        <v>727.50646800000004</v>
      </c>
      <c r="I182" s="36">
        <f>2.9*4.7+2.28*2.6+2.8*3.75+1.2*2.1+2.1*1.2+2.28*0.9</f>
        <v>37.150000000000006</v>
      </c>
      <c r="J182" s="36">
        <f>2.9*1.3</f>
        <v>3.77</v>
      </c>
      <c r="K182" s="37">
        <f>2.9*4.7+2.28*2.6+2.8*3.75+1.2*2.1+2.1*1.2+0.9*2.28</f>
        <v>37.150000000000006</v>
      </c>
      <c r="L182" s="164">
        <f>2.9*1.3</f>
        <v>3.77</v>
      </c>
      <c r="M182" s="164"/>
      <c r="N182" s="36"/>
    </row>
    <row r="183" spans="1:20" s="37" customFormat="1" ht="15.75" customHeight="1" x14ac:dyDescent="0.35">
      <c r="A183" s="110">
        <f>A182+1</f>
        <v>3</v>
      </c>
      <c r="B183" s="111"/>
      <c r="C183" s="70" t="s">
        <v>312</v>
      </c>
      <c r="D183" s="70">
        <f>(38.24)*10.764</f>
        <v>411.61536000000001</v>
      </c>
      <c r="E183" s="83">
        <f>(2.9*1.3+0.6*(2.28+2.8))*10.764</f>
        <v>73.388951999999989</v>
      </c>
      <c r="F183" s="56">
        <f>D183+E183</f>
        <v>485.00431200000003</v>
      </c>
      <c r="G183" s="70">
        <f>(1.9*1.4)*10.764</f>
        <v>28.632239999999996</v>
      </c>
      <c r="H183" s="56">
        <f>F183*(($H$177)+1)+(IF(G183&lt;101,G183,IF(G183&lt;201,G183/2,IF(G183&lt;=301,G183/3,G183/4))))</f>
        <v>756.13870800000007</v>
      </c>
      <c r="I183" s="36"/>
      <c r="J183" s="36">
        <f>2.9*1</f>
        <v>2.9</v>
      </c>
      <c r="K183" s="37" t="s">
        <v>314</v>
      </c>
      <c r="L183" s="164"/>
      <c r="M183" s="164"/>
      <c r="N183" s="36"/>
    </row>
    <row r="184" spans="1:20" s="37" customFormat="1" ht="15.75" customHeight="1" x14ac:dyDescent="0.35">
      <c r="A184" s="110">
        <f>A183+1</f>
        <v>4</v>
      </c>
      <c r="B184" s="111"/>
      <c r="C184" s="70" t="s">
        <v>313</v>
      </c>
      <c r="D184" s="70">
        <f>(51.94)*10.764</f>
        <v>559.08215999999993</v>
      </c>
      <c r="E184" s="83">
        <f>(2.9*1.3+0.6*(2.3+2.9+3.45))*10.764</f>
        <v>96.445439999999991</v>
      </c>
      <c r="F184" s="56">
        <f>D184+E184</f>
        <v>655.52759999999989</v>
      </c>
      <c r="G184" s="72">
        <v>0</v>
      </c>
      <c r="H184" s="56">
        <f>F184*(($H$177)+1)+(IF(G184&lt;101,G184,IF(G184&lt;201,G184/2,IF(G184&lt;=301,G184/3,G184/4))))</f>
        <v>983.29139999999984</v>
      </c>
      <c r="I184" s="36"/>
      <c r="J184" s="36">
        <f>2.9*1.3</f>
        <v>3.77</v>
      </c>
      <c r="K184" s="71">
        <f>2.9*5.3+2.3*2.6+2.9*3.65+3.45*3+2.25*0.65+1.2*2.1+1.2*2.1+0.9*2.5</f>
        <v>51.037500000000001</v>
      </c>
      <c r="L184" s="164">
        <f>2.9*1.3</f>
        <v>3.77</v>
      </c>
      <c r="M184" s="164"/>
      <c r="N184" s="36"/>
      <c r="T184" s="21"/>
    </row>
    <row r="185" spans="1:20" s="71" customFormat="1" ht="15.75" customHeight="1" x14ac:dyDescent="0.35">
      <c r="A185" s="110">
        <f>A184+1</f>
        <v>5</v>
      </c>
      <c r="B185" s="111"/>
      <c r="C185" s="70" t="s">
        <v>313</v>
      </c>
      <c r="D185" s="70">
        <f>(53.68)*10.764</f>
        <v>577.81151999999997</v>
      </c>
      <c r="E185" s="83">
        <f>(2.9*1.3+0.6*(2.3+2.9+2.75))*10.764</f>
        <v>91.924559999999985</v>
      </c>
      <c r="F185" s="70">
        <f>D185+E185</f>
        <v>669.7360799999999</v>
      </c>
      <c r="G185" s="70">
        <v>0</v>
      </c>
      <c r="H185" s="70">
        <f>F185*(($H$177)+1)+(IF(G185&lt;101,G185,IF(G185&lt;201,G185/2,IF(G185&lt;=301,G185/3,G185/4))))</f>
        <v>1004.6041199999999</v>
      </c>
      <c r="I185" s="36">
        <f>2.9*5.3+2.3*2.6+2.9*3.75+2.75*3.3+2.1*1.2+1.2*2.1+2.3*2.67+1.2*1.2</f>
        <v>53.920999999999999</v>
      </c>
      <c r="J185" s="36">
        <f>2.9*1.3</f>
        <v>3.77</v>
      </c>
      <c r="K185" s="71">
        <f>2.9*5.3+2.3*2.67+2.3*2.6+2.9*3.75+2.75*3.3+2.1*1.2+1.2*2.1+1.2*0.9</f>
        <v>53.561000000000007</v>
      </c>
      <c r="L185" s="164">
        <f>2.9*1.3</f>
        <v>3.77</v>
      </c>
      <c r="M185" s="164"/>
      <c r="N185" s="36"/>
      <c r="T185" s="21"/>
    </row>
    <row r="186" spans="1:20" s="81" customFormat="1" ht="15.75" customHeight="1" x14ac:dyDescent="0.35">
      <c r="A186" s="170" t="s">
        <v>347</v>
      </c>
      <c r="B186" s="171"/>
      <c r="C186" s="171"/>
      <c r="D186" s="171"/>
      <c r="E186" s="171"/>
      <c r="F186" s="171"/>
      <c r="G186" s="171"/>
      <c r="H186" s="172"/>
      <c r="J186" s="83">
        <v>10.763999999999999</v>
      </c>
    </row>
    <row r="187" spans="1:20" s="81" customFormat="1" ht="15.75" customHeight="1" x14ac:dyDescent="0.35">
      <c r="A187" s="110">
        <v>1</v>
      </c>
      <c r="B187" s="111"/>
      <c r="C187" s="82" t="s">
        <v>312</v>
      </c>
      <c r="D187" s="82">
        <f>(38.04)*10.764</f>
        <v>409.46255999999994</v>
      </c>
      <c r="E187" s="83">
        <f>(2.9*1.3)*10.764</f>
        <v>40.580279999999995</v>
      </c>
      <c r="F187" s="82">
        <f>D187+E187</f>
        <v>450.04283999999996</v>
      </c>
      <c r="G187" s="82">
        <v>0</v>
      </c>
      <c r="H187" s="82">
        <f>F187*(($H$177)+1)+(IF(G187&lt;101,G187,IF(G187&lt;201,G187/2,IF(G187&lt;=301,G187/3,G187/4))))</f>
        <v>675.06425999999988</v>
      </c>
      <c r="I187" s="36">
        <f>2.9*4.7+2.28*2.6+2.9*3.3+1.2*2.1+1.2*2.25+1.2*1+0.85*1.2</f>
        <v>36.568000000000005</v>
      </c>
      <c r="J187" s="36">
        <f>2.9*1.3</f>
        <v>3.77</v>
      </c>
      <c r="K187" s="81">
        <f>2.9*4.7+2.28*2.6+2.9*3.3+1.2*2.25+1.2*2.1+0.9*2.28</f>
        <v>36.4</v>
      </c>
      <c r="L187" s="164">
        <f>2.9*1.3</f>
        <v>3.77</v>
      </c>
      <c r="M187" s="164"/>
      <c r="N187" s="36"/>
    </row>
    <row r="188" spans="1:20" s="81" customFormat="1" ht="15.75" customHeight="1" x14ac:dyDescent="0.35">
      <c r="A188" s="110">
        <f>A187+1</f>
        <v>2</v>
      </c>
      <c r="B188" s="111"/>
      <c r="C188" s="82" t="s">
        <v>312</v>
      </c>
      <c r="D188" s="82">
        <f>(38.24)*10.764</f>
        <v>411.61536000000001</v>
      </c>
      <c r="E188" s="83">
        <f>(2.9*1.3+0.6*(2.28+2.8))*10.764</f>
        <v>73.388951999999989</v>
      </c>
      <c r="F188" s="82">
        <f>D188+E188</f>
        <v>485.00431200000003</v>
      </c>
      <c r="G188" s="82">
        <v>0</v>
      </c>
      <c r="H188" s="82">
        <f>F188*(($H$177)+1)+(IF(G188&lt;101,G188,IF(G188&lt;201,G188/2,IF(G188&lt;=301,G188/3,G188/4))))</f>
        <v>727.50646800000004</v>
      </c>
      <c r="I188" s="36">
        <f>2.9*4.7+2.28*2.6+2.8*3.75+1.2*2.1+2.1*1.2+2.28*0.9</f>
        <v>37.150000000000006</v>
      </c>
      <c r="J188" s="36">
        <f>2.9*1.3</f>
        <v>3.77</v>
      </c>
      <c r="K188" s="81">
        <f>2.9*4.7+2.28*2.6+2.8*3.75+1.2*2.1+2.1*1.2+0.9*2.28</f>
        <v>37.150000000000006</v>
      </c>
      <c r="L188" s="164">
        <f>2.9*1.3</f>
        <v>3.77</v>
      </c>
      <c r="M188" s="164"/>
      <c r="N188" s="36"/>
    </row>
    <row r="189" spans="1:20" s="81" customFormat="1" ht="15.75" customHeight="1" x14ac:dyDescent="0.35">
      <c r="A189" s="110">
        <f>A188+1</f>
        <v>3</v>
      </c>
      <c r="B189" s="111"/>
      <c r="C189" s="82" t="s">
        <v>312</v>
      </c>
      <c r="D189" s="82">
        <f>(38.24)*10.764</f>
        <v>411.61536000000001</v>
      </c>
      <c r="E189" s="83">
        <f>(2.9*1.3+0.6*(2.28+2.8))*10.764</f>
        <v>73.388951999999989</v>
      </c>
      <c r="F189" s="82">
        <f>D189+E189</f>
        <v>485.00431200000003</v>
      </c>
      <c r="G189" s="82">
        <v>0</v>
      </c>
      <c r="H189" s="82">
        <f>F189*(($H$177)+1)+(IF(G189&lt;101,G189,IF(G189&lt;201,G189/2,IF(G189&lt;=301,G189/3,G189/4))))</f>
        <v>727.50646800000004</v>
      </c>
      <c r="I189" s="36"/>
      <c r="J189" s="36">
        <f>2.9*1</f>
        <v>2.9</v>
      </c>
      <c r="K189" s="81" t="s">
        <v>314</v>
      </c>
      <c r="L189" s="164"/>
      <c r="M189" s="164"/>
      <c r="N189" s="36"/>
    </row>
    <row r="190" spans="1:20" s="81" customFormat="1" ht="15.75" customHeight="1" x14ac:dyDescent="0.35">
      <c r="A190" s="110">
        <f>A189+1</f>
        <v>4</v>
      </c>
      <c r="B190" s="111"/>
      <c r="C190" s="82" t="s">
        <v>313</v>
      </c>
      <c r="D190" s="82">
        <f>(51.94)*10.764</f>
        <v>559.08215999999993</v>
      </c>
      <c r="E190" s="83">
        <f>(2.9*1.3+0.6*(2.3+2.9+3.45))*10.764</f>
        <v>96.445439999999991</v>
      </c>
      <c r="F190" s="82">
        <f>D190+E190</f>
        <v>655.52759999999989</v>
      </c>
      <c r="G190" s="82">
        <v>0</v>
      </c>
      <c r="H190" s="82">
        <f>F190*(($H$177)+1)+(IF(G190&lt;101,G190,IF(G190&lt;201,G190/2,IF(G190&lt;=301,G190/3,G190/4))))</f>
        <v>983.29139999999984</v>
      </c>
      <c r="I190" s="36"/>
      <c r="J190" s="36">
        <f>2.9*1.3</f>
        <v>3.77</v>
      </c>
      <c r="K190" s="81">
        <f>2.9*5.3+2.3*2.6+2.9*3.65+3.45*3+2.25*0.65+1.2*2.1+1.2*2.1+0.9*2.5</f>
        <v>51.037500000000001</v>
      </c>
      <c r="L190" s="164">
        <f>2.9*1.3</f>
        <v>3.77</v>
      </c>
      <c r="M190" s="164"/>
      <c r="N190" s="36"/>
      <c r="T190" s="21"/>
    </row>
    <row r="191" spans="1:20" s="81" customFormat="1" ht="15.75" customHeight="1" x14ac:dyDescent="0.35">
      <c r="A191" s="110">
        <f>A190+1</f>
        <v>5</v>
      </c>
      <c r="B191" s="111"/>
      <c r="C191" s="82" t="s">
        <v>313</v>
      </c>
      <c r="D191" s="82">
        <f>(53.68)*10.764</f>
        <v>577.81151999999997</v>
      </c>
      <c r="E191" s="83">
        <f>(2.9*1.3+0.6*(2.3+2.9+2.75))*10.764</f>
        <v>91.924559999999985</v>
      </c>
      <c r="F191" s="82">
        <f>D191+E191</f>
        <v>669.7360799999999</v>
      </c>
      <c r="G191" s="82">
        <v>0</v>
      </c>
      <c r="H191" s="82">
        <f>F191*(($H$177)+1)+(IF(G191&lt;101,G191,IF(G191&lt;201,G191/2,IF(G191&lt;=301,G191/3,G191/4))))</f>
        <v>1004.6041199999999</v>
      </c>
      <c r="I191" s="36">
        <f>2.9*5.3+2.3*2.6+2.9*3.75+2.75*3.3+2.1*1.2+1.2*2.1+2.3*2.67+1.2*1.2</f>
        <v>53.920999999999999</v>
      </c>
      <c r="J191" s="36">
        <f>2.9*1.3</f>
        <v>3.77</v>
      </c>
      <c r="K191" s="81">
        <f>2.9*5.3+2.3*2.67+2.3*2.6+2.9*3.75+2.75*3.3+2.1*1.2+1.2*2.1+1.2*0.9</f>
        <v>53.561000000000007</v>
      </c>
      <c r="L191" s="164">
        <f>2.9*1.3</f>
        <v>3.77</v>
      </c>
      <c r="M191" s="164"/>
      <c r="N191" s="36"/>
      <c r="T191" s="21"/>
    </row>
    <row r="192" spans="1:20" s="37" customFormat="1" x14ac:dyDescent="0.35">
      <c r="A192" s="197" t="s">
        <v>315</v>
      </c>
      <c r="B192" s="197"/>
      <c r="C192" s="197"/>
      <c r="D192" s="197"/>
      <c r="E192" s="197"/>
      <c r="F192" s="197"/>
      <c r="G192" s="197"/>
      <c r="H192" s="197"/>
      <c r="I192" s="36"/>
      <c r="L192" s="164"/>
      <c r="M192" s="164"/>
    </row>
    <row r="193" spans="1:20" s="37" customFormat="1" x14ac:dyDescent="0.35">
      <c r="A193" s="112">
        <v>1</v>
      </c>
      <c r="B193" s="112"/>
      <c r="C193" s="70" t="s">
        <v>312</v>
      </c>
      <c r="D193" s="70">
        <f>(38.04)*10.764</f>
        <v>409.46255999999994</v>
      </c>
      <c r="E193" s="83">
        <f t="shared" ref="E193" si="19">(2.9*1.3)*10.764</f>
        <v>40.580279999999995</v>
      </c>
      <c r="F193" s="56">
        <f>D193+E193</f>
        <v>450.04283999999996</v>
      </c>
      <c r="G193" s="56">
        <v>0</v>
      </c>
      <c r="H193" s="56">
        <f>F193*(($H$177)+1)+(IF(G193&lt;101,G193,IF(G193&lt;201,G193/2,IF(G193&lt;=301,G193/3,G193/4))))</f>
        <v>675.06425999999988</v>
      </c>
      <c r="I193" s="36"/>
      <c r="J193" s="36">
        <f>2.9*1.3</f>
        <v>3.77</v>
      </c>
      <c r="N193" s="36"/>
    </row>
    <row r="194" spans="1:20" s="37" customFormat="1" x14ac:dyDescent="0.35">
      <c r="A194" s="112">
        <v>2</v>
      </c>
      <c r="B194" s="112"/>
      <c r="C194" s="70" t="s">
        <v>312</v>
      </c>
      <c r="D194" s="70">
        <f>(38.24)*10.764</f>
        <v>411.61536000000001</v>
      </c>
      <c r="E194" s="83">
        <f>(2.9*1.3+0.6*(2.28+2.8))*10.764</f>
        <v>73.388951999999989</v>
      </c>
      <c r="F194" s="56">
        <f>D194+E194</f>
        <v>485.00431200000003</v>
      </c>
      <c r="G194" s="56">
        <v>0</v>
      </c>
      <c r="H194" s="56">
        <f>F194*(($H$177)+1)+(IF(G194&lt;101,G194,IF(G194&lt;201,G194/2,IF(G194&lt;=301,G194/3,G194/4))))</f>
        <v>727.50646800000004</v>
      </c>
      <c r="I194" s="36">
        <f>2.9*4.7+2.28*2.6+2.8*3.75+2.1*1.2+1.2*2.1+2.28*0.9</f>
        <v>37.150000000000006</v>
      </c>
      <c r="J194" s="36">
        <f>2.9*1.3</f>
        <v>3.77</v>
      </c>
      <c r="N194" s="36"/>
    </row>
    <row r="195" spans="1:20" s="37" customFormat="1" x14ac:dyDescent="0.35">
      <c r="A195" s="112">
        <v>3</v>
      </c>
      <c r="B195" s="112"/>
      <c r="C195" s="110" t="s">
        <v>316</v>
      </c>
      <c r="D195" s="199"/>
      <c r="E195" s="199"/>
      <c r="F195" s="199"/>
      <c r="G195" s="199"/>
      <c r="H195" s="111"/>
      <c r="I195" s="36"/>
      <c r="N195" s="36"/>
    </row>
    <row r="196" spans="1:20" s="37" customFormat="1" x14ac:dyDescent="0.35">
      <c r="A196" s="112">
        <v>4</v>
      </c>
      <c r="B196" s="112"/>
      <c r="C196" s="70" t="s">
        <v>313</v>
      </c>
      <c r="D196" s="70">
        <f>(51.94)*10.764</f>
        <v>559.08215999999993</v>
      </c>
      <c r="E196" s="83">
        <f>(2.9*1.3+0.6*(2.3+2.9+3.45))*10.764</f>
        <v>96.445439999999991</v>
      </c>
      <c r="F196" s="56">
        <f>D196+E196</f>
        <v>655.52759999999989</v>
      </c>
      <c r="G196" s="56">
        <v>0</v>
      </c>
      <c r="H196" s="56">
        <f>F196*(($H$177)+1)+(IF(G196&lt;101,G196,IF(G196&lt;201,G196/2,IF(G196&lt;=301,G196/3,G196/4))))</f>
        <v>983.29139999999984</v>
      </c>
      <c r="I196" s="36">
        <f>2.9*5.3+2.3*2.6+2.9*3.6+3.45*3+1.2*2.1+1.2*2.1+2.3*0.9+2.25*0.6</f>
        <v>50.600000000000009</v>
      </c>
      <c r="J196" s="36">
        <f>2.9*1.3</f>
        <v>3.77</v>
      </c>
      <c r="N196" s="36"/>
    </row>
    <row r="197" spans="1:20" s="37" customFormat="1" x14ac:dyDescent="0.35">
      <c r="A197" s="112">
        <v>5</v>
      </c>
      <c r="B197" s="112"/>
      <c r="C197" s="70" t="s">
        <v>313</v>
      </c>
      <c r="D197" s="70">
        <f>(53.68)*10.764</f>
        <v>577.81151999999997</v>
      </c>
      <c r="E197" s="83">
        <f>(2.9*1.3+0.6*(2.3+2.9+2.75))*10.764</f>
        <v>91.924559999999985</v>
      </c>
      <c r="F197" s="56">
        <f>D197+E197</f>
        <v>669.7360799999999</v>
      </c>
      <c r="G197" s="56">
        <v>0</v>
      </c>
      <c r="H197" s="56">
        <f>F197*(($H$177)+1)+(IF(G197&lt;101,G197,IF(G197&lt;201,G197/2,IF(G197&lt;=301,G197/3,G197/4))))</f>
        <v>1004.6041199999999</v>
      </c>
      <c r="I197" s="36"/>
      <c r="J197" s="36">
        <f>2.9*1.3</f>
        <v>3.77</v>
      </c>
      <c r="N197" s="36"/>
    </row>
    <row r="198" spans="1:20" s="71" customFormat="1" x14ac:dyDescent="0.35">
      <c r="A198" s="170" t="s">
        <v>310</v>
      </c>
      <c r="B198" s="171"/>
      <c r="C198" s="171"/>
      <c r="D198" s="171"/>
      <c r="E198" s="171"/>
      <c r="F198" s="171"/>
      <c r="G198" s="171"/>
      <c r="H198" s="172"/>
      <c r="J198" s="36"/>
      <c r="T198" s="35"/>
    </row>
    <row r="199" spans="1:20" s="71" customFormat="1" x14ac:dyDescent="0.35">
      <c r="A199" s="170" t="s">
        <v>325</v>
      </c>
      <c r="B199" s="171"/>
      <c r="C199" s="171"/>
      <c r="D199" s="171"/>
      <c r="E199" s="171"/>
      <c r="F199" s="171"/>
      <c r="G199" s="171"/>
      <c r="H199" s="172"/>
      <c r="J199" s="36"/>
      <c r="T199" s="35"/>
    </row>
    <row r="200" spans="1:20" s="71" customFormat="1" ht="15.75" customHeight="1" x14ac:dyDescent="0.35">
      <c r="A200" s="170" t="s">
        <v>348</v>
      </c>
      <c r="B200" s="171"/>
      <c r="C200" s="171"/>
      <c r="D200" s="171"/>
      <c r="E200" s="171"/>
      <c r="F200" s="171"/>
      <c r="G200" s="171"/>
      <c r="H200" s="172"/>
      <c r="J200" s="36"/>
      <c r="L200" s="71">
        <v>6200</v>
      </c>
    </row>
    <row r="201" spans="1:20" s="71" customFormat="1" ht="15.75" customHeight="1" x14ac:dyDescent="0.35">
      <c r="A201" s="110">
        <v>1</v>
      </c>
      <c r="B201" s="111"/>
      <c r="C201" s="70" t="s">
        <v>312</v>
      </c>
      <c r="D201" s="70">
        <f>(38.24)*10.764</f>
        <v>411.61536000000001</v>
      </c>
      <c r="E201" s="83">
        <f>(2.9*1.3+0.6*(2.28+2.8))*10.764</f>
        <v>73.388951999999989</v>
      </c>
      <c r="F201" s="70">
        <f t="shared" ref="F201:F210" si="20">D201+E201</f>
        <v>485.00431200000003</v>
      </c>
      <c r="G201" s="70">
        <v>0</v>
      </c>
      <c r="H201" s="70">
        <f t="shared" ref="H201:H210" si="21">F201*(($H$177)+1)+(IF(G201&lt;101,G201,IF(G201&lt;201,G201/2,IF(G201&lt;=301,G201/3,G201/4))))</f>
        <v>727.50646800000004</v>
      </c>
      <c r="I201" s="36">
        <f>2.9*4.7+2.6*2.28+3.75*2.8+1.2*2.1+2.1*1.2+0.9*2.28</f>
        <v>37.150000000000006</v>
      </c>
      <c r="J201" s="36">
        <f>2.9*1.3</f>
        <v>3.77</v>
      </c>
      <c r="K201" s="71">
        <f>4600000/H201</f>
        <v>6322.96783923576</v>
      </c>
      <c r="L201" s="71">
        <f>L$200*H201</f>
        <v>4510540.1016000006</v>
      </c>
    </row>
    <row r="202" spans="1:20" s="71" customFormat="1" ht="15.75" customHeight="1" x14ac:dyDescent="0.35">
      <c r="A202" s="110">
        <v>2</v>
      </c>
      <c r="B202" s="111"/>
      <c r="C202" s="70" t="s">
        <v>313</v>
      </c>
      <c r="D202" s="70">
        <f>(47.84)*10.764</f>
        <v>514.94975999999997</v>
      </c>
      <c r="E202" s="83">
        <f>(2.9*1.3+0.6*(2.28+2.8))*10.764</f>
        <v>73.388951999999989</v>
      </c>
      <c r="F202" s="70">
        <f t="shared" si="20"/>
        <v>588.33871199999999</v>
      </c>
      <c r="G202" s="70">
        <v>0</v>
      </c>
      <c r="H202" s="70">
        <f t="shared" si="21"/>
        <v>882.50806799999998</v>
      </c>
      <c r="I202" s="36"/>
      <c r="J202" s="36">
        <f t="shared" ref="J202:J203" si="22">2.9*1.3</f>
        <v>3.77</v>
      </c>
      <c r="K202" s="71">
        <f>6300000/H202</f>
        <v>7138.7449343975859</v>
      </c>
      <c r="L202" s="77">
        <f t="shared" ref="L202:L209" si="23">L$200*H202</f>
        <v>5471550.0215999996</v>
      </c>
    </row>
    <row r="203" spans="1:20" s="71" customFormat="1" ht="15.75" customHeight="1" x14ac:dyDescent="0.35">
      <c r="A203" s="110">
        <v>3</v>
      </c>
      <c r="B203" s="111"/>
      <c r="C203" s="70" t="s">
        <v>312</v>
      </c>
      <c r="D203" s="70">
        <f>(38.69)*10.764</f>
        <v>416.45915999999994</v>
      </c>
      <c r="E203" s="83">
        <f>(2.9*1.3+0.6*(2.3+2.9))*10.764</f>
        <v>74.163959999999989</v>
      </c>
      <c r="F203" s="70">
        <f t="shared" si="20"/>
        <v>490.62311999999991</v>
      </c>
      <c r="G203" s="70">
        <v>0</v>
      </c>
      <c r="H203" s="70">
        <f t="shared" si="21"/>
        <v>735.93467999999984</v>
      </c>
      <c r="I203" s="36"/>
      <c r="J203" s="36">
        <f t="shared" si="22"/>
        <v>3.77</v>
      </c>
      <c r="K203" s="77">
        <f t="shared" ref="K203:K204" si="24">6300000/H203</f>
        <v>8560.5423568298229</v>
      </c>
      <c r="L203" s="77">
        <f t="shared" si="23"/>
        <v>4562795.0159999989</v>
      </c>
    </row>
    <row r="204" spans="1:20" s="71" customFormat="1" ht="15.75" customHeight="1" x14ac:dyDescent="0.35">
      <c r="A204" s="110">
        <v>4</v>
      </c>
      <c r="B204" s="111"/>
      <c r="C204" s="70" t="s">
        <v>313</v>
      </c>
      <c r="D204" s="70">
        <f>(53.72)*10.764</f>
        <v>578.24207999999999</v>
      </c>
      <c r="E204" s="83">
        <f>(2.9*1.3+0.6*(2.3+2.9+2.8))*10.764</f>
        <v>92.247479999999982</v>
      </c>
      <c r="F204" s="70">
        <f t="shared" si="20"/>
        <v>670.48955999999998</v>
      </c>
      <c r="G204" s="72">
        <v>0</v>
      </c>
      <c r="H204" s="70">
        <f t="shared" si="21"/>
        <v>1005.73434</v>
      </c>
      <c r="I204" s="36">
        <f>2.9*5.3+2.3*2.6+2.9*3.75+2.8*3.75+1.2*2.1+2.1*1.2+0.9*1.2+1.15*3.4</f>
        <v>52.754999999999995</v>
      </c>
      <c r="J204" s="36">
        <f>2.9*1.3</f>
        <v>3.77</v>
      </c>
      <c r="K204" s="77">
        <f t="shared" si="24"/>
        <v>6264.0796375710906</v>
      </c>
      <c r="L204" s="77">
        <f t="shared" si="23"/>
        <v>6235552.9079999998</v>
      </c>
    </row>
    <row r="205" spans="1:20" s="71" customFormat="1" ht="15.75" customHeight="1" x14ac:dyDescent="0.35">
      <c r="A205" s="110">
        <v>5</v>
      </c>
      <c r="B205" s="111"/>
      <c r="C205" s="70" t="s">
        <v>312</v>
      </c>
      <c r="D205" s="70">
        <f>(38.24)*10.764</f>
        <v>411.61536000000001</v>
      </c>
      <c r="E205" s="83">
        <f>(2.9*1.3+0.6*(2.28+2.8))*10.764</f>
        <v>73.388951999999989</v>
      </c>
      <c r="F205" s="70">
        <f t="shared" si="20"/>
        <v>485.00431200000003</v>
      </c>
      <c r="G205" s="72">
        <v>0</v>
      </c>
      <c r="H205" s="70">
        <f t="shared" si="21"/>
        <v>727.50646800000004</v>
      </c>
      <c r="I205" s="36"/>
      <c r="J205" s="36">
        <f t="shared" ref="J205:J208" si="25">2.9*1.3</f>
        <v>3.77</v>
      </c>
      <c r="L205" s="77">
        <f t="shared" si="23"/>
        <v>4510540.1016000006</v>
      </c>
    </row>
    <row r="206" spans="1:20" s="71" customFormat="1" ht="15.75" customHeight="1" x14ac:dyDescent="0.35">
      <c r="A206" s="110">
        <v>6</v>
      </c>
      <c r="B206" s="111"/>
      <c r="C206" s="70" t="s">
        <v>312</v>
      </c>
      <c r="D206" s="70">
        <f>(38.24)*10.764</f>
        <v>411.61536000000001</v>
      </c>
      <c r="E206" s="83">
        <f>(2.9*1.3+0.6*(2.28+2.8))*10.764</f>
        <v>73.388951999999989</v>
      </c>
      <c r="F206" s="70">
        <f t="shared" si="20"/>
        <v>485.00431200000003</v>
      </c>
      <c r="G206" s="72">
        <v>0</v>
      </c>
      <c r="H206" s="70">
        <f t="shared" si="21"/>
        <v>727.50646800000004</v>
      </c>
      <c r="I206" s="36"/>
      <c r="J206" s="36">
        <f t="shared" si="25"/>
        <v>3.77</v>
      </c>
      <c r="L206" s="77">
        <f t="shared" si="23"/>
        <v>4510540.1016000006</v>
      </c>
    </row>
    <row r="207" spans="1:20" s="71" customFormat="1" ht="15.75" customHeight="1" x14ac:dyDescent="0.35">
      <c r="A207" s="110">
        <v>7</v>
      </c>
      <c r="B207" s="111"/>
      <c r="C207" s="70" t="s">
        <v>312</v>
      </c>
      <c r="D207" s="70">
        <f>(38.24)*10.764</f>
        <v>411.61536000000001</v>
      </c>
      <c r="E207" s="83">
        <f>(2.9*1.3+0.6*(2.28+2.8))*10.764</f>
        <v>73.388951999999989</v>
      </c>
      <c r="F207" s="70">
        <f t="shared" si="20"/>
        <v>485.00431200000003</v>
      </c>
      <c r="G207" s="72">
        <v>0</v>
      </c>
      <c r="H207" s="70">
        <f t="shared" si="21"/>
        <v>727.50646800000004</v>
      </c>
      <c r="I207" s="36"/>
      <c r="J207" s="36">
        <f t="shared" si="25"/>
        <v>3.77</v>
      </c>
      <c r="L207" s="77">
        <f t="shared" si="23"/>
        <v>4510540.1016000006</v>
      </c>
    </row>
    <row r="208" spans="1:20" s="71" customFormat="1" ht="15.75" customHeight="1" x14ac:dyDescent="0.35">
      <c r="A208" s="110">
        <v>8</v>
      </c>
      <c r="B208" s="111"/>
      <c r="C208" s="70" t="s">
        <v>312</v>
      </c>
      <c r="D208" s="70">
        <f>(38.24)*10.764</f>
        <v>411.61536000000001</v>
      </c>
      <c r="E208" s="83">
        <f>(2.9*1.3+0.6*(2.28+2.8))*10.764</f>
        <v>73.388951999999989</v>
      </c>
      <c r="F208" s="70">
        <f t="shared" si="20"/>
        <v>485.00431200000003</v>
      </c>
      <c r="G208" s="70">
        <f>(2.35*1.35)*10.764</f>
        <v>34.148789999999998</v>
      </c>
      <c r="H208" s="70">
        <f t="shared" si="21"/>
        <v>761.655258</v>
      </c>
      <c r="I208" s="36"/>
      <c r="J208" s="36">
        <f t="shared" si="25"/>
        <v>3.77</v>
      </c>
      <c r="K208" s="71" t="s">
        <v>314</v>
      </c>
      <c r="L208" s="77">
        <f t="shared" si="23"/>
        <v>4722262.5996000003</v>
      </c>
    </row>
    <row r="209" spans="1:13" s="71" customFormat="1" ht="15.75" customHeight="1" x14ac:dyDescent="0.35">
      <c r="A209" s="110">
        <v>9</v>
      </c>
      <c r="B209" s="111"/>
      <c r="C209" s="70" t="s">
        <v>312</v>
      </c>
      <c r="D209" s="70">
        <f>(38.24)*10.764</f>
        <v>411.61536000000001</v>
      </c>
      <c r="E209" s="83">
        <f>(2.9*1.3+0.6*(2.28+2.8))*10.764</f>
        <v>73.388951999999989</v>
      </c>
      <c r="F209" s="70">
        <f t="shared" si="20"/>
        <v>485.00431200000003</v>
      </c>
      <c r="G209" s="70">
        <v>0</v>
      </c>
      <c r="H209" s="70">
        <f t="shared" si="21"/>
        <v>727.50646800000004</v>
      </c>
      <c r="I209" s="36">
        <f>2.9*4.7+2.28*2.6+2.8*3.75+2.1*1.2+1.2*2.1+0.9*2.28</f>
        <v>37.150000000000006</v>
      </c>
      <c r="J209" s="36">
        <f>2.9*1.3</f>
        <v>3.77</v>
      </c>
      <c r="L209" s="77">
        <f t="shared" si="23"/>
        <v>4510540.1016000006</v>
      </c>
    </row>
    <row r="210" spans="1:13" s="71" customFormat="1" ht="15.75" customHeight="1" x14ac:dyDescent="0.35">
      <c r="A210" s="110">
        <v>10</v>
      </c>
      <c r="B210" s="111"/>
      <c r="C210" s="70" t="s">
        <v>313</v>
      </c>
      <c r="D210" s="70">
        <f>(53.48)*10.764</f>
        <v>575.6587199999999</v>
      </c>
      <c r="E210" s="83">
        <f>(2.9*1.3+0.6*(2.3+2.9))*10.764</f>
        <v>74.163959999999989</v>
      </c>
      <c r="F210" s="70">
        <f t="shared" si="20"/>
        <v>649.82267999999988</v>
      </c>
      <c r="G210" s="70">
        <v>0</v>
      </c>
      <c r="H210" s="70">
        <f t="shared" si="21"/>
        <v>974.73401999999987</v>
      </c>
      <c r="I210" s="36"/>
      <c r="J210" s="36">
        <f>2.9*1.3</f>
        <v>3.77</v>
      </c>
    </row>
    <row r="211" spans="1:13" s="81" customFormat="1" ht="15.75" customHeight="1" x14ac:dyDescent="0.35">
      <c r="A211" s="170" t="s">
        <v>347</v>
      </c>
      <c r="B211" s="171"/>
      <c r="C211" s="171"/>
      <c r="D211" s="171"/>
      <c r="E211" s="171"/>
      <c r="F211" s="171"/>
      <c r="G211" s="171"/>
      <c r="H211" s="172"/>
      <c r="J211" s="36"/>
      <c r="L211" s="81">
        <v>6200</v>
      </c>
    </row>
    <row r="212" spans="1:13" s="81" customFormat="1" ht="15.75" customHeight="1" x14ac:dyDescent="0.35">
      <c r="A212" s="110">
        <v>1</v>
      </c>
      <c r="B212" s="111"/>
      <c r="C212" s="82" t="s">
        <v>312</v>
      </c>
      <c r="D212" s="82">
        <f>(38.24)*10.764</f>
        <v>411.61536000000001</v>
      </c>
      <c r="E212" s="83">
        <f>(2.9*1.3+0.6*(2.28+2.8))*10.764</f>
        <v>73.388951999999989</v>
      </c>
      <c r="F212" s="82">
        <f t="shared" ref="F212:F221" si="26">D212+E212</f>
        <v>485.00431200000003</v>
      </c>
      <c r="G212" s="82">
        <v>0</v>
      </c>
      <c r="H212" s="82">
        <f t="shared" ref="H212:H221" si="27">F212*(($H$177)+1)+(IF(G212&lt;101,G212,IF(G212&lt;201,G212/2,IF(G212&lt;=301,G212/3,G212/4))))</f>
        <v>727.50646800000004</v>
      </c>
      <c r="I212" s="36">
        <f>2.9*4.7+2.6*2.28+3.75*2.8+1.2*2.1+2.1*1.2+0.9*2.28</f>
        <v>37.150000000000006</v>
      </c>
      <c r="J212" s="36">
        <f>2.9*1.3</f>
        <v>3.77</v>
      </c>
      <c r="K212" s="81">
        <f>4600000/H212</f>
        <v>6322.96783923576</v>
      </c>
      <c r="L212" s="81">
        <f>L$200*H212</f>
        <v>4510540.1016000006</v>
      </c>
    </row>
    <row r="213" spans="1:13" s="81" customFormat="1" ht="15.75" customHeight="1" x14ac:dyDescent="0.35">
      <c r="A213" s="110">
        <v>2</v>
      </c>
      <c r="B213" s="111"/>
      <c r="C213" s="82" t="s">
        <v>313</v>
      </c>
      <c r="D213" s="82">
        <f>(47.84)*10.764</f>
        <v>514.94975999999997</v>
      </c>
      <c r="E213" s="83">
        <f>(2.9*1.3+0.6*(2.28+2.8))*10.764</f>
        <v>73.388951999999989</v>
      </c>
      <c r="F213" s="82">
        <f t="shared" si="26"/>
        <v>588.33871199999999</v>
      </c>
      <c r="G213" s="82">
        <v>0</v>
      </c>
      <c r="H213" s="82">
        <f t="shared" si="27"/>
        <v>882.50806799999998</v>
      </c>
      <c r="I213" s="36"/>
      <c r="J213" s="36">
        <f t="shared" ref="J213:J214" si="28">2.9*1.3</f>
        <v>3.77</v>
      </c>
      <c r="K213" s="81">
        <f>6300000/H213</f>
        <v>7138.7449343975859</v>
      </c>
      <c r="L213" s="81">
        <f t="shared" ref="L213:L220" si="29">L$200*H213</f>
        <v>5471550.0215999996</v>
      </c>
    </row>
    <row r="214" spans="1:13" s="81" customFormat="1" ht="15.75" customHeight="1" x14ac:dyDescent="0.35">
      <c r="A214" s="110">
        <v>3</v>
      </c>
      <c r="B214" s="111"/>
      <c r="C214" s="82" t="s">
        <v>312</v>
      </c>
      <c r="D214" s="82">
        <f>(38.69)*10.764</f>
        <v>416.45915999999994</v>
      </c>
      <c r="E214" s="83">
        <f>(2.9*1.3+0.6*(2.3+2.9))*10.764</f>
        <v>74.163959999999989</v>
      </c>
      <c r="F214" s="82">
        <f t="shared" si="26"/>
        <v>490.62311999999991</v>
      </c>
      <c r="G214" s="82">
        <v>0</v>
      </c>
      <c r="H214" s="82">
        <f t="shared" si="27"/>
        <v>735.93467999999984</v>
      </c>
      <c r="I214" s="36"/>
      <c r="J214" s="36">
        <f t="shared" si="28"/>
        <v>3.77</v>
      </c>
      <c r="K214" s="81">
        <f t="shared" ref="K214:K215" si="30">6300000/H214</f>
        <v>8560.5423568298229</v>
      </c>
      <c r="L214" s="81">
        <f t="shared" si="29"/>
        <v>4562795.0159999989</v>
      </c>
    </row>
    <row r="215" spans="1:13" s="81" customFormat="1" ht="15.75" customHeight="1" x14ac:dyDescent="0.35">
      <c r="A215" s="110">
        <v>4</v>
      </c>
      <c r="B215" s="111"/>
      <c r="C215" s="82" t="s">
        <v>313</v>
      </c>
      <c r="D215" s="82">
        <f>(53.72)*10.764</f>
        <v>578.24207999999999</v>
      </c>
      <c r="E215" s="83">
        <f>(2.9*1.3+0.6*(2.3+2.9+2.8))*10.764</f>
        <v>92.247479999999982</v>
      </c>
      <c r="F215" s="82">
        <f t="shared" si="26"/>
        <v>670.48955999999998</v>
      </c>
      <c r="G215" s="82">
        <v>0</v>
      </c>
      <c r="H215" s="82">
        <f t="shared" si="27"/>
        <v>1005.73434</v>
      </c>
      <c r="I215" s="36">
        <f>2.9*5.3+2.3*2.6+2.9*3.75+2.8*3.75+1.2*2.1+2.1*1.2+0.9*1.2+1.15*3.4</f>
        <v>52.754999999999995</v>
      </c>
      <c r="J215" s="36">
        <f>2.9*1.3</f>
        <v>3.77</v>
      </c>
      <c r="K215" s="81">
        <f t="shared" si="30"/>
        <v>6264.0796375710906</v>
      </c>
      <c r="L215" s="81">
        <f t="shared" si="29"/>
        <v>6235552.9079999998</v>
      </c>
    </row>
    <row r="216" spans="1:13" s="81" customFormat="1" ht="15.75" customHeight="1" x14ac:dyDescent="0.35">
      <c r="A216" s="110">
        <v>5</v>
      </c>
      <c r="B216" s="111"/>
      <c r="C216" s="82" t="s">
        <v>312</v>
      </c>
      <c r="D216" s="82">
        <f>(38.24)*10.764</f>
        <v>411.61536000000001</v>
      </c>
      <c r="E216" s="83">
        <f>(2.9*1.3+0.6*(2.28+2.8))*10.764</f>
        <v>73.388951999999989</v>
      </c>
      <c r="F216" s="82">
        <f t="shared" si="26"/>
        <v>485.00431200000003</v>
      </c>
      <c r="G216" s="82">
        <v>0</v>
      </c>
      <c r="H216" s="82">
        <f t="shared" si="27"/>
        <v>727.50646800000004</v>
      </c>
      <c r="I216" s="36"/>
      <c r="J216" s="36">
        <f t="shared" ref="J216:J219" si="31">2.9*1.3</f>
        <v>3.77</v>
      </c>
      <c r="L216" s="81">
        <f t="shared" si="29"/>
        <v>4510540.1016000006</v>
      </c>
    </row>
    <row r="217" spans="1:13" s="81" customFormat="1" ht="15.75" customHeight="1" x14ac:dyDescent="0.35">
      <c r="A217" s="110">
        <v>6</v>
      </c>
      <c r="B217" s="111"/>
      <c r="C217" s="82" t="s">
        <v>312</v>
      </c>
      <c r="D217" s="82">
        <f>(38.24)*10.764</f>
        <v>411.61536000000001</v>
      </c>
      <c r="E217" s="83">
        <f>(2.9*1.3+0.6*(2.28+2.8))*10.764</f>
        <v>73.388951999999989</v>
      </c>
      <c r="F217" s="82">
        <f t="shared" si="26"/>
        <v>485.00431200000003</v>
      </c>
      <c r="G217" s="82">
        <v>0</v>
      </c>
      <c r="H217" s="82">
        <f t="shared" si="27"/>
        <v>727.50646800000004</v>
      </c>
      <c r="I217" s="36"/>
      <c r="J217" s="36">
        <f t="shared" si="31"/>
        <v>3.77</v>
      </c>
      <c r="L217" s="81">
        <f t="shared" si="29"/>
        <v>4510540.1016000006</v>
      </c>
    </row>
    <row r="218" spans="1:13" s="81" customFormat="1" ht="15.75" customHeight="1" x14ac:dyDescent="0.35">
      <c r="A218" s="110">
        <v>7</v>
      </c>
      <c r="B218" s="111"/>
      <c r="C218" s="82" t="s">
        <v>312</v>
      </c>
      <c r="D218" s="82">
        <f>(38.24)*10.764</f>
        <v>411.61536000000001</v>
      </c>
      <c r="E218" s="83">
        <f>(2.9*1.3+0.6*(2.28+2.8))*10.764</f>
        <v>73.388951999999989</v>
      </c>
      <c r="F218" s="82">
        <f t="shared" si="26"/>
        <v>485.00431200000003</v>
      </c>
      <c r="G218" s="82">
        <v>0</v>
      </c>
      <c r="H218" s="82">
        <f t="shared" si="27"/>
        <v>727.50646800000004</v>
      </c>
      <c r="I218" s="36"/>
      <c r="J218" s="36">
        <f t="shared" si="31"/>
        <v>3.77</v>
      </c>
      <c r="L218" s="81">
        <f t="shared" si="29"/>
        <v>4510540.1016000006</v>
      </c>
    </row>
    <row r="219" spans="1:13" s="81" customFormat="1" ht="15.75" customHeight="1" x14ac:dyDescent="0.35">
      <c r="A219" s="110">
        <v>8</v>
      </c>
      <c r="B219" s="111"/>
      <c r="C219" s="82" t="s">
        <v>312</v>
      </c>
      <c r="D219" s="82">
        <f>(38.24)*10.764</f>
        <v>411.61536000000001</v>
      </c>
      <c r="E219" s="83">
        <f>(2.9*1.3+0.6*(2.28+2.8))*10.764</f>
        <v>73.388951999999989</v>
      </c>
      <c r="F219" s="82">
        <f t="shared" si="26"/>
        <v>485.00431200000003</v>
      </c>
      <c r="G219" s="82">
        <v>0</v>
      </c>
      <c r="H219" s="82">
        <f t="shared" si="27"/>
        <v>727.50646800000004</v>
      </c>
      <c r="I219" s="36"/>
      <c r="J219" s="36">
        <f t="shared" si="31"/>
        <v>3.77</v>
      </c>
      <c r="K219" s="81" t="s">
        <v>314</v>
      </c>
      <c r="L219" s="81">
        <f t="shared" si="29"/>
        <v>4510540.1016000006</v>
      </c>
    </row>
    <row r="220" spans="1:13" s="81" customFormat="1" ht="15.75" customHeight="1" x14ac:dyDescent="0.35">
      <c r="A220" s="110">
        <v>9</v>
      </c>
      <c r="B220" s="111"/>
      <c r="C220" s="82" t="s">
        <v>312</v>
      </c>
      <c r="D220" s="82">
        <f>(38.24)*10.764</f>
        <v>411.61536000000001</v>
      </c>
      <c r="E220" s="83">
        <f>(2.9*1.3+0.6*(2.28+2.8))*10.764</f>
        <v>73.388951999999989</v>
      </c>
      <c r="F220" s="82">
        <f t="shared" si="26"/>
        <v>485.00431200000003</v>
      </c>
      <c r="G220" s="82">
        <v>0</v>
      </c>
      <c r="H220" s="82">
        <f t="shared" si="27"/>
        <v>727.50646800000004</v>
      </c>
      <c r="I220" s="36">
        <f>2.9*4.7+2.28*2.6+2.8*3.75+2.1*1.2+1.2*2.1+0.9*2.28</f>
        <v>37.150000000000006</v>
      </c>
      <c r="J220" s="36">
        <f>2.9*1.3</f>
        <v>3.77</v>
      </c>
      <c r="L220" s="81">
        <f t="shared" si="29"/>
        <v>4510540.1016000006</v>
      </c>
    </row>
    <row r="221" spans="1:13" s="81" customFormat="1" ht="15.75" customHeight="1" x14ac:dyDescent="0.35">
      <c r="A221" s="110">
        <v>10</v>
      </c>
      <c r="B221" s="111"/>
      <c r="C221" s="82" t="s">
        <v>313</v>
      </c>
      <c r="D221" s="82">
        <f>(53.48)*10.764</f>
        <v>575.6587199999999</v>
      </c>
      <c r="E221" s="83">
        <f>(2.9*1.3+0.6*(2.3+2.9))*10.764</f>
        <v>74.163959999999989</v>
      </c>
      <c r="F221" s="82">
        <f t="shared" si="26"/>
        <v>649.82267999999988</v>
      </c>
      <c r="G221" s="82">
        <v>0</v>
      </c>
      <c r="H221" s="82">
        <f t="shared" si="27"/>
        <v>974.73401999999987</v>
      </c>
      <c r="I221" s="36"/>
      <c r="J221" s="36">
        <f>2.9*1.3</f>
        <v>3.77</v>
      </c>
    </row>
    <row r="222" spans="1:13" s="71" customFormat="1" x14ac:dyDescent="0.35">
      <c r="A222" s="230" t="s">
        <v>315</v>
      </c>
      <c r="B222" s="230"/>
      <c r="C222" s="230"/>
      <c r="D222" s="230"/>
      <c r="E222" s="230"/>
      <c r="F222" s="230"/>
      <c r="G222" s="230"/>
      <c r="H222" s="230"/>
      <c r="I222" s="36"/>
      <c r="L222" s="164"/>
      <c r="M222" s="164"/>
    </row>
    <row r="223" spans="1:13" s="71" customFormat="1" ht="15.75" customHeight="1" x14ac:dyDescent="0.35">
      <c r="A223" s="110">
        <v>1</v>
      </c>
      <c r="B223" s="111"/>
      <c r="C223" s="70" t="s">
        <v>312</v>
      </c>
      <c r="D223" s="70">
        <f>(38.24)*10.764</f>
        <v>411.61536000000001</v>
      </c>
      <c r="E223" s="83">
        <f>(2.9*1.3+0.6*(2.28+2.8))*10.764</f>
        <v>73.388951999999989</v>
      </c>
      <c r="F223" s="70">
        <f>D223+E223</f>
        <v>485.00431200000003</v>
      </c>
      <c r="G223" s="70">
        <v>0</v>
      </c>
      <c r="H223" s="70">
        <f>F223*(($H$177)+1)+(IF(G223&lt;101,G223,IF(G223&lt;201,G223/2,IF(G223&lt;=301,G223/3,G223/4))))</f>
        <v>727.50646800000004</v>
      </c>
      <c r="I223" s="36">
        <f>4.7*2.9+2.6*2.28+3.75*2.8+1.2*2.1+2.1*1.2+0.9*2.28</f>
        <v>37.150000000000006</v>
      </c>
      <c r="J223" s="36">
        <f>2.9*1.3</f>
        <v>3.77</v>
      </c>
    </row>
    <row r="224" spans="1:13" s="71" customFormat="1" ht="15.75" customHeight="1" x14ac:dyDescent="0.35">
      <c r="A224" s="110">
        <v>2</v>
      </c>
      <c r="B224" s="111"/>
      <c r="C224" s="70" t="s">
        <v>312</v>
      </c>
      <c r="D224" s="70">
        <f>(47.54)*10.764</f>
        <v>511.72055999999998</v>
      </c>
      <c r="E224" s="83">
        <f>(2.9*1.3+0.6*(2.28+2.8))*10.764</f>
        <v>73.388951999999989</v>
      </c>
      <c r="F224" s="70">
        <f>D224+E224</f>
        <v>585.109512</v>
      </c>
      <c r="G224" s="70">
        <v>0</v>
      </c>
      <c r="H224" s="70">
        <f>F224*(($H$177)+1)+(IF(G224&lt;101,G224,IF(G224&lt;201,G224/2,IF(G224&lt;=301,G224/3,G224/4))))</f>
        <v>877.66426799999999</v>
      </c>
      <c r="I224" s="36"/>
      <c r="J224" s="36">
        <f t="shared" ref="J224:J232" si="32">2.9*1.3</f>
        <v>3.77</v>
      </c>
    </row>
    <row r="225" spans="1:10" s="71" customFormat="1" ht="15.75" customHeight="1" x14ac:dyDescent="0.35">
      <c r="A225" s="110">
        <v>3</v>
      </c>
      <c r="B225" s="111"/>
      <c r="C225" s="70" t="s">
        <v>312</v>
      </c>
      <c r="D225" s="70">
        <f>(38.69)*10.764</f>
        <v>416.45915999999994</v>
      </c>
      <c r="E225" s="83">
        <f>(2.9*1.3+0.6*(2.3+2.9))*10.764</f>
        <v>74.163959999999989</v>
      </c>
      <c r="F225" s="70">
        <f>D225+E225</f>
        <v>490.62311999999991</v>
      </c>
      <c r="G225" s="70">
        <v>0</v>
      </c>
      <c r="H225" s="70">
        <f>F225*(($H$177)+1)+(IF(G225&lt;101,G225,IF(G225&lt;201,G225/2,IF(G225&lt;=301,G225/3,G225/4))))</f>
        <v>735.93467999999984</v>
      </c>
      <c r="I225" s="36"/>
      <c r="J225" s="36">
        <f t="shared" si="32"/>
        <v>3.77</v>
      </c>
    </row>
    <row r="226" spans="1:10" s="71" customFormat="1" ht="15.75" customHeight="1" x14ac:dyDescent="0.35">
      <c r="A226" s="110">
        <v>4</v>
      </c>
      <c r="B226" s="111"/>
      <c r="C226" s="70" t="s">
        <v>313</v>
      </c>
      <c r="D226" s="70">
        <f>(53.72)*10.764</f>
        <v>578.24207999999999</v>
      </c>
      <c r="E226" s="83">
        <f>(2.9*1.3+0.6*(2.3+2.9+2.8))*10.764</f>
        <v>92.247479999999982</v>
      </c>
      <c r="F226" s="70">
        <f>D226+E226</f>
        <v>670.48955999999998</v>
      </c>
      <c r="G226" s="70">
        <v>0</v>
      </c>
      <c r="H226" s="70">
        <f>F226*(($H$177)+1)+(IF(G226&lt;101,G226,IF(G226&lt;201,G226/2,IF(G226&lt;=301,G226/3,G226/4))))</f>
        <v>1005.73434</v>
      </c>
      <c r="I226" s="36"/>
      <c r="J226" s="36">
        <f t="shared" si="32"/>
        <v>3.77</v>
      </c>
    </row>
    <row r="227" spans="1:10" s="71" customFormat="1" ht="15.75" customHeight="1" x14ac:dyDescent="0.35">
      <c r="A227" s="110">
        <v>5</v>
      </c>
      <c r="B227" s="111"/>
      <c r="C227" s="70" t="s">
        <v>312</v>
      </c>
      <c r="D227" s="70">
        <f>(38.24)*10.764</f>
        <v>411.61536000000001</v>
      </c>
      <c r="E227" s="83">
        <f>(2.9*1.3+0.6*(2.28+2.8))*10.764</f>
        <v>73.388951999999989</v>
      </c>
      <c r="F227" s="70">
        <f>D227+E227</f>
        <v>485.00431200000003</v>
      </c>
      <c r="G227" s="70">
        <v>0</v>
      </c>
      <c r="H227" s="70">
        <f>F227*(($H$177)+1)+(IF(G227&lt;101,G227,IF(G227&lt;201,G227/2,IF(G227&lt;=301,G227/3,G227/4))))</f>
        <v>727.50646800000004</v>
      </c>
      <c r="I227" s="36"/>
      <c r="J227" s="36">
        <f t="shared" si="32"/>
        <v>3.77</v>
      </c>
    </row>
    <row r="228" spans="1:10" s="71" customFormat="1" ht="15.75" customHeight="1" x14ac:dyDescent="0.35">
      <c r="A228" s="110">
        <v>6</v>
      </c>
      <c r="B228" s="111"/>
      <c r="C228" s="110" t="s">
        <v>316</v>
      </c>
      <c r="D228" s="199"/>
      <c r="E228" s="199"/>
      <c r="F228" s="199"/>
      <c r="G228" s="199"/>
      <c r="H228" s="111"/>
      <c r="I228" s="36"/>
    </row>
    <row r="229" spans="1:10" s="71" customFormat="1" ht="15.75" customHeight="1" x14ac:dyDescent="0.35">
      <c r="A229" s="110">
        <v>7</v>
      </c>
      <c r="B229" s="111"/>
      <c r="C229" s="70" t="s">
        <v>313</v>
      </c>
      <c r="D229" s="70">
        <f>(51.74)*10.764</f>
        <v>556.92935999999997</v>
      </c>
      <c r="E229" s="83">
        <f>(2.9*1.3+0.6*(2.28+2.8+2.8))*10.764</f>
        <v>91.472471999999982</v>
      </c>
      <c r="F229" s="70">
        <f>D229+E229</f>
        <v>648.40183200000001</v>
      </c>
      <c r="G229" s="70">
        <v>0</v>
      </c>
      <c r="H229" s="70">
        <f>F229*(($H$177)+1)+(IF(G229&lt;101,G229,IF(G229&lt;201,G229/2,IF(G229&lt;=301,G229/3,G229/4))))</f>
        <v>972.60274800000002</v>
      </c>
      <c r="I229" s="36">
        <f>2.9*4.7+2.28*2.6+2.8*2.6+2.8*3.75+2.1*1.2+2.1*1.2+3*0.9+1.3*0.9+1.35*3.25</f>
        <v>50.635500000000015</v>
      </c>
      <c r="J229" s="36">
        <f t="shared" si="32"/>
        <v>3.77</v>
      </c>
    </row>
    <row r="230" spans="1:10" s="71" customFormat="1" ht="15.75" customHeight="1" x14ac:dyDescent="0.35">
      <c r="A230" s="110">
        <v>8</v>
      </c>
      <c r="B230" s="111"/>
      <c r="C230" s="70" t="s">
        <v>313</v>
      </c>
      <c r="D230" s="70">
        <f>(51.74)*10.764</f>
        <v>556.92935999999997</v>
      </c>
      <c r="E230" s="83">
        <f>(2.9*1.3+0.6*(2.28+2.8))*10.764</f>
        <v>73.388951999999989</v>
      </c>
      <c r="F230" s="70">
        <f>D230+E230</f>
        <v>630.31831199999999</v>
      </c>
      <c r="G230" s="70">
        <v>0</v>
      </c>
      <c r="H230" s="70">
        <f>F230*(($H$177)+1)+(IF(G230&lt;101,G230,IF(G230&lt;201,G230/2,IF(G230&lt;=301,G230/3,G230/4))))</f>
        <v>945.47746800000004</v>
      </c>
      <c r="I230" s="36"/>
      <c r="J230" s="36">
        <f t="shared" si="32"/>
        <v>3.77</v>
      </c>
    </row>
    <row r="231" spans="1:10" s="71" customFormat="1" ht="15.75" customHeight="1" x14ac:dyDescent="0.35">
      <c r="A231" s="110">
        <v>9</v>
      </c>
      <c r="B231" s="111"/>
      <c r="C231" s="70" t="s">
        <v>312</v>
      </c>
      <c r="D231" s="70">
        <f>(38.24)*10.764</f>
        <v>411.61536000000001</v>
      </c>
      <c r="E231" s="83">
        <f>(2.9*1.3+0.6*(2.28+2.8))*10.764</f>
        <v>73.388951999999989</v>
      </c>
      <c r="F231" s="70">
        <f>D231+E231</f>
        <v>485.00431200000003</v>
      </c>
      <c r="G231" s="70">
        <v>0</v>
      </c>
      <c r="H231" s="70">
        <f>F231*(($H$177)+1)+(IF(G231&lt;101,G231,IF(G231&lt;201,G231/2,IF(G231&lt;=301,G231/3,G231/4))))</f>
        <v>727.50646800000004</v>
      </c>
      <c r="I231" s="36">
        <f>2.9*4.7+2.28*2.6+2.8*3.75+2.1*1.2+1.2*2.1+2.28*0.9</f>
        <v>37.150000000000006</v>
      </c>
      <c r="J231" s="36">
        <f t="shared" si="32"/>
        <v>3.77</v>
      </c>
    </row>
    <row r="232" spans="1:10" s="71" customFormat="1" ht="15.75" customHeight="1" x14ac:dyDescent="0.35">
      <c r="A232" s="110">
        <v>10</v>
      </c>
      <c r="B232" s="111"/>
      <c r="C232" s="70" t="s">
        <v>313</v>
      </c>
      <c r="D232" s="70">
        <f>(53.48)*10.764</f>
        <v>575.6587199999999</v>
      </c>
      <c r="E232" s="83">
        <f>(2.9*1.3+0.6*(2.3+2.9))*10.764</f>
        <v>74.163959999999989</v>
      </c>
      <c r="F232" s="70">
        <f>D232+E232</f>
        <v>649.82267999999988</v>
      </c>
      <c r="G232" s="70">
        <v>0</v>
      </c>
      <c r="H232" s="70">
        <f>F232*(($H$177)+1)+(IF(G232&lt;101,G232,IF(G232&lt;201,G232/2,IF(G232&lt;=301,G232/3,G232/4))))</f>
        <v>974.73401999999987</v>
      </c>
      <c r="I232" s="36"/>
      <c r="J232" s="36">
        <f t="shared" si="32"/>
        <v>3.77</v>
      </c>
    </row>
    <row r="233" spans="1:10" s="37" customFormat="1" ht="15.75" hidden="1" customHeight="1" x14ac:dyDescent="0.35">
      <c r="A233" s="170" t="s">
        <v>147</v>
      </c>
      <c r="B233" s="171"/>
      <c r="C233" s="171"/>
      <c r="D233" s="171"/>
      <c r="E233" s="171"/>
      <c r="F233" s="171"/>
      <c r="G233" s="171"/>
      <c r="H233" s="172"/>
      <c r="I233" s="36"/>
    </row>
    <row r="234" spans="1:10" s="37" customFormat="1" ht="15.75" hidden="1" customHeight="1" x14ac:dyDescent="0.35">
      <c r="A234" s="110" t="str">
        <f ca="1">(SUMPRODUCT(MID(0&amp;(LEFT(A233,SUM(LEN(A233)-LEN(SUBSTITUTE(A233,{"0","1","2"},""))))), LARGE(INDEX(ISNUMBER(--MID((LEFT(A233,SUM(LEN(A233)-LEN(SUBSTITUTE(A233,{"0","1","2"},""))))), ROW(INDIRECT("1:"&amp;LEN((LEFT(A233,SUM(LEN(A233)-LEN(SUBSTITUTE(A233,{"0","1","2"},"")))))))), 1)) * ROW(INDIRECT("1:"&amp;LEN((LEFT(A233,SUM(LEN(A233)-LEN(SUBSTITUTE(A233,{"0","1","2"},"")))))))), 0), ROW(INDIRECT("1:"&amp;LEN((LEFT(A233,SUM(LEN(A233)-LEN(SUBSTITUTE(A233,{"0","1","2"},"")))))))))+1, 1) * 10^ROW(INDIRECT("1:"&amp;LEN((LEFT(A233,SUM(LEN(A233)-LEN(SUBSTITUTE(A233,{"0","1","2"},""))))))))/10))*100+1&amp;""&amp;" ,.., "&amp;""&amp;(SUMPRODUCT(MID(0&amp;(--TRIM(RIGHT(SUBSTITUTE(LEFT(A233,_xlfn.AGGREGATE(16,6,FIND({0,1,2,3,4,5,6,7,8,9},A233,ROW(INDIRECT("1:"&amp;LEN(A233)))),1))," ",REPT(" ",LEN(A233))),LEN(A233)))), LARGE(INDEX(ISNUMBER(--MID((--TRIM(RIGHT(SUBSTITUTE(LEFT(A233,_xlfn.AGGREGATE(16,6,FIND({0,1,2,3,4,5,6,7,8,9},A233,ROW(INDIRECT("1:"&amp;LEN(A233)))),1))," ",REPT(" ",LEN(A233))),LEN(A233)))), ROW(INDIRECT("1:"&amp;LEN((--TRIM(RIGHT(SUBSTITUTE(LEFT(A233,_xlfn.AGGREGATE(16,6,FIND({0,1,2,3,4,5,6,7,8,9},A233,ROW(INDIRECT("1:"&amp;LEN(A233)))),1))," ",REPT(" ",LEN(A233))),LEN(A233))))))), 1)) * ROW(INDIRECT("1:"&amp;LEN((--TRIM(RIGHT(SUBSTITUTE(LEFT(A233,_xlfn.AGGREGATE(16,6,FIND({0,1,2,3,4,5,6,7,8,9},A233,ROW(INDIRECT("1:"&amp;LEN(A233)))),1))," ",REPT(" ",LEN(A233))),LEN(A233))))))), 0), ROW(INDIRECT("1:"&amp;LEN((--TRIM(RIGHT(SUBSTITUTE(LEFT(A233,_xlfn.AGGREGATE(16,6,FIND({0,1,2,3,4,5,6,7,8,9},A233,ROW(INDIRECT("1:"&amp;LEN(A233)))),1))," ",REPT(" ",LEN(A233))),LEN(A233))))))))+1, 1) * 10^ROW(INDIRECT("1:"&amp;LEN((--TRIM(RIGHT(SUBSTITUTE(LEFT(A233,_xlfn.AGGREGATE(16,6,FIND({0,1,2,3,4,5,6,7,8,9},A233,ROW(INDIRECT("1:"&amp;LEN(A233)))),1))," ",REPT(" ",LEN(A233))),LEN(A233)))))))/10))*100+1</f>
        <v>301 ,.., 1501</v>
      </c>
      <c r="B234" s="111"/>
      <c r="C234" s="42"/>
      <c r="D234" s="42"/>
      <c r="E234" s="56">
        <v>0</v>
      </c>
      <c r="F234" s="56">
        <f>D234+E234</f>
        <v>0</v>
      </c>
      <c r="G234" s="56">
        <v>0</v>
      </c>
      <c r="H234" s="56">
        <f>F234*(($H$177)+1)+(IF(G234&lt;101,G234,IF(G234&lt;201,G234/2,IF(G234&lt;=301,G234/3,G234/4))))</f>
        <v>0</v>
      </c>
      <c r="I234" s="36"/>
    </row>
    <row r="235" spans="1:10" s="37" customFormat="1" ht="15.75" hidden="1" customHeight="1" x14ac:dyDescent="0.35">
      <c r="A235" s="110" t="str">
        <f ca="1">(SUMPRODUCT(MID(0&amp;(LEFT(A234,SUM(LEN(A234)-LEN(SUBSTITUTE(A234,{"0","1","2"},""))))), LARGE(INDEX(ISNUMBER(--MID((LEFT(A234,SUM(LEN(A234)-LEN(SUBSTITUTE(A234,{"0","1","2"},""))))), ROW(INDIRECT("1:"&amp;LEN((LEFT(A234,SUM(LEN(A234)-LEN(SUBSTITUTE(A234,{"0","1","2"},"")))))))), 1)) * ROW(INDIRECT("1:"&amp;LEN((LEFT(A234,SUM(LEN(A234)-LEN(SUBSTITUTE(A234,{"0","1","2"},"")))))))), 0), ROW(INDIRECT("1:"&amp;LEN((LEFT(A234,SUM(LEN(A234)-LEN(SUBSTITUTE(A234,{"0","1","2"},"")))))))))+1, 1) * 10^ROW(INDIRECT("1:"&amp;LEN((LEFT(A234,SUM(LEN(A234)-LEN(SUBSTITUTE(A234,{"0","1","2"},""))))))))/10))*1+1&amp;""&amp;" ,.., "&amp;""&amp;(SUMPRODUCT(MID(0&amp;(--TRIM(RIGHT(SUBSTITUTE(LEFT(A234,_xlfn.AGGREGATE(16,6,FIND({0,1,2,3,4,5,6,7,8,9},A234,ROW(INDIRECT("1:"&amp;LEN(A234)))),1))," ",REPT(" ",LEN(A234))),LEN(A234)))), LARGE(INDEX(ISNUMBER(--MID((--TRIM(RIGHT(SUBSTITUTE(LEFT(A234,_xlfn.AGGREGATE(16,6,FIND({0,1,2,3,4,5,6,7,8,9},A234,ROW(INDIRECT("1:"&amp;LEN(A234)))),1))," ",REPT(" ",LEN(A234))),LEN(A234)))), ROW(INDIRECT("1:"&amp;LEN((--TRIM(RIGHT(SUBSTITUTE(LEFT(A234,_xlfn.AGGREGATE(16,6,FIND({0,1,2,3,4,5,6,7,8,9},A234,ROW(INDIRECT("1:"&amp;LEN(A234)))),1))," ",REPT(" ",LEN(A234))),LEN(A234))))))), 1)) * ROW(INDIRECT("1:"&amp;LEN((--TRIM(RIGHT(SUBSTITUTE(LEFT(A234,_xlfn.AGGREGATE(16,6,FIND({0,1,2,3,4,5,6,7,8,9},A234,ROW(INDIRECT("1:"&amp;LEN(A234)))),1))," ",REPT(" ",LEN(A234))),LEN(A234))))))), 0), ROW(INDIRECT("1:"&amp;LEN((--TRIM(RIGHT(SUBSTITUTE(LEFT(A234,_xlfn.AGGREGATE(16,6,FIND({0,1,2,3,4,5,6,7,8,9},A234,ROW(INDIRECT("1:"&amp;LEN(A234)))),1))," ",REPT(" ",LEN(A234))),LEN(A234))))))))+1, 1) * 10^ROW(INDIRECT("1:"&amp;LEN((--TRIM(RIGHT(SUBSTITUTE(LEFT(A234,_xlfn.AGGREGATE(16,6,FIND({0,1,2,3,4,5,6,7,8,9},A234,ROW(INDIRECT("1:"&amp;LEN(A234)))),1))," ",REPT(" ",LEN(A234))),LEN(A234)))))))/10))*1+1</f>
        <v>302 ,.., 1502</v>
      </c>
      <c r="B235" s="111"/>
      <c r="C235" s="42"/>
      <c r="D235" s="42"/>
      <c r="E235" s="56">
        <v>0</v>
      </c>
      <c r="F235" s="56">
        <f>D235+E235</f>
        <v>0</v>
      </c>
      <c r="G235" s="56">
        <v>0</v>
      </c>
      <c r="H235" s="56">
        <f>F235*(($H$177)+1)+(IF(G235&lt;101,G235,IF(G235&lt;201,G235/2,IF(G235&lt;=301,G235/3,G235/4))))</f>
        <v>0</v>
      </c>
      <c r="I235" s="36"/>
    </row>
    <row r="236" spans="1:10" s="37" customFormat="1" ht="15.75" hidden="1" customHeight="1" x14ac:dyDescent="0.35">
      <c r="A236" s="110" t="str">
        <f ca="1">(SUMPRODUCT(MID(0&amp;(LEFT(A235,SUM(LEN(A235)-LEN(SUBSTITUTE(A235,{"0","1","2"},""))))), LARGE(INDEX(ISNUMBER(--MID((LEFT(A235,SUM(LEN(A235)-LEN(SUBSTITUTE(A235,{"0","1","2"},""))))), ROW(INDIRECT("1:"&amp;LEN((LEFT(A235,SUM(LEN(A235)-LEN(SUBSTITUTE(A235,{"0","1","2"},"")))))))), 1)) * ROW(INDIRECT("1:"&amp;LEN((LEFT(A235,SUM(LEN(A235)-LEN(SUBSTITUTE(A235,{"0","1","2"},"")))))))), 0), ROW(INDIRECT("1:"&amp;LEN((LEFT(A235,SUM(LEN(A235)-LEN(SUBSTITUTE(A235,{"0","1","2"},"")))))))))+1, 1) * 10^ROW(INDIRECT("1:"&amp;LEN((LEFT(A235,SUM(LEN(A235)-LEN(SUBSTITUTE(A235,{"0","1","2"},""))))))))/10))*1+1&amp;""&amp;" ,.., "&amp;""&amp;(SUMPRODUCT(MID(0&amp;(--TRIM(RIGHT(SUBSTITUTE(LEFT(A235,_xlfn.AGGREGATE(16,6,FIND({0,1,2,3,4,5,6,7,8,9},A235,ROW(INDIRECT("1:"&amp;LEN(A235)))),1))," ",REPT(" ",LEN(A235))),LEN(A235)))), LARGE(INDEX(ISNUMBER(--MID((--TRIM(RIGHT(SUBSTITUTE(LEFT(A235,_xlfn.AGGREGATE(16,6,FIND({0,1,2,3,4,5,6,7,8,9},A235,ROW(INDIRECT("1:"&amp;LEN(A235)))),1))," ",REPT(" ",LEN(A235))),LEN(A235)))), ROW(INDIRECT("1:"&amp;LEN((--TRIM(RIGHT(SUBSTITUTE(LEFT(A235,_xlfn.AGGREGATE(16,6,FIND({0,1,2,3,4,5,6,7,8,9},A235,ROW(INDIRECT("1:"&amp;LEN(A235)))),1))," ",REPT(" ",LEN(A235))),LEN(A235))))))), 1)) * ROW(INDIRECT("1:"&amp;LEN((--TRIM(RIGHT(SUBSTITUTE(LEFT(A235,_xlfn.AGGREGATE(16,6,FIND({0,1,2,3,4,5,6,7,8,9},A235,ROW(INDIRECT("1:"&amp;LEN(A235)))),1))," ",REPT(" ",LEN(A235))),LEN(A235))))))), 0), ROW(INDIRECT("1:"&amp;LEN((--TRIM(RIGHT(SUBSTITUTE(LEFT(A235,_xlfn.AGGREGATE(16,6,FIND({0,1,2,3,4,5,6,7,8,9},A235,ROW(INDIRECT("1:"&amp;LEN(A235)))),1))," ",REPT(" ",LEN(A235))),LEN(A235))))))))+1, 1) * 10^ROW(INDIRECT("1:"&amp;LEN((--TRIM(RIGHT(SUBSTITUTE(LEFT(A235,_xlfn.AGGREGATE(16,6,FIND({0,1,2,3,4,5,6,7,8,9},A235,ROW(INDIRECT("1:"&amp;LEN(A235)))),1))," ",REPT(" ",LEN(A235))),LEN(A235)))))))/10))*1+1</f>
        <v>303 ,.., 1503</v>
      </c>
      <c r="B236" s="111"/>
      <c r="C236" s="42"/>
      <c r="D236" s="42"/>
      <c r="E236" s="56">
        <v>0</v>
      </c>
      <c r="F236" s="56">
        <f>D236+E236</f>
        <v>0</v>
      </c>
      <c r="G236" s="56">
        <v>0</v>
      </c>
      <c r="H236" s="56">
        <f>F236*(($H$177)+1)+(IF(G236&lt;101,G236,IF(G236&lt;201,G236/2,IF(G236&lt;=301,G236/3,G236/4))))</f>
        <v>0</v>
      </c>
      <c r="I236" s="36"/>
    </row>
    <row r="237" spans="1:10" s="37" customFormat="1" ht="15.75" hidden="1" customHeight="1" x14ac:dyDescent="0.35">
      <c r="A237" s="110" t="str">
        <f ca="1">(SUMPRODUCT(MID(0&amp;(LEFT(A236,SUM(LEN(A236)-LEN(SUBSTITUTE(A236,{"0","1","2"},""))))), LARGE(INDEX(ISNUMBER(--MID((LEFT(A236,SUM(LEN(A236)-LEN(SUBSTITUTE(A236,{"0","1","2"},""))))), ROW(INDIRECT("1:"&amp;LEN((LEFT(A236,SUM(LEN(A236)-LEN(SUBSTITUTE(A236,{"0","1","2"},"")))))))), 1)) * ROW(INDIRECT("1:"&amp;LEN((LEFT(A236,SUM(LEN(A236)-LEN(SUBSTITUTE(A236,{"0","1","2"},"")))))))), 0), ROW(INDIRECT("1:"&amp;LEN((LEFT(A236,SUM(LEN(A236)-LEN(SUBSTITUTE(A236,{"0","1","2"},"")))))))))+1, 1) * 10^ROW(INDIRECT("1:"&amp;LEN((LEFT(A236,SUM(LEN(A236)-LEN(SUBSTITUTE(A236,{"0","1","2"},""))))))))/10))*1+1&amp;""&amp;" ,.., "&amp;""&amp;(SUMPRODUCT(MID(0&amp;(--TRIM(RIGHT(SUBSTITUTE(LEFT(A236,_xlfn.AGGREGATE(16,6,FIND({0,1,2,3,4,5,6,7,8,9},A236,ROW(INDIRECT("1:"&amp;LEN(A236)))),1))," ",REPT(" ",LEN(A236))),LEN(A236)))), LARGE(INDEX(ISNUMBER(--MID((--TRIM(RIGHT(SUBSTITUTE(LEFT(A236,_xlfn.AGGREGATE(16,6,FIND({0,1,2,3,4,5,6,7,8,9},A236,ROW(INDIRECT("1:"&amp;LEN(A236)))),1))," ",REPT(" ",LEN(A236))),LEN(A236)))), ROW(INDIRECT("1:"&amp;LEN((--TRIM(RIGHT(SUBSTITUTE(LEFT(A236,_xlfn.AGGREGATE(16,6,FIND({0,1,2,3,4,5,6,7,8,9},A236,ROW(INDIRECT("1:"&amp;LEN(A236)))),1))," ",REPT(" ",LEN(A236))),LEN(A236))))))), 1)) * ROW(INDIRECT("1:"&amp;LEN((--TRIM(RIGHT(SUBSTITUTE(LEFT(A236,_xlfn.AGGREGATE(16,6,FIND({0,1,2,3,4,5,6,7,8,9},A236,ROW(INDIRECT("1:"&amp;LEN(A236)))),1))," ",REPT(" ",LEN(A236))),LEN(A236))))))), 0), ROW(INDIRECT("1:"&amp;LEN((--TRIM(RIGHT(SUBSTITUTE(LEFT(A236,_xlfn.AGGREGATE(16,6,FIND({0,1,2,3,4,5,6,7,8,9},A236,ROW(INDIRECT("1:"&amp;LEN(A236)))),1))," ",REPT(" ",LEN(A236))),LEN(A236))))))))+1, 1) * 10^ROW(INDIRECT("1:"&amp;LEN((--TRIM(RIGHT(SUBSTITUTE(LEFT(A236,_xlfn.AGGREGATE(16,6,FIND({0,1,2,3,4,5,6,7,8,9},A236,ROW(INDIRECT("1:"&amp;LEN(A236)))),1))," ",REPT(" ",LEN(A236))),LEN(A236)))))))/10))*1+1</f>
        <v>304 ,.., 1504</v>
      </c>
      <c r="B237" s="111"/>
      <c r="C237" s="42"/>
      <c r="D237" s="42"/>
      <c r="E237" s="56">
        <v>0</v>
      </c>
      <c r="F237" s="56">
        <f>D237+E237</f>
        <v>0</v>
      </c>
      <c r="G237" s="56">
        <v>0</v>
      </c>
      <c r="H237" s="56">
        <f>F237*(($H$177)+1)+(IF(G237&lt;101,G237,IF(G237&lt;201,G237/2,IF(G237&lt;=301,G237/3,G237/4))))</f>
        <v>0</v>
      </c>
      <c r="I237" s="36"/>
    </row>
    <row r="238" spans="1:10" s="37" customFormat="1" ht="15.75" hidden="1" customHeight="1" x14ac:dyDescent="0.35">
      <c r="A238" s="110" t="str">
        <f ca="1">(SUMPRODUCT(MID(0&amp;(LEFT(A237,SUM(LEN(A237)-LEN(SUBSTITUTE(A237,{"0","1","2"},""))))), LARGE(INDEX(ISNUMBER(--MID((LEFT(A237,SUM(LEN(A237)-LEN(SUBSTITUTE(A237,{"0","1","2"},""))))), ROW(INDIRECT("1:"&amp;LEN((LEFT(A237,SUM(LEN(A237)-LEN(SUBSTITUTE(A237,{"0","1","2"},"")))))))), 1)) * ROW(INDIRECT("1:"&amp;LEN((LEFT(A237,SUM(LEN(A237)-LEN(SUBSTITUTE(A237,{"0","1","2"},"")))))))), 0), ROW(INDIRECT("1:"&amp;LEN((LEFT(A237,SUM(LEN(A237)-LEN(SUBSTITUTE(A237,{"0","1","2"},"")))))))))+1, 1) * 10^ROW(INDIRECT("1:"&amp;LEN((LEFT(A237,SUM(LEN(A237)-LEN(SUBSTITUTE(A237,{"0","1","2"},""))))))))/10))*1+1&amp;""&amp;" ,.., "&amp;""&amp;(SUMPRODUCT(MID(0&amp;(--TRIM(RIGHT(SUBSTITUTE(LEFT(A237,_xlfn.AGGREGATE(16,6,FIND({0,1,2,3,4,5,6,7,8,9},A237,ROW(INDIRECT("1:"&amp;LEN(A237)))),1))," ",REPT(" ",LEN(A237))),LEN(A237)))), LARGE(INDEX(ISNUMBER(--MID((--TRIM(RIGHT(SUBSTITUTE(LEFT(A237,_xlfn.AGGREGATE(16,6,FIND({0,1,2,3,4,5,6,7,8,9},A237,ROW(INDIRECT("1:"&amp;LEN(A237)))),1))," ",REPT(" ",LEN(A237))),LEN(A237)))), ROW(INDIRECT("1:"&amp;LEN((--TRIM(RIGHT(SUBSTITUTE(LEFT(A237,_xlfn.AGGREGATE(16,6,FIND({0,1,2,3,4,5,6,7,8,9},A237,ROW(INDIRECT("1:"&amp;LEN(A237)))),1))," ",REPT(" ",LEN(A237))),LEN(A237))))))), 1)) * ROW(INDIRECT("1:"&amp;LEN((--TRIM(RIGHT(SUBSTITUTE(LEFT(A237,_xlfn.AGGREGATE(16,6,FIND({0,1,2,3,4,5,6,7,8,9},A237,ROW(INDIRECT("1:"&amp;LEN(A237)))),1))," ",REPT(" ",LEN(A237))),LEN(A237))))))), 0), ROW(INDIRECT("1:"&amp;LEN((--TRIM(RIGHT(SUBSTITUTE(LEFT(A237,_xlfn.AGGREGATE(16,6,FIND({0,1,2,3,4,5,6,7,8,9},A237,ROW(INDIRECT("1:"&amp;LEN(A237)))),1))," ",REPT(" ",LEN(A237))),LEN(A237))))))))+1, 1) * 10^ROW(INDIRECT("1:"&amp;LEN((--TRIM(RIGHT(SUBSTITUTE(LEFT(A237,_xlfn.AGGREGATE(16,6,FIND({0,1,2,3,4,5,6,7,8,9},A237,ROW(INDIRECT("1:"&amp;LEN(A237)))),1))," ",REPT(" ",LEN(A237))),LEN(A237)))))))/10))*1+1</f>
        <v>305 ,.., 1505</v>
      </c>
      <c r="B238" s="111"/>
      <c r="C238" s="42"/>
      <c r="D238" s="42"/>
      <c r="E238" s="56">
        <v>0</v>
      </c>
      <c r="F238" s="56">
        <f>D238+E238</f>
        <v>0</v>
      </c>
      <c r="G238" s="56">
        <v>0</v>
      </c>
      <c r="H238" s="56">
        <f>F238*(($H$177)+1)+(IF(G238&lt;101,G238,IF(G238&lt;201,G238/2,IF(G238&lt;=301,G238/3,G238/4))))</f>
        <v>0</v>
      </c>
      <c r="I238" s="36"/>
    </row>
    <row r="239" spans="1:10" s="37" customFormat="1" hidden="1" x14ac:dyDescent="0.35">
      <c r="A239" s="170" t="s">
        <v>141</v>
      </c>
      <c r="B239" s="171"/>
      <c r="C239" s="171"/>
      <c r="D239" s="171"/>
      <c r="E239" s="171"/>
      <c r="F239" s="171"/>
      <c r="G239" s="171"/>
      <c r="H239" s="172"/>
      <c r="I239" s="36"/>
    </row>
    <row r="240" spans="1:10" s="37" customFormat="1" ht="15.75" hidden="1" customHeight="1" x14ac:dyDescent="0.35">
      <c r="A240" s="110" t="str">
        <f ca="1">(SUMPRODUCT(MID(0&amp;(LEFT(A239,SUM(LEN(A239)-LEN(SUBSTITUTE(A239,{"0","1","2"},""))))), LARGE(INDEX(ISNUMBER(--MID((LEFT(A239,SUM(LEN(A239)-LEN(SUBSTITUTE(A239,{"0","1","2"},""))))), ROW(INDIRECT("1:"&amp;LEN((LEFT(A239,SUM(LEN(A239)-LEN(SUBSTITUTE(A239,{"0","1","2"},"")))))))), 1)) * ROW(INDIRECT("1:"&amp;LEN((LEFT(A239,SUM(LEN(A239)-LEN(SUBSTITUTE(A239,{"0","1","2"},"")))))))), 0), ROW(INDIRECT("1:"&amp;LEN((LEFT(A239,SUM(LEN(A239)-LEN(SUBSTITUTE(A239,{"0","1","2"},"")))))))))+1, 1) * 10^ROW(INDIRECT("1:"&amp;LEN((LEFT(A239,SUM(LEN(A239)-LEN(SUBSTITUTE(A239,{"0","1","2"},""))))))))/10))*100+1&amp;""&amp;" to "&amp;""&amp;(SUMPRODUCT(MID(0&amp;(--TRIM(RIGHT(SUBSTITUTE(LEFT(A239,_xlfn.AGGREGATE(16,6,FIND({0,1,2,3,4,5,6,7,8,9},A239,ROW(INDIRECT("1:"&amp;LEN(A239)))),1))," ",REPT(" ",LEN(A239))),LEN(A239)))), LARGE(INDEX(ISNUMBER(--MID((--TRIM(RIGHT(SUBSTITUTE(LEFT(A239,_xlfn.AGGREGATE(16,6,FIND({0,1,2,3,4,5,6,7,8,9},A239,ROW(INDIRECT("1:"&amp;LEN(A239)))),1))," ",REPT(" ",LEN(A239))),LEN(A239)))), ROW(INDIRECT("1:"&amp;LEN((--TRIM(RIGHT(SUBSTITUTE(LEFT(A239,_xlfn.AGGREGATE(16,6,FIND({0,1,2,3,4,5,6,7,8,9},A239,ROW(INDIRECT("1:"&amp;LEN(A239)))),1))," ",REPT(" ",LEN(A239))),LEN(A239))))))), 1)) * ROW(INDIRECT("1:"&amp;LEN((--TRIM(RIGHT(SUBSTITUTE(LEFT(A239,_xlfn.AGGREGATE(16,6,FIND({0,1,2,3,4,5,6,7,8,9},A239,ROW(INDIRECT("1:"&amp;LEN(A239)))),1))," ",REPT(" ",LEN(A239))),LEN(A239))))))), 0), ROW(INDIRECT("1:"&amp;LEN((--TRIM(RIGHT(SUBSTITUTE(LEFT(A239,_xlfn.AGGREGATE(16,6,FIND({0,1,2,3,4,5,6,7,8,9},A239,ROW(INDIRECT("1:"&amp;LEN(A239)))),1))," ",REPT(" ",LEN(A239))),LEN(A239))))))))+1, 1) * 10^ROW(INDIRECT("1:"&amp;LEN((--TRIM(RIGHT(SUBSTITUTE(LEFT(A239,_xlfn.AGGREGATE(16,6,FIND({0,1,2,3,4,5,6,7,8,9},A239,ROW(INDIRECT("1:"&amp;LEN(A239)))),1))," ",REPT(" ",LEN(A239))),LEN(A239)))))))/10))*100+1</f>
        <v>201 to 501</v>
      </c>
      <c r="B240" s="111"/>
      <c r="C240" s="42"/>
      <c r="D240" s="42"/>
      <c r="E240" s="56">
        <v>0</v>
      </c>
      <c r="F240" s="56">
        <f>D240+E240</f>
        <v>0</v>
      </c>
      <c r="G240" s="56">
        <v>0</v>
      </c>
      <c r="H240" s="56">
        <f>F240*(($H$177)+1)+(IF(G240&lt;101,G240,IF(G240&lt;201,G240/2,IF(G240&lt;=301,G240/3,G240/4))))</f>
        <v>0</v>
      </c>
      <c r="I240" s="36"/>
    </row>
    <row r="241" spans="1:20" s="37" customFormat="1" ht="15.75" hidden="1" customHeight="1" x14ac:dyDescent="0.35">
      <c r="A241" s="110" t="str">
        <f ca="1">(SUMPRODUCT(MID(0&amp;(LEFT(A240,SUM(LEN(A240)-LEN(SUBSTITUTE(A240,{"0","1","2"},""))))), LARGE(INDEX(ISNUMBER(--MID((LEFT(A240,SUM(LEN(A240)-LEN(SUBSTITUTE(A240,{"0","1","2"},""))))), ROW(INDIRECT("1:"&amp;LEN((LEFT(A240,SUM(LEN(A240)-LEN(SUBSTITUTE(A240,{"0","1","2"},"")))))))), 1)) * ROW(INDIRECT("1:"&amp;LEN((LEFT(A240,SUM(LEN(A240)-LEN(SUBSTITUTE(A240,{"0","1","2"},"")))))))), 0), ROW(INDIRECT("1:"&amp;LEN((LEFT(A240,SUM(LEN(A240)-LEN(SUBSTITUTE(A240,{"0","1","2"},"")))))))))+1, 1) * 10^ROW(INDIRECT("1:"&amp;LEN((LEFT(A240,SUM(LEN(A240)-LEN(SUBSTITUTE(A240,{"0","1","2"},""))))))))/10))*1+1&amp;""&amp;" to "&amp;""&amp;(SUMPRODUCT(MID(0&amp;(--TRIM(RIGHT(SUBSTITUTE(LEFT(A240,_xlfn.AGGREGATE(16,6,FIND({0,1,2,3,4,5,6,7,8,9},A240,ROW(INDIRECT("1:"&amp;LEN(A240)))),1))," ",REPT(" ",LEN(A240))),LEN(A240)))), LARGE(INDEX(ISNUMBER(--MID((--TRIM(RIGHT(SUBSTITUTE(LEFT(A240,_xlfn.AGGREGATE(16,6,FIND({0,1,2,3,4,5,6,7,8,9},A240,ROW(INDIRECT("1:"&amp;LEN(A240)))),1))," ",REPT(" ",LEN(A240))),LEN(A240)))), ROW(INDIRECT("1:"&amp;LEN((--TRIM(RIGHT(SUBSTITUTE(LEFT(A240,_xlfn.AGGREGATE(16,6,FIND({0,1,2,3,4,5,6,7,8,9},A240,ROW(INDIRECT("1:"&amp;LEN(A240)))),1))," ",REPT(" ",LEN(A240))),LEN(A240))))))), 1)) * ROW(INDIRECT("1:"&amp;LEN((--TRIM(RIGHT(SUBSTITUTE(LEFT(A240,_xlfn.AGGREGATE(16,6,FIND({0,1,2,3,4,5,6,7,8,9},A240,ROW(INDIRECT("1:"&amp;LEN(A240)))),1))," ",REPT(" ",LEN(A240))),LEN(A240))))))), 0), ROW(INDIRECT("1:"&amp;LEN((--TRIM(RIGHT(SUBSTITUTE(LEFT(A240,_xlfn.AGGREGATE(16,6,FIND({0,1,2,3,4,5,6,7,8,9},A240,ROW(INDIRECT("1:"&amp;LEN(A240)))),1))," ",REPT(" ",LEN(A240))),LEN(A240))))))))+1, 1) * 10^ROW(INDIRECT("1:"&amp;LEN((--TRIM(RIGHT(SUBSTITUTE(LEFT(A240,_xlfn.AGGREGATE(16,6,FIND({0,1,2,3,4,5,6,7,8,9},A240,ROW(INDIRECT("1:"&amp;LEN(A240)))),1))," ",REPT(" ",LEN(A240))),LEN(A240)))))))/10))*1+1</f>
        <v>202 to 502</v>
      </c>
      <c r="B241" s="111"/>
      <c r="C241" s="42"/>
      <c r="D241" s="42"/>
      <c r="E241" s="56">
        <v>0</v>
      </c>
      <c r="F241" s="56">
        <f>D241+E241</f>
        <v>0</v>
      </c>
      <c r="G241" s="56">
        <v>0</v>
      </c>
      <c r="H241" s="56">
        <f>F241*(($H$177)+1)+(IF(G241&lt;101,G241,IF(G241&lt;201,G241/2,IF(G241&lt;=301,G241/3,G241/4))))</f>
        <v>0</v>
      </c>
      <c r="I241" s="36"/>
    </row>
    <row r="242" spans="1:20" s="37" customFormat="1" ht="15.75" hidden="1" customHeight="1" x14ac:dyDescent="0.35">
      <c r="A242" s="110" t="str">
        <f ca="1">(SUMPRODUCT(MID(0&amp;(LEFT(A241,SUM(LEN(A241)-LEN(SUBSTITUTE(A241,{"0","1","2"},""))))), LARGE(INDEX(ISNUMBER(--MID((LEFT(A241,SUM(LEN(A241)-LEN(SUBSTITUTE(A241,{"0","1","2"},""))))), ROW(INDIRECT("1:"&amp;LEN((LEFT(A241,SUM(LEN(A241)-LEN(SUBSTITUTE(A241,{"0","1","2"},"")))))))), 1)) * ROW(INDIRECT("1:"&amp;LEN((LEFT(A241,SUM(LEN(A241)-LEN(SUBSTITUTE(A241,{"0","1","2"},"")))))))), 0), ROW(INDIRECT("1:"&amp;LEN((LEFT(A241,SUM(LEN(A241)-LEN(SUBSTITUTE(A241,{"0","1","2"},"")))))))))+1, 1) * 10^ROW(INDIRECT("1:"&amp;LEN((LEFT(A241,SUM(LEN(A241)-LEN(SUBSTITUTE(A241,{"0","1","2"},""))))))))/10))*1+1&amp;""&amp;" to "&amp;""&amp;(SUMPRODUCT(MID(0&amp;(--TRIM(RIGHT(SUBSTITUTE(LEFT(A241,_xlfn.AGGREGATE(16,6,FIND({0,1,2,3,4,5,6,7,8,9},A241,ROW(INDIRECT("1:"&amp;LEN(A241)))),1))," ",REPT(" ",LEN(A241))),LEN(A241)))), LARGE(INDEX(ISNUMBER(--MID((--TRIM(RIGHT(SUBSTITUTE(LEFT(A241,_xlfn.AGGREGATE(16,6,FIND({0,1,2,3,4,5,6,7,8,9},A241,ROW(INDIRECT("1:"&amp;LEN(A241)))),1))," ",REPT(" ",LEN(A241))),LEN(A241)))), ROW(INDIRECT("1:"&amp;LEN((--TRIM(RIGHT(SUBSTITUTE(LEFT(A241,_xlfn.AGGREGATE(16,6,FIND({0,1,2,3,4,5,6,7,8,9},A241,ROW(INDIRECT("1:"&amp;LEN(A241)))),1))," ",REPT(" ",LEN(A241))),LEN(A241))))))), 1)) * ROW(INDIRECT("1:"&amp;LEN((--TRIM(RIGHT(SUBSTITUTE(LEFT(A241,_xlfn.AGGREGATE(16,6,FIND({0,1,2,3,4,5,6,7,8,9},A241,ROW(INDIRECT("1:"&amp;LEN(A241)))),1))," ",REPT(" ",LEN(A241))),LEN(A241))))))), 0), ROW(INDIRECT("1:"&amp;LEN((--TRIM(RIGHT(SUBSTITUTE(LEFT(A241,_xlfn.AGGREGATE(16,6,FIND({0,1,2,3,4,5,6,7,8,9},A241,ROW(INDIRECT("1:"&amp;LEN(A241)))),1))," ",REPT(" ",LEN(A241))),LEN(A241))))))))+1, 1) * 10^ROW(INDIRECT("1:"&amp;LEN((--TRIM(RIGHT(SUBSTITUTE(LEFT(A241,_xlfn.AGGREGATE(16,6,FIND({0,1,2,3,4,5,6,7,8,9},A241,ROW(INDIRECT("1:"&amp;LEN(A241)))),1))," ",REPT(" ",LEN(A241))),LEN(A241)))))))/10))*1+1</f>
        <v>203 to 503</v>
      </c>
      <c r="B242" s="111"/>
      <c r="C242" s="42"/>
      <c r="D242" s="42"/>
      <c r="E242" s="56">
        <v>0</v>
      </c>
      <c r="F242" s="56">
        <f>D242+E242</f>
        <v>0</v>
      </c>
      <c r="G242" s="56">
        <v>0</v>
      </c>
      <c r="H242" s="56">
        <f>F242*(($H$177)+1)+(IF(G242&lt;101,G242,IF(G242&lt;201,G242/2,IF(G242&lt;=301,G242/3,G242/4))))</f>
        <v>0</v>
      </c>
      <c r="I242" s="36"/>
    </row>
    <row r="243" spans="1:20" s="37" customFormat="1" ht="15.75" hidden="1" customHeight="1" x14ac:dyDescent="0.35">
      <c r="A243" s="110" t="str">
        <f ca="1">(SUMPRODUCT(MID(0&amp;(LEFT(A242,SUM(LEN(A242)-LEN(SUBSTITUTE(A242,{"0","1","2"},""))))), LARGE(INDEX(ISNUMBER(--MID((LEFT(A242,SUM(LEN(A242)-LEN(SUBSTITUTE(A242,{"0","1","2"},""))))), ROW(INDIRECT("1:"&amp;LEN((LEFT(A242,SUM(LEN(A242)-LEN(SUBSTITUTE(A242,{"0","1","2"},"")))))))), 1)) * ROW(INDIRECT("1:"&amp;LEN((LEFT(A242,SUM(LEN(A242)-LEN(SUBSTITUTE(A242,{"0","1","2"},"")))))))), 0), ROW(INDIRECT("1:"&amp;LEN((LEFT(A242,SUM(LEN(A242)-LEN(SUBSTITUTE(A242,{"0","1","2"},"")))))))))+1, 1) * 10^ROW(INDIRECT("1:"&amp;LEN((LEFT(A242,SUM(LEN(A242)-LEN(SUBSTITUTE(A242,{"0","1","2"},""))))))))/10))*1+1&amp;""&amp;" to "&amp;""&amp;(SUMPRODUCT(MID(0&amp;(--TRIM(RIGHT(SUBSTITUTE(LEFT(A242,_xlfn.AGGREGATE(16,6,FIND({0,1,2,3,4,5,6,7,8,9},A242,ROW(INDIRECT("1:"&amp;LEN(A242)))),1))," ",REPT(" ",LEN(A242))),LEN(A242)))), LARGE(INDEX(ISNUMBER(--MID((--TRIM(RIGHT(SUBSTITUTE(LEFT(A242,_xlfn.AGGREGATE(16,6,FIND({0,1,2,3,4,5,6,7,8,9},A242,ROW(INDIRECT("1:"&amp;LEN(A242)))),1))," ",REPT(" ",LEN(A242))),LEN(A242)))), ROW(INDIRECT("1:"&amp;LEN((--TRIM(RIGHT(SUBSTITUTE(LEFT(A242,_xlfn.AGGREGATE(16,6,FIND({0,1,2,3,4,5,6,7,8,9},A242,ROW(INDIRECT("1:"&amp;LEN(A242)))),1))," ",REPT(" ",LEN(A242))),LEN(A242))))))), 1)) * ROW(INDIRECT("1:"&amp;LEN((--TRIM(RIGHT(SUBSTITUTE(LEFT(A242,_xlfn.AGGREGATE(16,6,FIND({0,1,2,3,4,5,6,7,8,9},A242,ROW(INDIRECT("1:"&amp;LEN(A242)))),1))," ",REPT(" ",LEN(A242))),LEN(A242))))))), 0), ROW(INDIRECT("1:"&amp;LEN((--TRIM(RIGHT(SUBSTITUTE(LEFT(A242,_xlfn.AGGREGATE(16,6,FIND({0,1,2,3,4,5,6,7,8,9},A242,ROW(INDIRECT("1:"&amp;LEN(A242)))),1))," ",REPT(" ",LEN(A242))),LEN(A242))))))))+1, 1) * 10^ROW(INDIRECT("1:"&amp;LEN((--TRIM(RIGHT(SUBSTITUTE(LEFT(A242,_xlfn.AGGREGATE(16,6,FIND({0,1,2,3,4,5,6,7,8,9},A242,ROW(INDIRECT("1:"&amp;LEN(A242)))),1))," ",REPT(" ",LEN(A242))),LEN(A242)))))))/10))*1+1</f>
        <v>204 to 504</v>
      </c>
      <c r="B243" s="111"/>
      <c r="C243" s="42"/>
      <c r="D243" s="42"/>
      <c r="E243" s="56">
        <v>0</v>
      </c>
      <c r="F243" s="56">
        <f>D243+E243</f>
        <v>0</v>
      </c>
      <c r="G243" s="56">
        <v>0</v>
      </c>
      <c r="H243" s="56">
        <f>F243*(($H$177)+1)+(IF(G243&lt;101,G243,IF(G243&lt;201,G243/2,IF(G243&lt;=301,G243/3,G243/4))))</f>
        <v>0</v>
      </c>
      <c r="I243" s="36"/>
    </row>
    <row r="244" spans="1:20" s="37" customFormat="1" ht="15.75" hidden="1" customHeight="1" x14ac:dyDescent="0.35">
      <c r="A244" s="110" t="str">
        <f ca="1">(SUMPRODUCT(MID(0&amp;(LEFT(A243,SUM(LEN(A243)-LEN(SUBSTITUTE(A243,{"0","1","2"},""))))), LARGE(INDEX(ISNUMBER(--MID((LEFT(A243,SUM(LEN(A243)-LEN(SUBSTITUTE(A243,{"0","1","2"},""))))), ROW(INDIRECT("1:"&amp;LEN((LEFT(A243,SUM(LEN(A243)-LEN(SUBSTITUTE(A243,{"0","1","2"},"")))))))), 1)) * ROW(INDIRECT("1:"&amp;LEN((LEFT(A243,SUM(LEN(A243)-LEN(SUBSTITUTE(A243,{"0","1","2"},"")))))))), 0), ROW(INDIRECT("1:"&amp;LEN((LEFT(A243,SUM(LEN(A243)-LEN(SUBSTITUTE(A243,{"0","1","2"},"")))))))))+1, 1) * 10^ROW(INDIRECT("1:"&amp;LEN((LEFT(A243,SUM(LEN(A243)-LEN(SUBSTITUTE(A243,{"0","1","2"},""))))))))/10))*1+1&amp;""&amp;" to "&amp;""&amp;(SUMPRODUCT(MID(0&amp;(--TRIM(RIGHT(SUBSTITUTE(LEFT(A243,_xlfn.AGGREGATE(16,6,FIND({0,1,2,3,4,5,6,7,8,9},A243,ROW(INDIRECT("1:"&amp;LEN(A243)))),1))," ",REPT(" ",LEN(A243))),LEN(A243)))), LARGE(INDEX(ISNUMBER(--MID((--TRIM(RIGHT(SUBSTITUTE(LEFT(A243,_xlfn.AGGREGATE(16,6,FIND({0,1,2,3,4,5,6,7,8,9},A243,ROW(INDIRECT("1:"&amp;LEN(A243)))),1))," ",REPT(" ",LEN(A243))),LEN(A243)))), ROW(INDIRECT("1:"&amp;LEN((--TRIM(RIGHT(SUBSTITUTE(LEFT(A243,_xlfn.AGGREGATE(16,6,FIND({0,1,2,3,4,5,6,7,8,9},A243,ROW(INDIRECT("1:"&amp;LEN(A243)))),1))," ",REPT(" ",LEN(A243))),LEN(A243))))))), 1)) * ROW(INDIRECT("1:"&amp;LEN((--TRIM(RIGHT(SUBSTITUTE(LEFT(A243,_xlfn.AGGREGATE(16,6,FIND({0,1,2,3,4,5,6,7,8,9},A243,ROW(INDIRECT("1:"&amp;LEN(A243)))),1))," ",REPT(" ",LEN(A243))),LEN(A243))))))), 0), ROW(INDIRECT("1:"&amp;LEN((--TRIM(RIGHT(SUBSTITUTE(LEFT(A243,_xlfn.AGGREGATE(16,6,FIND({0,1,2,3,4,5,6,7,8,9},A243,ROW(INDIRECT("1:"&amp;LEN(A243)))),1))," ",REPT(" ",LEN(A243))),LEN(A243))))))))+1, 1) * 10^ROW(INDIRECT("1:"&amp;LEN((--TRIM(RIGHT(SUBSTITUTE(LEFT(A243,_xlfn.AGGREGATE(16,6,FIND({0,1,2,3,4,5,6,7,8,9},A243,ROW(INDIRECT("1:"&amp;LEN(A243)))),1))," ",REPT(" ",LEN(A243))),LEN(A243)))))))/10))*1+1</f>
        <v>205 to 505</v>
      </c>
      <c r="B244" s="111"/>
      <c r="C244" s="42"/>
      <c r="D244" s="42"/>
      <c r="E244" s="56">
        <v>0</v>
      </c>
      <c r="F244" s="56">
        <f>D244+E244</f>
        <v>0</v>
      </c>
      <c r="G244" s="56">
        <v>0</v>
      </c>
      <c r="H244" s="56">
        <f>F244*(($H$177)+1)+(IF(G244&lt;101,G244,IF(G244&lt;201,G244/2,IF(G244&lt;=301,G244/3,G244/4))))</f>
        <v>0</v>
      </c>
      <c r="I244" s="36"/>
    </row>
    <row r="245" spans="1:20" s="37" customFormat="1" hidden="1" x14ac:dyDescent="0.35">
      <c r="A245" s="170" t="s">
        <v>142</v>
      </c>
      <c r="B245" s="171"/>
      <c r="C245" s="171"/>
      <c r="D245" s="171"/>
      <c r="E245" s="171"/>
      <c r="F245" s="171"/>
      <c r="G245" s="171"/>
      <c r="H245" s="172"/>
      <c r="I245" s="36"/>
    </row>
    <row r="246" spans="1:20" s="37" customFormat="1" ht="15.75" hidden="1" customHeight="1" x14ac:dyDescent="0.35">
      <c r="A246" s="110" t="str">
        <f ca="1">(SUMPRODUCT(MID(0&amp;(LEFT(A245,SUM(LEN(A245)-LEN(SUBSTITUTE(A245,{"0","1","2"},""))))), LARGE(INDEX(ISNUMBER(--MID((LEFT(A245,SUM(LEN(A245)-LEN(SUBSTITUTE(A245,{"0","1","2"},""))))), ROW(INDIRECT("1:"&amp;LEN((LEFT(A245,SUM(LEN(A245)-LEN(SUBSTITUTE(A245,{"0","1","2"},"")))))))), 1)) * ROW(INDIRECT("1:"&amp;LEN((LEFT(A245,SUM(LEN(A245)-LEN(SUBSTITUTE(A245,{"0","1","2"},"")))))))), 0), ROW(INDIRECT("1:"&amp;LEN((LEFT(A245,SUM(LEN(A245)-LEN(SUBSTITUTE(A245,{"0","1","2"},"")))))))))+1, 1) * 10^ROW(INDIRECT("1:"&amp;LEN((LEFT(A245,SUM(LEN(A245)-LEN(SUBSTITUTE(A245,{"0","1","2"},""))))))))/10))*100+1&amp;""&amp;" &amp; "&amp;""&amp;(SUMPRODUCT(MID(0&amp;(--TRIM(RIGHT(SUBSTITUTE(LEFT(A245,_xlfn.AGGREGATE(16,6,FIND({0,1,2,3,4,5,6,7,8,9},A245,ROW(INDIRECT("1:"&amp;LEN(A245)))),1))," ",REPT(" ",LEN(A245))),LEN(A245)))), LARGE(INDEX(ISNUMBER(--MID((--TRIM(RIGHT(SUBSTITUTE(LEFT(A245,_xlfn.AGGREGATE(16,6,FIND({0,1,2,3,4,5,6,7,8,9},A245,ROW(INDIRECT("1:"&amp;LEN(A245)))),1))," ",REPT(" ",LEN(A245))),LEN(A245)))), ROW(INDIRECT("1:"&amp;LEN((--TRIM(RIGHT(SUBSTITUTE(LEFT(A245,_xlfn.AGGREGATE(16,6,FIND({0,1,2,3,4,5,6,7,8,9},A245,ROW(INDIRECT("1:"&amp;LEN(A245)))),1))," ",REPT(" ",LEN(A245))),LEN(A245))))))), 1)) * ROW(INDIRECT("1:"&amp;LEN((--TRIM(RIGHT(SUBSTITUTE(LEFT(A245,_xlfn.AGGREGATE(16,6,FIND({0,1,2,3,4,5,6,7,8,9},A245,ROW(INDIRECT("1:"&amp;LEN(A245)))),1))," ",REPT(" ",LEN(A245))),LEN(A245))))))), 0), ROW(INDIRECT("1:"&amp;LEN((--TRIM(RIGHT(SUBSTITUTE(LEFT(A245,_xlfn.AGGREGATE(16,6,FIND({0,1,2,3,4,5,6,7,8,9},A245,ROW(INDIRECT("1:"&amp;LEN(A245)))),1))," ",REPT(" ",LEN(A245))),LEN(A245))))))))+1, 1) * 10^ROW(INDIRECT("1:"&amp;LEN((--TRIM(RIGHT(SUBSTITUTE(LEFT(A245,_xlfn.AGGREGATE(16,6,FIND({0,1,2,3,4,5,6,7,8,9},A245,ROW(INDIRECT("1:"&amp;LEN(A245)))),1))," ",REPT(" ",LEN(A245))),LEN(A245)))))))/10))*100+1</f>
        <v>201 &amp; 501</v>
      </c>
      <c r="B246" s="111"/>
      <c r="C246" s="42"/>
      <c r="D246" s="42"/>
      <c r="E246" s="56">
        <v>0</v>
      </c>
      <c r="F246" s="56">
        <f>D246+E246</f>
        <v>0</v>
      </c>
      <c r="G246" s="56">
        <v>0</v>
      </c>
      <c r="H246" s="56">
        <f>F246*(($H$177)+1)+(IF(G246&lt;101,G246,IF(G246&lt;201,G246/2,IF(G246&lt;=301,G246/3,G246/4))))</f>
        <v>0</v>
      </c>
      <c r="I246" s="36"/>
    </row>
    <row r="247" spans="1:20" s="37" customFormat="1" ht="15.75" hidden="1" customHeight="1" x14ac:dyDescent="0.35">
      <c r="A247" s="110" t="str">
        <f ca="1">(SUMPRODUCT(MID(0&amp;(LEFT(A246,SUM(LEN(A246)-LEN(SUBSTITUTE(A246,{"0","1","2"},""))))), LARGE(INDEX(ISNUMBER(--MID((LEFT(A246,SUM(LEN(A246)-LEN(SUBSTITUTE(A246,{"0","1","2"},""))))), ROW(INDIRECT("1:"&amp;LEN((LEFT(A246,SUM(LEN(A246)-LEN(SUBSTITUTE(A246,{"0","1","2"},"")))))))), 1)) * ROW(INDIRECT("1:"&amp;LEN((LEFT(A246,SUM(LEN(A246)-LEN(SUBSTITUTE(A246,{"0","1","2"},"")))))))), 0), ROW(INDIRECT("1:"&amp;LEN((LEFT(A246,SUM(LEN(A246)-LEN(SUBSTITUTE(A246,{"0","1","2"},"")))))))))+1, 1) * 10^ROW(INDIRECT("1:"&amp;LEN((LEFT(A246,SUM(LEN(A246)-LEN(SUBSTITUTE(A246,{"0","1","2"},""))))))))/10))*1+1&amp;""&amp;" &amp; "&amp;""&amp;(SUMPRODUCT(MID(0&amp;(--TRIM(RIGHT(SUBSTITUTE(LEFT(A246,_xlfn.AGGREGATE(16,6,FIND({0,1,2,3,4,5,6,7,8,9},A246,ROW(INDIRECT("1:"&amp;LEN(A246)))),1))," ",REPT(" ",LEN(A246))),LEN(A246)))), LARGE(INDEX(ISNUMBER(--MID((--TRIM(RIGHT(SUBSTITUTE(LEFT(A246,_xlfn.AGGREGATE(16,6,FIND({0,1,2,3,4,5,6,7,8,9},A246,ROW(INDIRECT("1:"&amp;LEN(A246)))),1))," ",REPT(" ",LEN(A246))),LEN(A246)))), ROW(INDIRECT("1:"&amp;LEN((--TRIM(RIGHT(SUBSTITUTE(LEFT(A246,_xlfn.AGGREGATE(16,6,FIND({0,1,2,3,4,5,6,7,8,9},A246,ROW(INDIRECT("1:"&amp;LEN(A246)))),1))," ",REPT(" ",LEN(A246))),LEN(A246))))))), 1)) * ROW(INDIRECT("1:"&amp;LEN((--TRIM(RIGHT(SUBSTITUTE(LEFT(A246,_xlfn.AGGREGATE(16,6,FIND({0,1,2,3,4,5,6,7,8,9},A246,ROW(INDIRECT("1:"&amp;LEN(A246)))),1))," ",REPT(" ",LEN(A246))),LEN(A246))))))), 0), ROW(INDIRECT("1:"&amp;LEN((--TRIM(RIGHT(SUBSTITUTE(LEFT(A246,_xlfn.AGGREGATE(16,6,FIND({0,1,2,3,4,5,6,7,8,9},A246,ROW(INDIRECT("1:"&amp;LEN(A246)))),1))," ",REPT(" ",LEN(A246))),LEN(A246))))))))+1, 1) * 10^ROW(INDIRECT("1:"&amp;LEN((--TRIM(RIGHT(SUBSTITUTE(LEFT(A246,_xlfn.AGGREGATE(16,6,FIND({0,1,2,3,4,5,6,7,8,9},A246,ROW(INDIRECT("1:"&amp;LEN(A246)))),1))," ",REPT(" ",LEN(A246))),LEN(A246)))))))/10))*1+1</f>
        <v>202 &amp; 502</v>
      </c>
      <c r="B247" s="111"/>
      <c r="C247" s="42"/>
      <c r="D247" s="42"/>
      <c r="E247" s="56">
        <v>0</v>
      </c>
      <c r="F247" s="56">
        <f>D247+E247</f>
        <v>0</v>
      </c>
      <c r="G247" s="56">
        <v>0</v>
      </c>
      <c r="H247" s="56">
        <f>F247*(($H$177)+1)+(IF(G247&lt;101,G247,IF(G247&lt;201,G247/2,IF(G247&lt;=301,G247/3,G247/4))))</f>
        <v>0</v>
      </c>
      <c r="I247" s="36"/>
    </row>
    <row r="248" spans="1:20" s="37" customFormat="1" ht="15.75" hidden="1" customHeight="1" x14ac:dyDescent="0.35">
      <c r="A248" s="110" t="str">
        <f ca="1">(SUMPRODUCT(MID(0&amp;(LEFT(A247,SUM(LEN(A247)-LEN(SUBSTITUTE(A247,{"0","1","2"},""))))), LARGE(INDEX(ISNUMBER(--MID((LEFT(A247,SUM(LEN(A247)-LEN(SUBSTITUTE(A247,{"0","1","2"},""))))), ROW(INDIRECT("1:"&amp;LEN((LEFT(A247,SUM(LEN(A247)-LEN(SUBSTITUTE(A247,{"0","1","2"},"")))))))), 1)) * ROW(INDIRECT("1:"&amp;LEN((LEFT(A247,SUM(LEN(A247)-LEN(SUBSTITUTE(A247,{"0","1","2"},"")))))))), 0), ROW(INDIRECT("1:"&amp;LEN((LEFT(A247,SUM(LEN(A247)-LEN(SUBSTITUTE(A247,{"0","1","2"},"")))))))))+1, 1) * 10^ROW(INDIRECT("1:"&amp;LEN((LEFT(A247,SUM(LEN(A247)-LEN(SUBSTITUTE(A247,{"0","1","2"},""))))))))/10))*1+1&amp;""&amp;" &amp; "&amp;""&amp;(SUMPRODUCT(MID(0&amp;(--TRIM(RIGHT(SUBSTITUTE(LEFT(A247,_xlfn.AGGREGATE(16,6,FIND({0,1,2,3,4,5,6,7,8,9},A247,ROW(INDIRECT("1:"&amp;LEN(A247)))),1))," ",REPT(" ",LEN(A247))),LEN(A247)))), LARGE(INDEX(ISNUMBER(--MID((--TRIM(RIGHT(SUBSTITUTE(LEFT(A247,_xlfn.AGGREGATE(16,6,FIND({0,1,2,3,4,5,6,7,8,9},A247,ROW(INDIRECT("1:"&amp;LEN(A247)))),1))," ",REPT(" ",LEN(A247))),LEN(A247)))), ROW(INDIRECT("1:"&amp;LEN((--TRIM(RIGHT(SUBSTITUTE(LEFT(A247,_xlfn.AGGREGATE(16,6,FIND({0,1,2,3,4,5,6,7,8,9},A247,ROW(INDIRECT("1:"&amp;LEN(A247)))),1))," ",REPT(" ",LEN(A247))),LEN(A247))))))), 1)) * ROW(INDIRECT("1:"&amp;LEN((--TRIM(RIGHT(SUBSTITUTE(LEFT(A247,_xlfn.AGGREGATE(16,6,FIND({0,1,2,3,4,5,6,7,8,9},A247,ROW(INDIRECT("1:"&amp;LEN(A247)))),1))," ",REPT(" ",LEN(A247))),LEN(A247))))))), 0), ROW(INDIRECT("1:"&amp;LEN((--TRIM(RIGHT(SUBSTITUTE(LEFT(A247,_xlfn.AGGREGATE(16,6,FIND({0,1,2,3,4,5,6,7,8,9},A247,ROW(INDIRECT("1:"&amp;LEN(A247)))),1))," ",REPT(" ",LEN(A247))),LEN(A247))))))))+1, 1) * 10^ROW(INDIRECT("1:"&amp;LEN((--TRIM(RIGHT(SUBSTITUTE(LEFT(A247,_xlfn.AGGREGATE(16,6,FIND({0,1,2,3,4,5,6,7,8,9},A247,ROW(INDIRECT("1:"&amp;LEN(A247)))),1))," ",REPT(" ",LEN(A247))),LEN(A247)))))))/10))*1+1</f>
        <v>203 &amp; 503</v>
      </c>
      <c r="B248" s="111"/>
      <c r="C248" s="42"/>
      <c r="D248" s="42"/>
      <c r="E248" s="56">
        <v>0</v>
      </c>
      <c r="F248" s="56">
        <f>D248+E248</f>
        <v>0</v>
      </c>
      <c r="G248" s="56">
        <v>0</v>
      </c>
      <c r="H248" s="56">
        <f>F248*(($H$177)+1)+(IF(G248&lt;101,G248,IF(G248&lt;201,G248/2,IF(G248&lt;=301,G248/3,G248/4))))</f>
        <v>0</v>
      </c>
      <c r="I248" s="36"/>
    </row>
    <row r="249" spans="1:20" s="37" customFormat="1" ht="15.75" hidden="1" customHeight="1" x14ac:dyDescent="0.35">
      <c r="A249" s="110" t="str">
        <f ca="1">(SUMPRODUCT(MID(0&amp;(LEFT(A248,SUM(LEN(A248)-LEN(SUBSTITUTE(A248,{"0","1","2"},""))))), LARGE(INDEX(ISNUMBER(--MID((LEFT(A248,SUM(LEN(A248)-LEN(SUBSTITUTE(A248,{"0","1","2"},""))))), ROW(INDIRECT("1:"&amp;LEN((LEFT(A248,SUM(LEN(A248)-LEN(SUBSTITUTE(A248,{"0","1","2"},"")))))))), 1)) * ROW(INDIRECT("1:"&amp;LEN((LEFT(A248,SUM(LEN(A248)-LEN(SUBSTITUTE(A248,{"0","1","2"},"")))))))), 0), ROW(INDIRECT("1:"&amp;LEN((LEFT(A248,SUM(LEN(A248)-LEN(SUBSTITUTE(A248,{"0","1","2"},"")))))))))+1, 1) * 10^ROW(INDIRECT("1:"&amp;LEN((LEFT(A248,SUM(LEN(A248)-LEN(SUBSTITUTE(A248,{"0","1","2"},""))))))))/10))*1+1&amp;""&amp;" &amp; "&amp;""&amp;(SUMPRODUCT(MID(0&amp;(--TRIM(RIGHT(SUBSTITUTE(LEFT(A248,_xlfn.AGGREGATE(16,6,FIND({0,1,2,3,4,5,6,7,8,9},A248,ROW(INDIRECT("1:"&amp;LEN(A248)))),1))," ",REPT(" ",LEN(A248))),LEN(A248)))), LARGE(INDEX(ISNUMBER(--MID((--TRIM(RIGHT(SUBSTITUTE(LEFT(A248,_xlfn.AGGREGATE(16,6,FIND({0,1,2,3,4,5,6,7,8,9},A248,ROW(INDIRECT("1:"&amp;LEN(A248)))),1))," ",REPT(" ",LEN(A248))),LEN(A248)))), ROW(INDIRECT("1:"&amp;LEN((--TRIM(RIGHT(SUBSTITUTE(LEFT(A248,_xlfn.AGGREGATE(16,6,FIND({0,1,2,3,4,5,6,7,8,9},A248,ROW(INDIRECT("1:"&amp;LEN(A248)))),1))," ",REPT(" ",LEN(A248))),LEN(A248))))))), 1)) * ROW(INDIRECT("1:"&amp;LEN((--TRIM(RIGHT(SUBSTITUTE(LEFT(A248,_xlfn.AGGREGATE(16,6,FIND({0,1,2,3,4,5,6,7,8,9},A248,ROW(INDIRECT("1:"&amp;LEN(A248)))),1))," ",REPT(" ",LEN(A248))),LEN(A248))))))), 0), ROW(INDIRECT("1:"&amp;LEN((--TRIM(RIGHT(SUBSTITUTE(LEFT(A248,_xlfn.AGGREGATE(16,6,FIND({0,1,2,3,4,5,6,7,8,9},A248,ROW(INDIRECT("1:"&amp;LEN(A248)))),1))," ",REPT(" ",LEN(A248))),LEN(A248))))))))+1, 1) * 10^ROW(INDIRECT("1:"&amp;LEN((--TRIM(RIGHT(SUBSTITUTE(LEFT(A248,_xlfn.AGGREGATE(16,6,FIND({0,1,2,3,4,5,6,7,8,9},A248,ROW(INDIRECT("1:"&amp;LEN(A248)))),1))," ",REPT(" ",LEN(A248))),LEN(A248)))))))/10))*1+1</f>
        <v>204 &amp; 504</v>
      </c>
      <c r="B249" s="111"/>
      <c r="C249" s="42"/>
      <c r="D249" s="42"/>
      <c r="E249" s="56">
        <v>0</v>
      </c>
      <c r="F249" s="56">
        <f>D249+E249</f>
        <v>0</v>
      </c>
      <c r="G249" s="56">
        <v>0</v>
      </c>
      <c r="H249" s="56">
        <f>F249*(($H$177)+1)+(IF(G249&lt;101,G249,IF(G249&lt;201,G249/2,IF(G249&lt;=301,G249/3,G249/4))))</f>
        <v>0</v>
      </c>
      <c r="I249" s="36"/>
    </row>
    <row r="250" spans="1:20" s="37" customFormat="1" ht="15.75" hidden="1" customHeight="1" x14ac:dyDescent="0.35">
      <c r="A250" s="110" t="str">
        <f ca="1">(SUMPRODUCT(MID(0&amp;(LEFT(A249,SUM(LEN(A249)-LEN(SUBSTITUTE(A249,{"0","1","2"},""))))), LARGE(INDEX(ISNUMBER(--MID((LEFT(A249,SUM(LEN(A249)-LEN(SUBSTITUTE(A249,{"0","1","2"},""))))), ROW(INDIRECT("1:"&amp;LEN((LEFT(A249,SUM(LEN(A249)-LEN(SUBSTITUTE(A249,{"0","1","2"},"")))))))), 1)) * ROW(INDIRECT("1:"&amp;LEN((LEFT(A249,SUM(LEN(A249)-LEN(SUBSTITUTE(A249,{"0","1","2"},"")))))))), 0), ROW(INDIRECT("1:"&amp;LEN((LEFT(A249,SUM(LEN(A249)-LEN(SUBSTITUTE(A249,{"0","1","2"},"")))))))))+1, 1) * 10^ROW(INDIRECT("1:"&amp;LEN((LEFT(A249,SUM(LEN(A249)-LEN(SUBSTITUTE(A249,{"0","1","2"},""))))))))/10))*1+1&amp;""&amp;" &amp; "&amp;""&amp;(SUMPRODUCT(MID(0&amp;(--TRIM(RIGHT(SUBSTITUTE(LEFT(A249,_xlfn.AGGREGATE(16,6,FIND({0,1,2,3,4,5,6,7,8,9},A249,ROW(INDIRECT("1:"&amp;LEN(A249)))),1))," ",REPT(" ",LEN(A249))),LEN(A249)))), LARGE(INDEX(ISNUMBER(--MID((--TRIM(RIGHT(SUBSTITUTE(LEFT(A249,_xlfn.AGGREGATE(16,6,FIND({0,1,2,3,4,5,6,7,8,9},A249,ROW(INDIRECT("1:"&amp;LEN(A249)))),1))," ",REPT(" ",LEN(A249))),LEN(A249)))), ROW(INDIRECT("1:"&amp;LEN((--TRIM(RIGHT(SUBSTITUTE(LEFT(A249,_xlfn.AGGREGATE(16,6,FIND({0,1,2,3,4,5,6,7,8,9},A249,ROW(INDIRECT("1:"&amp;LEN(A249)))),1))," ",REPT(" ",LEN(A249))),LEN(A249))))))), 1)) * ROW(INDIRECT("1:"&amp;LEN((--TRIM(RIGHT(SUBSTITUTE(LEFT(A249,_xlfn.AGGREGATE(16,6,FIND({0,1,2,3,4,5,6,7,8,9},A249,ROW(INDIRECT("1:"&amp;LEN(A249)))),1))," ",REPT(" ",LEN(A249))),LEN(A249))))))), 0), ROW(INDIRECT("1:"&amp;LEN((--TRIM(RIGHT(SUBSTITUTE(LEFT(A249,_xlfn.AGGREGATE(16,6,FIND({0,1,2,3,4,5,6,7,8,9},A249,ROW(INDIRECT("1:"&amp;LEN(A249)))),1))," ",REPT(" ",LEN(A249))),LEN(A249))))))))+1, 1) * 10^ROW(INDIRECT("1:"&amp;LEN((--TRIM(RIGHT(SUBSTITUTE(LEFT(A249,_xlfn.AGGREGATE(16,6,FIND({0,1,2,3,4,5,6,7,8,9},A249,ROW(INDIRECT("1:"&amp;LEN(A249)))),1))," ",REPT(" ",LEN(A249))),LEN(A249)))))))/10))*1+1</f>
        <v>205 &amp; 505</v>
      </c>
      <c r="B250" s="111"/>
      <c r="C250" s="42"/>
      <c r="D250" s="42"/>
      <c r="E250" s="56">
        <v>0</v>
      </c>
      <c r="F250" s="56">
        <f>D250+E250</f>
        <v>0</v>
      </c>
      <c r="G250" s="56">
        <v>0</v>
      </c>
      <c r="H250" s="56">
        <f>F250*(($H$177)+1)+(IF(G250&lt;101,G250,IF(G250&lt;201,G250/2,IF(G250&lt;=301,G250/3,G250/4))))</f>
        <v>0</v>
      </c>
      <c r="I250" s="36"/>
    </row>
    <row r="251" spans="1:20" s="35" customFormat="1" x14ac:dyDescent="0.35">
      <c r="A251" s="214" t="s">
        <v>65</v>
      </c>
      <c r="B251" s="214"/>
      <c r="C251" s="214"/>
      <c r="D251" s="214"/>
      <c r="E251" s="214"/>
      <c r="F251" s="214"/>
      <c r="G251" s="214"/>
      <c r="H251" s="214"/>
      <c r="T251" s="37"/>
    </row>
    <row r="252" spans="1:20" s="35" customFormat="1" x14ac:dyDescent="0.35">
      <c r="A252" s="46">
        <v>1</v>
      </c>
      <c r="B252" s="204" t="s">
        <v>343</v>
      </c>
      <c r="C252" s="205"/>
      <c r="D252" s="205"/>
      <c r="E252" s="205"/>
      <c r="F252" s="205"/>
      <c r="G252" s="205"/>
      <c r="H252" s="206"/>
      <c r="T252" s="37"/>
    </row>
    <row r="253" spans="1:20" s="35" customFormat="1" x14ac:dyDescent="0.35">
      <c r="A253" s="76">
        <f>A252+1</f>
        <v>2</v>
      </c>
      <c r="B253" s="211" t="str">
        <f>(IF(H176="Saleable area Loading :","We have considered Saleable area of Flats as per our Calculation.","We considered Saleable area of Flat as per Builder area Sheet."))</f>
        <v>We have considered Saleable area of Flats as per our Calculation.</v>
      </c>
      <c r="C253" s="212"/>
      <c r="D253" s="212"/>
      <c r="E253" s="212"/>
      <c r="F253" s="212"/>
      <c r="G253" s="212"/>
      <c r="H253" s="213"/>
      <c r="T253" s="37"/>
    </row>
    <row r="254" spans="1:20" s="35" customFormat="1" x14ac:dyDescent="0.35">
      <c r="A254" s="76">
        <f t="shared" ref="A254:A261" si="33">A253+1</f>
        <v>3</v>
      </c>
      <c r="B254" s="211" t="str">
        <f>(IF(H142="Saleable area Loading :","We have considered Saleable area of Commercial as per our Calculation.","We considered Saleable area of Commercial as per Builder area Sheet."))</f>
        <v>We have considered Saleable area of Commercial as per our Calculation.</v>
      </c>
      <c r="C254" s="212"/>
      <c r="D254" s="212"/>
      <c r="E254" s="212"/>
      <c r="F254" s="212"/>
      <c r="G254" s="212"/>
      <c r="H254" s="213"/>
      <c r="T254" s="37"/>
    </row>
    <row r="255" spans="1:20" s="35" customFormat="1" x14ac:dyDescent="0.35">
      <c r="A255" s="76">
        <f t="shared" si="33"/>
        <v>4</v>
      </c>
      <c r="B255" s="107" t="s">
        <v>118</v>
      </c>
      <c r="C255" s="108"/>
      <c r="D255" s="108"/>
      <c r="E255" s="108"/>
      <c r="F255" s="108"/>
      <c r="G255" s="108"/>
      <c r="H255" s="109"/>
      <c r="T255" s="37"/>
    </row>
    <row r="256" spans="1:20" s="35" customFormat="1" ht="17.25" customHeight="1" x14ac:dyDescent="0.35">
      <c r="A256" s="76">
        <f t="shared" si="33"/>
        <v>5</v>
      </c>
      <c r="B256" s="107" t="s">
        <v>344</v>
      </c>
      <c r="C256" s="108"/>
      <c r="D256" s="108"/>
      <c r="E256" s="108"/>
      <c r="F256" s="108"/>
      <c r="G256" s="108"/>
      <c r="H256" s="109"/>
      <c r="T256" s="37"/>
    </row>
    <row r="257" spans="1:20" s="35" customFormat="1" x14ac:dyDescent="0.35">
      <c r="A257" s="76">
        <f t="shared" si="33"/>
        <v>6</v>
      </c>
      <c r="B257" s="107" t="s">
        <v>150</v>
      </c>
      <c r="C257" s="108"/>
      <c r="D257" s="108"/>
      <c r="E257" s="108"/>
      <c r="F257" s="108"/>
      <c r="G257" s="108"/>
      <c r="H257" s="109"/>
    </row>
    <row r="258" spans="1:20" s="35" customFormat="1" x14ac:dyDescent="0.35">
      <c r="A258" s="76">
        <f t="shared" si="33"/>
        <v>7</v>
      </c>
      <c r="B258" s="107" t="s">
        <v>119</v>
      </c>
      <c r="C258" s="108"/>
      <c r="D258" s="108"/>
      <c r="E258" s="108"/>
      <c r="F258" s="108"/>
      <c r="G258" s="108"/>
      <c r="H258" s="109"/>
    </row>
    <row r="259" spans="1:20" s="35" customFormat="1" ht="34.5" customHeight="1" x14ac:dyDescent="0.35">
      <c r="A259" s="76">
        <f>A258+1</f>
        <v>8</v>
      </c>
      <c r="B259" s="107" t="s">
        <v>152</v>
      </c>
      <c r="C259" s="108"/>
      <c r="D259" s="108"/>
      <c r="E259" s="108"/>
      <c r="F259" s="108"/>
      <c r="G259" s="108"/>
      <c r="H259" s="109"/>
    </row>
    <row r="260" spans="1:20" s="35" customFormat="1" x14ac:dyDescent="0.35">
      <c r="A260" s="76">
        <f t="shared" si="33"/>
        <v>9</v>
      </c>
      <c r="B260" s="107" t="s">
        <v>120</v>
      </c>
      <c r="C260" s="108"/>
      <c r="D260" s="108"/>
      <c r="E260" s="108"/>
      <c r="F260" s="108"/>
      <c r="G260" s="108"/>
      <c r="H260" s="109"/>
    </row>
    <row r="261" spans="1:20" s="35" customFormat="1" ht="32.25" customHeight="1" x14ac:dyDescent="0.35">
      <c r="A261" s="76">
        <f t="shared" si="33"/>
        <v>10</v>
      </c>
      <c r="B261" s="204" t="s">
        <v>342</v>
      </c>
      <c r="C261" s="205"/>
      <c r="D261" s="205"/>
      <c r="E261" s="205"/>
      <c r="F261" s="205"/>
      <c r="G261" s="205"/>
      <c r="H261" s="206"/>
    </row>
    <row r="262" spans="1:20" s="35" customFormat="1" hidden="1" x14ac:dyDescent="0.35">
      <c r="A262" s="57" t="s">
        <v>151</v>
      </c>
      <c r="B262" s="88" t="s">
        <v>231</v>
      </c>
      <c r="C262" s="89"/>
      <c r="D262" s="89"/>
      <c r="E262" s="89"/>
      <c r="F262" s="89"/>
      <c r="G262" s="89"/>
      <c r="H262" s="90"/>
    </row>
    <row r="263" spans="1:20" x14ac:dyDescent="0.35">
      <c r="A263" s="147" t="s">
        <v>58</v>
      </c>
      <c r="B263" s="147"/>
      <c r="C263" s="147"/>
      <c r="D263" s="147"/>
      <c r="E263" s="147"/>
      <c r="F263" s="147"/>
      <c r="G263" s="147"/>
      <c r="H263" s="147"/>
      <c r="T263" s="35"/>
    </row>
    <row r="264" spans="1:20" x14ac:dyDescent="0.35">
      <c r="A264" s="91" t="s">
        <v>59</v>
      </c>
      <c r="B264" s="91"/>
      <c r="C264" s="91"/>
      <c r="D264" s="91"/>
      <c r="E264" s="91"/>
      <c r="F264" s="91"/>
      <c r="G264" s="91"/>
      <c r="H264" s="91"/>
      <c r="T264" s="35"/>
    </row>
    <row r="265" spans="1:20" ht="15.75" customHeight="1" x14ac:dyDescent="0.35">
      <c r="A265" s="215" t="s">
        <v>60</v>
      </c>
      <c r="B265" s="215"/>
      <c r="C265" s="215"/>
      <c r="D265" s="215"/>
      <c r="E265" s="215"/>
      <c r="F265" s="215"/>
      <c r="G265" s="215"/>
      <c r="H265" s="215"/>
      <c r="T265" s="35"/>
    </row>
    <row r="266" spans="1:20" x14ac:dyDescent="0.35">
      <c r="A266" s="91" t="s">
        <v>61</v>
      </c>
      <c r="B266" s="91"/>
      <c r="C266" s="91"/>
      <c r="D266" s="91"/>
      <c r="E266" s="91"/>
      <c r="F266" s="91"/>
      <c r="G266" s="91"/>
      <c r="H266" s="91"/>
      <c r="T266" s="35"/>
    </row>
    <row r="267" spans="1:20" x14ac:dyDescent="0.35">
      <c r="A267" s="91" t="s">
        <v>62</v>
      </c>
      <c r="B267" s="91"/>
      <c r="C267" s="91"/>
      <c r="D267" s="91"/>
      <c r="E267" s="91"/>
      <c r="F267" s="91"/>
      <c r="G267" s="91"/>
      <c r="H267" s="91"/>
      <c r="T267" s="35"/>
    </row>
    <row r="268" spans="1:20" x14ac:dyDescent="0.35">
      <c r="A268" s="91" t="s">
        <v>121</v>
      </c>
      <c r="B268" s="91"/>
      <c r="C268" s="91"/>
      <c r="D268" s="91"/>
      <c r="E268" s="91"/>
      <c r="F268" s="91"/>
      <c r="G268" s="91"/>
      <c r="H268" s="91"/>
      <c r="T268" s="35"/>
    </row>
    <row r="269" spans="1:20" ht="34" customHeight="1" x14ac:dyDescent="0.35">
      <c r="A269" s="132" t="s">
        <v>122</v>
      </c>
      <c r="B269" s="132"/>
      <c r="C269" s="132"/>
      <c r="D269" s="132"/>
      <c r="E269" s="132"/>
      <c r="F269" s="132"/>
      <c r="G269" s="132"/>
      <c r="H269" s="132"/>
    </row>
    <row r="270" spans="1:20" x14ac:dyDescent="0.35">
      <c r="A270" s="194" t="s">
        <v>74</v>
      </c>
      <c r="B270" s="194"/>
      <c r="C270" s="194" t="s">
        <v>352</v>
      </c>
      <c r="D270" s="194"/>
      <c r="E270" s="194" t="s">
        <v>104</v>
      </c>
      <c r="F270" s="194"/>
      <c r="G270" s="195" t="s">
        <v>351</v>
      </c>
      <c r="H270" s="195"/>
    </row>
    <row r="271" spans="1:20" x14ac:dyDescent="0.35">
      <c r="A271" s="193" t="s">
        <v>76</v>
      </c>
      <c r="B271" s="193"/>
      <c r="C271" s="193"/>
      <c r="D271" s="193"/>
      <c r="E271" s="193"/>
      <c r="F271" s="193"/>
      <c r="G271" s="193"/>
      <c r="H271" s="193"/>
    </row>
    <row r="272" spans="1:20" x14ac:dyDescent="0.35">
      <c r="A272" s="193"/>
      <c r="B272" s="193"/>
      <c r="C272" s="193"/>
      <c r="D272" s="193"/>
      <c r="E272" s="193"/>
      <c r="F272" s="193"/>
      <c r="G272" s="193"/>
      <c r="H272" s="193"/>
    </row>
    <row r="273" spans="1:8" x14ac:dyDescent="0.35">
      <c r="A273" s="193"/>
      <c r="B273" s="193"/>
      <c r="C273" s="193"/>
      <c r="D273" s="193"/>
      <c r="E273" s="193"/>
      <c r="F273" s="193"/>
      <c r="G273" s="193"/>
      <c r="H273" s="193"/>
    </row>
    <row r="274" spans="1:8" x14ac:dyDescent="0.35">
      <c r="A274" s="193"/>
      <c r="B274" s="193"/>
      <c r="C274" s="193"/>
      <c r="D274" s="193"/>
      <c r="E274" s="193"/>
      <c r="F274" s="193"/>
      <c r="G274" s="193"/>
      <c r="H274" s="193"/>
    </row>
    <row r="275" spans="1:8" x14ac:dyDescent="0.35">
      <c r="A275" s="38" t="s">
        <v>63</v>
      </c>
      <c r="B275" s="39"/>
      <c r="C275" s="39"/>
      <c r="D275" s="38" t="str">
        <f>E9</f>
        <v>Bileshwar</v>
      </c>
      <c r="F275" s="39"/>
      <c r="G275" s="39"/>
      <c r="H275" s="39"/>
    </row>
    <row r="276" spans="1:8" x14ac:dyDescent="0.35">
      <c r="A276" s="39"/>
      <c r="B276" s="39"/>
      <c r="C276" s="39"/>
      <c r="D276" s="39"/>
      <c r="E276" s="39"/>
      <c r="F276" s="39"/>
      <c r="G276" s="39"/>
      <c r="H276" s="39"/>
    </row>
    <row r="277" spans="1:8" x14ac:dyDescent="0.35">
      <c r="A277" s="39"/>
      <c r="B277" s="39"/>
      <c r="C277" s="39"/>
      <c r="D277" s="39"/>
      <c r="E277" s="39"/>
      <c r="F277" s="39"/>
      <c r="G277" s="39"/>
      <c r="H277" s="39"/>
    </row>
    <row r="278" spans="1:8" ht="15" customHeight="1" x14ac:dyDescent="0.35"/>
    <row r="318" spans="1:1" x14ac:dyDescent="0.35">
      <c r="A318" s="41" t="s">
        <v>345</v>
      </c>
    </row>
    <row r="327" spans="7:7" x14ac:dyDescent="0.35">
      <c r="G327" s="73"/>
    </row>
    <row r="342" spans="11:11" x14ac:dyDescent="0.35">
      <c r="K342"/>
    </row>
    <row r="361" spans="1:1" x14ac:dyDescent="0.35">
      <c r="A361" s="41" t="s">
        <v>162</v>
      </c>
    </row>
    <row r="370" spans="7:7" x14ac:dyDescent="0.35">
      <c r="G370" s="73"/>
    </row>
    <row r="404" spans="1:1" x14ac:dyDescent="0.35">
      <c r="A404" s="41" t="s">
        <v>64</v>
      </c>
    </row>
  </sheetData>
  <mergeCells count="461">
    <mergeCell ref="L190:M190"/>
    <mergeCell ref="A191:B191"/>
    <mergeCell ref="L191:M191"/>
    <mergeCell ref="A228:B228"/>
    <mergeCell ref="A229:B229"/>
    <mergeCell ref="A230:B230"/>
    <mergeCell ref="A231:B231"/>
    <mergeCell ref="A232:B232"/>
    <mergeCell ref="C228:H228"/>
    <mergeCell ref="A209:B209"/>
    <mergeCell ref="A210:B210"/>
    <mergeCell ref="A222:H222"/>
    <mergeCell ref="A211:H211"/>
    <mergeCell ref="A212:B212"/>
    <mergeCell ref="A213:B213"/>
    <mergeCell ref="A214:B214"/>
    <mergeCell ref="A215:B215"/>
    <mergeCell ref="A216:B216"/>
    <mergeCell ref="A217:B217"/>
    <mergeCell ref="A218:B218"/>
    <mergeCell ref="A219:B219"/>
    <mergeCell ref="A220:B220"/>
    <mergeCell ref="A221:B221"/>
    <mergeCell ref="A184:B184"/>
    <mergeCell ref="L222:M222"/>
    <mergeCell ref="A223:B223"/>
    <mergeCell ref="A224:B224"/>
    <mergeCell ref="A225:B225"/>
    <mergeCell ref="A226:B226"/>
    <mergeCell ref="A227:B227"/>
    <mergeCell ref="A200:H200"/>
    <mergeCell ref="A201:B201"/>
    <mergeCell ref="A202:B202"/>
    <mergeCell ref="A203:B203"/>
    <mergeCell ref="A204:B204"/>
    <mergeCell ref="A205:B205"/>
    <mergeCell ref="A206:B206"/>
    <mergeCell ref="A207:B207"/>
    <mergeCell ref="A208:B208"/>
    <mergeCell ref="A186:H186"/>
    <mergeCell ref="A187:B187"/>
    <mergeCell ref="L187:M187"/>
    <mergeCell ref="A188:B188"/>
    <mergeCell ref="L188:M188"/>
    <mergeCell ref="A189:B189"/>
    <mergeCell ref="L189:M189"/>
    <mergeCell ref="A190:B190"/>
    <mergeCell ref="L169:M169"/>
    <mergeCell ref="A179:H179"/>
    <mergeCell ref="A185:B185"/>
    <mergeCell ref="L185:M185"/>
    <mergeCell ref="C195:H195"/>
    <mergeCell ref="A178:H178"/>
    <mergeCell ref="A198:H198"/>
    <mergeCell ref="A199:H199"/>
    <mergeCell ref="A170:B170"/>
    <mergeCell ref="L170:M170"/>
    <mergeCell ref="A171:B171"/>
    <mergeCell ref="L171:M171"/>
    <mergeCell ref="A172:B172"/>
    <mergeCell ref="L172:M172"/>
    <mergeCell ref="A173:B173"/>
    <mergeCell ref="L173:M173"/>
    <mergeCell ref="A174:B174"/>
    <mergeCell ref="L174:M174"/>
    <mergeCell ref="L192:M192"/>
    <mergeCell ref="A195:B195"/>
    <mergeCell ref="L184:M184"/>
    <mergeCell ref="L181:M181"/>
    <mergeCell ref="L182:M182"/>
    <mergeCell ref="L183:M183"/>
    <mergeCell ref="L164:M164"/>
    <mergeCell ref="A165:B165"/>
    <mergeCell ref="L165:M165"/>
    <mergeCell ref="A166:B166"/>
    <mergeCell ref="L166:M166"/>
    <mergeCell ref="A167:B167"/>
    <mergeCell ref="L167:M167"/>
    <mergeCell ref="A168:B168"/>
    <mergeCell ref="L168:M168"/>
    <mergeCell ref="L159:M159"/>
    <mergeCell ref="A160:B160"/>
    <mergeCell ref="L160:M160"/>
    <mergeCell ref="A161:B161"/>
    <mergeCell ref="L161:M161"/>
    <mergeCell ref="A162:B162"/>
    <mergeCell ref="L162:M162"/>
    <mergeCell ref="A163:B163"/>
    <mergeCell ref="L163:M163"/>
    <mergeCell ref="L152:M152"/>
    <mergeCell ref="A153:B153"/>
    <mergeCell ref="L153:M153"/>
    <mergeCell ref="A154:B154"/>
    <mergeCell ref="L154:M154"/>
    <mergeCell ref="A155:B155"/>
    <mergeCell ref="L155:M155"/>
    <mergeCell ref="A156:B156"/>
    <mergeCell ref="L156:M156"/>
    <mergeCell ref="A50:B50"/>
    <mergeCell ref="A150:B150"/>
    <mergeCell ref="L150:M150"/>
    <mergeCell ref="A151:B151"/>
    <mergeCell ref="L151:M151"/>
    <mergeCell ref="A144:H144"/>
    <mergeCell ref="G51:H51"/>
    <mergeCell ref="A52:B53"/>
    <mergeCell ref="C53:H53"/>
    <mergeCell ref="C52:E52"/>
    <mergeCell ref="C56:E56"/>
    <mergeCell ref="G56:H56"/>
    <mergeCell ref="A58:B59"/>
    <mergeCell ref="C58:E58"/>
    <mergeCell ref="G58:H58"/>
    <mergeCell ref="F142:F143"/>
    <mergeCell ref="C131:D131"/>
    <mergeCell ref="E131:F131"/>
    <mergeCell ref="B142:B143"/>
    <mergeCell ref="A142:A143"/>
    <mergeCell ref="I15:P15"/>
    <mergeCell ref="F126:H126"/>
    <mergeCell ref="F124:H124"/>
    <mergeCell ref="A235:B235"/>
    <mergeCell ref="A141:H141"/>
    <mergeCell ref="G130:H130"/>
    <mergeCell ref="A125:E125"/>
    <mergeCell ref="A147:B147"/>
    <mergeCell ref="A60:B60"/>
    <mergeCell ref="C60:E60"/>
    <mergeCell ref="D62:H62"/>
    <mergeCell ref="F125:H125"/>
    <mergeCell ref="E130:F130"/>
    <mergeCell ref="A130:B130"/>
    <mergeCell ref="A132:B132"/>
    <mergeCell ref="C135:D135"/>
    <mergeCell ref="D71:H71"/>
    <mergeCell ref="A72:C72"/>
    <mergeCell ref="E43:H43"/>
    <mergeCell ref="A43:D43"/>
    <mergeCell ref="A54:B55"/>
    <mergeCell ref="C54:E54"/>
    <mergeCell ref="G54:H54"/>
    <mergeCell ref="A56:B57"/>
    <mergeCell ref="A268:H268"/>
    <mergeCell ref="A265:H265"/>
    <mergeCell ref="A193:B193"/>
    <mergeCell ref="A135:B135"/>
    <mergeCell ref="D176:D177"/>
    <mergeCell ref="E176:E177"/>
    <mergeCell ref="A96:B96"/>
    <mergeCell ref="A97:B97"/>
    <mergeCell ref="A98:B98"/>
    <mergeCell ref="A112:B112"/>
    <mergeCell ref="F117:H117"/>
    <mergeCell ref="G131:H131"/>
    <mergeCell ref="A115:B115"/>
    <mergeCell ref="F123:H123"/>
    <mergeCell ref="C130:D130"/>
    <mergeCell ref="C138:D138"/>
    <mergeCell ref="A180:H180"/>
    <mergeCell ref="A237:B237"/>
    <mergeCell ref="A234:B234"/>
    <mergeCell ref="A146:B146"/>
    <mergeCell ref="A152:B152"/>
    <mergeCell ref="A157:H157"/>
    <mergeCell ref="A158:H158"/>
    <mergeCell ref="A159:B159"/>
    <mergeCell ref="B261:H261"/>
    <mergeCell ref="A139:B139"/>
    <mergeCell ref="C139:D139"/>
    <mergeCell ref="E139:F139"/>
    <mergeCell ref="B260:H260"/>
    <mergeCell ref="B258:H258"/>
    <mergeCell ref="B254:H254"/>
    <mergeCell ref="A248:B248"/>
    <mergeCell ref="A245:H245"/>
    <mergeCell ref="A246:B246"/>
    <mergeCell ref="A247:B247"/>
    <mergeCell ref="A250:B250"/>
    <mergeCell ref="A249:B249"/>
    <mergeCell ref="B252:H252"/>
    <mergeCell ref="B253:H253"/>
    <mergeCell ref="B255:H255"/>
    <mergeCell ref="B256:H256"/>
    <mergeCell ref="A251:H251"/>
    <mergeCell ref="A243:B243"/>
    <mergeCell ref="A244:B244"/>
    <mergeCell ref="A239:H239"/>
    <mergeCell ref="A233:H233"/>
    <mergeCell ref="A197:B197"/>
    <mergeCell ref="A194:B194"/>
    <mergeCell ref="A181:B181"/>
    <mergeCell ref="A149:B149"/>
    <mergeCell ref="A148:B148"/>
    <mergeCell ref="E91:F91"/>
    <mergeCell ref="G91:H91"/>
    <mergeCell ref="A122:E122"/>
    <mergeCell ref="F122:H122"/>
    <mergeCell ref="A124:E124"/>
    <mergeCell ref="F119:H119"/>
    <mergeCell ref="A123:E123"/>
    <mergeCell ref="A109:B109"/>
    <mergeCell ref="A110:B110"/>
    <mergeCell ref="E92:F101"/>
    <mergeCell ref="A99:B99"/>
    <mergeCell ref="A100:B100"/>
    <mergeCell ref="E105:F105"/>
    <mergeCell ref="E106:F115"/>
    <mergeCell ref="A175:H175"/>
    <mergeCell ref="E135:F135"/>
    <mergeCell ref="A140:H140"/>
    <mergeCell ref="A176:A177"/>
    <mergeCell ref="F176:F177"/>
    <mergeCell ref="A164:B164"/>
    <mergeCell ref="A169:B169"/>
    <mergeCell ref="A271:H274"/>
    <mergeCell ref="A270:B270"/>
    <mergeCell ref="E270:F270"/>
    <mergeCell ref="C270:D270"/>
    <mergeCell ref="G270:H270"/>
    <mergeCell ref="A129:H129"/>
    <mergeCell ref="A127:E127"/>
    <mergeCell ref="F127:H127"/>
    <mergeCell ref="A128:E128"/>
    <mergeCell ref="F128:H128"/>
    <mergeCell ref="A192:H192"/>
    <mergeCell ref="A136:B136"/>
    <mergeCell ref="A236:B236"/>
    <mergeCell ref="A131:B131"/>
    <mergeCell ref="A266:H266"/>
    <mergeCell ref="A134:H134"/>
    <mergeCell ref="A269:H269"/>
    <mergeCell ref="A267:H267"/>
    <mergeCell ref="A263:H263"/>
    <mergeCell ref="G135:H135"/>
    <mergeCell ref="A238:B238"/>
    <mergeCell ref="C142:C143"/>
    <mergeCell ref="B176:B177"/>
    <mergeCell ref="A264:H264"/>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14:H14"/>
    <mergeCell ref="A15:D15"/>
    <mergeCell ref="A11:D11"/>
    <mergeCell ref="E11:H11"/>
    <mergeCell ref="A23:D24"/>
    <mergeCell ref="E23:H24"/>
    <mergeCell ref="E15:H15"/>
    <mergeCell ref="A16:B16"/>
    <mergeCell ref="C16:H16"/>
    <mergeCell ref="C17:H17"/>
    <mergeCell ref="A18:B18"/>
    <mergeCell ref="C18:H18"/>
    <mergeCell ref="A13:D13"/>
    <mergeCell ref="E13:H13"/>
    <mergeCell ref="A12:D12"/>
    <mergeCell ref="E12:H12"/>
    <mergeCell ref="A17:B17"/>
    <mergeCell ref="A14:D14"/>
    <mergeCell ref="C35:E35"/>
    <mergeCell ref="A25:D25"/>
    <mergeCell ref="E25:H25"/>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F34:H34"/>
    <mergeCell ref="F35:H35"/>
    <mergeCell ref="F37:H37"/>
    <mergeCell ref="E27:H27"/>
    <mergeCell ref="A29:D29"/>
    <mergeCell ref="E29:H29"/>
    <mergeCell ref="A26:D26"/>
    <mergeCell ref="E26:H26"/>
    <mergeCell ref="A30:D30"/>
    <mergeCell ref="E30:H30"/>
    <mergeCell ref="A27:D27"/>
    <mergeCell ref="A36:B36"/>
    <mergeCell ref="C36:E36"/>
    <mergeCell ref="A31:D31"/>
    <mergeCell ref="E31:H31"/>
    <mergeCell ref="A32:D32"/>
    <mergeCell ref="E32:H32"/>
    <mergeCell ref="A28:D28"/>
    <mergeCell ref="E28:H28"/>
    <mergeCell ref="C33:E33"/>
    <mergeCell ref="F36:H36"/>
    <mergeCell ref="F33:H33"/>
    <mergeCell ref="A34:B34"/>
    <mergeCell ref="A33:B33"/>
    <mergeCell ref="C34:E34"/>
    <mergeCell ref="A35:B35"/>
    <mergeCell ref="A38:H38"/>
    <mergeCell ref="A37:B37"/>
    <mergeCell ref="C37:E37"/>
    <mergeCell ref="G106:H115"/>
    <mergeCell ref="A42:D42"/>
    <mergeCell ref="E42:H42"/>
    <mergeCell ref="A41:H41"/>
    <mergeCell ref="A67:C67"/>
    <mergeCell ref="A68:C68"/>
    <mergeCell ref="D67:H67"/>
    <mergeCell ref="E78:F87"/>
    <mergeCell ref="G78:H87"/>
    <mergeCell ref="A86:B86"/>
    <mergeCell ref="A87:B87"/>
    <mergeCell ref="D68:H68"/>
    <mergeCell ref="A44:D44"/>
    <mergeCell ref="E44:H44"/>
    <mergeCell ref="E45:H45"/>
    <mergeCell ref="E46:H46"/>
    <mergeCell ref="A91:B91"/>
    <mergeCell ref="E47:H47"/>
    <mergeCell ref="C57:H57"/>
    <mergeCell ref="C59:H59"/>
    <mergeCell ref="A90:B90"/>
    <mergeCell ref="A39:B39"/>
    <mergeCell ref="C39:H39"/>
    <mergeCell ref="A46:D46"/>
    <mergeCell ref="L149:M149"/>
    <mergeCell ref="L148:M148"/>
    <mergeCell ref="L147:M147"/>
    <mergeCell ref="L146:M146"/>
    <mergeCell ref="A85:B85"/>
    <mergeCell ref="C136:D136"/>
    <mergeCell ref="E136:F136"/>
    <mergeCell ref="G136:H136"/>
    <mergeCell ref="A117:E117"/>
    <mergeCell ref="A102:B102"/>
    <mergeCell ref="C102:H102"/>
    <mergeCell ref="A145:H145"/>
    <mergeCell ref="E142:E143"/>
    <mergeCell ref="A92:B92"/>
    <mergeCell ref="A47:D47"/>
    <mergeCell ref="A48:H48"/>
    <mergeCell ref="A40:B40"/>
    <mergeCell ref="C40:H40"/>
    <mergeCell ref="A81:B81"/>
    <mergeCell ref="E77:F77"/>
    <mergeCell ref="A70:C70"/>
    <mergeCell ref="C176:C177"/>
    <mergeCell ref="G176:G177"/>
    <mergeCell ref="G139:H139"/>
    <mergeCell ref="C55:H55"/>
    <mergeCell ref="D64:H64"/>
    <mergeCell ref="A64:C64"/>
    <mergeCell ref="A84:B84"/>
    <mergeCell ref="C90:H90"/>
    <mergeCell ref="A80:B80"/>
    <mergeCell ref="D70:H70"/>
    <mergeCell ref="A73:C73"/>
    <mergeCell ref="D73:H73"/>
    <mergeCell ref="A71:C71"/>
    <mergeCell ref="D72:H72"/>
    <mergeCell ref="A78:B78"/>
    <mergeCell ref="G77:H77"/>
    <mergeCell ref="A77:B77"/>
    <mergeCell ref="F116:H116"/>
    <mergeCell ref="F121:H121"/>
    <mergeCell ref="A88:B88"/>
    <mergeCell ref="C88:H88"/>
    <mergeCell ref="A83:B83"/>
    <mergeCell ref="A45:D45"/>
    <mergeCell ref="A76:B76"/>
    <mergeCell ref="A74:B74"/>
    <mergeCell ref="C74:H74"/>
    <mergeCell ref="A82:B82"/>
    <mergeCell ref="A69:C69"/>
    <mergeCell ref="D69:H69"/>
    <mergeCell ref="C76:H76"/>
    <mergeCell ref="A79:B79"/>
    <mergeCell ref="A49:B49"/>
    <mergeCell ref="C49:H49"/>
    <mergeCell ref="A65:C66"/>
    <mergeCell ref="D65:H65"/>
    <mergeCell ref="D66:H66"/>
    <mergeCell ref="C51:E51"/>
    <mergeCell ref="C50:E50"/>
    <mergeCell ref="G50:H50"/>
    <mergeCell ref="G52:H52"/>
    <mergeCell ref="A51:B51"/>
    <mergeCell ref="A61:H61"/>
    <mergeCell ref="A62:C62"/>
    <mergeCell ref="A63:C63"/>
    <mergeCell ref="D63:H63"/>
    <mergeCell ref="G60:H60"/>
    <mergeCell ref="B257:H257"/>
    <mergeCell ref="A107:B107"/>
    <mergeCell ref="A108:B108"/>
    <mergeCell ref="G92:H101"/>
    <mergeCell ref="A93:B93"/>
    <mergeCell ref="A94:B94"/>
    <mergeCell ref="A95:B95"/>
    <mergeCell ref="F118:H118"/>
    <mergeCell ref="A118:E118"/>
    <mergeCell ref="D142:D143"/>
    <mergeCell ref="A120:E120"/>
    <mergeCell ref="A111:B111"/>
    <mergeCell ref="A113:B113"/>
    <mergeCell ref="A114:B114"/>
    <mergeCell ref="A119:E119"/>
    <mergeCell ref="A116:E116"/>
    <mergeCell ref="F120:H120"/>
    <mergeCell ref="G105:H105"/>
    <mergeCell ref="A104:B104"/>
    <mergeCell ref="G142:G143"/>
    <mergeCell ref="A241:B241"/>
    <mergeCell ref="A240:B240"/>
    <mergeCell ref="A182:B182"/>
    <mergeCell ref="A183:B183"/>
    <mergeCell ref="B262:H262"/>
    <mergeCell ref="A121:E121"/>
    <mergeCell ref="A101:B101"/>
    <mergeCell ref="A106:B106"/>
    <mergeCell ref="A138:B138"/>
    <mergeCell ref="E138:F138"/>
    <mergeCell ref="C104:H104"/>
    <mergeCell ref="A105:B105"/>
    <mergeCell ref="A126:E126"/>
    <mergeCell ref="G138:H138"/>
    <mergeCell ref="C132:D132"/>
    <mergeCell ref="E132:F132"/>
    <mergeCell ref="G132:H132"/>
    <mergeCell ref="A133:B133"/>
    <mergeCell ref="C133:D133"/>
    <mergeCell ref="E133:F133"/>
    <mergeCell ref="G133:H133"/>
    <mergeCell ref="A137:B137"/>
    <mergeCell ref="C137:D137"/>
    <mergeCell ref="E137:F137"/>
    <mergeCell ref="G137:H137"/>
    <mergeCell ref="B259:H259"/>
    <mergeCell ref="A242:B242"/>
    <mergeCell ref="A196:B196"/>
  </mergeCells>
  <dataValidations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2:E143">
      <formula1>"Attached Loft area,Attached Otla area,Attached Mezzanine area"</formula1>
    </dataValidation>
    <dataValidation type="list" allowBlank="1" showInputMessage="1" showErrorMessage="1" sqref="G270:H270">
      <formula1>"Kunal Kadam,Gaurav Panchal,Pranita Mhatre,Shruti Fule,Pooja Kawale,Neha Dhokale,Shruti Tathare, Hitakshi Mhatre, Sachin Sawant"</formula1>
    </dataValidation>
    <dataValidation type="list" allowBlank="1" showInputMessage="1" showErrorMessage="1" sqref="F116:H116">
      <formula1>"On Saleable Area,On Builtup Area,On Carpet Area,On Plot Area"</formula1>
    </dataValidation>
    <dataValidation type="list" allowBlank="1" showInputMessage="1" showErrorMessage="1" sqref="F127:H127">
      <formula1>OFFSET($S$116,1,MATCH($G20,$S$116:$W$116,0)-1,15,1)</formula1>
    </dataValidation>
    <dataValidation type="list" allowBlank="1" showInputMessage="1" showErrorMessage="1" sqref="B142:B143">
      <formula1>"Shop No. (Sale Plan),Sale / Rehab,Sale / Mhada"</formula1>
    </dataValidation>
    <dataValidation type="list" allowBlank="1" showInputMessage="1" showErrorMessage="1" sqref="B176:B177">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76:E177">
      <formula1>"Fungible area,Balcony Area/Chajja Area,Cornice Area,AP Area,WS Area"</formula1>
    </dataValidation>
    <dataValidation type="list" allowBlank="1" showInputMessage="1" showErrorMessage="1" sqref="H143 H177">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whole" allowBlank="1" showInputMessage="1" showErrorMessage="1" sqref="C83">
      <formula1>0</formula1>
      <formula2>H75</formula2>
    </dataValidation>
    <dataValidation type="list" allowBlank="1" showInputMessage="1" showErrorMessage="1" sqref="H142 H176">
      <formula1>"Saleable area Loading :,Builder Saleable Area"</formula1>
    </dataValidation>
    <dataValidation type="list" allowBlank="1" showInputMessage="1" showErrorMessage="1" sqref="D142:D143 D176:D177">
      <formula1>"Carpet area,RERA Carpet area"</formula1>
    </dataValidation>
  </dataValidations>
  <hyperlinks>
    <hyperlink ref="C40" r:id="rId1"/>
  </hyperlinks>
  <printOptions horizontalCentered="1"/>
  <pageMargins left="0.39370078740157483" right="0.39370078740157483" top="0.82677165354330717" bottom="0.78740157480314965" header="0.15748031496062992" footer="0.19685039370078741"/>
  <pageSetup paperSize="2" fitToHeight="0" orientation="portrait" r:id="rId2"/>
  <headerFooter>
    <oddHeader>&amp;C&amp;G</oddHeader>
    <oddFooter>&amp;L&amp;"Times New Roman,Bold"&amp;12Ref No: &amp;F&amp;C&amp;G&amp;R&amp;"Times New Roman,Bold"&amp;12&amp;P</oddFooter>
  </headerFooter>
  <rowBreaks count="5" manualBreakCount="5">
    <brk id="73" max="16383" man="1"/>
    <brk id="274" max="16383" man="1"/>
    <brk id="317" max="7" man="1"/>
    <brk id="360" max="16383" man="1"/>
    <brk id="403"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265625" defaultRowHeight="14.5" x14ac:dyDescent="0.35"/>
  <cols>
    <col min="1" max="1" width="8.7265625" style="1"/>
    <col min="2" max="2" width="22.1796875" style="1" customWidth="1"/>
    <col min="3" max="3" width="37" style="1" customWidth="1"/>
    <col min="4" max="5" width="11.453125" style="1" customWidth="1"/>
    <col min="6" max="6" width="14" style="1" customWidth="1"/>
    <col min="7" max="7" width="20" style="1" customWidth="1"/>
    <col min="8" max="8" width="16.453125" style="1" customWidth="1"/>
    <col min="9" max="16384" width="8.7265625" style="1"/>
  </cols>
  <sheetData>
    <row r="1" spans="1:9" ht="15" customHeight="1" x14ac:dyDescent="0.35"/>
    <row r="2" spans="1:9" ht="15" customHeight="1" x14ac:dyDescent="0.35">
      <c r="A2" s="2"/>
      <c r="B2" s="2"/>
      <c r="C2" s="2"/>
      <c r="D2" s="2"/>
      <c r="E2" s="2"/>
      <c r="F2" s="2"/>
      <c r="G2" s="2"/>
      <c r="H2" s="2"/>
    </row>
    <row r="3" spans="1:9" ht="15.75" customHeight="1" x14ac:dyDescent="0.35">
      <c r="A3" s="2"/>
      <c r="B3" s="231" t="s">
        <v>105</v>
      </c>
      <c r="C3" s="231"/>
      <c r="D3" s="231"/>
      <c r="E3" s="231"/>
      <c r="F3" s="231"/>
      <c r="G3" s="231"/>
      <c r="H3" s="231"/>
    </row>
    <row r="4" spans="1:9" x14ac:dyDescent="0.35">
      <c r="A4" s="2"/>
      <c r="B4" s="3" t="s">
        <v>106</v>
      </c>
      <c r="C4" s="3" t="s">
        <v>107</v>
      </c>
      <c r="D4" s="3" t="s">
        <v>66</v>
      </c>
      <c r="E4" s="3" t="s">
        <v>108</v>
      </c>
      <c r="F4" s="3" t="s">
        <v>114</v>
      </c>
      <c r="G4" s="3" t="s">
        <v>115</v>
      </c>
      <c r="H4" s="3" t="s">
        <v>109</v>
      </c>
    </row>
    <row r="5" spans="1:9" ht="15" customHeight="1" x14ac:dyDescent="0.35">
      <c r="A5" s="2"/>
      <c r="B5" s="5" t="s">
        <v>110</v>
      </c>
      <c r="C5" s="6"/>
      <c r="D5" s="5"/>
      <c r="E5" s="5"/>
      <c r="F5" s="7">
        <f>E5*1.6</f>
        <v>0</v>
      </c>
      <c r="G5" s="7" t="e">
        <f>H5/F5</f>
        <v>#DIV/0!</v>
      </c>
      <c r="H5" s="8"/>
    </row>
    <row r="6" spans="1:9" x14ac:dyDescent="0.35">
      <c r="A6" s="2"/>
      <c r="B6" s="5" t="s">
        <v>110</v>
      </c>
      <c r="C6" s="9"/>
      <c r="D6" s="5"/>
      <c r="E6" s="5"/>
      <c r="F6" s="7">
        <f t="shared" ref="F6:F11" si="0">E6*1.6</f>
        <v>0</v>
      </c>
      <c r="G6" s="7" t="e">
        <f t="shared" ref="G6:G11" si="1">H6/F6</f>
        <v>#DIV/0!</v>
      </c>
      <c r="H6" s="8"/>
    </row>
    <row r="7" spans="1:9" ht="15" customHeight="1" x14ac:dyDescent="0.35">
      <c r="A7" s="2"/>
      <c r="B7" s="5" t="s">
        <v>110</v>
      </c>
      <c r="C7" s="6"/>
      <c r="D7" s="5"/>
      <c r="E7" s="5"/>
      <c r="F7" s="7">
        <f t="shared" si="0"/>
        <v>0</v>
      </c>
      <c r="G7" s="7" t="e">
        <f t="shared" si="1"/>
        <v>#DIV/0!</v>
      </c>
      <c r="H7" s="8"/>
    </row>
    <row r="8" spans="1:9" x14ac:dyDescent="0.35">
      <c r="A8" s="2"/>
      <c r="B8" s="5" t="s">
        <v>110</v>
      </c>
      <c r="C8" s="9"/>
      <c r="D8" s="5"/>
      <c r="E8" s="5"/>
      <c r="F8" s="7">
        <f t="shared" si="0"/>
        <v>0</v>
      </c>
      <c r="G8" s="7" t="e">
        <f t="shared" si="1"/>
        <v>#DIV/0!</v>
      </c>
      <c r="H8" s="8"/>
    </row>
    <row r="9" spans="1:9" ht="15" customHeight="1" x14ac:dyDescent="0.35">
      <c r="A9" s="2"/>
      <c r="B9" s="5" t="s">
        <v>110</v>
      </c>
      <c r="C9" s="9"/>
      <c r="D9" s="5"/>
      <c r="E9" s="5"/>
      <c r="F9" s="7">
        <f t="shared" si="0"/>
        <v>0</v>
      </c>
      <c r="G9" s="7" t="e">
        <f t="shared" si="1"/>
        <v>#DIV/0!</v>
      </c>
      <c r="H9" s="8"/>
    </row>
    <row r="10" spans="1:9" ht="15" customHeight="1" x14ac:dyDescent="0.35">
      <c r="A10" s="2"/>
      <c r="B10" s="5" t="s">
        <v>111</v>
      </c>
      <c r="C10" s="6"/>
      <c r="D10" s="5"/>
      <c r="E10" s="5"/>
      <c r="F10" s="7">
        <f t="shared" si="0"/>
        <v>0</v>
      </c>
      <c r="G10" s="7" t="e">
        <f t="shared" si="1"/>
        <v>#DIV/0!</v>
      </c>
      <c r="H10" s="8"/>
    </row>
    <row r="11" spans="1:9" ht="15" customHeight="1" x14ac:dyDescent="0.35">
      <c r="A11" s="2"/>
      <c r="B11" s="5" t="s">
        <v>111</v>
      </c>
      <c r="C11" s="6"/>
      <c r="D11" s="5"/>
      <c r="E11" s="5"/>
      <c r="F11" s="7">
        <f t="shared" si="0"/>
        <v>0</v>
      </c>
      <c r="G11" s="7" t="e">
        <f t="shared" si="1"/>
        <v>#DIV/0!</v>
      </c>
      <c r="H11" s="8"/>
    </row>
    <row r="12" spans="1:9" ht="15" customHeight="1" x14ac:dyDescent="0.35">
      <c r="A12" s="2"/>
      <c r="B12" s="10" t="s">
        <v>112</v>
      </c>
      <c r="C12" s="5"/>
      <c r="D12" s="5"/>
      <c r="E12" s="5"/>
      <c r="F12" s="5"/>
      <c r="G12" s="11" t="e">
        <f>AVERAGE(G5:G11)</f>
        <v>#DIV/0!</v>
      </c>
      <c r="H12" s="5"/>
    </row>
    <row r="13" spans="1:9" ht="15" customHeight="1" x14ac:dyDescent="0.35">
      <c r="B13" s="10" t="s">
        <v>113</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4.5" x14ac:dyDescent="0.35"/>
  <cols>
    <col min="4" max="4" width="13.81640625" bestFit="1" customWidth="1"/>
    <col min="5" max="5" width="10.453125" bestFit="1" customWidth="1"/>
    <col min="6" max="6" width="12.453125" bestFit="1" customWidth="1"/>
    <col min="7" max="7" width="18.1796875" customWidth="1"/>
    <col min="8" max="8" width="10.54296875" bestFit="1" customWidth="1"/>
  </cols>
  <sheetData>
    <row r="3" spans="2:11" x14ac:dyDescent="0.35">
      <c r="J3">
        <v>1</v>
      </c>
      <c r="K3">
        <v>2</v>
      </c>
    </row>
    <row r="4" spans="2:11" x14ac:dyDescent="0.35">
      <c r="B4" s="54"/>
      <c r="C4" s="54" t="s">
        <v>11</v>
      </c>
      <c r="D4" s="55" t="s">
        <v>177</v>
      </c>
      <c r="E4" s="55" t="s">
        <v>187</v>
      </c>
      <c r="F4" s="55" t="s">
        <v>171</v>
      </c>
      <c r="G4" s="55" t="s">
        <v>192</v>
      </c>
      <c r="H4" s="55" t="s">
        <v>210</v>
      </c>
      <c r="J4" t="s">
        <v>192</v>
      </c>
      <c r="K4" t="s">
        <v>208</v>
      </c>
    </row>
    <row r="5" spans="2:11" x14ac:dyDescent="0.35">
      <c r="B5" s="54"/>
      <c r="C5" s="54"/>
      <c r="D5" s="55" t="s">
        <v>178</v>
      </c>
      <c r="E5" s="55" t="s">
        <v>185</v>
      </c>
      <c r="F5" s="55" t="s">
        <v>207</v>
      </c>
      <c r="G5" s="55" t="s">
        <v>193</v>
      </c>
      <c r="H5" s="55" t="s">
        <v>211</v>
      </c>
    </row>
    <row r="6" spans="2:11" x14ac:dyDescent="0.35">
      <c r="B6" s="54"/>
      <c r="C6" s="54"/>
      <c r="D6" s="55" t="s">
        <v>179</v>
      </c>
      <c r="E6" s="55" t="s">
        <v>186</v>
      </c>
      <c r="F6" s="55" t="s">
        <v>208</v>
      </c>
      <c r="G6" s="55" t="s">
        <v>194</v>
      </c>
      <c r="H6" s="55" t="s">
        <v>224</v>
      </c>
    </row>
    <row r="7" spans="2:11" x14ac:dyDescent="0.35">
      <c r="B7" s="54"/>
      <c r="C7" s="54"/>
      <c r="D7" s="55" t="s">
        <v>180</v>
      </c>
      <c r="E7" s="55" t="s">
        <v>188</v>
      </c>
      <c r="F7" s="55" t="s">
        <v>209</v>
      </c>
      <c r="G7" s="55" t="s">
        <v>195</v>
      </c>
      <c r="H7" s="55" t="s">
        <v>212</v>
      </c>
    </row>
    <row r="8" spans="2:11" x14ac:dyDescent="0.35">
      <c r="B8" s="54"/>
      <c r="C8" s="54"/>
      <c r="D8" s="55" t="s">
        <v>181</v>
      </c>
      <c r="E8" s="55" t="s">
        <v>189</v>
      </c>
      <c r="F8" s="55"/>
      <c r="G8" s="55" t="s">
        <v>196</v>
      </c>
      <c r="H8" s="55" t="s">
        <v>213</v>
      </c>
    </row>
    <row r="9" spans="2:11" x14ac:dyDescent="0.35">
      <c r="B9" s="54"/>
      <c r="C9" s="54"/>
      <c r="D9" s="55" t="s">
        <v>182</v>
      </c>
      <c r="E9" s="55" t="s">
        <v>187</v>
      </c>
      <c r="F9" s="55"/>
      <c r="G9" s="55" t="s">
        <v>197</v>
      </c>
      <c r="H9" s="55" t="s">
        <v>214</v>
      </c>
    </row>
    <row r="10" spans="2:11" x14ac:dyDescent="0.35">
      <c r="B10" s="54"/>
      <c r="C10" s="54"/>
      <c r="D10" s="55" t="s">
        <v>183</v>
      </c>
      <c r="E10" s="55" t="s">
        <v>190</v>
      </c>
      <c r="F10" s="55"/>
      <c r="G10" s="55" t="s">
        <v>198</v>
      </c>
      <c r="H10" s="55" t="s">
        <v>215</v>
      </c>
    </row>
    <row r="11" spans="2:11" x14ac:dyDescent="0.35">
      <c r="B11" s="54"/>
      <c r="C11" s="54"/>
      <c r="D11" s="55" t="s">
        <v>184</v>
      </c>
      <c r="E11" s="55" t="s">
        <v>191</v>
      </c>
      <c r="F11" s="55"/>
      <c r="G11" s="55" t="s">
        <v>199</v>
      </c>
      <c r="H11" s="55" t="s">
        <v>216</v>
      </c>
    </row>
    <row r="12" spans="2:11" x14ac:dyDescent="0.35">
      <c r="B12" s="54"/>
      <c r="C12" s="54"/>
      <c r="D12" s="55"/>
      <c r="E12" s="55"/>
      <c r="F12" s="55"/>
      <c r="G12" s="55" t="s">
        <v>200</v>
      </c>
      <c r="H12" s="55" t="s">
        <v>217</v>
      </c>
    </row>
    <row r="13" spans="2:11" x14ac:dyDescent="0.35">
      <c r="B13" s="54"/>
      <c r="C13" s="54"/>
      <c r="D13" s="55"/>
      <c r="E13" s="55"/>
      <c r="F13" s="55"/>
      <c r="G13" s="55" t="s">
        <v>201</v>
      </c>
      <c r="H13" s="55" t="s">
        <v>218</v>
      </c>
    </row>
    <row r="14" spans="2:11" x14ac:dyDescent="0.35">
      <c r="B14" s="54"/>
      <c r="C14" s="54"/>
      <c r="D14" s="55"/>
      <c r="E14" s="55"/>
      <c r="F14" s="55"/>
      <c r="G14" s="55" t="s">
        <v>202</v>
      </c>
      <c r="H14" s="55" t="s">
        <v>219</v>
      </c>
    </row>
    <row r="15" spans="2:11" x14ac:dyDescent="0.35">
      <c r="B15" s="54"/>
      <c r="C15" s="54"/>
      <c r="D15" s="55"/>
      <c r="E15" s="55"/>
      <c r="F15" s="55"/>
      <c r="G15" s="55" t="s">
        <v>203</v>
      </c>
      <c r="H15" s="55" t="s">
        <v>220</v>
      </c>
    </row>
    <row r="16" spans="2:11" x14ac:dyDescent="0.35">
      <c r="B16" s="54"/>
      <c r="C16" s="54"/>
      <c r="D16" s="55"/>
      <c r="E16" s="55"/>
      <c r="F16" s="55"/>
      <c r="G16" s="55" t="s">
        <v>204</v>
      </c>
      <c r="H16" s="55" t="s">
        <v>221</v>
      </c>
    </row>
    <row r="17" spans="2:8" x14ac:dyDescent="0.35">
      <c r="B17" s="54"/>
      <c r="C17" s="54"/>
      <c r="D17" s="55"/>
      <c r="E17" s="55"/>
      <c r="F17" s="55"/>
      <c r="G17" s="55" t="s">
        <v>205</v>
      </c>
      <c r="H17" s="55" t="s">
        <v>222</v>
      </c>
    </row>
    <row r="18" spans="2:8" x14ac:dyDescent="0.35">
      <c r="B18" s="54"/>
      <c r="C18" s="54"/>
      <c r="D18" s="55"/>
      <c r="E18" s="55"/>
      <c r="F18" s="55"/>
      <c r="G18" s="55" t="s">
        <v>206</v>
      </c>
      <c r="H18" s="55" t="s">
        <v>223</v>
      </c>
    </row>
    <row r="24" spans="2:8" x14ac:dyDescent="0.35">
      <c r="C24" t="s">
        <v>168</v>
      </c>
    </row>
    <row r="25" spans="2:8" x14ac:dyDescent="0.35">
      <c r="C25" t="s">
        <v>225</v>
      </c>
    </row>
    <row r="26" spans="2:8" x14ac:dyDescent="0.35">
      <c r="C26" t="s">
        <v>226</v>
      </c>
    </row>
    <row r="27" spans="2:8" x14ac:dyDescent="0.35">
      <c r="C27" t="s">
        <v>227</v>
      </c>
    </row>
    <row r="28" spans="2:8" x14ac:dyDescent="0.35">
      <c r="C28" t="s">
        <v>228</v>
      </c>
    </row>
    <row r="29" spans="2:8" x14ac:dyDescent="0.35">
      <c r="C29" t="s">
        <v>229</v>
      </c>
    </row>
    <row r="30" spans="2:8" x14ac:dyDescent="0.35">
      <c r="C30" t="s">
        <v>168</v>
      </c>
    </row>
    <row r="33" spans="3:11" x14ac:dyDescent="0.35">
      <c r="J33">
        <v>1</v>
      </c>
      <c r="K33">
        <v>2</v>
      </c>
    </row>
    <row r="34" spans="3:11" x14ac:dyDescent="0.35">
      <c r="C34" s="58" t="s">
        <v>235</v>
      </c>
      <c r="D34" s="55" t="s">
        <v>233</v>
      </c>
      <c r="E34" s="55" t="s">
        <v>238</v>
      </c>
      <c r="F34" s="55" t="s">
        <v>236</v>
      </c>
      <c r="G34" s="55" t="s">
        <v>237</v>
      </c>
      <c r="H34" s="55" t="s">
        <v>239</v>
      </c>
      <c r="J34" t="s">
        <v>192</v>
      </c>
      <c r="K34" t="s">
        <v>208</v>
      </c>
    </row>
    <row r="35" spans="3:11" x14ac:dyDescent="0.35">
      <c r="C35" s="54" t="s">
        <v>234</v>
      </c>
      <c r="D35" s="55" t="s">
        <v>169</v>
      </c>
      <c r="E35" s="55" t="s">
        <v>243</v>
      </c>
      <c r="F35" s="55" t="s">
        <v>245</v>
      </c>
      <c r="G35" s="55" t="s">
        <v>247</v>
      </c>
      <c r="H35" s="55"/>
    </row>
    <row r="36" spans="3:11" x14ac:dyDescent="0.35">
      <c r="C36" s="54"/>
      <c r="D36" s="55" t="s">
        <v>240</v>
      </c>
      <c r="E36" s="55" t="s">
        <v>244</v>
      </c>
      <c r="F36" s="55" t="s">
        <v>246</v>
      </c>
      <c r="G36" s="55" t="s">
        <v>248</v>
      </c>
      <c r="H36" s="55"/>
    </row>
    <row r="37" spans="3:11" x14ac:dyDescent="0.35">
      <c r="C37" s="54"/>
      <c r="D37" s="55" t="s">
        <v>241</v>
      </c>
      <c r="E37" s="55"/>
      <c r="F37" s="55"/>
      <c r="G37" s="55" t="s">
        <v>249</v>
      </c>
      <c r="H37" s="55"/>
    </row>
    <row r="38" spans="3:11" x14ac:dyDescent="0.35">
      <c r="C38" s="54"/>
      <c r="D38" s="55" t="s">
        <v>242</v>
      </c>
      <c r="E38" s="55"/>
      <c r="F38" s="55"/>
      <c r="G38" s="55" t="s">
        <v>249</v>
      </c>
      <c r="H38" s="55"/>
    </row>
    <row r="39" spans="3:11" x14ac:dyDescent="0.35">
      <c r="C39" s="54"/>
      <c r="D39" s="55"/>
      <c r="E39" s="55"/>
      <c r="F39" s="55"/>
      <c r="G39" s="55" t="s">
        <v>250</v>
      </c>
      <c r="H39" s="55"/>
    </row>
    <row r="40" spans="3:11" x14ac:dyDescent="0.35">
      <c r="C40" s="54"/>
      <c r="D40" s="55"/>
      <c r="E40" s="55"/>
      <c r="F40" s="55"/>
      <c r="G40" s="55" t="s">
        <v>251</v>
      </c>
      <c r="H40" s="55"/>
    </row>
    <row r="41" spans="3:11" x14ac:dyDescent="0.35">
      <c r="C41" s="54"/>
      <c r="D41" s="55"/>
      <c r="E41" s="55"/>
      <c r="F41" s="55"/>
      <c r="G41" s="55"/>
      <c r="H41" s="55"/>
    </row>
    <row r="43" spans="3:11" x14ac:dyDescent="0.35">
      <c r="C43" t="s">
        <v>252</v>
      </c>
    </row>
    <row r="44" spans="3:11" x14ac:dyDescent="0.35">
      <c r="C44" t="s">
        <v>171</v>
      </c>
      <c r="D44" t="s">
        <v>253</v>
      </c>
    </row>
    <row r="45" spans="3:11" x14ac:dyDescent="0.35">
      <c r="D45" t="s">
        <v>254</v>
      </c>
    </row>
    <row r="46" spans="3:11" x14ac:dyDescent="0.35">
      <c r="D46" t="s">
        <v>255</v>
      </c>
    </row>
    <row r="47" spans="3:11" x14ac:dyDescent="0.35">
      <c r="D47" t="s">
        <v>256</v>
      </c>
    </row>
    <row r="48" spans="3:11" x14ac:dyDescent="0.35">
      <c r="D48" t="s">
        <v>257</v>
      </c>
    </row>
    <row r="49" spans="3:4" x14ac:dyDescent="0.35">
      <c r="C49" t="s">
        <v>177</v>
      </c>
      <c r="D49" t="s">
        <v>258</v>
      </c>
    </row>
    <row r="50" spans="3:4" x14ac:dyDescent="0.35">
      <c r="D50" t="s">
        <v>259</v>
      </c>
    </row>
    <row r="51" spans="3:4" x14ac:dyDescent="0.35">
      <c r="D51" t="s">
        <v>260</v>
      </c>
    </row>
    <row r="52" spans="3:4" x14ac:dyDescent="0.35">
      <c r="D52" t="s">
        <v>263</v>
      </c>
    </row>
    <row r="53" spans="3:4" x14ac:dyDescent="0.35">
      <c r="D53" t="s">
        <v>261</v>
      </c>
    </row>
    <row r="54" spans="3:4" x14ac:dyDescent="0.35">
      <c r="D54" t="s">
        <v>262</v>
      </c>
    </row>
    <row r="55" spans="3:4" x14ac:dyDescent="0.35">
      <c r="D55" t="s">
        <v>264</v>
      </c>
    </row>
    <row r="56" spans="3:4" x14ac:dyDescent="0.35">
      <c r="D56" t="s">
        <v>265</v>
      </c>
    </row>
    <row r="57" spans="3:4" x14ac:dyDescent="0.35">
      <c r="D57" t="s">
        <v>266</v>
      </c>
    </row>
    <row r="58" spans="3:4" x14ac:dyDescent="0.35">
      <c r="D58" t="s">
        <v>268</v>
      </c>
    </row>
    <row r="59" spans="3:4" x14ac:dyDescent="0.35">
      <c r="D59" t="s">
        <v>277</v>
      </c>
    </row>
    <row r="60" spans="3:4" x14ac:dyDescent="0.35">
      <c r="C60" t="s">
        <v>192</v>
      </c>
      <c r="D60" t="s">
        <v>269</v>
      </c>
    </row>
    <row r="61" spans="3:4" x14ac:dyDescent="0.35">
      <c r="D61" t="s">
        <v>267</v>
      </c>
    </row>
    <row r="62" spans="3:4" x14ac:dyDescent="0.35">
      <c r="D62" t="s">
        <v>257</v>
      </c>
    </row>
    <row r="63" spans="3:4" x14ac:dyDescent="0.35">
      <c r="D63" t="s">
        <v>270</v>
      </c>
    </row>
    <row r="64" spans="3:4" x14ac:dyDescent="0.35">
      <c r="D64" t="s">
        <v>271</v>
      </c>
    </row>
    <row r="65" spans="3:4" x14ac:dyDescent="0.35">
      <c r="D65" t="s">
        <v>272</v>
      </c>
    </row>
    <row r="66" spans="3:4" x14ac:dyDescent="0.35">
      <c r="D66" t="s">
        <v>273</v>
      </c>
    </row>
    <row r="67" spans="3:4" x14ac:dyDescent="0.35">
      <c r="C67" t="s">
        <v>187</v>
      </c>
      <c r="D67" t="s">
        <v>274</v>
      </c>
    </row>
    <row r="68" spans="3:4" x14ac:dyDescent="0.35">
      <c r="D68" t="s">
        <v>275</v>
      </c>
    </row>
    <row r="69" spans="3:4" x14ac:dyDescent="0.35">
      <c r="D69" t="s">
        <v>276</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C26"/>
  <sheetViews>
    <sheetView topLeftCell="A9" workbookViewId="0">
      <selection activeCell="C19" sqref="C19"/>
    </sheetView>
  </sheetViews>
  <sheetFormatPr defaultRowHeight="14.5" x14ac:dyDescent="0.35"/>
  <cols>
    <col min="2" max="2" width="3" bestFit="1" customWidth="1"/>
    <col min="3" max="3" width="130" customWidth="1"/>
  </cols>
  <sheetData>
    <row r="2" spans="2:3" ht="15" customHeight="1" x14ac:dyDescent="0.35">
      <c r="B2" s="59">
        <v>1</v>
      </c>
      <c r="C2" s="62" t="s">
        <v>283</v>
      </c>
    </row>
    <row r="3" spans="2:3" x14ac:dyDescent="0.35">
      <c r="B3" s="59">
        <v>2</v>
      </c>
      <c r="C3" s="60" t="s">
        <v>284</v>
      </c>
    </row>
    <row r="4" spans="2:3" x14ac:dyDescent="0.35">
      <c r="B4" s="59">
        <v>3</v>
      </c>
      <c r="C4" s="61" t="s">
        <v>285</v>
      </c>
    </row>
    <row r="5" spans="2:3" x14ac:dyDescent="0.35">
      <c r="B5" s="59">
        <v>4</v>
      </c>
      <c r="C5" s="60" t="s">
        <v>286</v>
      </c>
    </row>
    <row r="6" spans="2:3" x14ac:dyDescent="0.35">
      <c r="B6" s="59">
        <v>5</v>
      </c>
      <c r="C6" s="61" t="s">
        <v>287</v>
      </c>
    </row>
    <row r="7" spans="2:3" ht="29" x14ac:dyDescent="0.35">
      <c r="B7" s="59">
        <v>6</v>
      </c>
      <c r="C7" s="60" t="s">
        <v>288</v>
      </c>
    </row>
    <row r="8" spans="2:3" ht="72.5" x14ac:dyDescent="0.35">
      <c r="B8" s="59">
        <v>7</v>
      </c>
      <c r="C8" s="60" t="s">
        <v>289</v>
      </c>
    </row>
    <row r="9" spans="2:3" x14ac:dyDescent="0.35">
      <c r="B9" s="59">
        <v>8</v>
      </c>
      <c r="C9" s="61" t="s">
        <v>290</v>
      </c>
    </row>
    <row r="10" spans="2:3" x14ac:dyDescent="0.35">
      <c r="B10" s="59">
        <v>9</v>
      </c>
      <c r="C10" s="61" t="s">
        <v>291</v>
      </c>
    </row>
    <row r="11" spans="2:3" x14ac:dyDescent="0.35">
      <c r="B11" s="59">
        <v>10</v>
      </c>
      <c r="C11" s="61" t="s">
        <v>292</v>
      </c>
    </row>
    <row r="12" spans="2:3" x14ac:dyDescent="0.35">
      <c r="B12" s="59">
        <v>11</v>
      </c>
      <c r="C12" s="61" t="s">
        <v>293</v>
      </c>
    </row>
    <row r="13" spans="2:3" x14ac:dyDescent="0.35">
      <c r="B13" s="59">
        <v>12</v>
      </c>
      <c r="C13" s="61" t="s">
        <v>294</v>
      </c>
    </row>
    <row r="14" spans="2:3" x14ac:dyDescent="0.35">
      <c r="B14" s="59">
        <v>13</v>
      </c>
      <c r="C14" s="61" t="s">
        <v>295</v>
      </c>
    </row>
    <row r="15" spans="2:3" x14ac:dyDescent="0.35">
      <c r="B15" s="59">
        <v>14</v>
      </c>
      <c r="C15" s="61" t="s">
        <v>285</v>
      </c>
    </row>
    <row r="16" spans="2:3" x14ac:dyDescent="0.35">
      <c r="B16" s="59">
        <v>15</v>
      </c>
      <c r="C16" s="61" t="s">
        <v>297</v>
      </c>
    </row>
    <row r="17" spans="2:3" ht="31.5" customHeight="1" x14ac:dyDescent="0.35">
      <c r="B17" s="65">
        <v>16</v>
      </c>
      <c r="C17" s="67" t="s">
        <v>298</v>
      </c>
    </row>
    <row r="18" spans="2:3" x14ac:dyDescent="0.35">
      <c r="B18" s="66">
        <v>17</v>
      </c>
      <c r="C18" s="67" t="s">
        <v>299</v>
      </c>
    </row>
    <row r="19" spans="2:3" x14ac:dyDescent="0.35">
      <c r="B19" s="65">
        <v>18</v>
      </c>
      <c r="C19" s="59" t="s">
        <v>300</v>
      </c>
    </row>
    <row r="20" spans="2:3" x14ac:dyDescent="0.35">
      <c r="B20" s="66">
        <v>19</v>
      </c>
      <c r="C20" s="59"/>
    </row>
    <row r="21" spans="2:3" x14ac:dyDescent="0.35">
      <c r="B21" s="68">
        <v>20</v>
      </c>
      <c r="C21" s="59"/>
    </row>
    <row r="22" spans="2:3" x14ac:dyDescent="0.35">
      <c r="B22" s="59"/>
      <c r="C22" s="59"/>
    </row>
    <row r="23" spans="2:3" x14ac:dyDescent="0.35">
      <c r="B23" s="59"/>
      <c r="C23" s="59"/>
    </row>
    <row r="24" spans="2:3" x14ac:dyDescent="0.35">
      <c r="B24" s="59"/>
      <c r="C24" s="59"/>
    </row>
    <row r="25" spans="2:3" x14ac:dyDescent="0.35">
      <c r="B25" s="59"/>
      <c r="C25" s="59"/>
    </row>
    <row r="26" spans="2:3" x14ac:dyDescent="0.35">
      <c r="B26" s="59"/>
      <c r="C26" s="59"/>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valuation</vt:lpstr>
      <vt:lpstr>Research</vt:lpstr>
      <vt:lpstr>Remarks</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2024-05-30T08:02:45Z</cp:lastPrinted>
  <dcterms:created xsi:type="dcterms:W3CDTF">2019-07-16T09:29:46Z</dcterms:created>
  <dcterms:modified xsi:type="dcterms:W3CDTF">2025-09-28T06:45:10Z</dcterms:modified>
</cp:coreProperties>
</file>