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7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5" i="1" l="1"/>
  <c r="D149" i="1"/>
  <c r="E148" i="1"/>
  <c r="D148" i="1"/>
  <c r="E147" i="1"/>
  <c r="D147" i="1"/>
  <c r="E146" i="1"/>
  <c r="D146" i="1"/>
  <c r="D144" i="1"/>
  <c r="F144" i="1" s="1"/>
  <c r="K144" i="1" s="1"/>
  <c r="D143" i="1"/>
  <c r="F143" i="1" s="1"/>
  <c r="K143" i="1" s="1"/>
  <c r="D142" i="1"/>
  <c r="F142" i="1" s="1"/>
  <c r="K142" i="1" s="1"/>
  <c r="D141" i="1"/>
  <c r="D140" i="1"/>
  <c r="D139" i="1"/>
  <c r="D138" i="1"/>
  <c r="J144" i="1"/>
  <c r="I144" i="1"/>
  <c r="J142" i="1"/>
  <c r="I142" i="1"/>
  <c r="E123" i="1" l="1"/>
  <c r="C123" i="1"/>
  <c r="E7" i="1"/>
  <c r="E29" i="1" l="1"/>
  <c r="B152" i="1"/>
  <c r="C65" i="1"/>
  <c r="B66" i="1" s="1"/>
  <c r="E24" i="1"/>
  <c r="E26" i="1" l="1"/>
  <c r="C14" i="1"/>
  <c r="E42" i="1" l="1"/>
  <c r="E43" i="1" s="1"/>
  <c r="F139" i="1" l="1"/>
  <c r="F140" i="1"/>
  <c r="K140" i="1" s="1"/>
  <c r="F141" i="1"/>
  <c r="K141" i="1" s="1"/>
  <c r="F138" i="1"/>
  <c r="A139" i="1"/>
  <c r="A140" i="1" s="1"/>
  <c r="A141" i="1" s="1"/>
  <c r="A142" i="1" s="1"/>
  <c r="A143" i="1" s="1"/>
  <c r="A144" i="1" s="1"/>
  <c r="G138" i="1"/>
  <c r="G139" i="1" s="1"/>
  <c r="G140" i="1" s="1"/>
  <c r="G141" i="1" s="1"/>
  <c r="G142" i="1" s="1"/>
  <c r="G143" i="1" s="1"/>
  <c r="G144" i="1" s="1"/>
  <c r="K139" i="1" l="1"/>
  <c r="J123" i="1"/>
  <c r="K138" i="1"/>
  <c r="I124" i="1"/>
  <c r="F120" i="1"/>
  <c r="F130" i="1" l="1"/>
  <c r="F131" i="1"/>
  <c r="F132" i="1"/>
  <c r="F129" i="1"/>
  <c r="F149" i="1" l="1"/>
  <c r="F147" i="1"/>
  <c r="K147" i="1" s="1"/>
  <c r="F146" i="1"/>
  <c r="F148" i="1"/>
  <c r="K148" i="1" s="1"/>
  <c r="K149" i="1" l="1"/>
  <c r="I123" i="1"/>
  <c r="I125" i="1" s="1"/>
  <c r="K146" i="1"/>
  <c r="G123" i="1"/>
  <c r="B15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4" i="1"/>
  <c r="G146" i="1"/>
  <c r="G147" i="1" s="1"/>
  <c r="G148" i="1" s="1"/>
  <c r="G149" i="1" s="1"/>
  <c r="A147" i="1"/>
  <c r="A148" i="1" s="1"/>
  <c r="A149" i="1" s="1"/>
  <c r="A130" i="1"/>
  <c r="A131" i="1" s="1"/>
  <c r="A132" i="1" s="1"/>
  <c r="G129" i="1"/>
  <c r="G130" i="1" s="1"/>
  <c r="G131" i="1" s="1"/>
  <c r="G132" i="1" s="1"/>
  <c r="C93" i="1"/>
  <c r="B94" i="1" s="1"/>
  <c r="C79" i="1"/>
  <c r="B80" i="1" s="1"/>
  <c r="D54" i="1"/>
  <c r="G49" i="1"/>
  <c r="G50" i="1" s="1"/>
  <c r="C49" i="1"/>
  <c r="C50" i="1" s="1"/>
  <c r="E3" i="1"/>
  <c r="D59" i="1" s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H80" i="1"/>
  <c r="H94" i="1"/>
  <c r="D104" i="1" l="1"/>
  <c r="D101" i="1"/>
  <c r="D102" i="1"/>
  <c r="D100" i="1"/>
  <c r="J97" i="1"/>
  <c r="D103" i="1"/>
  <c r="J98" i="1"/>
  <c r="C97" i="1" s="1"/>
  <c r="D97" i="1" s="1"/>
  <c r="D105" i="1"/>
  <c r="J96" i="1"/>
  <c r="J99" i="1"/>
  <c r="J100" i="1" s="1"/>
  <c r="J105" i="1" s="1"/>
  <c r="D106" i="1"/>
  <c r="C99" i="1"/>
  <c r="J93" i="1" s="1"/>
  <c r="J95" i="1" s="1"/>
  <c r="D88" i="1"/>
  <c r="J85" i="1"/>
  <c r="J86" i="1" s="1"/>
  <c r="J91" i="1" s="1"/>
  <c r="D89" i="1"/>
  <c r="J79" i="1"/>
  <c r="J81" i="1" s="1"/>
  <c r="J83" i="1"/>
  <c r="J84" i="1"/>
  <c r="C83" i="1" s="1"/>
  <c r="D83" i="1" s="1"/>
  <c r="D90" i="1"/>
  <c r="D91" i="1"/>
  <c r="J82" i="1"/>
  <c r="D92" i="1"/>
  <c r="D86" i="1"/>
  <c r="D87" i="1"/>
  <c r="J101" i="1"/>
  <c r="J102" i="1" s="1"/>
  <c r="J103" i="1" s="1"/>
  <c r="J104" i="1" s="1"/>
  <c r="J87" i="1"/>
  <c r="J88" i="1" s="1"/>
  <c r="J89" i="1" s="1"/>
  <c r="J90" i="1" s="1"/>
  <c r="J73" i="1"/>
  <c r="J74" i="1" s="1"/>
  <c r="J75" i="1" s="1"/>
  <c r="J76" i="1" s="1"/>
  <c r="D99" i="1"/>
  <c r="D85" i="1"/>
  <c r="D71" i="1"/>
  <c r="J67" i="1"/>
  <c r="D69" i="1"/>
  <c r="J106" i="1" l="1"/>
  <c r="C98" i="1" s="1"/>
  <c r="E97" i="1" s="1"/>
  <c r="J78" i="1"/>
  <c r="C70" i="1" s="1"/>
  <c r="G69" i="1" s="1"/>
  <c r="J92" i="1"/>
  <c r="J80" i="1" s="1"/>
  <c r="J94" i="1" l="1"/>
  <c r="D98" i="1"/>
  <c r="I94" i="1" s="1"/>
  <c r="I95" i="1" s="1"/>
  <c r="I93" i="1" s="1"/>
  <c r="C95" i="1" s="1"/>
  <c r="G97" i="1"/>
  <c r="D63" i="1"/>
  <c r="D64" i="1" s="1"/>
  <c r="J66" i="1"/>
  <c r="D70" i="1"/>
  <c r="I66" i="1" s="1"/>
  <c r="E69" i="1"/>
  <c r="E83" i="1"/>
  <c r="G83" i="1"/>
  <c r="D84" i="1"/>
  <c r="I80" i="1" s="1"/>
  <c r="I81" i="1" s="1"/>
  <c r="F64" i="1" l="1"/>
  <c r="I67" i="1"/>
  <c r="I65" i="1" s="1"/>
  <c r="C67" i="1" s="1"/>
  <c r="I79" i="1"/>
  <c r="C81" i="1" s="1"/>
</calcChain>
</file>

<file path=xl/sharedStrings.xml><?xml version="1.0" encoding="utf-8"?>
<sst xmlns="http://schemas.openxmlformats.org/spreadsheetml/2006/main" count="339" uniqueCount="218">
  <si>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</si>
  <si>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</si>
  <si>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</si>
  <si>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</si>
  <si>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</si>
  <si>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</si>
  <si>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</si>
  <si>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</si>
  <si>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</si>
  <si>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</si>
  <si>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</si>
  <si>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</si>
  <si>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</si>
  <si>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</si>
  <si>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</si>
  <si>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</si>
  <si>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</si>
  <si>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</si>
  <si>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</si>
  <si>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</si>
  <si>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</si>
  <si>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</si>
  <si>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</si>
  <si>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</si>
  <si>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</si>
  <si>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</si>
  <si>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</si>
  <si>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</si>
  <si>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</si>
  <si>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</si>
  <si>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</si>
  <si>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</si>
  <si>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</si>
  <si>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</si>
  <si>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</si>
  <si>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</si>
  <si>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</si>
  <si>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</si>
  <si>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</si>
  <si>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</si>
  <si>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</si>
  <si>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</si>
  <si>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</si>
  <si>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</si>
  <si>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</si>
  <si>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</si>
  <si>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</si>
  <si>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</si>
  <si>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</si>
  <si>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</si>
  <si>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</si>
  <si>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</si>
  <si>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</si>
  <si>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</si>
  <si>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</si>
  <si>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</si>
  <si>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</si>
  <si>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</si>
  <si>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</si>
  <si>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</si>
  <si>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</si>
  <si>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</si>
  <si>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</si>
  <si>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</si>
  <si>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</si>
  <si>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</si>
  <si>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</si>
  <si>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</si>
  <si>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</si>
  <si>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</si>
  <si>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</si>
  <si>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</si>
  <si>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</si>
  <si>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</si>
  <si>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</si>
  <si>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</si>
  <si>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</si>
  <si>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</si>
  <si>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</si>
  <si>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</si>
  <si>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</si>
  <si>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</si>
  <si>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</si>
  <si>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</si>
  <si>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</si>
  <si>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</si>
  <si>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</si>
  <si>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</si>
  <si>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</si>
  <si>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</si>
  <si>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</si>
  <si>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</si>
  <si>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</si>
  <si>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</si>
  <si>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</si>
  <si>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</si>
  <si>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</si>
  <si>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</si>
  <si>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</si>
  <si>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</si>
  <si>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</si>
  <si>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</si>
  <si>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</si>
  <si>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</si>
  <si>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</si>
  <si>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</si>
  <si>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</si>
  <si>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</si>
  <si>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</si>
  <si>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</si>
  <si>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</si>
  <si>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</si>
  <si>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</si>
  <si>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</si>
  <si>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</si>
  <si>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</si>
  <si>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</si>
  <si>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</si>
  <si>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</si>
  <si>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</si>
  <si>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</si>
  <si>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</si>
  <si>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</si>
  <si>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</si>
  <si>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</si>
  <si>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</si>
  <si>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</si>
  <si>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</si>
  <si>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</si>
  <si>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</si>
  <si>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</si>
  <si>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</si>
  <si>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</si>
  <si>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</si>
  <si>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</si>
  <si>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</si>
  <si>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</si>
  <si>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</si>
  <si>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</si>
  <si>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</si>
  <si>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</si>
  <si>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</si>
  <si>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</si>
  <si>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</si>
  <si>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</si>
  <si>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</si>
  <si>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</si>
  <si>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</si>
  <si>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</si>
  <si>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</si>
  <si>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</si>
  <si>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</si>
  <si>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</si>
  <si>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</si>
  <si>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</si>
  <si>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</si>
  <si>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</si>
  <si>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</si>
  <si>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</si>
  <si>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</si>
  <si>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</si>
  <si>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</si>
  <si>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</si>
  <si>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</si>
  <si>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</si>
  <si>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</si>
  <si>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</si>
  <si>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</si>
  <si>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</si>
  <si>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</si>
  <si>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</si>
  <si>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</si>
  <si>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</si>
  <si>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</si>
  <si>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</si>
  <si>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Badlapur</t>
  </si>
  <si>
    <t>Kum Kum Enterprises</t>
  </si>
  <si>
    <t>Kumkum Corner</t>
  </si>
  <si>
    <t>Building 1</t>
  </si>
  <si>
    <t>Approved Plans, CC, Sale Plans</t>
  </si>
  <si>
    <t>P52000050669</t>
  </si>
  <si>
    <t>Survey No.</t>
  </si>
  <si>
    <t>111, Plot No. 9 - 10</t>
  </si>
  <si>
    <t>Dhamote</t>
  </si>
  <si>
    <t>Raigad</t>
  </si>
  <si>
    <t>Karjat</t>
  </si>
  <si>
    <t>19.031775, 73.328122</t>
  </si>
  <si>
    <t>https://goo.gl/maps/bGJf8kJbAMJkgM61A</t>
  </si>
  <si>
    <t>Sai Disha Apartment</t>
  </si>
  <si>
    <t>Internal Road</t>
  </si>
  <si>
    <t>Neral</t>
  </si>
  <si>
    <t>Hajare Nagar</t>
  </si>
  <si>
    <t>Siddhivinayak Samarth</t>
  </si>
  <si>
    <t>Open Plot</t>
  </si>
  <si>
    <t>2.5 KM from Neral Railway Station</t>
  </si>
  <si>
    <t>Raigad Zilha Parishad</t>
  </si>
  <si>
    <t>J.K. RJP BP/NSVP/561/2022</t>
  </si>
  <si>
    <t>Gr + 1st to 7th Floor</t>
  </si>
  <si>
    <t>Main door with decorative laminate finish.
Glazed tiles in Bath &amp; WC</t>
  </si>
  <si>
    <t>Ground Floor for Parking &amp; Society Office &amp; Driver Room</t>
  </si>
  <si>
    <t>1st to 6th Floor for Residential</t>
  </si>
  <si>
    <t>1BHK</t>
  </si>
  <si>
    <t>7th Floor (Part Natural Floor)</t>
  </si>
  <si>
    <t>1RK</t>
  </si>
  <si>
    <t>Flats</t>
  </si>
  <si>
    <t>Flats - 46</t>
  </si>
  <si>
    <t>We considered Gross carpet area = Net carpet + Balcony + Chajja Area</t>
  </si>
  <si>
    <t>Naynesh Sunil Lovanshi</t>
  </si>
  <si>
    <t>Housing</t>
  </si>
  <si>
    <t>Inspection Sheet</t>
  </si>
  <si>
    <t>By Rushikesh Sir</t>
  </si>
  <si>
    <t>Recommended Rates of the Property have been revised on 12/06/2024.</t>
  </si>
  <si>
    <t>J.K.59
Approved upto : Gr/St + 1st to 7th Floor
Total Built Up Area = 1946.34 Sq.Mt.</t>
  </si>
  <si>
    <t>Completed</t>
  </si>
  <si>
    <t>All work Completed. OC Received.</t>
  </si>
  <si>
    <t>We have updated OC (On 28/04/2025).</t>
  </si>
  <si>
    <t>Pooja</t>
  </si>
  <si>
    <t>Mr. Shailesh : 9619830004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</si>
</sst>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right" vertical="center"/>
    </xf>
    <xf numFmtId="1" fontId="6" fillId="0" borderId="0" xfId="2" applyNumberFormat="1" applyFont="1" applyAlignment="1">
      <alignment horizontal="right"/>
    </xf>
    <xf numFmtId="1" fontId="10" fillId="0" borderId="0" xfId="1" applyNumberFormat="1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223345</xdr:colOff>
      <xdr:row>274</xdr:row>
      <xdr:rowOff>145086</xdr:rowOff>
    </xdr:from>
    <xdr:to>
      <xdr:col>7</xdr:col>
      <xdr:colOff>570721</xdr:colOff>
      <xdr:row>293</xdr:row>
      <xdr:rowOff>57150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345" y="47192236"/>
          <a:ext cx="6322726" cy="36522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231906</xdr:colOff>
      <xdr:row>253</xdr:row>
      <xdr:rowOff>177362</xdr:rowOff>
    </xdr:from>
    <xdr:to>
      <xdr:col>7</xdr:col>
      <xdr:colOff>570721</xdr:colOff>
      <xdr:row>273</xdr:row>
      <xdr:rowOff>195983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906" y="46698776"/>
          <a:ext cx="604067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486104</xdr:colOff>
      <xdr:row>217</xdr:row>
      <xdr:rowOff>0</xdr:rowOff>
    </xdr:from>
    <xdr:to>
      <xdr:col>6</xdr:col>
      <xdr:colOff>279378</xdr:colOff>
      <xdr:row>231</xdr:row>
      <xdr:rowOff>121034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8104" y="37850379"/>
          <a:ext cx="3951429" cy="288000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564931</xdr:colOff>
      <xdr:row>232</xdr:row>
      <xdr:rowOff>59122</xdr:rowOff>
    </xdr:from>
    <xdr:to>
      <xdr:col>6</xdr:col>
      <xdr:colOff>269633</xdr:colOff>
      <xdr:row>246</xdr:row>
      <xdr:rowOff>180157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6931" y="40865536"/>
          <a:ext cx="3862857" cy="288000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638175</xdr:colOff>
      <xdr:row>174</xdr:row>
      <xdr:rowOff>47625</xdr:rowOff>
    </xdr:from>
    <xdr:to>
      <xdr:col>15</xdr:col>
      <xdr:colOff>474887</xdr:colOff>
      <xdr:row>214</xdr:row>
      <xdr:rowOff>196813</xdr:rowOff>
    </xdr:to>
    <xdr:grpSp>
      <xdr:nvGrpSpPr>
        <xdr:cNvPr id="3" name="Group 2"/>
        <xdr:cNvGrpSpPr/>
      </xdr:nvGrpSpPr>
      <xdr:grpSpPr>
        <a:xfrm>
          <a:off x="7483475" y="27822525"/>
          <a:ext cx="6104162" cy="8016838"/>
          <a:chOff x="390525" y="28127325"/>
          <a:chExt cx="5827937" cy="8140663"/>
        </a:xfrm>
      </xdr:grpSpPr>
      <xdr:pic>
        <xdr:nvPicPr>
          <xdr:cNvPr id="35" name="Picture 34" descr="insp-207612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4493" y="34107988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insp-207612-84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3592" y="28127325"/>
            <a:ext cx="2427468" cy="32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07612-849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5" y="3149641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07612-86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60478" y="3149641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07612-86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53112" y="28127325"/>
            <a:ext cx="2427468" cy="32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07612-86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30431" y="3149641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07612-151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62268" y="34107988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215900</xdr:colOff>
      <xdr:row>174</xdr:row>
      <xdr:rowOff>76200</xdr:rowOff>
    </xdr:from>
    <xdr:to>
      <xdr:col>7</xdr:col>
      <xdr:colOff>654149</xdr:colOff>
      <xdr:row>214</xdr:row>
      <xdr:rowOff>79070</xdr:rowOff>
    </xdr:to>
    <xdr:grpSp>
      <xdr:nvGrpSpPr>
        <xdr:cNvPr id="4" name="Group 3"/>
        <xdr:cNvGrpSpPr/>
      </xdr:nvGrpSpPr>
      <xdr:grpSpPr>
        <a:xfrm>
          <a:off x="215900" y="27851100"/>
          <a:ext cx="6413599" cy="7870520"/>
          <a:chOff x="215900" y="27851100"/>
          <a:chExt cx="6413599" cy="7870520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3542" y="335616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2785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768" y="2785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7768" y="3070636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3070636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9635" y="3070636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9636" y="278511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GJf8kJbAMJkgM61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3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2.453125" style="41" customWidth="1"/>
    <col min="9" max="9" width="17.453125" style="22" customWidth="1"/>
    <col min="10" max="10" width="16.7265625" style="22" customWidth="1"/>
    <col min="11" max="11" width="10.8164062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67" t="s">
        <v>171</v>
      </c>
      <c r="B1" s="167"/>
      <c r="C1" s="167"/>
      <c r="D1" s="167"/>
      <c r="E1" s="167"/>
      <c r="F1" s="167"/>
      <c r="G1" s="167"/>
      <c r="H1" s="167"/>
    </row>
    <row r="2" spans="1:8" ht="16.5" customHeight="1" x14ac:dyDescent="0.35">
      <c r="A2" s="168" t="s">
        <v>0</v>
      </c>
      <c r="B2" s="168"/>
      <c r="C2" s="168"/>
      <c r="D2" s="168"/>
      <c r="E2" s="168"/>
      <c r="F2" s="168"/>
      <c r="G2" s="168"/>
      <c r="H2" s="168"/>
    </row>
    <row r="3" spans="1:8" x14ac:dyDescent="0.35">
      <c r="A3" s="105" t="s">
        <v>1</v>
      </c>
      <c r="B3" s="105"/>
      <c r="C3" s="105"/>
      <c r="D3" s="105"/>
      <c r="E3" s="105" t="str">
        <f ca="1">TEXT(TODAY(),"DD/MM/YYYY")</f>
        <v>27/09/2025</v>
      </c>
      <c r="F3" s="105"/>
      <c r="G3" s="105"/>
      <c r="H3" s="105"/>
    </row>
    <row r="4" spans="1:8" x14ac:dyDescent="0.35">
      <c r="A4" s="105" t="s">
        <v>2</v>
      </c>
      <c r="B4" s="105"/>
      <c r="C4" s="105"/>
      <c r="D4" s="105"/>
      <c r="E4" s="105" t="s">
        <v>175</v>
      </c>
      <c r="F4" s="105"/>
      <c r="G4" s="105"/>
      <c r="H4" s="105"/>
    </row>
    <row r="5" spans="1:8" x14ac:dyDescent="0.35">
      <c r="A5" s="105" t="s">
        <v>3</v>
      </c>
      <c r="B5" s="105"/>
      <c r="C5" s="105"/>
      <c r="D5" s="105"/>
      <c r="E5" s="169">
        <v>45927</v>
      </c>
      <c r="F5" s="105"/>
      <c r="G5" s="105"/>
      <c r="H5" s="105"/>
    </row>
    <row r="6" spans="1:8" ht="16.5" customHeight="1" x14ac:dyDescent="0.35">
      <c r="A6" s="105" t="s">
        <v>4</v>
      </c>
      <c r="B6" s="105"/>
      <c r="C6" s="105"/>
      <c r="D6" s="105"/>
      <c r="E6" s="105" t="s">
        <v>176</v>
      </c>
      <c r="F6" s="105"/>
      <c r="G6" s="105"/>
      <c r="H6" s="105"/>
    </row>
    <row r="7" spans="1:8" x14ac:dyDescent="0.35">
      <c r="A7" s="105" t="s">
        <v>5</v>
      </c>
      <c r="B7" s="105"/>
      <c r="C7" s="105"/>
      <c r="D7" s="105"/>
      <c r="E7" s="105" t="str">
        <f>E6</f>
        <v>Kum Kum Enterprises</v>
      </c>
      <c r="F7" s="105"/>
      <c r="G7" s="105"/>
      <c r="H7" s="105"/>
    </row>
    <row r="8" spans="1:8" x14ac:dyDescent="0.35">
      <c r="A8" s="105" t="s">
        <v>6</v>
      </c>
      <c r="B8" s="105"/>
      <c r="C8" s="105"/>
      <c r="D8" s="105"/>
      <c r="E8" s="155" t="s">
        <v>177</v>
      </c>
      <c r="F8" s="156"/>
      <c r="G8" s="156"/>
      <c r="H8" s="157"/>
    </row>
    <row r="9" spans="1:8" x14ac:dyDescent="0.35">
      <c r="A9" s="105" t="s">
        <v>173</v>
      </c>
      <c r="B9" s="105"/>
      <c r="C9" s="105"/>
      <c r="D9" s="105"/>
      <c r="E9" s="105">
        <v>9619830004</v>
      </c>
      <c r="F9" s="105"/>
      <c r="G9" s="105"/>
      <c r="H9" s="105"/>
    </row>
    <row r="10" spans="1:8" x14ac:dyDescent="0.35">
      <c r="A10" s="105" t="s">
        <v>174</v>
      </c>
      <c r="B10" s="105"/>
      <c r="C10" s="105"/>
      <c r="D10" s="105"/>
      <c r="E10" s="105" t="s">
        <v>217</v>
      </c>
      <c r="F10" s="105"/>
      <c r="G10" s="105"/>
      <c r="H10" s="105"/>
    </row>
    <row r="11" spans="1:8" x14ac:dyDescent="0.35">
      <c r="A11" s="105" t="s">
        <v>7</v>
      </c>
      <c r="B11" s="105"/>
      <c r="C11" s="105"/>
      <c r="D11" s="105"/>
      <c r="E11" s="105" t="s">
        <v>178</v>
      </c>
      <c r="F11" s="105"/>
      <c r="G11" s="105"/>
      <c r="H11" s="105"/>
    </row>
    <row r="12" spans="1:8" x14ac:dyDescent="0.35">
      <c r="A12" s="86" t="s">
        <v>8</v>
      </c>
      <c r="B12" s="86"/>
      <c r="C12" s="86"/>
      <c r="D12" s="86"/>
      <c r="E12" s="96" t="s">
        <v>179</v>
      </c>
      <c r="F12" s="96"/>
      <c r="G12" s="96"/>
      <c r="H12" s="96"/>
    </row>
    <row r="13" spans="1:8" x14ac:dyDescent="0.35">
      <c r="A13" s="86" t="s">
        <v>9</v>
      </c>
      <c r="B13" s="86"/>
      <c r="C13" s="86"/>
      <c r="D13" s="86"/>
      <c r="E13" s="96" t="s">
        <v>180</v>
      </c>
      <c r="F13" s="105"/>
      <c r="G13" s="105"/>
      <c r="H13" s="105"/>
    </row>
    <row r="14" spans="1:8" ht="33" customHeight="1" x14ac:dyDescent="0.35">
      <c r="A14" s="96" t="s">
        <v>10</v>
      </c>
      <c r="B14" s="96"/>
      <c r="C14" s="9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Kumkum Corner, Survey No..111, Plot No. 9 - 10, near Sai Disha Apartment, Internal Road, Hajare Nagar, Dhamote, Neral, Karjat, Raigad - 410101.</v>
      </c>
      <c r="D14" s="96"/>
      <c r="E14" s="96"/>
      <c r="F14" s="96"/>
      <c r="G14" s="96"/>
      <c r="H14" s="96"/>
    </row>
    <row r="15" spans="1:8" x14ac:dyDescent="0.35">
      <c r="A15" s="96" t="s">
        <v>181</v>
      </c>
      <c r="B15" s="96"/>
      <c r="C15" s="96" t="s">
        <v>182</v>
      </c>
      <c r="D15" s="96"/>
      <c r="E15" s="96"/>
      <c r="F15" s="96"/>
      <c r="G15" s="96"/>
      <c r="H15" s="96"/>
    </row>
    <row r="16" spans="1:8" ht="15.75" customHeight="1" x14ac:dyDescent="0.35">
      <c r="A16" s="96" t="s">
        <v>169</v>
      </c>
      <c r="B16" s="96"/>
      <c r="C16" s="96" t="s">
        <v>191</v>
      </c>
      <c r="D16" s="96"/>
      <c r="E16" s="96"/>
      <c r="F16" s="96"/>
      <c r="G16" s="96"/>
      <c r="H16" s="96"/>
    </row>
    <row r="17" spans="1:8" ht="15.75" customHeight="1" x14ac:dyDescent="0.35">
      <c r="A17" s="96" t="s">
        <v>11</v>
      </c>
      <c r="B17" s="96"/>
      <c r="C17" s="105" t="s">
        <v>189</v>
      </c>
      <c r="D17" s="105"/>
      <c r="E17" s="96" t="s">
        <v>75</v>
      </c>
      <c r="F17" s="96"/>
      <c r="G17" s="96" t="s">
        <v>183</v>
      </c>
      <c r="H17" s="96"/>
    </row>
    <row r="18" spans="1:8" x14ac:dyDescent="0.35">
      <c r="A18" s="105" t="s">
        <v>13</v>
      </c>
      <c r="B18" s="105"/>
      <c r="C18" s="96" t="s">
        <v>190</v>
      </c>
      <c r="D18" s="96"/>
      <c r="E18" s="96" t="s">
        <v>12</v>
      </c>
      <c r="F18" s="96"/>
      <c r="G18" s="166" t="s">
        <v>184</v>
      </c>
      <c r="H18" s="166"/>
    </row>
    <row r="19" spans="1:8" x14ac:dyDescent="0.35">
      <c r="A19" s="105" t="s">
        <v>76</v>
      </c>
      <c r="B19" s="105"/>
      <c r="C19" s="96" t="s">
        <v>185</v>
      </c>
      <c r="D19" s="96"/>
      <c r="E19" s="96" t="s">
        <v>14</v>
      </c>
      <c r="F19" s="96"/>
      <c r="G19" s="96">
        <v>410101</v>
      </c>
      <c r="H19" s="96"/>
    </row>
    <row r="20" spans="1:8" ht="32.25" customHeight="1" x14ac:dyDescent="0.35">
      <c r="A20" s="105" t="s">
        <v>127</v>
      </c>
      <c r="B20" s="105"/>
      <c r="C20" s="96" t="s">
        <v>188</v>
      </c>
      <c r="D20" s="96"/>
      <c r="E20" s="96" t="s">
        <v>15</v>
      </c>
      <c r="F20" s="96"/>
      <c r="G20" s="96" t="s">
        <v>194</v>
      </c>
      <c r="H20" s="96"/>
    </row>
    <row r="21" spans="1:8" ht="15" customHeight="1" x14ac:dyDescent="0.35">
      <c r="A21" s="139" t="s">
        <v>78</v>
      </c>
      <c r="B21" s="139"/>
      <c r="C21" s="139"/>
      <c r="D21" s="139"/>
      <c r="E21" s="105" t="s">
        <v>16</v>
      </c>
      <c r="F21" s="105"/>
      <c r="G21" s="105"/>
      <c r="H21" s="105"/>
    </row>
    <row r="22" spans="1:8" ht="18.75" customHeight="1" x14ac:dyDescent="0.35">
      <c r="A22" s="139"/>
      <c r="B22" s="139"/>
      <c r="C22" s="139"/>
      <c r="D22" s="139"/>
      <c r="E22" s="105"/>
      <c r="F22" s="105"/>
      <c r="G22" s="105"/>
      <c r="H22" s="105"/>
    </row>
    <row r="23" spans="1:8" ht="15" customHeight="1" x14ac:dyDescent="0.35">
      <c r="A23" s="139" t="s">
        <v>17</v>
      </c>
      <c r="B23" s="139"/>
      <c r="C23" s="139"/>
      <c r="D23" s="139"/>
      <c r="E23" s="96" t="s">
        <v>18</v>
      </c>
      <c r="F23" s="96"/>
      <c r="G23" s="96"/>
      <c r="H23" s="96"/>
    </row>
    <row r="24" spans="1:8" ht="15" customHeight="1" x14ac:dyDescent="0.35">
      <c r="A24" s="86" t="s">
        <v>19</v>
      </c>
      <c r="B24" s="86"/>
      <c r="C24" s="86"/>
      <c r="D24" s="86"/>
      <c r="E24" s="163" t="str">
        <f>IF(AND(G18="Mumbai"),"Upper Class","Middle Class")</f>
        <v>Middle Class</v>
      </c>
      <c r="F24" s="163"/>
      <c r="G24" s="163"/>
      <c r="H24" s="163"/>
    </row>
    <row r="25" spans="1:8" x14ac:dyDescent="0.35">
      <c r="A25" s="86" t="s">
        <v>20</v>
      </c>
      <c r="B25" s="86"/>
      <c r="C25" s="86"/>
      <c r="D25" s="86"/>
      <c r="E25" s="96" t="s">
        <v>21</v>
      </c>
      <c r="F25" s="96"/>
      <c r="G25" s="96"/>
      <c r="H25" s="96"/>
    </row>
    <row r="26" spans="1:8" ht="15.75" customHeight="1" x14ac:dyDescent="0.35">
      <c r="A26" s="86" t="s">
        <v>22</v>
      </c>
      <c r="B26" s="86"/>
      <c r="C26" s="86"/>
      <c r="D26" s="86"/>
      <c r="E26" s="163" t="str">
        <f>IF(AND(G18="Mumbai"),"Developed","Developing")</f>
        <v>Developing</v>
      </c>
      <c r="F26" s="163"/>
      <c r="G26" s="163"/>
      <c r="H26" s="163"/>
    </row>
    <row r="27" spans="1:8" x14ac:dyDescent="0.35">
      <c r="A27" s="86" t="s">
        <v>23</v>
      </c>
      <c r="B27" s="86"/>
      <c r="C27" s="86"/>
      <c r="D27" s="86"/>
      <c r="E27" s="96" t="s">
        <v>24</v>
      </c>
      <c r="F27" s="96"/>
      <c r="G27" s="96"/>
      <c r="H27" s="96"/>
    </row>
    <row r="28" spans="1:8" ht="15.75" customHeight="1" x14ac:dyDescent="0.35">
      <c r="A28" s="86" t="s">
        <v>83</v>
      </c>
      <c r="B28" s="86"/>
      <c r="C28" s="86"/>
      <c r="D28" s="86"/>
      <c r="E28" s="96" t="s">
        <v>84</v>
      </c>
      <c r="F28" s="96"/>
      <c r="G28" s="96"/>
      <c r="H28" s="96"/>
    </row>
    <row r="29" spans="1:8" ht="15" customHeight="1" x14ac:dyDescent="0.35">
      <c r="A29" s="86" t="s">
        <v>33</v>
      </c>
      <c r="B29" s="86"/>
      <c r="C29" s="86"/>
      <c r="D29" s="86"/>
      <c r="E29" s="16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63"/>
      <c r="G29" s="163"/>
      <c r="H29" s="163"/>
    </row>
    <row r="30" spans="1:8" ht="15.75" customHeight="1" x14ac:dyDescent="0.35">
      <c r="A30" s="86" t="s">
        <v>95</v>
      </c>
      <c r="B30" s="86"/>
      <c r="C30" s="86"/>
      <c r="D30" s="86"/>
      <c r="E30" s="96" t="s">
        <v>34</v>
      </c>
      <c r="F30" s="96"/>
      <c r="G30" s="96"/>
      <c r="H30" s="96"/>
    </row>
    <row r="31" spans="1:8" s="23" customFormat="1" x14ac:dyDescent="0.35">
      <c r="A31" s="165" t="s">
        <v>96</v>
      </c>
      <c r="B31" s="165"/>
      <c r="C31" s="164" t="s">
        <v>29</v>
      </c>
      <c r="D31" s="164"/>
      <c r="E31" s="164"/>
      <c r="F31" s="164" t="s">
        <v>31</v>
      </c>
      <c r="G31" s="164"/>
      <c r="H31" s="164"/>
    </row>
    <row r="32" spans="1:8" s="23" customFormat="1" x14ac:dyDescent="0.35">
      <c r="A32" s="127" t="s">
        <v>25</v>
      </c>
      <c r="B32" s="127" t="s">
        <v>30</v>
      </c>
      <c r="C32" s="128" t="s">
        <v>30</v>
      </c>
      <c r="D32" s="128"/>
      <c r="E32" s="128"/>
      <c r="F32" s="128" t="s">
        <v>193</v>
      </c>
      <c r="G32" s="128"/>
      <c r="H32" s="128"/>
    </row>
    <row r="33" spans="1:8" x14ac:dyDescent="0.35">
      <c r="A33" s="127" t="s">
        <v>26</v>
      </c>
      <c r="B33" s="127" t="s">
        <v>30</v>
      </c>
      <c r="C33" s="128" t="s">
        <v>30</v>
      </c>
      <c r="D33" s="128"/>
      <c r="E33" s="128"/>
      <c r="F33" s="128" t="s">
        <v>188</v>
      </c>
      <c r="G33" s="128"/>
      <c r="H33" s="128"/>
    </row>
    <row r="34" spans="1:8" s="23" customFormat="1" x14ac:dyDescent="0.35">
      <c r="A34" s="127" t="s">
        <v>28</v>
      </c>
      <c r="B34" s="127" t="s">
        <v>30</v>
      </c>
      <c r="C34" s="128" t="s">
        <v>30</v>
      </c>
      <c r="D34" s="128"/>
      <c r="E34" s="128"/>
      <c r="F34" s="128" t="s">
        <v>189</v>
      </c>
      <c r="G34" s="128"/>
      <c r="H34" s="128"/>
    </row>
    <row r="35" spans="1:8" x14ac:dyDescent="0.35">
      <c r="A35" s="127" t="s">
        <v>27</v>
      </c>
      <c r="B35" s="127" t="s">
        <v>30</v>
      </c>
      <c r="C35" s="128" t="s">
        <v>30</v>
      </c>
      <c r="D35" s="128"/>
      <c r="E35" s="128"/>
      <c r="F35" s="128" t="s">
        <v>192</v>
      </c>
      <c r="G35" s="128"/>
      <c r="H35" s="128"/>
    </row>
    <row r="36" spans="1:8" x14ac:dyDescent="0.35">
      <c r="A36" s="86" t="s">
        <v>32</v>
      </c>
      <c r="B36" s="86"/>
      <c r="C36" s="86"/>
      <c r="D36" s="86"/>
      <c r="E36" s="86"/>
      <c r="F36" s="86"/>
      <c r="G36" s="86"/>
      <c r="H36" s="86"/>
    </row>
    <row r="37" spans="1:8" ht="15.75" customHeight="1" x14ac:dyDescent="0.35">
      <c r="A37" s="86" t="s">
        <v>172</v>
      </c>
      <c r="B37" s="86"/>
      <c r="C37" s="104" t="s">
        <v>186</v>
      </c>
      <c r="D37" s="104"/>
      <c r="E37" s="104"/>
      <c r="F37" s="104"/>
      <c r="G37" s="104"/>
      <c r="H37" s="104"/>
    </row>
    <row r="38" spans="1:8" x14ac:dyDescent="0.35">
      <c r="A38" s="86" t="s">
        <v>168</v>
      </c>
      <c r="B38" s="86"/>
      <c r="C38" s="95" t="s">
        <v>187</v>
      </c>
      <c r="D38" s="96"/>
      <c r="E38" s="96"/>
      <c r="F38" s="96"/>
      <c r="G38" s="96"/>
      <c r="H38" s="96"/>
    </row>
    <row r="39" spans="1:8" x14ac:dyDescent="0.35">
      <c r="A39" s="90" t="s">
        <v>35</v>
      </c>
      <c r="B39" s="90"/>
      <c r="C39" s="90"/>
      <c r="D39" s="90"/>
      <c r="E39" s="90"/>
      <c r="F39" s="90"/>
      <c r="G39" s="90"/>
      <c r="H39" s="90"/>
    </row>
    <row r="40" spans="1:8" x14ac:dyDescent="0.35">
      <c r="A40" s="105" t="s">
        <v>36</v>
      </c>
      <c r="B40" s="105"/>
      <c r="C40" s="105"/>
      <c r="D40" s="105"/>
      <c r="E40" s="132">
        <v>870</v>
      </c>
      <c r="F40" s="132"/>
      <c r="G40" s="132"/>
      <c r="H40" s="132"/>
    </row>
    <row r="41" spans="1:8" x14ac:dyDescent="0.35">
      <c r="A41" s="105" t="s">
        <v>37</v>
      </c>
      <c r="B41" s="105"/>
      <c r="C41" s="105"/>
      <c r="D41" s="105"/>
      <c r="E41" s="161">
        <v>1.6</v>
      </c>
      <c r="F41" s="161"/>
      <c r="G41" s="161"/>
      <c r="H41" s="161"/>
    </row>
    <row r="42" spans="1:8" x14ac:dyDescent="0.35">
      <c r="A42" s="105" t="s">
        <v>38</v>
      </c>
      <c r="B42" s="105"/>
      <c r="C42" s="105"/>
      <c r="D42" s="105"/>
      <c r="E42" s="161">
        <f>E44/E40-E41</f>
        <v>0.63999999999999968</v>
      </c>
      <c r="F42" s="161"/>
      <c r="G42" s="161"/>
      <c r="H42" s="161"/>
    </row>
    <row r="43" spans="1:8" x14ac:dyDescent="0.35">
      <c r="A43" s="105" t="s">
        <v>39</v>
      </c>
      <c r="B43" s="105"/>
      <c r="C43" s="105"/>
      <c r="D43" s="105"/>
      <c r="E43" s="161">
        <f>E41+E42</f>
        <v>2.2399999999999998</v>
      </c>
      <c r="F43" s="161"/>
      <c r="G43" s="161"/>
      <c r="H43" s="161"/>
    </row>
    <row r="44" spans="1:8" x14ac:dyDescent="0.35">
      <c r="A44" s="105" t="s">
        <v>94</v>
      </c>
      <c r="B44" s="105"/>
      <c r="C44" s="105"/>
      <c r="D44" s="105"/>
      <c r="E44" s="162">
        <v>1948.8</v>
      </c>
      <c r="F44" s="162"/>
      <c r="G44" s="162"/>
      <c r="H44" s="162"/>
    </row>
    <row r="45" spans="1:8" x14ac:dyDescent="0.35">
      <c r="A45" s="105" t="s">
        <v>40</v>
      </c>
      <c r="B45" s="105"/>
      <c r="C45" s="105"/>
      <c r="D45" s="105"/>
      <c r="E45" s="105" t="s">
        <v>126</v>
      </c>
      <c r="F45" s="105"/>
      <c r="G45" s="105"/>
      <c r="H45" s="105"/>
    </row>
    <row r="46" spans="1:8" x14ac:dyDescent="0.35">
      <c r="A46" s="104" t="s">
        <v>41</v>
      </c>
      <c r="B46" s="104"/>
      <c r="C46" s="104"/>
      <c r="D46" s="104"/>
      <c r="E46" s="104"/>
      <c r="F46" s="104"/>
      <c r="G46" s="104"/>
      <c r="H46" s="104"/>
    </row>
    <row r="47" spans="1:8" ht="33.75" customHeight="1" x14ac:dyDescent="0.35">
      <c r="A47" s="140" t="s">
        <v>155</v>
      </c>
      <c r="B47" s="134"/>
      <c r="C47" s="155" t="s">
        <v>195</v>
      </c>
      <c r="D47" s="156"/>
      <c r="E47" s="156"/>
      <c r="F47" s="156"/>
      <c r="G47" s="156"/>
      <c r="H47" s="157"/>
    </row>
    <row r="48" spans="1:8" x14ac:dyDescent="0.35">
      <c r="A48" s="140" t="s">
        <v>42</v>
      </c>
      <c r="B48" s="134"/>
      <c r="C48" s="140" t="s">
        <v>196</v>
      </c>
      <c r="D48" s="150"/>
      <c r="E48" s="134"/>
      <c r="F48" s="19" t="s">
        <v>43</v>
      </c>
      <c r="G48" s="133">
        <v>44914</v>
      </c>
      <c r="H48" s="134"/>
    </row>
    <row r="49" spans="1:14" x14ac:dyDescent="0.35">
      <c r="A49" s="140" t="s">
        <v>44</v>
      </c>
      <c r="B49" s="134"/>
      <c r="C49" s="140" t="str">
        <f>C48</f>
        <v>J.K. RJP BP/NSVP/561/2022</v>
      </c>
      <c r="D49" s="150"/>
      <c r="E49" s="134"/>
      <c r="F49" s="19" t="s">
        <v>43</v>
      </c>
      <c r="G49" s="133">
        <f>G48</f>
        <v>44914</v>
      </c>
      <c r="H49" s="134"/>
    </row>
    <row r="50" spans="1:14" s="24" customFormat="1" x14ac:dyDescent="0.35">
      <c r="A50" s="135" t="s">
        <v>159</v>
      </c>
      <c r="B50" s="136"/>
      <c r="C50" s="140" t="str">
        <f>C49</f>
        <v>J.K. RJP BP/NSVP/561/2022</v>
      </c>
      <c r="D50" s="150"/>
      <c r="E50" s="134"/>
      <c r="F50" s="19" t="s">
        <v>43</v>
      </c>
      <c r="G50" s="133">
        <f>G49</f>
        <v>44914</v>
      </c>
      <c r="H50" s="134"/>
    </row>
    <row r="51" spans="1:14" s="24" customFormat="1" x14ac:dyDescent="0.35">
      <c r="A51" s="137"/>
      <c r="B51" s="138"/>
      <c r="C51" s="140" t="s">
        <v>197</v>
      </c>
      <c r="D51" s="150"/>
      <c r="E51" s="150"/>
      <c r="F51" s="150"/>
      <c r="G51" s="150"/>
      <c r="H51" s="134"/>
    </row>
    <row r="52" spans="1:14" ht="49.5" customHeight="1" x14ac:dyDescent="0.35">
      <c r="A52" s="151" t="s">
        <v>45</v>
      </c>
      <c r="B52" s="152"/>
      <c r="C52" s="151" t="s">
        <v>212</v>
      </c>
      <c r="D52" s="153"/>
      <c r="E52" s="152"/>
      <c r="F52" s="47" t="s">
        <v>43</v>
      </c>
      <c r="G52" s="184">
        <v>45742</v>
      </c>
      <c r="H52" s="185"/>
    </row>
    <row r="53" spans="1:14" x14ac:dyDescent="0.35">
      <c r="A53" s="154" t="s">
        <v>47</v>
      </c>
      <c r="B53" s="154"/>
      <c r="C53" s="154"/>
      <c r="D53" s="154"/>
      <c r="E53" s="154"/>
      <c r="F53" s="154"/>
      <c r="G53" s="154"/>
      <c r="H53" s="154"/>
    </row>
    <row r="54" spans="1:14" x14ac:dyDescent="0.35">
      <c r="A54" s="139" t="s">
        <v>93</v>
      </c>
      <c r="B54" s="139"/>
      <c r="C54" s="139"/>
      <c r="D54" s="86">
        <f>E44</f>
        <v>1948.8</v>
      </c>
      <c r="E54" s="86"/>
      <c r="F54" s="86"/>
      <c r="G54" s="86"/>
      <c r="H54" s="86"/>
    </row>
    <row r="55" spans="1:14" x14ac:dyDescent="0.35">
      <c r="A55" s="96" t="s">
        <v>48</v>
      </c>
      <c r="B55" s="105"/>
      <c r="C55" s="105"/>
      <c r="D55" s="105" t="s">
        <v>205</v>
      </c>
      <c r="E55" s="105"/>
      <c r="F55" s="105"/>
      <c r="G55" s="105"/>
      <c r="H55" s="105"/>
      <c r="I55" s="25"/>
    </row>
    <row r="56" spans="1:14" x14ac:dyDescent="0.35">
      <c r="A56" s="143" t="s">
        <v>49</v>
      </c>
      <c r="B56" s="144"/>
      <c r="C56" s="145"/>
      <c r="D56" s="141" t="s">
        <v>197</v>
      </c>
      <c r="E56" s="142"/>
      <c r="F56" s="142"/>
      <c r="G56" s="142"/>
      <c r="H56" s="142"/>
    </row>
    <row r="57" spans="1:14" ht="15.75" customHeight="1" x14ac:dyDescent="0.35">
      <c r="A57" s="143" t="s">
        <v>91</v>
      </c>
      <c r="B57" s="144"/>
      <c r="C57" s="144"/>
      <c r="D57" s="147" t="s">
        <v>197</v>
      </c>
      <c r="E57" s="148"/>
      <c r="F57" s="148"/>
      <c r="G57" s="148"/>
      <c r="H57" s="149"/>
    </row>
    <row r="58" spans="1:14" ht="15.75" customHeight="1" x14ac:dyDescent="0.35">
      <c r="A58" s="86" t="s">
        <v>46</v>
      </c>
      <c r="B58" s="86"/>
      <c r="C58" s="86"/>
      <c r="D58" s="158" t="s">
        <v>213</v>
      </c>
      <c r="E58" s="158"/>
      <c r="F58" s="158"/>
      <c r="G58" s="158"/>
      <c r="H58" s="158"/>
      <c r="J58" s="26"/>
      <c r="K58" s="25"/>
      <c r="N58" s="25"/>
    </row>
    <row r="59" spans="1:14" ht="15.75" customHeight="1" x14ac:dyDescent="0.35">
      <c r="A59" s="86" t="s">
        <v>89</v>
      </c>
      <c r="B59" s="86"/>
      <c r="C59" s="86"/>
      <c r="D59" s="160" t="str">
        <f ca="1">(IF(G52="NA","60 Years After Completion",IF(G52&lt;&gt;"NA",""&amp;60-ROUNDDOWN((E3-G52)/360,0)&amp;" Years"," ")))</f>
        <v>60 Years</v>
      </c>
      <c r="E59" s="160"/>
      <c r="F59" s="160"/>
      <c r="G59" s="160"/>
      <c r="H59" s="160"/>
      <c r="N59" s="25"/>
    </row>
    <row r="60" spans="1:14" ht="15.75" customHeight="1" x14ac:dyDescent="0.35">
      <c r="A60" s="86" t="s">
        <v>90</v>
      </c>
      <c r="B60" s="86"/>
      <c r="C60" s="86"/>
      <c r="D60" s="139" t="s">
        <v>24</v>
      </c>
      <c r="E60" s="139"/>
      <c r="F60" s="139"/>
      <c r="G60" s="139"/>
      <c r="H60" s="139"/>
      <c r="J60" s="27"/>
      <c r="K60" s="27"/>
    </row>
    <row r="61" spans="1:14" ht="30" customHeight="1" x14ac:dyDescent="0.35">
      <c r="A61" s="86" t="s">
        <v>77</v>
      </c>
      <c r="B61" s="86"/>
      <c r="C61" s="86"/>
      <c r="D61" s="96" t="s">
        <v>198</v>
      </c>
      <c r="E61" s="139"/>
      <c r="F61" s="139"/>
      <c r="G61" s="139"/>
      <c r="H61" s="139"/>
    </row>
    <row r="62" spans="1:14" x14ac:dyDescent="0.35">
      <c r="A62" s="139" t="s">
        <v>153</v>
      </c>
      <c r="B62" s="139"/>
      <c r="C62" s="139"/>
      <c r="D62" s="139" t="s">
        <v>30</v>
      </c>
      <c r="E62" s="139"/>
      <c r="F62" s="139"/>
      <c r="G62" s="139"/>
      <c r="H62" s="139"/>
      <c r="I62" s="28"/>
      <c r="J62" s="28"/>
      <c r="K62" s="28"/>
      <c r="L62" s="28"/>
      <c r="M62" s="28"/>
      <c r="N62" s="28"/>
    </row>
    <row r="63" spans="1:14" ht="15.75" customHeight="1" x14ac:dyDescent="0.35">
      <c r="A63" s="146" t="s">
        <v>88</v>
      </c>
      <c r="B63" s="146"/>
      <c r="C63" s="146"/>
      <c r="D63" s="141" t="str">
        <f ca="1">(IF(G69&gt;95%,"Nothing",IF(G69&gt;0%,"Cement, Aggregate, Steel, etc",IF(G69=0%,"Work not yet Started"))))</f>
        <v>Nothing</v>
      </c>
      <c r="E63" s="141"/>
      <c r="F63" s="141"/>
      <c r="G63" s="141"/>
      <c r="H63" s="141"/>
      <c r="J63" s="27"/>
    </row>
    <row r="64" spans="1:14" ht="33.75" customHeight="1" thickBot="1" x14ac:dyDescent="0.4">
      <c r="A64" s="139" t="s">
        <v>120</v>
      </c>
      <c r="B64" s="139"/>
      <c r="C64" s="139"/>
      <c r="D64" s="96" t="str">
        <f ca="1">(IF(D63="Nothing","Yes",IF(D63="Cement, Aggregate, Steel, etc","Under Construction",IF(D63="Work not yet Started","Work not yet Started"))))</f>
        <v>Yes</v>
      </c>
      <c r="E64" s="96"/>
      <c r="F64" s="96" t="str">
        <f ca="1">(IF(D63="Nothing","Yes",IF(D63="Cement, Aggregate, Steel, etc","Under Construction",IF(D63="Work not yet Started","Work not yet Started"))))</f>
        <v>Yes</v>
      </c>
      <c r="G64" s="96"/>
      <c r="H64" s="96"/>
    </row>
    <row r="65" spans="1:10" ht="15.75" customHeight="1" x14ac:dyDescent="0.35">
      <c r="A65" s="91" t="s">
        <v>145</v>
      </c>
      <c r="B65" s="91"/>
      <c r="C65" s="91" t="str">
        <f>D57</f>
        <v>Gr + 1st to 7th Floor</v>
      </c>
      <c r="D65" s="91"/>
      <c r="E65" s="91"/>
      <c r="F65" s="91"/>
      <c r="G65" s="91"/>
      <c r="H65" s="91"/>
      <c r="I65" s="71" t="str">
        <f ca="1">IF(D78=100%,"All work Completed. Possession granted to the Building.",IF(D77=100%,"All work Completed, Waiting for OC",I66&amp;""&amp;I67&amp;""&amp;J66&amp;""&amp;J65&amp;" "&amp;J67))</f>
        <v>All work Completed. Possession granted to the Building.</v>
      </c>
      <c r="J65" s="5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35">
      <c r="A66" s="69" t="s">
        <v>147</v>
      </c>
      <c r="B66" s="69">
        <f>IF(AND(ISNUMBER(SEARCH("1B",C65))),1,IF(AND(ISNUMBER(SEARCH("2B",C65))),2,IF(AND(ISNUMBER(SEARCH("3B",C65))),3,IF(AND(ISNUMBER(SEARCH("4B",C65))),4,IF(ISNUMBER(SEARCH("5B",C65)),5,0)))))</f>
        <v>0</v>
      </c>
      <c r="C66" s="69" t="s">
        <v>74</v>
      </c>
      <c r="D66" s="69">
        <v>1</v>
      </c>
      <c r="E66" s="69" t="s">
        <v>73</v>
      </c>
      <c r="F66" s="69">
        <v>0</v>
      </c>
      <c r="G66" s="69" t="s">
        <v>82</v>
      </c>
      <c r="H66" s="69">
        <f ca="1">--TRIM(RIGHT(SUBSTITUTE(LEFT(C65,_xlfn.AGGREGATE(16,6,FIND({0,1,2,3,4,5,6,7,8,9},C65,ROW(INDIRECT("1:"&amp;LEN(C65)))),1))," ",REPT(" ",LEN(C65))),LEN(C65)))</f>
        <v>7</v>
      </c>
      <c r="I66" s="72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Painting, Building common Amenities</v>
      </c>
      <c r="J66" s="5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5">
      <c r="A67" s="90" t="s">
        <v>92</v>
      </c>
      <c r="B67" s="90"/>
      <c r="C67" s="91" t="str">
        <f ca="1">I65</f>
        <v>All work Completed. Possession granted to the Building.</v>
      </c>
      <c r="D67" s="91"/>
      <c r="E67" s="91"/>
      <c r="F67" s="91"/>
      <c r="G67" s="91"/>
      <c r="H67" s="91"/>
      <c r="I67" s="72" t="str">
        <f ca="1">IF(I66&lt;&gt;""," Completed","")</f>
        <v xml:space="preserve"> Completed</v>
      </c>
      <c r="J67" s="54" t="str">
        <f ca="1">IF(J65&lt;&gt;"","Completed","")</f>
        <v/>
      </c>
    </row>
    <row r="68" spans="1:10" ht="15.75" customHeight="1" x14ac:dyDescent="0.35">
      <c r="A68" s="106" t="s">
        <v>50</v>
      </c>
      <c r="B68" s="106"/>
      <c r="C68" s="68" t="s">
        <v>144</v>
      </c>
      <c r="D68" s="68" t="s">
        <v>85</v>
      </c>
      <c r="E68" s="106" t="s">
        <v>87</v>
      </c>
      <c r="F68" s="106"/>
      <c r="G68" s="106" t="s">
        <v>86</v>
      </c>
      <c r="H68" s="106"/>
      <c r="I68" s="14" t="s">
        <v>146</v>
      </c>
      <c r="J68" s="29">
        <f ca="1">H66*25%</f>
        <v>1.75</v>
      </c>
    </row>
    <row r="69" spans="1:10" x14ac:dyDescent="0.35">
      <c r="A69" s="106" t="s">
        <v>133</v>
      </c>
      <c r="B69" s="106"/>
      <c r="C69" s="68">
        <f ca="1">J70</f>
        <v>7</v>
      </c>
      <c r="D69" s="60">
        <f ca="1">((100/H66)*C69)/100</f>
        <v>1</v>
      </c>
      <c r="E69" s="159">
        <f ca="1">(((C70/H66*10)+(40/(D66+F66+H66)*C71)+(7.5/(H66)*C72)+(7.5/(H66)*C73)+(10/H66*C74)+(10/H66*C75)+(5/H66*C76)+(5/H66*C77)+(5/H66*C78))/100)</f>
        <v>1</v>
      </c>
      <c r="F69" s="159"/>
      <c r="G69" s="159">
        <f ca="1">((((C69/H66)*20)+((C70/H66)*25)+(30/(H66+F66+D66)*C71)+(5/H66*C72)+(5/H66*C73)+(5/H66*C74)+(5/H66*C75)+(0/H66*C76)+(0/H66*C77)+(5/H66*C78))/100)</f>
        <v>1</v>
      </c>
      <c r="H69" s="159"/>
      <c r="I69" s="14" t="s">
        <v>103</v>
      </c>
      <c r="J69" s="30">
        <f ca="1">H66*50%</f>
        <v>3.5</v>
      </c>
    </row>
    <row r="70" spans="1:10" x14ac:dyDescent="0.35">
      <c r="A70" s="106" t="s">
        <v>51</v>
      </c>
      <c r="B70" s="106"/>
      <c r="C70" s="68">
        <f ca="1">J78</f>
        <v>7</v>
      </c>
      <c r="D70" s="60">
        <f ca="1">((100/H66)*C70)/100</f>
        <v>1</v>
      </c>
      <c r="E70" s="159"/>
      <c r="F70" s="159"/>
      <c r="G70" s="159"/>
      <c r="H70" s="159"/>
      <c r="I70" s="14" t="s">
        <v>104</v>
      </c>
      <c r="J70" s="30">
        <f ca="1">H66</f>
        <v>7</v>
      </c>
    </row>
    <row r="71" spans="1:10" ht="15.75" customHeight="1" x14ac:dyDescent="0.35">
      <c r="A71" s="106" t="s">
        <v>134</v>
      </c>
      <c r="B71" s="106"/>
      <c r="C71" s="68">
        <v>8</v>
      </c>
      <c r="D71" s="60">
        <f ca="1">((100/(D66+F66+H66))*C71)/100</f>
        <v>1</v>
      </c>
      <c r="E71" s="159"/>
      <c r="F71" s="159"/>
      <c r="G71" s="159"/>
      <c r="H71" s="159"/>
      <c r="I71" s="14" t="s">
        <v>105</v>
      </c>
      <c r="J71" s="31">
        <f ca="1">(IF(B66&gt;1,(H66/(B66+2)),H66/4))</f>
        <v>1.75</v>
      </c>
    </row>
    <row r="72" spans="1:10" ht="15.75" customHeight="1" x14ac:dyDescent="0.35">
      <c r="A72" s="106" t="s">
        <v>141</v>
      </c>
      <c r="B72" s="106" t="s">
        <v>135</v>
      </c>
      <c r="C72" s="68">
        <v>7</v>
      </c>
      <c r="D72" s="60">
        <f ca="1">((100/H66)*C72)/100</f>
        <v>1</v>
      </c>
      <c r="E72" s="159"/>
      <c r="F72" s="159"/>
      <c r="G72" s="159"/>
      <c r="H72" s="159"/>
      <c r="I72" s="14" t="s">
        <v>106</v>
      </c>
      <c r="J72" s="31">
        <f ca="1">(IF(B66&gt;1,(H66/(B66+2)+J71),H66/4+J71))</f>
        <v>3.5</v>
      </c>
    </row>
    <row r="73" spans="1:10" ht="15.75" customHeight="1" x14ac:dyDescent="0.35">
      <c r="A73" s="106" t="s">
        <v>142</v>
      </c>
      <c r="B73" s="106" t="s">
        <v>135</v>
      </c>
      <c r="C73" s="68">
        <v>7</v>
      </c>
      <c r="D73" s="60">
        <f ca="1">((100/H66)*C73)/100</f>
        <v>1</v>
      </c>
      <c r="E73" s="159"/>
      <c r="F73" s="159"/>
      <c r="G73" s="159"/>
      <c r="H73" s="159"/>
      <c r="I73" s="14" t="s">
        <v>151</v>
      </c>
      <c r="J73" s="31">
        <f>(IF(B66&gt;1,(H66/(B66+2)+J72),0))</f>
        <v>0</v>
      </c>
    </row>
    <row r="74" spans="1:10" ht="15" customHeight="1" x14ac:dyDescent="0.35">
      <c r="A74" s="106" t="s">
        <v>140</v>
      </c>
      <c r="B74" s="106" t="s">
        <v>137</v>
      </c>
      <c r="C74" s="68">
        <v>7</v>
      </c>
      <c r="D74" s="60">
        <f ca="1">((100/(H66))*C74)/100</f>
        <v>1</v>
      </c>
      <c r="E74" s="159"/>
      <c r="F74" s="159"/>
      <c r="G74" s="159"/>
      <c r="H74" s="159"/>
      <c r="I74" s="14" t="s">
        <v>148</v>
      </c>
      <c r="J74" s="31">
        <f>(IF(B66&gt;2,(H66/(B66+2)+J73),0))</f>
        <v>0</v>
      </c>
    </row>
    <row r="75" spans="1:10" ht="15.75" customHeight="1" x14ac:dyDescent="0.35">
      <c r="A75" s="106" t="s">
        <v>136</v>
      </c>
      <c r="B75" s="106" t="s">
        <v>136</v>
      </c>
      <c r="C75" s="68">
        <v>7</v>
      </c>
      <c r="D75" s="60">
        <f ca="1">((100/H66)*C75)/100</f>
        <v>1</v>
      </c>
      <c r="E75" s="159"/>
      <c r="F75" s="159"/>
      <c r="G75" s="159"/>
      <c r="H75" s="159"/>
      <c r="I75" s="14" t="s">
        <v>149</v>
      </c>
      <c r="J75" s="32">
        <f>(IF(B66&gt;3,(H66/(B66+2)+J74),0))</f>
        <v>0</v>
      </c>
    </row>
    <row r="76" spans="1:10" ht="15.75" customHeight="1" x14ac:dyDescent="0.35">
      <c r="A76" s="106" t="s">
        <v>143</v>
      </c>
      <c r="B76" s="106"/>
      <c r="C76" s="68">
        <v>7</v>
      </c>
      <c r="D76" s="60">
        <f ca="1">((100/H66)*C76)/100</f>
        <v>1</v>
      </c>
      <c r="E76" s="159"/>
      <c r="F76" s="159"/>
      <c r="G76" s="159"/>
      <c r="H76" s="159"/>
      <c r="I76" s="14" t="s">
        <v>150</v>
      </c>
      <c r="J76" s="31">
        <f>(IF(B66&gt;4,(H66/(B66+2)+J75),0))</f>
        <v>0</v>
      </c>
    </row>
    <row r="77" spans="1:10" ht="15.75" customHeight="1" x14ac:dyDescent="0.35">
      <c r="A77" s="106" t="s">
        <v>138</v>
      </c>
      <c r="B77" s="106" t="s">
        <v>138</v>
      </c>
      <c r="C77" s="68">
        <v>7</v>
      </c>
      <c r="D77" s="60">
        <f ca="1">((100/(H66))*C77)/100</f>
        <v>1</v>
      </c>
      <c r="E77" s="159"/>
      <c r="F77" s="159"/>
      <c r="G77" s="159"/>
      <c r="H77" s="159"/>
      <c r="I77" s="14" t="s">
        <v>152</v>
      </c>
      <c r="J77" s="31">
        <f ca="1">(IF(B66=1,(H66/(B66+3)+J72),IF(B66=0,(H66/4+J72),IF(B66&gt;1,0))))</f>
        <v>5.25</v>
      </c>
    </row>
    <row r="78" spans="1:10" ht="16" thickBot="1" x14ac:dyDescent="0.4">
      <c r="A78" s="106" t="s">
        <v>139</v>
      </c>
      <c r="B78" s="106"/>
      <c r="C78" s="68">
        <v>7</v>
      </c>
      <c r="D78" s="60">
        <f ca="1">((100/(H66))*C78)/100</f>
        <v>1</v>
      </c>
      <c r="E78" s="159"/>
      <c r="F78" s="159"/>
      <c r="G78" s="159"/>
      <c r="H78" s="159"/>
      <c r="I78" s="16" t="s">
        <v>107</v>
      </c>
      <c r="J78" s="33">
        <f ca="1">(IF(B66&gt;1.5,(H66/(B66+2)+J72+MAX(0,J73-J72)+MAX(0,J74-J73)+MAX(0,J75-J74)+MAX(0,J76-J75)+MAX(0,J77-J76)),IF(B66=1,(H66/(B66+3)+J77),IF(B66=0,H66/4+J77))))</f>
        <v>7</v>
      </c>
    </row>
    <row r="79" spans="1:10" ht="15.75" hidden="1" customHeight="1" x14ac:dyDescent="0.35">
      <c r="A79" s="176" t="s">
        <v>145</v>
      </c>
      <c r="B79" s="177"/>
      <c r="C79" s="178" t="e">
        <f>#REF!</f>
        <v>#REF!</v>
      </c>
      <c r="D79" s="179"/>
      <c r="E79" s="179"/>
      <c r="F79" s="179"/>
      <c r="G79" s="179"/>
      <c r="H79" s="180"/>
      <c r="I79" s="51" t="e">
        <f ca="1">IF(D92=100%,"All work Completed. Possession granted to the Building.",IF(D91=100%,"All work Completed, Waiting for OC",I80&amp;""&amp;I81&amp;""&amp;J80&amp;""&amp;J79&amp;" "&amp;J81))</f>
        <v>#REF!</v>
      </c>
      <c r="J79" s="52" t="e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#REF!</v>
      </c>
    </row>
    <row r="80" spans="1:10" hidden="1" x14ac:dyDescent="0.35">
      <c r="A80" s="17" t="s">
        <v>147</v>
      </c>
      <c r="B80" s="55">
        <f>IF(AND(ISNUMBER(SEARCH("1B",C79))),1,IF(AND(ISNUMBER(SEARCH("2B",C79))),2,IF(AND(ISNUMBER(SEARCH("3B",C79))),3,IF(AND(ISNUMBER(SEARCH("4B",C79))),4,IF(ISNUMBER(SEARCH("5B",C79)),5,0)))))</f>
        <v>0</v>
      </c>
      <c r="C80" s="49" t="s">
        <v>74</v>
      </c>
      <c r="D80" s="49">
        <v>1</v>
      </c>
      <c r="E80" s="49" t="s">
        <v>73</v>
      </c>
      <c r="F80" s="15">
        <v>0</v>
      </c>
      <c r="G80" s="50" t="s">
        <v>82</v>
      </c>
      <c r="H80" s="18" t="e">
        <f ca="1">--TRIM(RIGHT(SUBSTITUTE(LEFT(C79,_xlfn.AGGREGATE(16,6,FIND({0,1,2,3,4,5,6,7,8,9},C79,ROW(INDIRECT("1:"&amp;LEN(C79)))),1))," ",REPT(" ",LEN(C79))),LEN(C79)))</f>
        <v>#REF!</v>
      </c>
      <c r="I80" s="53" t="e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#REF!</v>
      </c>
      <c r="J80" s="54" t="e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#REF!</v>
      </c>
    </row>
    <row r="81" spans="1:10" ht="33.75" hidden="1" customHeight="1" x14ac:dyDescent="0.35">
      <c r="A81" s="89" t="s">
        <v>92</v>
      </c>
      <c r="B81" s="90"/>
      <c r="C81" s="91" t="str">
        <f>(IF($G$52="NA",I79,"All work Completed. OC Received."))</f>
        <v>All work Completed. OC Received.</v>
      </c>
      <c r="D81" s="91"/>
      <c r="E81" s="91"/>
      <c r="F81" s="91"/>
      <c r="G81" s="91"/>
      <c r="H81" s="92"/>
      <c r="I81" s="53" t="e">
        <f ca="1">IF(I80&lt;&gt;""," Completed","")</f>
        <v>#REF!</v>
      </c>
      <c r="J81" s="54" t="e">
        <f ca="1">IF(J79&lt;&gt;"","Completed","")</f>
        <v>#REF!</v>
      </c>
    </row>
    <row r="82" spans="1:10" ht="15.75" hidden="1" customHeight="1" x14ac:dyDescent="0.35">
      <c r="A82" s="93" t="s">
        <v>50</v>
      </c>
      <c r="B82" s="87"/>
      <c r="C82" s="45" t="s">
        <v>144</v>
      </c>
      <c r="D82" s="45" t="s">
        <v>85</v>
      </c>
      <c r="E82" s="87" t="s">
        <v>87</v>
      </c>
      <c r="F82" s="87"/>
      <c r="G82" s="87" t="s">
        <v>86</v>
      </c>
      <c r="H82" s="88"/>
      <c r="I82" s="14" t="s">
        <v>146</v>
      </c>
      <c r="J82" s="29" t="e">
        <f ca="1">H80*25%</f>
        <v>#REF!</v>
      </c>
    </row>
    <row r="83" spans="1:10" hidden="1" x14ac:dyDescent="0.35">
      <c r="A83" s="93" t="s">
        <v>133</v>
      </c>
      <c r="B83" s="87"/>
      <c r="C83" s="45" t="e">
        <f ca="1">J84</f>
        <v>#REF!</v>
      </c>
      <c r="D83" s="20" t="e">
        <f ca="1">((100/H80)*C83)/100</f>
        <v>#REF!</v>
      </c>
      <c r="E83" s="121" t="e">
        <f ca="1">(((C84/H80*10)+(40/(D80+F80+H80)*C85)+(7.5/(H80)*C86)+(7.5/(H80)*C87)+(10/H80*C88)+(10/H80*C89)+(5/H80*C90)+(5/H80*C91)+(5/H80*C92))/100)</f>
        <v>#REF!</v>
      </c>
      <c r="F83" s="122"/>
      <c r="G83" s="121" t="e">
        <f ca="1">((((C83/H80)*20)+((C84/H80)*25)+(30/(H80+F80+D80)*C85)+(5/H80*C86)+(5/H80*C87)+(5/H80*C88)+(5/H80*C89)+(0/H80*C90)+(0/H80*C91)+(5/H80*C92))/100)</f>
        <v>#REF!</v>
      </c>
      <c r="H83" s="129"/>
      <c r="I83" s="14" t="s">
        <v>103</v>
      </c>
      <c r="J83" s="30" t="e">
        <f ca="1">H80*50%</f>
        <v>#REF!</v>
      </c>
    </row>
    <row r="84" spans="1:10" hidden="1" x14ac:dyDescent="0.35">
      <c r="A84" s="93" t="s">
        <v>51</v>
      </c>
      <c r="B84" s="87"/>
      <c r="C84" s="56">
        <v>20</v>
      </c>
      <c r="D84" s="20" t="e">
        <f ca="1">((100/H80)*C84)/100</f>
        <v>#REF!</v>
      </c>
      <c r="E84" s="123"/>
      <c r="F84" s="124"/>
      <c r="G84" s="123"/>
      <c r="H84" s="130"/>
      <c r="I84" s="14" t="s">
        <v>104</v>
      </c>
      <c r="J84" s="30" t="e">
        <f ca="1">H80</f>
        <v>#REF!</v>
      </c>
    </row>
    <row r="85" spans="1:10" ht="15.75" hidden="1" customHeight="1" x14ac:dyDescent="0.35">
      <c r="A85" s="93" t="s">
        <v>134</v>
      </c>
      <c r="B85" s="87"/>
      <c r="C85" s="45">
        <v>0</v>
      </c>
      <c r="D85" s="20" t="e">
        <f ca="1">((100/(D80+F80+H80))*C85)/100</f>
        <v>#REF!</v>
      </c>
      <c r="E85" s="123"/>
      <c r="F85" s="124"/>
      <c r="G85" s="123"/>
      <c r="H85" s="130"/>
      <c r="I85" s="14" t="s">
        <v>105</v>
      </c>
      <c r="J85" s="31" t="e">
        <f ca="1">(IF(B80&gt;1,(H80/(B80+2)),H80/4))</f>
        <v>#REF!</v>
      </c>
    </row>
    <row r="86" spans="1:10" ht="15.75" hidden="1" customHeight="1" x14ac:dyDescent="0.35">
      <c r="A86" s="93" t="s">
        <v>141</v>
      </c>
      <c r="B86" s="87" t="s">
        <v>135</v>
      </c>
      <c r="C86" s="45">
        <v>0</v>
      </c>
      <c r="D86" s="20" t="e">
        <f ca="1">((100/H80)*C86)/100</f>
        <v>#REF!</v>
      </c>
      <c r="E86" s="123"/>
      <c r="F86" s="124"/>
      <c r="G86" s="123"/>
      <c r="H86" s="130"/>
      <c r="I86" s="14" t="s">
        <v>106</v>
      </c>
      <c r="J86" s="31" t="e">
        <f ca="1">(IF(B80&gt;1,(H80/(B80+2)+J85),H80/4+J85))</f>
        <v>#REF!</v>
      </c>
    </row>
    <row r="87" spans="1:10" ht="15.75" hidden="1" customHeight="1" x14ac:dyDescent="0.35">
      <c r="A87" s="93" t="s">
        <v>142</v>
      </c>
      <c r="B87" s="87" t="s">
        <v>135</v>
      </c>
      <c r="C87" s="45">
        <v>0</v>
      </c>
      <c r="D87" s="20" t="e">
        <f ca="1">((100/H80)*C87)/100</f>
        <v>#REF!</v>
      </c>
      <c r="E87" s="123"/>
      <c r="F87" s="124"/>
      <c r="G87" s="123"/>
      <c r="H87" s="130"/>
      <c r="I87" s="14" t="s">
        <v>151</v>
      </c>
      <c r="J87" s="31">
        <f>(IF(B80&gt;1,(H80/(B80+2)+J86),0))</f>
        <v>0</v>
      </c>
    </row>
    <row r="88" spans="1:10" ht="15" hidden="1" customHeight="1" x14ac:dyDescent="0.35">
      <c r="A88" s="93" t="s">
        <v>140</v>
      </c>
      <c r="B88" s="87" t="s">
        <v>137</v>
      </c>
      <c r="C88" s="45">
        <v>0</v>
      </c>
      <c r="D88" s="20" t="e">
        <f ca="1">((100/(H80))*C88)/100</f>
        <v>#REF!</v>
      </c>
      <c r="E88" s="123"/>
      <c r="F88" s="124"/>
      <c r="G88" s="123"/>
      <c r="H88" s="130"/>
      <c r="I88" s="14" t="s">
        <v>148</v>
      </c>
      <c r="J88" s="31">
        <f>(IF(B80&gt;2,(H80/(B80+2)+J87),0))</f>
        <v>0</v>
      </c>
    </row>
    <row r="89" spans="1:10" ht="15.75" hidden="1" customHeight="1" x14ac:dyDescent="0.35">
      <c r="A89" s="93" t="s">
        <v>136</v>
      </c>
      <c r="B89" s="87" t="s">
        <v>136</v>
      </c>
      <c r="C89" s="45">
        <v>0</v>
      </c>
      <c r="D89" s="20" t="e">
        <f ca="1">((100/H80)*C89)/100</f>
        <v>#REF!</v>
      </c>
      <c r="E89" s="123"/>
      <c r="F89" s="124"/>
      <c r="G89" s="123"/>
      <c r="H89" s="130"/>
      <c r="I89" s="14" t="s">
        <v>149</v>
      </c>
      <c r="J89" s="32">
        <f>(IF(B80&gt;3,(H80/(B80+2)+J88),0))</f>
        <v>0</v>
      </c>
    </row>
    <row r="90" spans="1:10" ht="15.75" hidden="1" customHeight="1" x14ac:dyDescent="0.35">
      <c r="A90" s="93" t="s">
        <v>143</v>
      </c>
      <c r="B90" s="87"/>
      <c r="C90" s="45">
        <v>0</v>
      </c>
      <c r="D90" s="20" t="e">
        <f ca="1">((100/H80)*C90)/100</f>
        <v>#REF!</v>
      </c>
      <c r="E90" s="123"/>
      <c r="F90" s="124"/>
      <c r="G90" s="123"/>
      <c r="H90" s="130"/>
      <c r="I90" s="14" t="s">
        <v>150</v>
      </c>
      <c r="J90" s="31">
        <f>(IF(B80&gt;4,(H80/(B80+2)+J89),0))</f>
        <v>0</v>
      </c>
    </row>
    <row r="91" spans="1:10" ht="15.75" hidden="1" customHeight="1" x14ac:dyDescent="0.35">
      <c r="A91" s="93" t="s">
        <v>138</v>
      </c>
      <c r="B91" s="87" t="s">
        <v>138</v>
      </c>
      <c r="C91" s="45">
        <v>0</v>
      </c>
      <c r="D91" s="20" t="e">
        <f ca="1">((100/(H80))*C91)/100</f>
        <v>#REF!</v>
      </c>
      <c r="E91" s="123"/>
      <c r="F91" s="124"/>
      <c r="G91" s="123"/>
      <c r="H91" s="130"/>
      <c r="I91" s="14" t="s">
        <v>152</v>
      </c>
      <c r="J91" s="31" t="e">
        <f ca="1">(IF(B80=1,(H80/(B80+3)+J86),IF(B80=0,(H80/4+J86),IF(B80&gt;1,0))))</f>
        <v>#REF!</v>
      </c>
    </row>
    <row r="92" spans="1:10" ht="16" hidden="1" thickBot="1" x14ac:dyDescent="0.4">
      <c r="A92" s="182" t="s">
        <v>139</v>
      </c>
      <c r="B92" s="183"/>
      <c r="C92" s="46">
        <v>0</v>
      </c>
      <c r="D92" s="21" t="e">
        <f ca="1">((100/(H80))*C92)/100</f>
        <v>#REF!</v>
      </c>
      <c r="E92" s="125"/>
      <c r="F92" s="126"/>
      <c r="G92" s="125"/>
      <c r="H92" s="131"/>
      <c r="I92" s="16" t="s">
        <v>107</v>
      </c>
      <c r="J92" s="33" t="e">
        <f ca="1">(IF(B80&gt;1.5,(H80/(B80+2)+J86+MAX(0,J87-J86)+MAX(0,J88-J87)+MAX(0,J89-J88)+MAX(0,J90-J89)+MAX(0,J91-J90)),IF(B80=1,(H80/(B80+3)+J91),IF(B80=0,H80/4+J91))))</f>
        <v>#REF!</v>
      </c>
    </row>
    <row r="93" spans="1:10" ht="15.75" hidden="1" customHeight="1" x14ac:dyDescent="0.35">
      <c r="A93" s="109" t="s">
        <v>145</v>
      </c>
      <c r="B93" s="110"/>
      <c r="C93" s="111" t="e">
        <f>#REF!</f>
        <v>#REF!</v>
      </c>
      <c r="D93" s="112"/>
      <c r="E93" s="112"/>
      <c r="F93" s="112"/>
      <c r="G93" s="112"/>
      <c r="H93" s="113"/>
      <c r="I93" s="51" t="e">
        <f ca="1">IF(D106=100%,"All work Completed. Possession granted to the Building.",IF(D105=100%,"All work Completed, Waiting for OC",I94&amp;""&amp;I95&amp;""&amp;J94&amp;""&amp;J93&amp;" "&amp;J95))</f>
        <v>#REF!</v>
      </c>
      <c r="J93" s="52" t="e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#REF!</v>
      </c>
    </row>
    <row r="94" spans="1:10" hidden="1" x14ac:dyDescent="0.35">
      <c r="A94" s="17" t="s">
        <v>147</v>
      </c>
      <c r="B94" s="55">
        <f>IF(AND(ISNUMBER(SEARCH("1B",C93))),1,IF(AND(ISNUMBER(SEARCH("2B",C93))),2,IF(AND(ISNUMBER(SEARCH("3B",C93))),3,IF(AND(ISNUMBER(SEARCH("4B",C93))),4,IF(ISNUMBER(SEARCH("5B",C93)),5,0)))))</f>
        <v>0</v>
      </c>
      <c r="C94" s="49" t="s">
        <v>74</v>
      </c>
      <c r="D94" s="49">
        <v>1</v>
      </c>
      <c r="E94" s="49" t="s">
        <v>73</v>
      </c>
      <c r="F94" s="15">
        <v>0</v>
      </c>
      <c r="G94" s="50" t="s">
        <v>82</v>
      </c>
      <c r="H94" s="18" t="e">
        <f ca="1">--TRIM(RIGHT(SUBSTITUTE(LEFT(C93,_xlfn.AGGREGATE(16,6,FIND({0,1,2,3,4,5,6,7,8,9},C93,ROW(INDIRECT("1:"&amp;LEN(C93)))),1))," ",REPT(" ",LEN(C93))),LEN(C93)))</f>
        <v>#REF!</v>
      </c>
      <c r="I94" s="53" t="e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#REF!</v>
      </c>
      <c r="J94" s="54" t="e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#REF!</v>
      </c>
    </row>
    <row r="95" spans="1:10" ht="33" hidden="1" customHeight="1" x14ac:dyDescent="0.35">
      <c r="A95" s="89" t="s">
        <v>92</v>
      </c>
      <c r="B95" s="90"/>
      <c r="C95" s="91" t="str">
        <f>(IF($G$52="NA",I93,"All work Completed. OC Received."))</f>
        <v>All work Completed. OC Received.</v>
      </c>
      <c r="D95" s="91"/>
      <c r="E95" s="91"/>
      <c r="F95" s="91"/>
      <c r="G95" s="91"/>
      <c r="H95" s="92"/>
      <c r="I95" s="53" t="e">
        <f ca="1">IF(I94&lt;&gt;""," Completed","")</f>
        <v>#REF!</v>
      </c>
      <c r="J95" s="54" t="e">
        <f ca="1">IF(J93&lt;&gt;"","Completed","")</f>
        <v>#REF!</v>
      </c>
    </row>
    <row r="96" spans="1:10" ht="15.75" hidden="1" customHeight="1" x14ac:dyDescent="0.35">
      <c r="A96" s="93" t="s">
        <v>50</v>
      </c>
      <c r="B96" s="87"/>
      <c r="C96" s="45" t="s">
        <v>144</v>
      </c>
      <c r="D96" s="45" t="s">
        <v>85</v>
      </c>
      <c r="E96" s="87" t="s">
        <v>87</v>
      </c>
      <c r="F96" s="87"/>
      <c r="G96" s="87" t="s">
        <v>86</v>
      </c>
      <c r="H96" s="88"/>
      <c r="I96" s="14" t="s">
        <v>146</v>
      </c>
      <c r="J96" s="29" t="e">
        <f ca="1">H94*25%</f>
        <v>#REF!</v>
      </c>
    </row>
    <row r="97" spans="1:11" hidden="1" x14ac:dyDescent="0.35">
      <c r="A97" s="93" t="s">
        <v>133</v>
      </c>
      <c r="B97" s="87"/>
      <c r="C97" s="45" t="e">
        <f ca="1">J98</f>
        <v>#REF!</v>
      </c>
      <c r="D97" s="20" t="e">
        <f ca="1">((100/H94)*C97)/100</f>
        <v>#REF!</v>
      </c>
      <c r="E97" s="121" t="e">
        <f ca="1">(((C98/H94*10)+(40/(D94+F94+H94)*C99)+(7.5/(H94)*C100)+(7.5/(H94)*C101)+(10/H94*C102)+(10/H94*C103)+(5/H94*C104)+(5/H94*C105)+(5/H94*C106))/100)</f>
        <v>#REF!</v>
      </c>
      <c r="F97" s="122"/>
      <c r="G97" s="121" t="e">
        <f ca="1">((((C97/H94)*20)+((C98/H94)*25)+(30/(H94+F94+D94)*C99)+(5/H94*C100)+(5/H94*C101)+(5/H94*C102)+(5/H94*C103)+(0/H94*C104)+(0/H94*C105)+(5/H94*C106))/100)</f>
        <v>#REF!</v>
      </c>
      <c r="H97" s="129"/>
      <c r="I97" s="14" t="s">
        <v>103</v>
      </c>
      <c r="J97" s="30" t="e">
        <f ca="1">H94*50%</f>
        <v>#REF!</v>
      </c>
    </row>
    <row r="98" spans="1:11" hidden="1" x14ac:dyDescent="0.35">
      <c r="A98" s="93" t="s">
        <v>51</v>
      </c>
      <c r="B98" s="87"/>
      <c r="C98" s="45" t="e">
        <f ca="1">J106</f>
        <v>#REF!</v>
      </c>
      <c r="D98" s="20" t="e">
        <f ca="1">((100/H94)*C98)/100</f>
        <v>#REF!</v>
      </c>
      <c r="E98" s="123"/>
      <c r="F98" s="124"/>
      <c r="G98" s="123"/>
      <c r="H98" s="130"/>
      <c r="I98" s="14" t="s">
        <v>104</v>
      </c>
      <c r="J98" s="30" t="e">
        <f ca="1">H94</f>
        <v>#REF!</v>
      </c>
    </row>
    <row r="99" spans="1:11" ht="15.75" hidden="1" customHeight="1" x14ac:dyDescent="0.35">
      <c r="A99" s="93" t="s">
        <v>134</v>
      </c>
      <c r="B99" s="87"/>
      <c r="C99" s="45" t="e">
        <f ca="1">D94+H94</f>
        <v>#REF!</v>
      </c>
      <c r="D99" s="20" t="e">
        <f ca="1">((100/(D94+F94+H94))*C99)/100</f>
        <v>#REF!</v>
      </c>
      <c r="E99" s="123"/>
      <c r="F99" s="124"/>
      <c r="G99" s="123"/>
      <c r="H99" s="130"/>
      <c r="I99" s="14" t="s">
        <v>105</v>
      </c>
      <c r="J99" s="31" t="e">
        <f ca="1">(IF(B94&gt;1,(H94/(B94+2)),H94/4))</f>
        <v>#REF!</v>
      </c>
    </row>
    <row r="100" spans="1:11" ht="15.75" hidden="1" customHeight="1" x14ac:dyDescent="0.35">
      <c r="A100" s="93" t="s">
        <v>141</v>
      </c>
      <c r="B100" s="87" t="s">
        <v>135</v>
      </c>
      <c r="C100" s="45">
        <v>0</v>
      </c>
      <c r="D100" s="20" t="e">
        <f ca="1">((100/H94)*C100)/100</f>
        <v>#REF!</v>
      </c>
      <c r="E100" s="123"/>
      <c r="F100" s="124"/>
      <c r="G100" s="123"/>
      <c r="H100" s="130"/>
      <c r="I100" s="14" t="s">
        <v>106</v>
      </c>
      <c r="J100" s="31" t="e">
        <f ca="1">(IF(B94&gt;1,(H94/(B94+2)+J99),H94/4+J99))</f>
        <v>#REF!</v>
      </c>
    </row>
    <row r="101" spans="1:11" ht="15.75" hidden="1" customHeight="1" x14ac:dyDescent="0.35">
      <c r="A101" s="93" t="s">
        <v>142</v>
      </c>
      <c r="B101" s="87" t="s">
        <v>135</v>
      </c>
      <c r="C101" s="45">
        <v>0</v>
      </c>
      <c r="D101" s="20" t="e">
        <f ca="1">((100/H94)*C101)/100</f>
        <v>#REF!</v>
      </c>
      <c r="E101" s="123"/>
      <c r="F101" s="124"/>
      <c r="G101" s="123"/>
      <c r="H101" s="130"/>
      <c r="I101" s="14" t="s">
        <v>151</v>
      </c>
      <c r="J101" s="31">
        <f>(IF(B94&gt;1,(H94/(B94+2)+J100),0))</f>
        <v>0</v>
      </c>
    </row>
    <row r="102" spans="1:11" ht="15" hidden="1" customHeight="1" x14ac:dyDescent="0.35">
      <c r="A102" s="93" t="s">
        <v>140</v>
      </c>
      <c r="B102" s="87" t="s">
        <v>137</v>
      </c>
      <c r="C102" s="45">
        <v>0</v>
      </c>
      <c r="D102" s="20" t="e">
        <f ca="1">((100/(H94))*C102)/100</f>
        <v>#REF!</v>
      </c>
      <c r="E102" s="123"/>
      <c r="F102" s="124"/>
      <c r="G102" s="123"/>
      <c r="H102" s="130"/>
      <c r="I102" s="14" t="s">
        <v>148</v>
      </c>
      <c r="J102" s="31">
        <f>(IF(B94&gt;2,(H94/(B94+2)+J101),0))</f>
        <v>0</v>
      </c>
    </row>
    <row r="103" spans="1:11" ht="15.75" hidden="1" customHeight="1" x14ac:dyDescent="0.35">
      <c r="A103" s="93" t="s">
        <v>136</v>
      </c>
      <c r="B103" s="87" t="s">
        <v>136</v>
      </c>
      <c r="C103" s="45">
        <v>0</v>
      </c>
      <c r="D103" s="20" t="e">
        <f ca="1">((100/H94)*C103)/100</f>
        <v>#REF!</v>
      </c>
      <c r="E103" s="123"/>
      <c r="F103" s="124"/>
      <c r="G103" s="123"/>
      <c r="H103" s="130"/>
      <c r="I103" s="14" t="s">
        <v>149</v>
      </c>
      <c r="J103" s="32">
        <f>(IF(B94&gt;3,(H94/(B94+2)+J102),0))</f>
        <v>0</v>
      </c>
    </row>
    <row r="104" spans="1:11" ht="15.75" hidden="1" customHeight="1" x14ac:dyDescent="0.35">
      <c r="A104" s="93" t="s">
        <v>143</v>
      </c>
      <c r="B104" s="87"/>
      <c r="C104" s="45">
        <v>0</v>
      </c>
      <c r="D104" s="20" t="e">
        <f ca="1">((100/H94)*C104)/100</f>
        <v>#REF!</v>
      </c>
      <c r="E104" s="123"/>
      <c r="F104" s="124"/>
      <c r="G104" s="123"/>
      <c r="H104" s="130"/>
      <c r="I104" s="14" t="s">
        <v>150</v>
      </c>
      <c r="J104" s="31">
        <f>(IF(B94&gt;4,(H94/(B94+2)+J103),0))</f>
        <v>0</v>
      </c>
    </row>
    <row r="105" spans="1:11" ht="15.75" hidden="1" customHeight="1" x14ac:dyDescent="0.35">
      <c r="A105" s="93" t="s">
        <v>138</v>
      </c>
      <c r="B105" s="87" t="s">
        <v>138</v>
      </c>
      <c r="C105" s="45">
        <v>0</v>
      </c>
      <c r="D105" s="20" t="e">
        <f ca="1">((100/(H94))*C105)/100</f>
        <v>#REF!</v>
      </c>
      <c r="E105" s="123"/>
      <c r="F105" s="124"/>
      <c r="G105" s="123"/>
      <c r="H105" s="130"/>
      <c r="I105" s="14" t="s">
        <v>152</v>
      </c>
      <c r="J105" s="31" t="e">
        <f ca="1">(IF(B94=1,(H94/(B94+3)+J100),IF(B94=0,(H94/4+J100),IF(B94&gt;1,0))))</f>
        <v>#REF!</v>
      </c>
    </row>
    <row r="106" spans="1:11" ht="16" hidden="1" thickBot="1" x14ac:dyDescent="0.4">
      <c r="A106" s="182" t="s">
        <v>139</v>
      </c>
      <c r="B106" s="183"/>
      <c r="C106" s="46">
        <v>0</v>
      </c>
      <c r="D106" s="21" t="e">
        <f ca="1">((100/(H94))*C106)/100</f>
        <v>#REF!</v>
      </c>
      <c r="E106" s="125"/>
      <c r="F106" s="126"/>
      <c r="G106" s="125"/>
      <c r="H106" s="131"/>
      <c r="I106" s="16" t="s">
        <v>107</v>
      </c>
      <c r="J106" s="33" t="e">
        <f ca="1">(IF(B94&gt;1.5,(H94/(B94+2)+J100+MAX(0,J101-J100)+MAX(0,J102-J101)+MAX(0,J103-J102)+MAX(0,J104-J103)+MAX(0,J105-J104)),IF(B94=1,(H94/(B94+3)+J105),IF(B94=0,H94/4+J105))))</f>
        <v>#REF!</v>
      </c>
    </row>
    <row r="107" spans="1:11" x14ac:dyDescent="0.35">
      <c r="A107" s="98" t="s">
        <v>161</v>
      </c>
      <c r="B107" s="98"/>
      <c r="C107" s="98"/>
      <c r="D107" s="98"/>
      <c r="E107" s="98"/>
      <c r="F107" s="99" t="s">
        <v>166</v>
      </c>
      <c r="G107" s="99"/>
      <c r="H107" s="99"/>
    </row>
    <row r="108" spans="1:11" x14ac:dyDescent="0.35">
      <c r="A108" s="86" t="s">
        <v>164</v>
      </c>
      <c r="B108" s="86"/>
      <c r="C108" s="86"/>
      <c r="D108" s="86"/>
      <c r="E108" s="86"/>
      <c r="F108" s="97">
        <v>3500</v>
      </c>
      <c r="G108" s="97"/>
      <c r="H108" s="97"/>
      <c r="J108" s="22" t="s">
        <v>210</v>
      </c>
      <c r="K108" s="26">
        <v>45455</v>
      </c>
    </row>
    <row r="109" spans="1:11" hidden="1" x14ac:dyDescent="0.35">
      <c r="A109" s="86" t="s">
        <v>163</v>
      </c>
      <c r="B109" s="86"/>
      <c r="C109" s="86"/>
      <c r="D109" s="86"/>
      <c r="E109" s="86"/>
      <c r="F109" s="97"/>
      <c r="G109" s="97"/>
      <c r="H109" s="97"/>
    </row>
    <row r="110" spans="1:11" hidden="1" x14ac:dyDescent="0.35">
      <c r="A110" s="86" t="s">
        <v>165</v>
      </c>
      <c r="B110" s="86"/>
      <c r="C110" s="86"/>
      <c r="D110" s="86"/>
      <c r="E110" s="86"/>
      <c r="F110" s="97"/>
      <c r="G110" s="97"/>
      <c r="H110" s="97"/>
    </row>
    <row r="111" spans="1:11" s="34" customFormat="1" hidden="1" x14ac:dyDescent="0.3">
      <c r="A111" s="86" t="s">
        <v>162</v>
      </c>
      <c r="B111" s="86"/>
      <c r="C111" s="86"/>
      <c r="D111" s="86"/>
      <c r="E111" s="86"/>
      <c r="F111" s="97"/>
      <c r="G111" s="97"/>
      <c r="H111" s="97"/>
    </row>
    <row r="112" spans="1:11" s="34" customFormat="1" hidden="1" x14ac:dyDescent="0.3">
      <c r="A112" s="86" t="s">
        <v>97</v>
      </c>
      <c r="B112" s="86"/>
      <c r="C112" s="86"/>
      <c r="D112" s="86"/>
      <c r="E112" s="86"/>
      <c r="F112" s="97"/>
      <c r="G112" s="97"/>
      <c r="H112" s="97"/>
    </row>
    <row r="113" spans="1:10" s="34" customFormat="1" hidden="1" x14ac:dyDescent="0.3">
      <c r="A113" s="86" t="s">
        <v>98</v>
      </c>
      <c r="B113" s="86"/>
      <c r="C113" s="86"/>
      <c r="D113" s="86"/>
      <c r="E113" s="86"/>
      <c r="F113" s="97"/>
      <c r="G113" s="97"/>
      <c r="H113" s="97"/>
    </row>
    <row r="114" spans="1:10" s="34" customFormat="1" hidden="1" x14ac:dyDescent="0.3">
      <c r="A114" s="86" t="s">
        <v>167</v>
      </c>
      <c r="B114" s="86"/>
      <c r="C114" s="86"/>
      <c r="D114" s="86"/>
      <c r="E114" s="86"/>
      <c r="F114" s="97"/>
      <c r="G114" s="97"/>
      <c r="H114" s="97"/>
    </row>
    <row r="115" spans="1:10" s="34" customFormat="1" hidden="1" x14ac:dyDescent="0.3">
      <c r="A115" s="86" t="s">
        <v>99</v>
      </c>
      <c r="B115" s="86"/>
      <c r="C115" s="86"/>
      <c r="D115" s="86"/>
      <c r="E115" s="86"/>
      <c r="F115" s="97"/>
      <c r="G115" s="97"/>
      <c r="H115" s="97"/>
    </row>
    <row r="116" spans="1:10" s="34" customFormat="1" hidden="1" x14ac:dyDescent="0.3">
      <c r="A116" s="86" t="s">
        <v>100</v>
      </c>
      <c r="B116" s="86"/>
      <c r="C116" s="86"/>
      <c r="D116" s="86"/>
      <c r="E116" s="86"/>
      <c r="F116" s="97"/>
      <c r="G116" s="97"/>
      <c r="H116" s="97"/>
    </row>
    <row r="117" spans="1:10" s="34" customFormat="1" hidden="1" x14ac:dyDescent="0.3">
      <c r="A117" s="86" t="s">
        <v>101</v>
      </c>
      <c r="B117" s="86"/>
      <c r="C117" s="86"/>
      <c r="D117" s="86"/>
      <c r="E117" s="86"/>
      <c r="F117" s="97"/>
      <c r="G117" s="97"/>
      <c r="H117" s="97"/>
    </row>
    <row r="118" spans="1:10" s="34" customFormat="1" hidden="1" x14ac:dyDescent="0.3">
      <c r="A118" s="86" t="s">
        <v>102</v>
      </c>
      <c r="B118" s="86"/>
      <c r="C118" s="86"/>
      <c r="D118" s="86"/>
      <c r="E118" s="86"/>
      <c r="F118" s="97"/>
      <c r="G118" s="97"/>
      <c r="H118" s="97"/>
    </row>
    <row r="119" spans="1:10" x14ac:dyDescent="0.35">
      <c r="A119" s="86" t="s">
        <v>52</v>
      </c>
      <c r="B119" s="86"/>
      <c r="C119" s="86"/>
      <c r="D119" s="86"/>
      <c r="E119" s="86"/>
      <c r="F119" s="97">
        <v>100000</v>
      </c>
      <c r="G119" s="97"/>
      <c r="H119" s="97"/>
    </row>
    <row r="120" spans="1:10" s="35" customFormat="1" x14ac:dyDescent="0.35">
      <c r="A120" s="104" t="s">
        <v>53</v>
      </c>
      <c r="B120" s="104"/>
      <c r="C120" s="104"/>
      <c r="D120" s="104"/>
      <c r="E120" s="104"/>
      <c r="F120" s="97">
        <f>F108*0.8</f>
        <v>2800</v>
      </c>
      <c r="G120" s="97"/>
      <c r="H120" s="97"/>
    </row>
    <row r="121" spans="1:10" s="36" customFormat="1" x14ac:dyDescent="0.35">
      <c r="A121" s="174" t="s">
        <v>72</v>
      </c>
      <c r="B121" s="174"/>
      <c r="C121" s="174"/>
      <c r="D121" s="174"/>
      <c r="E121" s="174"/>
      <c r="F121" s="174"/>
      <c r="G121" s="174"/>
      <c r="H121" s="174"/>
    </row>
    <row r="122" spans="1:10" s="36" customFormat="1" ht="15.75" customHeight="1" x14ac:dyDescent="0.35">
      <c r="A122" s="94" t="s">
        <v>54</v>
      </c>
      <c r="B122" s="94"/>
      <c r="C122" s="103" t="s">
        <v>80</v>
      </c>
      <c r="D122" s="103"/>
      <c r="E122" s="175" t="s">
        <v>55</v>
      </c>
      <c r="F122" s="175"/>
      <c r="G122" s="94" t="s">
        <v>56</v>
      </c>
      <c r="H122" s="94"/>
      <c r="I122" s="64" t="s">
        <v>208</v>
      </c>
      <c r="J122" s="65" t="s">
        <v>209</v>
      </c>
    </row>
    <row r="123" spans="1:10" s="36" customFormat="1" x14ac:dyDescent="0.35">
      <c r="A123" s="173" t="s">
        <v>204</v>
      </c>
      <c r="B123" s="173"/>
      <c r="C123" s="107">
        <f>COUNT(D138:D144)*6+COUNT(D146:D149)</f>
        <v>46</v>
      </c>
      <c r="D123" s="107"/>
      <c r="E123" s="108">
        <f>SUM(D138:D144)*6+SUM(D146:D149)</f>
        <v>17247.065706000001</v>
      </c>
      <c r="F123" s="108"/>
      <c r="G123" s="108">
        <f>SUM(F138:F144)*6+SUM(F146:F149)</f>
        <v>25212.933497700003</v>
      </c>
      <c r="H123" s="108"/>
      <c r="I123" s="61">
        <f>1513000/F149</f>
        <v>2722.2710268920773</v>
      </c>
      <c r="J123" s="66">
        <f>1900000/F139</f>
        <v>3453.691887154424</v>
      </c>
    </row>
    <row r="124" spans="1:10" s="35" customFormat="1" x14ac:dyDescent="0.35">
      <c r="A124" s="99" t="s">
        <v>57</v>
      </c>
      <c r="B124" s="99"/>
      <c r="C124" s="99"/>
      <c r="D124" s="99"/>
      <c r="E124" s="99"/>
      <c r="F124" s="99"/>
      <c r="G124" s="99"/>
      <c r="H124" s="99"/>
      <c r="I124" s="62">
        <f>1700000/F138</f>
        <v>3058.7314908899743</v>
      </c>
    </row>
    <row r="125" spans="1:10" x14ac:dyDescent="0.35">
      <c r="A125" s="168" t="s">
        <v>58</v>
      </c>
      <c r="B125" s="168"/>
      <c r="C125" s="168"/>
      <c r="D125" s="168"/>
      <c r="E125" s="168"/>
      <c r="F125" s="168"/>
      <c r="G125" s="168"/>
      <c r="H125" s="168"/>
      <c r="I125" s="63">
        <f>AVERAGE(I123:I124)</f>
        <v>2890.5012588910258</v>
      </c>
    </row>
    <row r="126" spans="1:10" ht="47.25" hidden="1" customHeight="1" x14ac:dyDescent="0.35">
      <c r="A126" s="84" t="s">
        <v>123</v>
      </c>
      <c r="B126" s="84" t="s">
        <v>122</v>
      </c>
      <c r="C126" s="84" t="s">
        <v>59</v>
      </c>
      <c r="D126" s="84" t="s">
        <v>60</v>
      </c>
      <c r="E126" s="117" t="s">
        <v>160</v>
      </c>
      <c r="F126" s="44" t="s">
        <v>154</v>
      </c>
      <c r="G126" s="101" t="s">
        <v>62</v>
      </c>
      <c r="H126" s="119"/>
    </row>
    <row r="127" spans="1:10" s="38" customFormat="1" hidden="1" x14ac:dyDescent="0.35">
      <c r="A127" s="85"/>
      <c r="B127" s="85"/>
      <c r="C127" s="85"/>
      <c r="D127" s="85"/>
      <c r="E127" s="118"/>
      <c r="F127" s="13">
        <v>0.6</v>
      </c>
      <c r="G127" s="102"/>
      <c r="H127" s="120"/>
    </row>
    <row r="128" spans="1:10" s="38" customFormat="1" hidden="1" x14ac:dyDescent="0.35">
      <c r="A128" s="114" t="s">
        <v>121</v>
      </c>
      <c r="B128" s="115"/>
      <c r="C128" s="115"/>
      <c r="D128" s="115"/>
      <c r="E128" s="115"/>
      <c r="F128" s="115"/>
      <c r="G128" s="115"/>
      <c r="H128" s="116"/>
      <c r="J128" s="37"/>
    </row>
    <row r="129" spans="1:14" s="38" customFormat="1" hidden="1" x14ac:dyDescent="0.35">
      <c r="A129" s="77">
        <v>1</v>
      </c>
      <c r="B129" s="78"/>
      <c r="C129" s="43"/>
      <c r="D129" s="43"/>
      <c r="E129" s="43">
        <v>0</v>
      </c>
      <c r="F129" s="43">
        <f>(D129+E129)*(($F$127)+1)</f>
        <v>0</v>
      </c>
      <c r="G129" s="77" t="str">
        <f>A128</f>
        <v>Ground Floor</v>
      </c>
      <c r="H129" s="78"/>
      <c r="I129" s="37"/>
      <c r="L129" s="76"/>
      <c r="M129" s="76"/>
      <c r="N129" s="37"/>
    </row>
    <row r="130" spans="1:14" s="38" customFormat="1" hidden="1" x14ac:dyDescent="0.35">
      <c r="A130" s="77">
        <f t="shared" ref="A130:A132" si="0">A129+1</f>
        <v>2</v>
      </c>
      <c r="B130" s="78"/>
      <c r="C130" s="43"/>
      <c r="D130" s="43"/>
      <c r="E130" s="43">
        <v>0</v>
      </c>
      <c r="F130" s="43">
        <f t="shared" ref="F130:F132" si="1">(D130+E130)*(($F$127)+1)</f>
        <v>0</v>
      </c>
      <c r="G130" s="77" t="str">
        <f t="shared" ref="G130:G132" si="2">G129</f>
        <v>Ground Floor</v>
      </c>
      <c r="H130" s="78"/>
      <c r="I130" s="37"/>
      <c r="L130" s="76"/>
      <c r="M130" s="76"/>
      <c r="N130" s="37"/>
    </row>
    <row r="131" spans="1:14" s="38" customFormat="1" hidden="1" x14ac:dyDescent="0.35">
      <c r="A131" s="77">
        <f t="shared" si="0"/>
        <v>3</v>
      </c>
      <c r="B131" s="78"/>
      <c r="C131" s="43"/>
      <c r="D131" s="43"/>
      <c r="E131" s="43">
        <v>0</v>
      </c>
      <c r="F131" s="43">
        <f t="shared" si="1"/>
        <v>0</v>
      </c>
      <c r="G131" s="77" t="str">
        <f t="shared" si="2"/>
        <v>Ground Floor</v>
      </c>
      <c r="H131" s="78"/>
      <c r="I131" s="37"/>
      <c r="L131" s="76"/>
      <c r="M131" s="76"/>
      <c r="N131" s="37"/>
    </row>
    <row r="132" spans="1:14" s="38" customFormat="1" hidden="1" x14ac:dyDescent="0.35">
      <c r="A132" s="77">
        <f t="shared" si="0"/>
        <v>4</v>
      </c>
      <c r="B132" s="78"/>
      <c r="C132" s="43"/>
      <c r="D132" s="43"/>
      <c r="E132" s="43">
        <v>0</v>
      </c>
      <c r="F132" s="43">
        <f t="shared" si="1"/>
        <v>0</v>
      </c>
      <c r="G132" s="77" t="str">
        <f t="shared" si="2"/>
        <v>Ground Floor</v>
      </c>
      <c r="H132" s="78"/>
      <c r="I132" s="37"/>
      <c r="L132" s="76"/>
      <c r="M132" s="76"/>
      <c r="N132" s="37"/>
    </row>
    <row r="133" spans="1:14" s="38" customFormat="1" hidden="1" x14ac:dyDescent="0.35">
      <c r="A133" s="77"/>
      <c r="B133" s="100"/>
      <c r="C133" s="100"/>
      <c r="D133" s="100"/>
      <c r="E133" s="100"/>
      <c r="F133" s="100"/>
      <c r="G133" s="100"/>
      <c r="H133" s="78"/>
      <c r="I133" s="37"/>
      <c r="N133" s="37"/>
    </row>
    <row r="134" spans="1:14" ht="47.25" customHeight="1" x14ac:dyDescent="0.35">
      <c r="A134" s="101" t="s">
        <v>124</v>
      </c>
      <c r="B134" s="101" t="s">
        <v>125</v>
      </c>
      <c r="C134" s="84" t="s">
        <v>59</v>
      </c>
      <c r="D134" s="84" t="s">
        <v>60</v>
      </c>
      <c r="E134" s="117" t="s">
        <v>61</v>
      </c>
      <c r="F134" s="44" t="s">
        <v>154</v>
      </c>
      <c r="G134" s="101" t="s">
        <v>62</v>
      </c>
      <c r="H134" s="119"/>
      <c r="I134" s="37"/>
    </row>
    <row r="135" spans="1:14" s="38" customFormat="1" x14ac:dyDescent="0.35">
      <c r="A135" s="102"/>
      <c r="B135" s="102"/>
      <c r="C135" s="85"/>
      <c r="D135" s="85"/>
      <c r="E135" s="118"/>
      <c r="F135" s="13">
        <v>0.45</v>
      </c>
      <c r="G135" s="102"/>
      <c r="H135" s="120"/>
      <c r="I135" s="37"/>
    </row>
    <row r="136" spans="1:14" s="58" customFormat="1" x14ac:dyDescent="0.35">
      <c r="A136" s="114" t="s">
        <v>199</v>
      </c>
      <c r="B136" s="115"/>
      <c r="C136" s="115"/>
      <c r="D136" s="115"/>
      <c r="E136" s="115"/>
      <c r="F136" s="115"/>
      <c r="G136" s="115"/>
      <c r="H136" s="116"/>
      <c r="J136" s="37"/>
    </row>
    <row r="137" spans="1:14" s="38" customFormat="1" x14ac:dyDescent="0.35">
      <c r="A137" s="114" t="s">
        <v>200</v>
      </c>
      <c r="B137" s="115"/>
      <c r="C137" s="115"/>
      <c r="D137" s="115"/>
      <c r="E137" s="115"/>
      <c r="F137" s="115"/>
      <c r="G137" s="115"/>
      <c r="H137" s="116"/>
      <c r="J137" s="37"/>
    </row>
    <row r="138" spans="1:14" s="38" customFormat="1" x14ac:dyDescent="0.35">
      <c r="A138" s="77">
        <v>1</v>
      </c>
      <c r="B138" s="78"/>
      <c r="C138" s="43" t="s">
        <v>201</v>
      </c>
      <c r="D138" s="59">
        <f>(29.559+2.443+0.75*(2.75+2.06))*10.764</f>
        <v>383.300658</v>
      </c>
      <c r="E138" s="43">
        <v>0</v>
      </c>
      <c r="F138" s="43">
        <f t="shared" ref="F138:F144" si="3">D138*(($F$135)+1)+(IF(E138&lt;101,E138,IF(E138&lt;201,E138/2,IF(E138&lt;=301,E138/3,E138/4))))</f>
        <v>555.78595410000003</v>
      </c>
      <c r="G138" s="77" t="str">
        <f>A137</f>
        <v>1st to 6th Floor for Residential</v>
      </c>
      <c r="H138" s="78"/>
      <c r="I138" s="37"/>
      <c r="K138" s="38">
        <f>3200*F138</f>
        <v>1778515.0531200001</v>
      </c>
      <c r="L138" s="76"/>
      <c r="M138" s="76"/>
      <c r="N138" s="37"/>
    </row>
    <row r="139" spans="1:14" s="38" customFormat="1" x14ac:dyDescent="0.35">
      <c r="A139" s="77">
        <f t="shared" ref="A139:A144" si="4">A138+1</f>
        <v>2</v>
      </c>
      <c r="B139" s="78"/>
      <c r="C139" s="43" t="s">
        <v>201</v>
      </c>
      <c r="D139" s="59">
        <f>(30.033+3.077+0.75*2.85)*10.764</f>
        <v>379.40409</v>
      </c>
      <c r="E139" s="43">
        <v>0</v>
      </c>
      <c r="F139" s="43">
        <f t="shared" si="3"/>
        <v>550.13593049999997</v>
      </c>
      <c r="G139" s="77" t="str">
        <f t="shared" ref="G139:G144" si="5">G138</f>
        <v>1st to 6th Floor for Residential</v>
      </c>
      <c r="H139" s="78"/>
      <c r="I139" s="37"/>
      <c r="J139" s="59">
        <v>10.763999999999999</v>
      </c>
      <c r="K139" s="58">
        <f t="shared" ref="K139:K149" si="6">3200*F139</f>
        <v>1760434.9775999999</v>
      </c>
      <c r="L139" s="76"/>
      <c r="M139" s="76"/>
      <c r="N139" s="37"/>
    </row>
    <row r="140" spans="1:14" s="38" customFormat="1" x14ac:dyDescent="0.35">
      <c r="A140" s="77">
        <f t="shared" si="4"/>
        <v>3</v>
      </c>
      <c r="B140" s="78"/>
      <c r="C140" s="43" t="s">
        <v>201</v>
      </c>
      <c r="D140" s="59">
        <f>(27.826+5.208+0.75*2.1)*10.764</f>
        <v>372.53127599999999</v>
      </c>
      <c r="E140" s="43">
        <v>0</v>
      </c>
      <c r="F140" s="43">
        <f t="shared" si="3"/>
        <v>540.17035019999992</v>
      </c>
      <c r="G140" s="77" t="str">
        <f t="shared" si="5"/>
        <v>1st to 6th Floor for Residential</v>
      </c>
      <c r="H140" s="78"/>
      <c r="I140" s="37"/>
      <c r="K140" s="58">
        <f t="shared" si="6"/>
        <v>1728545.1206399996</v>
      </c>
      <c r="L140" s="76"/>
      <c r="M140" s="76"/>
      <c r="N140" s="37"/>
    </row>
    <row r="141" spans="1:14" s="38" customFormat="1" x14ac:dyDescent="0.35">
      <c r="A141" s="77">
        <f t="shared" si="4"/>
        <v>4</v>
      </c>
      <c r="B141" s="78"/>
      <c r="C141" s="43" t="s">
        <v>201</v>
      </c>
      <c r="D141" s="59">
        <f>(29.559+2.443+0.75*(2.06+2.75))*10.764</f>
        <v>383.300658</v>
      </c>
      <c r="E141" s="43">
        <v>0</v>
      </c>
      <c r="F141" s="43">
        <f t="shared" si="3"/>
        <v>555.78595410000003</v>
      </c>
      <c r="G141" s="77" t="str">
        <f t="shared" si="5"/>
        <v>1st to 6th Floor for Residential</v>
      </c>
      <c r="H141" s="78"/>
      <c r="I141" s="37"/>
      <c r="K141" s="58">
        <f t="shared" si="6"/>
        <v>1778515.0531200001</v>
      </c>
      <c r="L141" s="76"/>
      <c r="M141" s="76"/>
      <c r="N141" s="37"/>
    </row>
    <row r="142" spans="1:14" s="58" customFormat="1" x14ac:dyDescent="0.35">
      <c r="A142" s="77">
        <f t="shared" si="4"/>
        <v>5</v>
      </c>
      <c r="B142" s="78"/>
      <c r="C142" s="57" t="s">
        <v>201</v>
      </c>
      <c r="D142" s="59">
        <f>(29.559+2.443+0.75*(2.75+2.06))*10.764</f>
        <v>383.300658</v>
      </c>
      <c r="E142" s="57">
        <v>0</v>
      </c>
      <c r="F142" s="57">
        <f t="shared" si="3"/>
        <v>555.78595410000003</v>
      </c>
      <c r="G142" s="77" t="str">
        <f t="shared" si="5"/>
        <v>1st to 6th Floor for Residential</v>
      </c>
      <c r="H142" s="78"/>
      <c r="I142" s="37">
        <f>2.75*3.95+2.6*2.9+2.75*2.9+1*1.2+1.5*1.2</f>
        <v>29.377499999999998</v>
      </c>
      <c r="J142" s="58">
        <f>0.9*2.75</f>
        <v>2.4750000000000001</v>
      </c>
      <c r="K142" s="58">
        <f t="shared" si="6"/>
        <v>1778515.0531200001</v>
      </c>
      <c r="L142" s="76"/>
      <c r="M142" s="76"/>
      <c r="N142" s="37"/>
    </row>
    <row r="143" spans="1:14" s="58" customFormat="1" x14ac:dyDescent="0.35">
      <c r="A143" s="77">
        <f t="shared" si="4"/>
        <v>6</v>
      </c>
      <c r="B143" s="78"/>
      <c r="C143" s="57" t="s">
        <v>201</v>
      </c>
      <c r="D143" s="59">
        <f>(30.731+2.444+0.75*(1.8+2.75))*10.764</f>
        <v>393.82785000000001</v>
      </c>
      <c r="E143" s="57">
        <v>0</v>
      </c>
      <c r="F143" s="57">
        <f t="shared" si="3"/>
        <v>571.05038249999996</v>
      </c>
      <c r="G143" s="77" t="str">
        <f t="shared" si="5"/>
        <v>1st to 6th Floor for Residential</v>
      </c>
      <c r="H143" s="78"/>
      <c r="I143" s="37"/>
      <c r="K143" s="58">
        <f t="shared" si="6"/>
        <v>1827361.2239999999</v>
      </c>
      <c r="L143" s="76"/>
      <c r="M143" s="76"/>
      <c r="N143" s="37"/>
    </row>
    <row r="144" spans="1:14" s="58" customFormat="1" x14ac:dyDescent="0.35">
      <c r="A144" s="77">
        <f t="shared" si="4"/>
        <v>7</v>
      </c>
      <c r="B144" s="78"/>
      <c r="C144" s="57" t="s">
        <v>201</v>
      </c>
      <c r="D144" s="59">
        <f>(29.559+2.443+0.75*(2.06+2.75))*10.764</f>
        <v>383.300658</v>
      </c>
      <c r="E144" s="57">
        <v>0</v>
      </c>
      <c r="F144" s="57">
        <f t="shared" si="3"/>
        <v>555.78595410000003</v>
      </c>
      <c r="G144" s="77" t="str">
        <f t="shared" si="5"/>
        <v>1st to 6th Floor for Residential</v>
      </c>
      <c r="H144" s="78"/>
      <c r="I144" s="37">
        <f>2.75*3.95+2.06*2.9+2.75*2.9+1.5*1.2+1*1.2</f>
        <v>27.811500000000002</v>
      </c>
      <c r="J144" s="58">
        <f>0.9*2.75</f>
        <v>2.4750000000000001</v>
      </c>
      <c r="K144" s="58">
        <f t="shared" si="6"/>
        <v>1778515.0531200001</v>
      </c>
      <c r="L144" s="76"/>
      <c r="M144" s="76"/>
      <c r="N144" s="37"/>
    </row>
    <row r="145" spans="1:14" s="38" customFormat="1" x14ac:dyDescent="0.35">
      <c r="A145" s="172" t="s">
        <v>202</v>
      </c>
      <c r="B145" s="172"/>
      <c r="C145" s="172"/>
      <c r="D145" s="172"/>
      <c r="E145" s="172"/>
      <c r="F145" s="172"/>
      <c r="G145" s="172"/>
      <c r="H145" s="172"/>
      <c r="I145" s="37"/>
      <c r="K145" s="58">
        <f t="shared" si="6"/>
        <v>0</v>
      </c>
      <c r="L145" s="76"/>
      <c r="M145" s="76"/>
    </row>
    <row r="146" spans="1:14" s="38" customFormat="1" x14ac:dyDescent="0.35">
      <c r="A146" s="83">
        <v>1</v>
      </c>
      <c r="B146" s="83"/>
      <c r="C146" s="43" t="s">
        <v>203</v>
      </c>
      <c r="D146" s="59">
        <f>(18.135+3.076)*10.764</f>
        <v>228.31520399999999</v>
      </c>
      <c r="E146" s="59">
        <f>(3.325*2.6+1.465*1.8)*10.764</f>
        <v>121.43944800000001</v>
      </c>
      <c r="F146" s="43">
        <f t="shared" ref="F146:F147" si="7">D146*(($F$135)+1)+(IF(E146&lt;101,E146,IF(E146&lt;201,E146/2,IF(E146&lt;=301,E146/3,E146/4))))</f>
        <v>391.77676979999995</v>
      </c>
      <c r="G146" s="83" t="str">
        <f>A145</f>
        <v>7th Floor (Part Natural Floor)</v>
      </c>
      <c r="H146" s="83"/>
      <c r="I146" s="37"/>
      <c r="K146" s="58">
        <f t="shared" si="6"/>
        <v>1253685.6633599999</v>
      </c>
      <c r="N146" s="37"/>
    </row>
    <row r="147" spans="1:14" s="38" customFormat="1" x14ac:dyDescent="0.35">
      <c r="A147" s="83">
        <f>A146+1</f>
        <v>2</v>
      </c>
      <c r="B147" s="83"/>
      <c r="C147" s="57" t="s">
        <v>203</v>
      </c>
      <c r="D147" s="59">
        <f>(21.829+3.434+0.75*2.1)*10.764</f>
        <v>288.884232</v>
      </c>
      <c r="E147" s="59">
        <f>(2.75*2.5)*10.764</f>
        <v>74.002499999999998</v>
      </c>
      <c r="F147" s="43">
        <f t="shared" si="7"/>
        <v>492.88463639999998</v>
      </c>
      <c r="G147" s="83" t="str">
        <f>G146</f>
        <v>7th Floor (Part Natural Floor)</v>
      </c>
      <c r="H147" s="83"/>
      <c r="I147" s="37"/>
      <c r="K147" s="58">
        <f t="shared" si="6"/>
        <v>1577230.8364799998</v>
      </c>
      <c r="N147" s="37"/>
    </row>
    <row r="148" spans="1:14" s="38" customFormat="1" x14ac:dyDescent="0.35">
      <c r="A148" s="83">
        <f>A147+1</f>
        <v>3</v>
      </c>
      <c r="B148" s="83"/>
      <c r="C148" s="57" t="s">
        <v>203</v>
      </c>
      <c r="D148" s="59">
        <f>(21.353+2.443+0.75*(2.06))*10.764</f>
        <v>272.77052400000002</v>
      </c>
      <c r="E148" s="59">
        <f>(2.6*2.5)*10.764</f>
        <v>69.965999999999994</v>
      </c>
      <c r="F148" s="43">
        <f>D148*(($F$135)+1)+(IF(E148&lt;101,E148,IF(E148&lt;201,E148/2,IF(E148&lt;=301,E148/3,E148/4))))</f>
        <v>465.48325980000004</v>
      </c>
      <c r="G148" s="83" t="str">
        <f>G147</f>
        <v>7th Floor (Part Natural Floor)</v>
      </c>
      <c r="H148" s="83"/>
      <c r="I148" s="37"/>
      <c r="K148" s="58">
        <f t="shared" si="6"/>
        <v>1489546.43136</v>
      </c>
      <c r="N148" s="37"/>
    </row>
    <row r="149" spans="1:14" s="38" customFormat="1" x14ac:dyDescent="0.35">
      <c r="A149" s="83">
        <f>A148+1</f>
        <v>4</v>
      </c>
      <c r="B149" s="83"/>
      <c r="C149" s="57" t="s">
        <v>201</v>
      </c>
      <c r="D149" s="59">
        <f>(29.559+2.443+0.75*(2.06+2.75))*10.764</f>
        <v>383.300658</v>
      </c>
      <c r="E149" s="59">
        <v>0</v>
      </c>
      <c r="F149" s="43">
        <f>D149*(($F$135)+1)+(IF(E149&lt;101,E149,IF(E149&lt;201,E149/2,IF(E149&lt;=301,E149/3,E149/4))))</f>
        <v>555.78595410000003</v>
      </c>
      <c r="G149" s="83" t="str">
        <f>G148</f>
        <v>7th Floor (Part Natural Floor)</v>
      </c>
      <c r="H149" s="83"/>
      <c r="I149" s="37"/>
      <c r="K149" s="58">
        <f t="shared" si="6"/>
        <v>1778515.0531200001</v>
      </c>
      <c r="N149" s="37"/>
    </row>
    <row r="150" spans="1:14" s="36" customFormat="1" x14ac:dyDescent="0.35">
      <c r="A150" s="82" t="s">
        <v>70</v>
      </c>
      <c r="B150" s="82"/>
      <c r="C150" s="82"/>
      <c r="D150" s="82"/>
      <c r="E150" s="82"/>
      <c r="F150" s="82"/>
      <c r="G150" s="82"/>
      <c r="H150" s="82"/>
    </row>
    <row r="151" spans="1:14" s="36" customFormat="1" x14ac:dyDescent="0.35">
      <c r="A151" s="48" t="s">
        <v>157</v>
      </c>
      <c r="B151" s="79" t="s">
        <v>214</v>
      </c>
      <c r="C151" s="80"/>
      <c r="D151" s="80"/>
      <c r="E151" s="80"/>
      <c r="F151" s="80"/>
      <c r="G151" s="80"/>
      <c r="H151" s="81"/>
    </row>
    <row r="152" spans="1:14" s="36" customFormat="1" x14ac:dyDescent="0.35">
      <c r="A152" s="48" t="s">
        <v>157</v>
      </c>
      <c r="B152" s="79" t="str">
        <f>(IF(F134="Saleable area Loading :","We have considered Saleable area of Flats as per our Calculation.","We considered Saleable area of Flat as per Builder area Sheet."))</f>
        <v>We have considered Saleable area of Flats as per our Calculation.</v>
      </c>
      <c r="C152" s="80"/>
      <c r="D152" s="80"/>
      <c r="E152" s="80"/>
      <c r="F152" s="80"/>
      <c r="G152" s="80"/>
      <c r="H152" s="81"/>
    </row>
    <row r="153" spans="1:14" s="36" customFormat="1" x14ac:dyDescent="0.35">
      <c r="A153" s="48" t="s">
        <v>157</v>
      </c>
      <c r="B153" s="79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3" s="80"/>
      <c r="D153" s="80"/>
      <c r="E153" s="80"/>
      <c r="F153" s="80"/>
      <c r="G153" s="80"/>
      <c r="H153" s="81"/>
    </row>
    <row r="154" spans="1:14" s="36" customFormat="1" x14ac:dyDescent="0.35">
      <c r="A154" s="48" t="s">
        <v>157</v>
      </c>
      <c r="B154" s="73" t="s">
        <v>128</v>
      </c>
      <c r="C154" s="74"/>
      <c r="D154" s="74"/>
      <c r="E154" s="74"/>
      <c r="F154" s="74"/>
      <c r="G154" s="74"/>
      <c r="H154" s="75"/>
    </row>
    <row r="155" spans="1:14" s="36" customFormat="1" x14ac:dyDescent="0.35">
      <c r="A155" s="48" t="s">
        <v>157</v>
      </c>
      <c r="B155" s="73" t="s">
        <v>206</v>
      </c>
      <c r="C155" s="74"/>
      <c r="D155" s="74"/>
      <c r="E155" s="74"/>
      <c r="F155" s="74"/>
      <c r="G155" s="74"/>
      <c r="H155" s="75"/>
    </row>
    <row r="156" spans="1:14" s="36" customFormat="1" x14ac:dyDescent="0.35">
      <c r="A156" s="48" t="s">
        <v>157</v>
      </c>
      <c r="B156" s="73" t="s">
        <v>156</v>
      </c>
      <c r="C156" s="74"/>
      <c r="D156" s="74"/>
      <c r="E156" s="74"/>
      <c r="F156" s="74"/>
      <c r="G156" s="74"/>
      <c r="H156" s="75"/>
    </row>
    <row r="157" spans="1:14" s="36" customFormat="1" x14ac:dyDescent="0.35">
      <c r="A157" s="48" t="s">
        <v>157</v>
      </c>
      <c r="B157" s="73" t="s">
        <v>129</v>
      </c>
      <c r="C157" s="74"/>
      <c r="D157" s="74"/>
      <c r="E157" s="74"/>
      <c r="F157" s="74"/>
      <c r="G157" s="74"/>
      <c r="H157" s="75"/>
    </row>
    <row r="158" spans="1:14" s="36" customFormat="1" ht="34.5" customHeight="1" x14ac:dyDescent="0.35">
      <c r="A158" s="48" t="s">
        <v>157</v>
      </c>
      <c r="B158" s="73" t="s">
        <v>158</v>
      </c>
      <c r="C158" s="74"/>
      <c r="D158" s="74"/>
      <c r="E158" s="74"/>
      <c r="F158" s="74"/>
      <c r="G158" s="74"/>
      <c r="H158" s="75"/>
    </row>
    <row r="159" spans="1:14" s="36" customFormat="1" x14ac:dyDescent="0.35">
      <c r="A159" s="48" t="s">
        <v>157</v>
      </c>
      <c r="B159" s="73" t="s">
        <v>130</v>
      </c>
      <c r="C159" s="74"/>
      <c r="D159" s="74"/>
      <c r="E159" s="74"/>
      <c r="F159" s="74"/>
      <c r="G159" s="74"/>
      <c r="H159" s="75"/>
    </row>
    <row r="160" spans="1:14" s="36" customFormat="1" x14ac:dyDescent="0.35">
      <c r="A160" s="67" t="s">
        <v>157</v>
      </c>
      <c r="B160" s="73" t="s">
        <v>211</v>
      </c>
      <c r="C160" s="74"/>
      <c r="D160" s="74"/>
      <c r="E160" s="74"/>
      <c r="F160" s="74"/>
      <c r="G160" s="74"/>
      <c r="H160" s="75"/>
    </row>
    <row r="161" spans="1:8" s="36" customFormat="1" x14ac:dyDescent="0.35">
      <c r="A161" s="70" t="s">
        <v>157</v>
      </c>
      <c r="B161" s="73" t="s">
        <v>215</v>
      </c>
      <c r="C161" s="74"/>
      <c r="D161" s="74"/>
      <c r="E161" s="74"/>
      <c r="F161" s="74"/>
      <c r="G161" s="74"/>
      <c r="H161" s="75"/>
    </row>
    <row r="162" spans="1:8" x14ac:dyDescent="0.35">
      <c r="A162" s="154" t="s">
        <v>63</v>
      </c>
      <c r="B162" s="154"/>
      <c r="C162" s="154"/>
      <c r="D162" s="154"/>
      <c r="E162" s="154"/>
      <c r="F162" s="154"/>
      <c r="G162" s="154"/>
      <c r="H162" s="154"/>
    </row>
    <row r="163" spans="1:8" x14ac:dyDescent="0.35">
      <c r="A163" s="86" t="s">
        <v>64</v>
      </c>
      <c r="B163" s="86"/>
      <c r="C163" s="86"/>
      <c r="D163" s="86"/>
      <c r="E163" s="86"/>
      <c r="F163" s="86"/>
      <c r="G163" s="86"/>
      <c r="H163" s="86"/>
    </row>
    <row r="164" spans="1:8" ht="15.75" customHeight="1" x14ac:dyDescent="0.35">
      <c r="A164" s="181" t="s">
        <v>65</v>
      </c>
      <c r="B164" s="181"/>
      <c r="C164" s="181"/>
      <c r="D164" s="181"/>
      <c r="E164" s="181"/>
      <c r="F164" s="181"/>
      <c r="G164" s="181"/>
      <c r="H164" s="181"/>
    </row>
    <row r="165" spans="1:8" x14ac:dyDescent="0.35">
      <c r="A165" s="86" t="s">
        <v>66</v>
      </c>
      <c r="B165" s="86"/>
      <c r="C165" s="86"/>
      <c r="D165" s="86"/>
      <c r="E165" s="86"/>
      <c r="F165" s="86"/>
      <c r="G165" s="86"/>
      <c r="H165" s="86"/>
    </row>
    <row r="166" spans="1:8" x14ac:dyDescent="0.35">
      <c r="A166" s="86" t="s">
        <v>67</v>
      </c>
      <c r="B166" s="86"/>
      <c r="C166" s="86"/>
      <c r="D166" s="86"/>
      <c r="E166" s="86"/>
      <c r="F166" s="86"/>
      <c r="G166" s="86"/>
      <c r="H166" s="86"/>
    </row>
    <row r="167" spans="1:8" x14ac:dyDescent="0.35">
      <c r="A167" s="86" t="s">
        <v>131</v>
      </c>
      <c r="B167" s="86"/>
      <c r="C167" s="86"/>
      <c r="D167" s="86"/>
      <c r="E167" s="86"/>
      <c r="F167" s="86"/>
      <c r="G167" s="86"/>
      <c r="H167" s="86"/>
    </row>
    <row r="168" spans="1:8" x14ac:dyDescent="0.35">
      <c r="A168" s="139" t="s">
        <v>132</v>
      </c>
      <c r="B168" s="139"/>
      <c r="C168" s="139"/>
      <c r="D168" s="139"/>
      <c r="E168" s="139"/>
      <c r="F168" s="139"/>
      <c r="G168" s="139"/>
      <c r="H168" s="139"/>
    </row>
    <row r="169" spans="1:8" x14ac:dyDescent="0.35">
      <c r="A169" s="171" t="s">
        <v>79</v>
      </c>
      <c r="B169" s="171"/>
      <c r="C169" s="171" t="s">
        <v>207</v>
      </c>
      <c r="D169" s="171"/>
      <c r="E169" s="171" t="s">
        <v>108</v>
      </c>
      <c r="F169" s="171"/>
      <c r="G169" s="171" t="s">
        <v>216</v>
      </c>
      <c r="H169" s="171"/>
    </row>
    <row r="170" spans="1:8" x14ac:dyDescent="0.35">
      <c r="A170" s="170" t="s">
        <v>81</v>
      </c>
      <c r="B170" s="170"/>
      <c r="C170" s="170"/>
      <c r="D170" s="170"/>
      <c r="E170" s="170"/>
      <c r="F170" s="170"/>
      <c r="G170" s="170"/>
      <c r="H170" s="170"/>
    </row>
    <row r="171" spans="1:8" x14ac:dyDescent="0.35">
      <c r="A171" s="170"/>
      <c r="B171" s="170"/>
      <c r="C171" s="170"/>
      <c r="D171" s="170"/>
      <c r="E171" s="170"/>
      <c r="F171" s="170"/>
      <c r="G171" s="170"/>
      <c r="H171" s="170"/>
    </row>
    <row r="172" spans="1:8" x14ac:dyDescent="0.35">
      <c r="A172" s="170"/>
      <c r="B172" s="170"/>
      <c r="C172" s="170"/>
      <c r="D172" s="170"/>
      <c r="E172" s="170"/>
      <c r="F172" s="170"/>
      <c r="G172" s="170"/>
      <c r="H172" s="170"/>
    </row>
    <row r="173" spans="1:8" x14ac:dyDescent="0.35">
      <c r="A173" s="170"/>
      <c r="B173" s="170"/>
      <c r="C173" s="170"/>
      <c r="D173" s="170"/>
      <c r="E173" s="170"/>
      <c r="F173" s="170"/>
      <c r="G173" s="170"/>
      <c r="H173" s="170"/>
    </row>
    <row r="174" spans="1:8" x14ac:dyDescent="0.35">
      <c r="A174" s="39" t="s">
        <v>68</v>
      </c>
      <c r="B174" s="40"/>
      <c r="C174" s="40"/>
      <c r="D174" s="39" t="str">
        <f>E8</f>
        <v>Kumkum Corner</v>
      </c>
      <c r="F174" s="40"/>
      <c r="G174" s="40"/>
      <c r="H174" s="40"/>
    </row>
    <row r="175" spans="1:8" x14ac:dyDescent="0.35">
      <c r="A175" s="40"/>
      <c r="B175" s="40"/>
      <c r="C175" s="40"/>
      <c r="D175" s="40"/>
      <c r="E175" s="40"/>
      <c r="F175" s="40"/>
      <c r="G175" s="40"/>
      <c r="H175" s="40"/>
    </row>
    <row r="176" spans="1:8" x14ac:dyDescent="0.35">
      <c r="A176" s="40"/>
      <c r="B176" s="40"/>
      <c r="C176" s="40"/>
      <c r="D176" s="40"/>
      <c r="E176" s="40"/>
      <c r="F176" s="40"/>
      <c r="G176" s="40"/>
      <c r="H176" s="40"/>
    </row>
    <row r="177" ht="15" customHeight="1" x14ac:dyDescent="0.35"/>
    <row r="217" spans="1:1" x14ac:dyDescent="0.35">
      <c r="A217" s="42" t="s">
        <v>170</v>
      </c>
    </row>
    <row r="253" spans="1:1" x14ac:dyDescent="0.35">
      <c r="A253" s="42" t="s">
        <v>69</v>
      </c>
    </row>
  </sheetData>
  <mergeCells count="315">
    <mergeCell ref="A48:B48"/>
    <mergeCell ref="C48:E48"/>
    <mergeCell ref="A167:H167"/>
    <mergeCell ref="A164:H164"/>
    <mergeCell ref="A146:B146"/>
    <mergeCell ref="A122:B122"/>
    <mergeCell ref="D134:D135"/>
    <mergeCell ref="E134:E135"/>
    <mergeCell ref="G134:H135"/>
    <mergeCell ref="A87:B87"/>
    <mergeCell ref="A88:B88"/>
    <mergeCell ref="A89:B89"/>
    <mergeCell ref="A103:B103"/>
    <mergeCell ref="F108:H108"/>
    <mergeCell ref="A106:B106"/>
    <mergeCell ref="A92:B92"/>
    <mergeCell ref="A82:B82"/>
    <mergeCell ref="E82:F82"/>
    <mergeCell ref="G82:H82"/>
    <mergeCell ref="C81:H81"/>
    <mergeCell ref="E97:F106"/>
    <mergeCell ref="D54:H54"/>
    <mergeCell ref="C50:E50"/>
    <mergeCell ref="G52:H52"/>
    <mergeCell ref="C51:H51"/>
    <mergeCell ref="A79:B79"/>
    <mergeCell ref="C79:H79"/>
    <mergeCell ref="A74:B74"/>
    <mergeCell ref="F115:H115"/>
    <mergeCell ref="F118:H118"/>
    <mergeCell ref="F116:H116"/>
    <mergeCell ref="A125:H125"/>
    <mergeCell ref="A117:E117"/>
    <mergeCell ref="A97:B97"/>
    <mergeCell ref="A113:E113"/>
    <mergeCell ref="A112:E112"/>
    <mergeCell ref="A98:B98"/>
    <mergeCell ref="A99:B99"/>
    <mergeCell ref="G83:H92"/>
    <mergeCell ref="A84:B84"/>
    <mergeCell ref="A85:B85"/>
    <mergeCell ref="A86:B86"/>
    <mergeCell ref="F109:H109"/>
    <mergeCell ref="A109:E109"/>
    <mergeCell ref="C134:C135"/>
    <mergeCell ref="A137:H137"/>
    <mergeCell ref="G141:H141"/>
    <mergeCell ref="F117:H117"/>
    <mergeCell ref="A142:B142"/>
    <mergeCell ref="G142:H142"/>
    <mergeCell ref="A140:B140"/>
    <mergeCell ref="G140:H140"/>
    <mergeCell ref="B134:B135"/>
    <mergeCell ref="A141:B141"/>
    <mergeCell ref="A138:B138"/>
    <mergeCell ref="A132:B132"/>
    <mergeCell ref="G138:H138"/>
    <mergeCell ref="A139:B139"/>
    <mergeCell ref="G139:H139"/>
    <mergeCell ref="A136:H136"/>
    <mergeCell ref="A170:H173"/>
    <mergeCell ref="A169:B169"/>
    <mergeCell ref="E169:F169"/>
    <mergeCell ref="C169:D169"/>
    <mergeCell ref="G169:H169"/>
    <mergeCell ref="A119:E119"/>
    <mergeCell ref="F119:H119"/>
    <mergeCell ref="A120:E120"/>
    <mergeCell ref="F120:H120"/>
    <mergeCell ref="A145:H145"/>
    <mergeCell ref="A123:B123"/>
    <mergeCell ref="A165:H165"/>
    <mergeCell ref="A121:H121"/>
    <mergeCell ref="A168:H168"/>
    <mergeCell ref="A166:H166"/>
    <mergeCell ref="A162:H162"/>
    <mergeCell ref="A163:H163"/>
    <mergeCell ref="E122:F122"/>
    <mergeCell ref="B159:H159"/>
    <mergeCell ref="B157:H157"/>
    <mergeCell ref="B153:H153"/>
    <mergeCell ref="A124:H124"/>
    <mergeCell ref="G148:H148"/>
    <mergeCell ref="B151:H151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61:C61"/>
    <mergeCell ref="D61:H61"/>
    <mergeCell ref="A64:C64"/>
    <mergeCell ref="D64:H64"/>
    <mergeCell ref="A62:C62"/>
    <mergeCell ref="G48:H48"/>
    <mergeCell ref="G50:H50"/>
    <mergeCell ref="E41:H41"/>
    <mergeCell ref="A41:D41"/>
    <mergeCell ref="F35:H35"/>
    <mergeCell ref="A34:B34"/>
    <mergeCell ref="C34:E34"/>
    <mergeCell ref="A45:D45"/>
    <mergeCell ref="A46:H46"/>
    <mergeCell ref="D56:H56"/>
    <mergeCell ref="A56:C56"/>
    <mergeCell ref="A91:B91"/>
    <mergeCell ref="D62:H62"/>
    <mergeCell ref="A63:C63"/>
    <mergeCell ref="D63:H63"/>
    <mergeCell ref="A69:B69"/>
    <mergeCell ref="G68:H68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C47:H47"/>
    <mergeCell ref="A36:H36"/>
    <mergeCell ref="A35:B35"/>
    <mergeCell ref="C35:E35"/>
    <mergeCell ref="G97:H106"/>
    <mergeCell ref="A40:D40"/>
    <mergeCell ref="E40:H40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81:B81"/>
    <mergeCell ref="A47:B47"/>
    <mergeCell ref="A37:B37"/>
    <mergeCell ref="C37:H37"/>
    <mergeCell ref="A44:D44"/>
    <mergeCell ref="L132:M132"/>
    <mergeCell ref="L131:M131"/>
    <mergeCell ref="L130:M130"/>
    <mergeCell ref="L129:M129"/>
    <mergeCell ref="A76:B76"/>
    <mergeCell ref="C123:D123"/>
    <mergeCell ref="E123:F123"/>
    <mergeCell ref="G123:H123"/>
    <mergeCell ref="F114:H114"/>
    <mergeCell ref="A108:E108"/>
    <mergeCell ref="A93:B93"/>
    <mergeCell ref="C93:H93"/>
    <mergeCell ref="A128:H128"/>
    <mergeCell ref="E126:E127"/>
    <mergeCell ref="G126:H127"/>
    <mergeCell ref="A83:B83"/>
    <mergeCell ref="E83:F92"/>
    <mergeCell ref="A90:B90"/>
    <mergeCell ref="E96:F96"/>
    <mergeCell ref="G130:H130"/>
    <mergeCell ref="G132:H132"/>
    <mergeCell ref="C126:C127"/>
    <mergeCell ref="L138:M138"/>
    <mergeCell ref="L139:M139"/>
    <mergeCell ref="L140:M140"/>
    <mergeCell ref="A38:B38"/>
    <mergeCell ref="C38:H38"/>
    <mergeCell ref="F113:H113"/>
    <mergeCell ref="A114:E114"/>
    <mergeCell ref="A116:E116"/>
    <mergeCell ref="F110:H110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11:H111"/>
    <mergeCell ref="F107:H107"/>
    <mergeCell ref="F112:H112"/>
    <mergeCell ref="A133:H133"/>
    <mergeCell ref="A134:A135"/>
    <mergeCell ref="A118:E118"/>
    <mergeCell ref="C122:D122"/>
    <mergeCell ref="D126:D127"/>
    <mergeCell ref="A111:E111"/>
    <mergeCell ref="A129:B129"/>
    <mergeCell ref="A130:B130"/>
    <mergeCell ref="A131:B131"/>
    <mergeCell ref="G96:H96"/>
    <mergeCell ref="A95:B95"/>
    <mergeCell ref="C95:H95"/>
    <mergeCell ref="A96:B96"/>
    <mergeCell ref="G122:H122"/>
    <mergeCell ref="G131:H131"/>
    <mergeCell ref="G129:H129"/>
    <mergeCell ref="B126:B127"/>
    <mergeCell ref="A126:A127"/>
    <mergeCell ref="L141:M141"/>
    <mergeCell ref="B152:H152"/>
    <mergeCell ref="B154:H154"/>
    <mergeCell ref="B155:H155"/>
    <mergeCell ref="A150:H150"/>
    <mergeCell ref="A149:B149"/>
    <mergeCell ref="B158:H158"/>
    <mergeCell ref="L145:M145"/>
    <mergeCell ref="B156:H156"/>
    <mergeCell ref="G149:H149"/>
    <mergeCell ref="G146:H146"/>
    <mergeCell ref="A147:B147"/>
    <mergeCell ref="A148:B148"/>
    <mergeCell ref="G147:H147"/>
    <mergeCell ref="B161:H161"/>
    <mergeCell ref="B160:H160"/>
    <mergeCell ref="L142:M142"/>
    <mergeCell ref="A143:B143"/>
    <mergeCell ref="G143:H143"/>
    <mergeCell ref="L143:M143"/>
    <mergeCell ref="A144:B144"/>
    <mergeCell ref="G144:H144"/>
    <mergeCell ref="L144:M14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73" max="16383" man="1"/>
    <brk id="216" max="16383" man="1"/>
    <brk id="2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6" t="s">
        <v>109</v>
      </c>
      <c r="C3" s="186"/>
      <c r="D3" s="186"/>
      <c r="E3" s="186"/>
      <c r="F3" s="186"/>
      <c r="G3" s="186"/>
      <c r="H3" s="186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2025-02-15T06:27:38Z</cp:lastPrinted>
  <dcterms:created xsi:type="dcterms:W3CDTF">2019-07-16T09:29:46Z</dcterms:created>
  <dcterms:modified xsi:type="dcterms:W3CDTF">2025-09-27T10:04:27Z</dcterms:modified>
</cp:coreProperties>
</file>