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C:\Users\Admin\Downloads\"/>
    </mc:Choice>
  </mc:AlternateContent>
  <xr:revisionPtr revIDLastSave="0" documentId="13_ncr:1_{8E5FAFF9-1E26-4E52-9973-CD0EB2E36F14}" xr6:coauthVersionLast="40" xr6:coauthVersionMax="40" xr10:uidLastSave="{00000000-0000-0000-0000-000000000000}"/>
  <bookViews>
    <workbookView xWindow="0" yWindow="0" windowWidth="28800" windowHeight="11805" tabRatio="725" xr2:uid="{00000000-000D-0000-FFFF-FFFF00000000}"/>
  </bookViews>
  <sheets>
    <sheet name="Report" sheetId="1" r:id="rId1"/>
    <sheet name="valuation" sheetId="5" r:id="rId2"/>
    <sheet name="Note" sheetId="4" r:id="rId3"/>
  </sheets>
  <definedNames>
    <definedName name="_xlnm.Print_Area" localSheetId="0">Report!$A$1:$H$443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5" i="1" l="1"/>
  <c r="A260" i="1" l="1"/>
  <c r="A261" i="1" s="1"/>
  <c r="A262" i="1" s="1"/>
  <c r="A263" i="1" s="1"/>
  <c r="A264" i="1" s="1"/>
  <c r="A265" i="1" s="1"/>
  <c r="A266" i="1" s="1"/>
  <c r="A267" i="1" s="1"/>
  <c r="A268" i="1" s="1"/>
  <c r="A269" i="1" s="1"/>
  <c r="A270" i="1" s="1"/>
  <c r="A271" i="1" s="1"/>
  <c r="A272" i="1" l="1"/>
  <c r="A273" i="1" s="1"/>
  <c r="A274" i="1" s="1"/>
  <c r="A188" i="1"/>
  <c r="A189" i="1" s="1"/>
  <c r="A190" i="1" s="1"/>
  <c r="A191" i="1" s="1"/>
  <c r="A192" i="1" s="1"/>
  <c r="A193" i="1" s="1"/>
  <c r="A180" i="1"/>
  <c r="A181" i="1" s="1"/>
  <c r="A182" i="1" s="1"/>
  <c r="A183" i="1" s="1"/>
  <c r="A184" i="1" s="1"/>
  <c r="A185" i="1" s="1"/>
  <c r="D191" i="1" l="1"/>
  <c r="F191" i="1" s="1"/>
  <c r="D193" i="1"/>
  <c r="F193" i="1" s="1"/>
  <c r="D192" i="1"/>
  <c r="F192" i="1" s="1"/>
  <c r="D189" i="1"/>
  <c r="F189" i="1" s="1"/>
  <c r="D188" i="1"/>
  <c r="F188" i="1" s="1"/>
  <c r="G187" i="1"/>
  <c r="D187" i="1"/>
  <c r="F187" i="1" s="1"/>
  <c r="D184" i="1"/>
  <c r="D185" i="1"/>
  <c r="D181" i="1"/>
  <c r="D180" i="1"/>
  <c r="D179" i="1"/>
  <c r="D177" i="1"/>
  <c r="D176" i="1"/>
  <c r="D175" i="1"/>
  <c r="D174" i="1"/>
  <c r="D173" i="1"/>
  <c r="D172" i="1"/>
  <c r="D171" i="1"/>
  <c r="C143" i="1" l="1"/>
  <c r="E143" i="1"/>
  <c r="C75" i="1"/>
  <c r="C76" i="1" l="1"/>
  <c r="C77" i="1"/>
  <c r="C110" i="1"/>
  <c r="C96" i="1"/>
  <c r="J121" i="1"/>
  <c r="J120" i="1"/>
  <c r="J119" i="1"/>
  <c r="J118" i="1"/>
  <c r="J107" i="1"/>
  <c r="J106" i="1"/>
  <c r="J105" i="1"/>
  <c r="J104" i="1"/>
  <c r="D228" i="1" l="1"/>
  <c r="F228" i="1" s="1"/>
  <c r="D227" i="1"/>
  <c r="F227" i="1" s="1"/>
  <c r="D226" i="1"/>
  <c r="F226" i="1" s="1"/>
  <c r="D220" i="1"/>
  <c r="F220" i="1" s="1"/>
  <c r="D219" i="1"/>
  <c r="F219" i="1" s="1"/>
  <c r="D218" i="1"/>
  <c r="F218" i="1" s="1"/>
  <c r="I218" i="1" s="1"/>
  <c r="D212" i="1"/>
  <c r="F212" i="1" s="1"/>
  <c r="D211" i="1"/>
  <c r="F211" i="1" s="1"/>
  <c r="D210" i="1"/>
  <c r="D209" i="1"/>
  <c r="F209" i="1" s="1"/>
  <c r="D208" i="1"/>
  <c r="F208" i="1" s="1"/>
  <c r="D207" i="1"/>
  <c r="F207" i="1" s="1"/>
  <c r="D206" i="1"/>
  <c r="F206" i="1" s="1"/>
  <c r="D202" i="1"/>
  <c r="F202" i="1" s="1"/>
  <c r="D201" i="1"/>
  <c r="F201" i="1" s="1"/>
  <c r="D198" i="1"/>
  <c r="F198" i="1" s="1"/>
  <c r="D197" i="1"/>
  <c r="F197" i="1" s="1"/>
  <c r="D196" i="1"/>
  <c r="F196" i="1" s="1"/>
  <c r="F184" i="1"/>
  <c r="F181" i="1"/>
  <c r="F180" i="1"/>
  <c r="F179" i="1"/>
  <c r="F177" i="1"/>
  <c r="F174" i="1"/>
  <c r="I174" i="1" s="1"/>
  <c r="F173" i="1"/>
  <c r="I173" i="1" s="1"/>
  <c r="F172" i="1"/>
  <c r="D163" i="1"/>
  <c r="F163" i="1" s="1"/>
  <c r="D162" i="1"/>
  <c r="F162" i="1" s="1"/>
  <c r="D161" i="1"/>
  <c r="F161" i="1" s="1"/>
  <c r="D160" i="1"/>
  <c r="F160" i="1" s="1"/>
  <c r="D159" i="1"/>
  <c r="F159" i="1" s="1"/>
  <c r="D158" i="1"/>
  <c r="D157" i="1"/>
  <c r="D156" i="1"/>
  <c r="D155" i="1"/>
  <c r="J154" i="1"/>
  <c r="A227" i="1"/>
  <c r="A228" i="1" s="1"/>
  <c r="G226" i="1"/>
  <c r="G227" i="1" s="1"/>
  <c r="G228" i="1" s="1"/>
  <c r="A219" i="1"/>
  <c r="A220" i="1" s="1"/>
  <c r="G218" i="1"/>
  <c r="G219" i="1" s="1"/>
  <c r="G220" i="1" s="1"/>
  <c r="F210" i="1"/>
  <c r="A207" i="1"/>
  <c r="A208" i="1" s="1"/>
  <c r="A209" i="1" s="1"/>
  <c r="A210" i="1" s="1"/>
  <c r="A211" i="1" s="1"/>
  <c r="A212" i="1" s="1"/>
  <c r="G206" i="1"/>
  <c r="G207" i="1" s="1"/>
  <c r="G208" i="1" s="1"/>
  <c r="G209" i="1" s="1"/>
  <c r="G210" i="1" s="1"/>
  <c r="G211" i="1" s="1"/>
  <c r="G212" i="1" s="1"/>
  <c r="J197" i="1"/>
  <c r="A197" i="1"/>
  <c r="A198" i="1" s="1"/>
  <c r="A199" i="1" s="1"/>
  <c r="A200" i="1" s="1"/>
  <c r="A201" i="1" s="1"/>
  <c r="A202" i="1" s="1"/>
  <c r="G196" i="1"/>
  <c r="F185" i="1"/>
  <c r="J180" i="1"/>
  <c r="G179" i="1"/>
  <c r="F175" i="1"/>
  <c r="I175" i="1" s="1"/>
  <c r="F176" i="1"/>
  <c r="J172" i="1"/>
  <c r="A172" i="1"/>
  <c r="A173" i="1" s="1"/>
  <c r="A174" i="1" s="1"/>
  <c r="A175" i="1" s="1"/>
  <c r="A176" i="1" s="1"/>
  <c r="A177" i="1" s="1"/>
  <c r="G171" i="1"/>
  <c r="F171" i="1" l="1"/>
  <c r="G143" i="1" s="1"/>
  <c r="C140" i="1"/>
  <c r="G146" i="1"/>
  <c r="G144" i="1"/>
  <c r="G145" i="1"/>
  <c r="E144" i="1"/>
  <c r="E140" i="1"/>
  <c r="E146" i="1"/>
  <c r="C144" i="1"/>
  <c r="C145" i="1"/>
  <c r="E145" i="1"/>
  <c r="C146" i="1"/>
  <c r="C14" i="1"/>
  <c r="C147" i="1" l="1"/>
  <c r="G147" i="1"/>
  <c r="E147" i="1"/>
  <c r="E29" i="1"/>
  <c r="F231" i="1" l="1"/>
  <c r="F232" i="1"/>
  <c r="F233" i="1"/>
  <c r="F230" i="1"/>
  <c r="A231" i="1"/>
  <c r="A232" i="1" s="1"/>
  <c r="A233" i="1" s="1"/>
  <c r="G230" i="1"/>
  <c r="G231" i="1" s="1"/>
  <c r="G232" i="1" s="1"/>
  <c r="G233" i="1" s="1"/>
  <c r="F137" i="1" l="1"/>
  <c r="F156" i="1" l="1"/>
  <c r="F157" i="1"/>
  <c r="F158" i="1"/>
  <c r="F155" i="1"/>
  <c r="G140" i="1" l="1"/>
  <c r="B260" i="1"/>
  <c r="A241" i="1"/>
  <c r="A247" i="1"/>
  <c r="A253" i="1"/>
  <c r="F257" i="1" l="1"/>
  <c r="F256" i="1"/>
  <c r="F255" i="1"/>
  <c r="F254" i="1"/>
  <c r="F253" i="1"/>
  <c r="F251" i="1"/>
  <c r="F250" i="1"/>
  <c r="F249" i="1"/>
  <c r="F248" i="1"/>
  <c r="F247" i="1"/>
  <c r="F245" i="1"/>
  <c r="F244" i="1"/>
  <c r="F243" i="1"/>
  <c r="F242" i="1"/>
  <c r="F241" i="1"/>
  <c r="F239" i="1"/>
  <c r="F238" i="1"/>
  <c r="F236" i="1"/>
  <c r="F235" i="1"/>
  <c r="F237" i="1"/>
  <c r="A242" i="1"/>
  <c r="A248" i="1"/>
  <c r="A254" i="1"/>
  <c r="B261" i="1" l="1"/>
  <c r="A249" i="1"/>
  <c r="A243" i="1"/>
  <c r="A255" i="1"/>
  <c r="F11" i="5" l="1"/>
  <c r="G11" i="5" s="1"/>
  <c r="F10" i="5"/>
  <c r="G10" i="5" s="1"/>
  <c r="F9" i="5"/>
  <c r="G9" i="5" s="1"/>
  <c r="F8" i="5"/>
  <c r="G8" i="5" s="1"/>
  <c r="F7" i="5"/>
  <c r="G7" i="5" s="1"/>
  <c r="F6" i="5"/>
  <c r="G6" i="5" s="1"/>
  <c r="F5" i="5"/>
  <c r="G5" i="5" s="1"/>
  <c r="G12" i="5" s="1"/>
  <c r="D288" i="1"/>
  <c r="G253" i="1"/>
  <c r="G254" i="1" s="1"/>
  <c r="G255" i="1" s="1"/>
  <c r="G256" i="1" s="1"/>
  <c r="G257" i="1" s="1"/>
  <c r="G247" i="1"/>
  <c r="G248" i="1" s="1"/>
  <c r="G249" i="1" s="1"/>
  <c r="G250" i="1" s="1"/>
  <c r="G251" i="1" s="1"/>
  <c r="G241" i="1"/>
  <c r="G242" i="1" s="1"/>
  <c r="G243" i="1" s="1"/>
  <c r="G244" i="1" s="1"/>
  <c r="G245" i="1" s="1"/>
  <c r="G235" i="1"/>
  <c r="G236" i="1" s="1"/>
  <c r="G237" i="1" s="1"/>
  <c r="G238" i="1" s="1"/>
  <c r="G239" i="1" s="1"/>
  <c r="A235" i="1"/>
  <c r="A236" i="1" s="1"/>
  <c r="A237" i="1" s="1"/>
  <c r="A238" i="1" s="1"/>
  <c r="A239" i="1" s="1"/>
  <c r="A156" i="1"/>
  <c r="A157" i="1" s="1"/>
  <c r="A158" i="1" s="1"/>
  <c r="A159" i="1" s="1"/>
  <c r="A160" i="1" s="1"/>
  <c r="A161" i="1" s="1"/>
  <c r="A162" i="1" s="1"/>
  <c r="A163" i="1" s="1"/>
  <c r="G155" i="1"/>
  <c r="G156" i="1" s="1"/>
  <c r="G157" i="1" s="1"/>
  <c r="G158" i="1" s="1"/>
  <c r="G159" i="1" s="1"/>
  <c r="G160" i="1" s="1"/>
  <c r="G161" i="1" s="1"/>
  <c r="G162" i="1" s="1"/>
  <c r="G163" i="1" s="1"/>
  <c r="J93" i="1"/>
  <c r="J92" i="1"/>
  <c r="J91" i="1"/>
  <c r="J90" i="1"/>
  <c r="C82" i="1"/>
  <c r="J79" i="1"/>
  <c r="J78" i="1"/>
  <c r="J77" i="1"/>
  <c r="J76" i="1"/>
  <c r="C68" i="1"/>
  <c r="G49" i="1"/>
  <c r="C49" i="1"/>
  <c r="E42" i="1"/>
  <c r="E43" i="1" s="1"/>
  <c r="E26" i="1"/>
  <c r="E24" i="1"/>
  <c r="E7" i="1"/>
  <c r="E3" i="1"/>
  <c r="A250" i="1"/>
  <c r="A244" i="1"/>
  <c r="A256" i="1"/>
  <c r="H83" i="1"/>
  <c r="D62" i="1" l="1"/>
  <c r="D93" i="1"/>
  <c r="D94" i="1"/>
  <c r="D95" i="1"/>
  <c r="D89" i="1"/>
  <c r="D90" i="1"/>
  <c r="D91" i="1"/>
  <c r="D92" i="1"/>
  <c r="J82" i="1"/>
  <c r="J84" i="1" s="1"/>
  <c r="D81" i="1"/>
  <c r="D79" i="1"/>
  <c r="D78" i="1"/>
  <c r="D77" i="1"/>
  <c r="D75" i="1"/>
  <c r="J68" i="1"/>
  <c r="D80" i="1"/>
  <c r="D76" i="1"/>
  <c r="J72" i="1"/>
  <c r="J73" i="1"/>
  <c r="C72" i="1" s="1"/>
  <c r="J71" i="1"/>
  <c r="J74" i="1"/>
  <c r="J75" i="1" s="1"/>
  <c r="J80" i="1" s="1"/>
  <c r="J81" i="1" s="1"/>
  <c r="C73" i="1" s="1"/>
  <c r="J88" i="1"/>
  <c r="J89" i="1" s="1"/>
  <c r="J94" i="1" s="1"/>
  <c r="J95" i="1" s="1"/>
  <c r="J86" i="1"/>
  <c r="J87" i="1"/>
  <c r="J85" i="1"/>
  <c r="A245" i="1"/>
  <c r="A257" i="1"/>
  <c r="A251" i="1"/>
  <c r="D88" i="1" l="1"/>
  <c r="D74" i="1"/>
  <c r="J70" i="1"/>
  <c r="E72" i="1"/>
  <c r="D73" i="1"/>
  <c r="G72" i="1"/>
  <c r="D66" i="1" s="1"/>
  <c r="D67" i="1" s="1"/>
  <c r="D72" i="1"/>
  <c r="E86" i="1"/>
  <c r="D87" i="1"/>
  <c r="G86" i="1"/>
  <c r="D86" i="1"/>
  <c r="H97" i="1"/>
  <c r="J83" i="1" l="1"/>
  <c r="D109" i="1"/>
  <c r="D107" i="1"/>
  <c r="D105" i="1"/>
  <c r="D103" i="1"/>
  <c r="J101" i="1"/>
  <c r="D100" i="1" s="1"/>
  <c r="J99" i="1"/>
  <c r="D106" i="1"/>
  <c r="J96" i="1"/>
  <c r="J98" i="1" s="1"/>
  <c r="J102" i="1"/>
  <c r="J103" i="1" s="1"/>
  <c r="J108" i="1" s="1"/>
  <c r="J109" i="1" s="1"/>
  <c r="D108" i="1"/>
  <c r="D104" i="1"/>
  <c r="J100" i="1"/>
  <c r="I69" i="1"/>
  <c r="J69" i="1"/>
  <c r="I83" i="1"/>
  <c r="F67" i="1"/>
  <c r="H111" i="1"/>
  <c r="D102" i="1" l="1"/>
  <c r="J110" i="1"/>
  <c r="J112" i="1" s="1"/>
  <c r="J114" i="1"/>
  <c r="D123" i="1"/>
  <c r="D121" i="1"/>
  <c r="D119" i="1"/>
  <c r="D117" i="1"/>
  <c r="J115" i="1"/>
  <c r="D114" i="1" s="1"/>
  <c r="J113" i="1"/>
  <c r="D122" i="1"/>
  <c r="D118" i="1"/>
  <c r="J116" i="1"/>
  <c r="J117" i="1" s="1"/>
  <c r="J122" i="1" s="1"/>
  <c r="J123" i="1" s="1"/>
  <c r="D120" i="1"/>
  <c r="E100" i="1"/>
  <c r="D101" i="1"/>
  <c r="G100" i="1"/>
  <c r="J97" i="1"/>
  <c r="I70" i="1"/>
  <c r="I68" i="1" s="1"/>
  <c r="C70" i="1" s="1"/>
  <c r="I84" i="1"/>
  <c r="I82" i="1" s="1"/>
  <c r="C84" i="1" s="1"/>
  <c r="I97" i="1" l="1"/>
  <c r="I98" i="1" s="1"/>
  <c r="D116" i="1"/>
  <c r="E114" i="1"/>
  <c r="D115" i="1"/>
  <c r="G114" i="1"/>
  <c r="J111" i="1"/>
  <c r="I96" i="1" l="1"/>
  <c r="C98" i="1" s="1"/>
  <c r="I111" i="1"/>
  <c r="I112" i="1" s="1"/>
  <c r="I110" i="1" l="1"/>
  <c r="C112" i="1" s="1"/>
</calcChain>
</file>

<file path=xl/sharedStrings.xml><?xml version="1.0" encoding="utf-8"?>
<sst xmlns="http://schemas.openxmlformats.org/spreadsheetml/2006/main" count="436" uniqueCount="258">
  <si>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</si>
  <si>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</si>
  <si>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</si>
  <si>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</si>
  <si>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</si>
  <si>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</si>
  <si>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</si>
  <si>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</si>
  <si>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</si>
  <si>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</si>
  <si>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</si>
  <si>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</si>
  <si>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</si>
  <si>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</si>
  <si>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</si>
  <si>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</si>
  <si>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</si>
  <si>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</si>
  <si>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</si>
  <si>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</si>
  <si>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</si>
  <si>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</si>
  <si>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</si>
  <si>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</si>
  <si>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</si>
  <si>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</si>
  <si>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</si>
  <si>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</si>
  <si>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</si>
  <si>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</si>
  <si>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</si>
  <si>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</si>
  <si>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</si>
  <si>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</si>
  <si>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</si>
  <si>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</si>
  <si>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</si>
  <si>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</si>
  <si>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</si>
  <si>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</si>
  <si>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</si>
  <si>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</si>
  <si>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</si>
  <si>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</si>
  <si>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</si>
  <si>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</si>
  <si>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</si>
  <si>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</si>
  <si>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</si>
  <si>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</si>
  <si>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</si>
  <si>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</si>
  <si>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</si>
  <si>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</si>
  <si>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</si>
  <si>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</si>
  <si>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</si>
  <si>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</si>
  <si>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</si>
  <si>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</si>
  <si>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</si>
  <si>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</si>
  <si>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</si>
  <si>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</si>
  <si>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</si>
  <si>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</si>
  <si>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</si>
  <si>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</si>
  <si>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</si>
  <si>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</si>
  <si>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</si>
  <si>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</si>
  <si>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</si>
  <si>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</si>
  <si>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</si>
  <si>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</si>
  <si>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</si>
  <si>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</si>
  <si>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</si>
  <si>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</si>
  <si>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</si>
  <si>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</si>
  <si>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</si>
  <si>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</si>
  <si>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</si>
  <si>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</si>
  <si>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</si>
  <si>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</si>
  <si>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</si>
  <si>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</si>
  <si>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</si>
  <si>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</si>
  <si>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</si>
  <si>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</si>
  <si>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</si>
  <si>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</si>
  <si>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</si>
  <si>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</si>
  <si>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</si>
  <si>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</si>
  <si>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</si>
  <si>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</si>
  <si>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</si>
  <si>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</si>
  <si>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</si>
  <si>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</si>
  <si>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</si>
  <si>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</si>
  <si>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</si>
  <si>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</si>
  <si>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</si>
  <si>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</si>
  <si>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</si>
  <si>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</si>
  <si>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</si>
  <si>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</si>
  <si>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</si>
  <si>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</si>
  <si>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</si>
  <si>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</si>
  <si>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</si>
  <si>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</si>
  <si>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</si>
  <si>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</si>
  <si>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</si>
  <si>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</si>
  <si>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</si>
  <si>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</si>
  <si>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</si>
  <si>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</si>
  <si>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</si>
  <si>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</si>
  <si>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</si>
  <si>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</si>
  <si>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</si>
  <si>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</si>
  <si>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</si>
  <si>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</si>
  <si>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</si>
  <si>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</si>
  <si>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</si>
  <si>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</si>
  <si>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</si>
  <si>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</si>
  <si>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</si>
  <si>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</si>
  <si>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</si>
  <si>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</si>
  <si>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</si>
  <si>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</si>
  <si>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</si>
  <si>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</si>
  <si>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</si>
  <si>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</si>
  <si>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</si>
  <si>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</si>
  <si>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</si>
  <si>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</si>
  <si>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</si>
  <si>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</si>
  <si>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</si>
  <si>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</si>
  <si>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</si>
  <si>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</si>
  <si>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</si>
  <si>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</si>
  <si>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</si>
  <si>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</si>
  <si>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</si>
  <si>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</si>
  <si>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</si>
  <si>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</si>
  <si>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</si>
  <si>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</si>
  <si>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</si>
  <si>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Provided Contact Details ( Name &amp; Contact No.)</t>
  </si>
  <si>
    <t>Site Person - Contact Details ( Name &amp; Contact No.)</t>
  </si>
  <si>
    <t>Layout :</t>
  </si>
  <si>
    <t>https://goo.gl/maps/y5N5XKcY6tZWok4k6</t>
  </si>
  <si>
    <t>Axis Thane</t>
  </si>
  <si>
    <t>Macrotech Developers Limited</t>
  </si>
  <si>
    <t>Lodha Bellevue</t>
  </si>
  <si>
    <t>Approved Plans, CC</t>
  </si>
  <si>
    <t>P51900046567</t>
  </si>
  <si>
    <t>CTS No</t>
  </si>
  <si>
    <t>Agripada</t>
  </si>
  <si>
    <t>Byculla</t>
  </si>
  <si>
    <t>Maulana Azad Road</t>
  </si>
  <si>
    <t>Mumbai</t>
  </si>
  <si>
    <t>Byculla West</t>
  </si>
  <si>
    <t>Dagdi Chawl</t>
  </si>
  <si>
    <t>Rangwala compund</t>
  </si>
  <si>
    <t>Bapurao Jagtap Marg</t>
  </si>
  <si>
    <t>0.7KM from Byculla Railway Station</t>
  </si>
  <si>
    <t>Chawl</t>
  </si>
  <si>
    <t>Municipal Corporation of Greater Mumbai</t>
  </si>
  <si>
    <t>Wing 5</t>
  </si>
  <si>
    <t>Wing 1</t>
  </si>
  <si>
    <t>Ground Floor For Parking</t>
  </si>
  <si>
    <t>Refuge Area</t>
  </si>
  <si>
    <t>36th Floor (37th Floor As per builder)
(Part Refuge Area)</t>
  </si>
  <si>
    <t>Wing 2</t>
  </si>
  <si>
    <t>1st Floor For Residential</t>
  </si>
  <si>
    <t>Wing 3</t>
  </si>
  <si>
    <t>1st To 7th Podium Floor For Parking</t>
  </si>
  <si>
    <t>8th Podium Floor For Amenities</t>
  </si>
  <si>
    <t>9th Floor For Residential</t>
  </si>
  <si>
    <t>Wing 4</t>
  </si>
  <si>
    <t>1st to 4th Basement Floor For Parking</t>
  </si>
  <si>
    <t>Ground Floor For Commercial</t>
  </si>
  <si>
    <t>Shop</t>
  </si>
  <si>
    <t>Wing 5 (Commercial Wing)</t>
  </si>
  <si>
    <t>We considered Gross carpet area = Net carpet + Deck Area.</t>
  </si>
  <si>
    <t>As per RERA - 30/09/2028</t>
  </si>
  <si>
    <t>Flats - 269, Shops - 9</t>
  </si>
  <si>
    <t>Wing 5 = 4B + Gr + 20th Floor</t>
  </si>
  <si>
    <t>Wing 3 &amp; 4 = G + 7P + 8A + 56th Floor</t>
  </si>
  <si>
    <t>Wing 2 = G + 1st to 56th Floor</t>
  </si>
  <si>
    <t xml:space="preserve">Office No. 1031, Wing J, Akshar Business Park, Plot No. 03 Sector 25, Near APMC Market, Vashi, Navi Mumbai, Maharashtra 400703 TEL: 022-46090378/79/80
Email : vsjcapf@gmail.com. Web site : www.vsjadon.com
</t>
  </si>
  <si>
    <t>1 Wing</t>
  </si>
  <si>
    <t>Vitrified tiles flooring, Kitchen Platform, Decorative Entrance</t>
  </si>
  <si>
    <t>Ground Floor For Meter Room, Society Office, B.M.S.Room, Fire Control Room &amp; Parking</t>
  </si>
  <si>
    <t>1A Service Floor</t>
  </si>
  <si>
    <t>1st to 6th Floor, 8th to 12th Floor
13th Floor (14th Floor As per Builder),
15th to 20th Floor (16th to 21st Floor As per Builder),
22nd to 27th Floor (23rd to 28th Floor As per Builder),
29th to 34th Floor (30th to 35th Floor As per Builder),
36th to 41st Floor(37th to 42nd Floor As per Builder),
43rd to 48th Floor (44th to 49th Floor As per Builder),
50th to 55th Floor (51st to 56th Floor As per Builder),
57th &amp; 58th Floor (58th &amp; 59th Floor As per Builder)</t>
  </si>
  <si>
    <t>7th Floor,
14th Floor (15th Floor As per Builder),
21st Floor (22nd Floor As per Builder),
28th Floor (29th Floor As per Builder),
35th Floor (36th Floor As per Builder),
42nd Floor (43rd Floor As per Builder),
49th Floor (50th Floor As per Builder
(Part Refuge Area)</t>
  </si>
  <si>
    <t>56th Floor (57th Floor As per Builder)
(Part Refuge Area)</t>
  </si>
  <si>
    <t>P-11910/2022/(1913)/E Ward/BYCULLA/337/3/Amend</t>
  </si>
  <si>
    <t>Wing 1 = Gr/Stilt + Service Floor + 1st to 58th Floor
Wing 2 = G + 1st Floor
Wing 3 = G + 7P + 8A + 9th Floor
Wing 4 = G + 7P + 8A + 9th Floor
Wing 5 = 4B + Gr Floor</t>
  </si>
  <si>
    <t>Flats - 391</t>
  </si>
  <si>
    <t>We have updated latest approved floor plans &amp; CC (dtd.18/05/2024).</t>
  </si>
  <si>
    <t>Wing 2 belongs to different projects &amp; Wing 3 belongs to lodha Solitaire.</t>
  </si>
  <si>
    <t>Wing 1 belongs to Lodha Bellevue, so we are giving the construction stage only for Wing 1.</t>
  </si>
  <si>
    <t>Latitude,Longitude</t>
  </si>
  <si>
    <t>18.977829,72.828098</t>
  </si>
  <si>
    <t>27A Floor for Service Floor (Between 27th &amp; 28th Floor)</t>
  </si>
  <si>
    <t>We have updated latest CC from MCGM site (On 31/10/2024).</t>
  </si>
  <si>
    <t>Karan Misal</t>
  </si>
  <si>
    <t>C1</t>
  </si>
  <si>
    <t>C2</t>
  </si>
  <si>
    <t>A1</t>
  </si>
  <si>
    <t>A2</t>
  </si>
  <si>
    <t>B1</t>
  </si>
  <si>
    <t>B2</t>
  </si>
  <si>
    <t>B3</t>
  </si>
  <si>
    <t>We have updated Sale Flat Numbering provided to us on mail by the Bank Officials. Please find the attachment Below. (On 09/01/2025)</t>
  </si>
  <si>
    <t>Remark 15 (Flat Bifurcation as per Sale plan)  :</t>
  </si>
  <si>
    <t>Mr. Rajendra Giri 9820248856</t>
  </si>
  <si>
    <t>Wing 1 = Construction work is in process at the time of Visit. (Internal photographs was not allowed.)
Wing 2 to 5 = Work not yet Started.</t>
  </si>
  <si>
    <t>P-11910/2022/(1913)/E
Ward/BYCULLA/CC/2/Amend</t>
  </si>
  <si>
    <r>
      <t xml:space="preserve">This CC is endorsed for Wing 1 &amp; Wing 3 i.e. full CC of </t>
    </r>
    <r>
      <rPr>
        <b/>
        <sz val="12"/>
        <color indexed="8"/>
        <rFont val="Times New Roman"/>
        <family val="1"/>
      </rPr>
      <t>wing 1</t>
    </r>
    <r>
      <rPr>
        <sz val="12"/>
        <color indexed="8"/>
        <rFont val="Times New Roman"/>
        <family val="1"/>
      </rPr>
      <t xml:space="preserve"> &amp; wing 3 including OHT &amp; LMR and plinth &amp; core upto ground level of Wing 2 and Plinth &amp; core for MLCP-2 for part portion marked A-B-C-D-E-F (excluding plinth area below the existing structure) as per Phase I of approved Phase Programme dated 25.06.2024 and amended approved plan 09.05.2024.</t>
    </r>
  </si>
  <si>
    <t>Validity of CC is expired on 08/07/2025. Please provide latest CC.</t>
  </si>
  <si>
    <t>We have updated latest CC from MCGM site (On 28/09/2025).</t>
  </si>
  <si>
    <t>Pooja Kawale</t>
  </si>
  <si>
    <t>30000 TO 35000</t>
  </si>
  <si>
    <t>SMITH</t>
  </si>
  <si>
    <t>CASE 18TH FLOOR A1</t>
  </si>
  <si>
    <t>Infrastructure Charges</t>
  </si>
  <si>
    <t>Recommended Rates / Other charges of the Property have been revised on 29/09/2025.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</si>
</sst>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0.0"/>
    <numFmt numFmtId="166" formatCode="_(* #,##0_);_(* \(#,##0\);_(* &quot;-&quot;??_);_(@_)"/>
    <numFmt numFmtId="167" formatCode="_ * #,##0_ ;_ * \-#,##0_ ;_ * &quot;-&quot;??_ ;_ @_ "/>
    <numFmt numFmtId="168" formatCode="[&gt;0]0&quot;BHK&quot;;&quot;1RK&quot;"/>
    <numFmt numFmtId="169" formatCode="[&gt;0]0.0&quot;BHK&quot;;&quot;1RK&quot;"/>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43" fontId="5"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6" fillId="0" borderId="0" applyNumberFormat="0" applyFill="0" applyBorder="0" applyAlignment="0" applyProtection="0"/>
  </cellStyleXfs>
  <cellXfs count="20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168"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lignment horizontal="center" vertical="center"/>
    </xf>
    <xf numFmtId="1" fontId="7" fillId="0" borderId="1" xfId="1" applyNumberFormat="1" applyFont="1" applyBorder="1" applyAlignment="1" applyProtection="1">
      <alignment horizontal="center" vertical="top" wrapText="1"/>
      <protection locked="0"/>
    </xf>
    <xf numFmtId="169"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0" xfId="1" applyFont="1" applyAlignment="1" applyProtection="1">
      <alignment horizontal="left"/>
      <protection locked="0"/>
    </xf>
    <xf numFmtId="0" fontId="7" fillId="0" borderId="8" xfId="1" applyFont="1" applyBorder="1" applyAlignment="1" applyProtection="1">
      <alignment horizontal="left"/>
      <protection locked="0"/>
    </xf>
    <xf numFmtId="0" fontId="7" fillId="0" borderId="21" xfId="1" applyFont="1" applyBorder="1" applyAlignment="1" applyProtection="1">
      <alignment horizontal="left"/>
      <protection locked="0"/>
    </xf>
    <xf numFmtId="0" fontId="7" fillId="0" borderId="9" xfId="1" applyFont="1" applyBorder="1" applyAlignment="1" applyProtection="1">
      <alignment horizontal="left"/>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68" fontId="6" fillId="0" borderId="17" xfId="1" applyNumberFormat="1" applyFont="1" applyBorder="1" applyAlignment="1" applyProtection="1">
      <alignment horizontal="center" vertical="center" wrapText="1"/>
      <protection locked="0"/>
    </xf>
    <xf numFmtId="168" fontId="6" fillId="0" borderId="24" xfId="1" applyNumberFormat="1" applyFont="1" applyBorder="1" applyAlignment="1" applyProtection="1">
      <alignment horizontal="center" vertical="center" wrapText="1"/>
      <protection locked="0"/>
    </xf>
    <xf numFmtId="168" fontId="6" fillId="0" borderId="18" xfId="1" applyNumberFormat="1" applyFont="1" applyBorder="1" applyAlignment="1" applyProtection="1">
      <alignment horizontal="center" vertical="center" wrapText="1"/>
      <protection locked="0"/>
    </xf>
    <xf numFmtId="168" fontId="6" fillId="0" borderId="19" xfId="1" applyNumberFormat="1" applyFont="1" applyBorder="1" applyAlignment="1" applyProtection="1">
      <alignment horizontal="center" vertical="center" wrapText="1"/>
      <protection locked="0"/>
    </xf>
    <xf numFmtId="168" fontId="6" fillId="0" borderId="2" xfId="1" applyNumberFormat="1" applyFont="1" applyBorder="1" applyAlignment="1" applyProtection="1">
      <alignment horizontal="center" vertical="center" wrapText="1"/>
      <protection locked="0"/>
    </xf>
    <xf numFmtId="168" fontId="6" fillId="0" borderId="20"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68" fontId="6" fillId="0" borderId="8" xfId="1" applyNumberFormat="1" applyFont="1" applyBorder="1" applyAlignment="1" applyProtection="1">
      <alignment horizontal="center" vertical="center" wrapText="1"/>
      <protection locked="0"/>
    </xf>
    <xf numFmtId="168" fontId="6" fillId="0" borderId="21" xfId="1" applyNumberFormat="1" applyFont="1" applyBorder="1" applyAlignment="1" applyProtection="1">
      <alignment horizontal="center" vertical="center" wrapText="1"/>
      <protection locked="0"/>
    </xf>
    <xf numFmtId="168" fontId="6" fillId="0" borderId="9" xfId="1" applyNumberFormat="1" applyFont="1" applyBorder="1" applyAlignment="1" applyProtection="1">
      <alignment horizontal="center" vertical="center" wrapText="1"/>
      <protection locked="0"/>
    </xf>
    <xf numFmtId="1" fontId="8" fillId="2" borderId="8" xfId="1" applyNumberFormat="1" applyFont="1" applyFill="1" applyBorder="1" applyAlignment="1" applyProtection="1">
      <alignment horizontal="center" vertical="center" wrapText="1"/>
      <protection locked="0"/>
    </xf>
    <xf numFmtId="1" fontId="8" fillId="2" borderId="21" xfId="1" applyNumberFormat="1" applyFont="1" applyFill="1" applyBorder="1" applyAlignment="1" applyProtection="1">
      <alignment horizontal="center" vertical="center" wrapText="1"/>
      <protection locked="0"/>
    </xf>
    <xf numFmtId="1" fontId="8" fillId="2" borderId="9" xfId="1" applyNumberFormat="1" applyFont="1" applyFill="1" applyBorder="1" applyAlignment="1" applyProtection="1">
      <alignment horizontal="center" vertical="center"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14" fontId="7"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1" xfId="0"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9" fillId="0" borderId="1" xfId="5" applyFont="1" applyBorder="1" applyAlignment="1">
      <alignment horizontal="left"/>
    </xf>
    <xf numFmtId="0" fontId="7" fillId="2" borderId="0" xfId="1" applyFont="1" applyFill="1"/>
    <xf numFmtId="14" fontId="7" fillId="2" borderId="0" xfId="1" applyNumberFormat="1" applyFont="1" applyFill="1"/>
    <xf numFmtId="1" fontId="6" fillId="3" borderId="1" xfId="0" applyNumberFormat="1" applyFont="1" applyFill="1" applyBorder="1" applyAlignment="1" applyProtection="1">
      <alignment horizontal="center" vertical="center" wrapText="1"/>
      <protection locked="0"/>
    </xf>
    <xf numFmtId="1" fontId="8" fillId="3" borderId="8" xfId="0" applyNumberFormat="1" applyFont="1" applyFill="1" applyBorder="1" applyAlignment="1" applyProtection="1">
      <alignment vertical="top" wrapText="1"/>
      <protection locked="0"/>
    </xf>
    <xf numFmtId="1" fontId="8" fillId="3" borderId="21" xfId="0" applyNumberFormat="1" applyFont="1" applyFill="1" applyBorder="1" applyAlignment="1" applyProtection="1">
      <alignment vertical="top" wrapText="1"/>
      <protection locked="0"/>
    </xf>
    <xf numFmtId="1" fontId="8" fillId="3" borderId="9" xfId="0" applyNumberFormat="1" applyFont="1" applyFill="1" applyBorder="1" applyAlignment="1" applyProtection="1">
      <alignment vertical="top"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156885</xdr:colOff>
      <xdr:row>367</xdr:row>
      <xdr:rowOff>22411</xdr:rowOff>
    </xdr:from>
    <xdr:to>
      <xdr:col>7</xdr:col>
      <xdr:colOff>590192</xdr:colOff>
      <xdr:row>388</xdr:row>
      <xdr:rowOff>106588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6885" y="60018705"/>
          <a:ext cx="6562925" cy="4320000"/>
        </a:xfrm>
        <a:prstGeom prst="rect">
          <a:avLst/>
        </a:prstGeom>
        <a:ln>
          <a:solidFill>
            <a:schemeClr val="tx1"/>
          </a:solidFill>
        </a:ln>
      </xdr:spPr>
    </xdr:pic>
    <xdr:clientData/>
  </xdr:twoCellAnchor>
  <xdr:twoCellAnchor>
    <xdr:from>
      <xdr:col>2</xdr:col>
      <xdr:colOff>549089</xdr:colOff>
      <xdr:row>379</xdr:row>
      <xdr:rowOff>156882</xdr:rowOff>
    </xdr:from>
    <xdr:to>
      <xdr:col>4</xdr:col>
      <xdr:colOff>179294</xdr:colOff>
      <xdr:row>385</xdr:row>
      <xdr:rowOff>44824</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2229971" y="62573647"/>
          <a:ext cx="1557617" cy="10981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802341</xdr:colOff>
      <xdr:row>369</xdr:row>
      <xdr:rowOff>67236</xdr:rowOff>
    </xdr:from>
    <xdr:to>
      <xdr:col>5</xdr:col>
      <xdr:colOff>510988</xdr:colOff>
      <xdr:row>375</xdr:row>
      <xdr:rowOff>73961</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3402106" y="60466942"/>
          <a:ext cx="1557617" cy="12169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190501</xdr:colOff>
      <xdr:row>369</xdr:row>
      <xdr:rowOff>186018</xdr:rowOff>
    </xdr:from>
    <xdr:to>
      <xdr:col>3</xdr:col>
      <xdr:colOff>618565</xdr:colOff>
      <xdr:row>376</xdr:row>
      <xdr:rowOff>44823</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008530" y="60585724"/>
          <a:ext cx="2209800" cy="12707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773206</xdr:colOff>
      <xdr:row>377</xdr:row>
      <xdr:rowOff>11206</xdr:rowOff>
    </xdr:from>
    <xdr:to>
      <xdr:col>2</xdr:col>
      <xdr:colOff>100853</xdr:colOff>
      <xdr:row>383</xdr:row>
      <xdr:rowOff>33618</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773206" y="62024559"/>
          <a:ext cx="1008529" cy="123264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2</xdr:col>
      <xdr:colOff>907677</xdr:colOff>
      <xdr:row>386</xdr:row>
      <xdr:rowOff>56029</xdr:rowOff>
    </xdr:from>
    <xdr:ext cx="629083"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588559" y="63884735"/>
          <a:ext cx="629083" cy="2645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WING</a:t>
          </a:r>
          <a:r>
            <a:rPr lang="en-IN" sz="1100" baseline="0"/>
            <a:t> 1</a:t>
          </a:r>
          <a:endParaRPr lang="en-IN" sz="1100"/>
        </a:p>
      </xdr:txBody>
    </xdr:sp>
    <xdr:clientData/>
  </xdr:oneCellAnchor>
  <xdr:oneCellAnchor>
    <xdr:from>
      <xdr:col>2</xdr:col>
      <xdr:colOff>847165</xdr:colOff>
      <xdr:row>373</xdr:row>
      <xdr:rowOff>118782</xdr:rowOff>
    </xdr:from>
    <xdr:ext cx="629083"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528047" y="61325311"/>
          <a:ext cx="629083" cy="2645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WING</a:t>
          </a:r>
          <a:r>
            <a:rPr lang="en-IN" sz="1100" baseline="0"/>
            <a:t> 3</a:t>
          </a:r>
          <a:endParaRPr lang="en-IN" sz="1100"/>
        </a:p>
      </xdr:txBody>
    </xdr:sp>
    <xdr:clientData/>
  </xdr:oneCellAnchor>
  <xdr:oneCellAnchor>
    <xdr:from>
      <xdr:col>1</xdr:col>
      <xdr:colOff>259977</xdr:colOff>
      <xdr:row>371</xdr:row>
      <xdr:rowOff>91888</xdr:rowOff>
    </xdr:from>
    <xdr:ext cx="629083"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078006" y="60895006"/>
          <a:ext cx="629083" cy="2645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WING</a:t>
          </a:r>
          <a:r>
            <a:rPr lang="en-IN" sz="1100" baseline="0"/>
            <a:t> 4</a:t>
          </a:r>
          <a:endParaRPr lang="en-IN" sz="1100"/>
        </a:p>
      </xdr:txBody>
    </xdr:sp>
    <xdr:clientData/>
  </xdr:oneCellAnchor>
  <xdr:oneCellAnchor>
    <xdr:from>
      <xdr:col>4</xdr:col>
      <xdr:colOff>457200</xdr:colOff>
      <xdr:row>375</xdr:row>
      <xdr:rowOff>87405</xdr:rowOff>
    </xdr:from>
    <xdr:ext cx="629083"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4065494" y="61697346"/>
          <a:ext cx="629083" cy="2645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WING</a:t>
          </a:r>
          <a:r>
            <a:rPr lang="en-IN" sz="1100" baseline="0"/>
            <a:t> 2</a:t>
          </a:r>
          <a:endParaRPr lang="en-IN" sz="1100"/>
        </a:p>
      </xdr:txBody>
    </xdr:sp>
    <xdr:clientData/>
  </xdr:oneCellAnchor>
  <xdr:oneCellAnchor>
    <xdr:from>
      <xdr:col>0</xdr:col>
      <xdr:colOff>744071</xdr:colOff>
      <xdr:row>383</xdr:row>
      <xdr:rowOff>60512</xdr:rowOff>
    </xdr:from>
    <xdr:ext cx="629083"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44071" y="63284100"/>
          <a:ext cx="629083" cy="2645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WING</a:t>
          </a:r>
          <a:r>
            <a:rPr lang="en-IN" sz="1100" baseline="0"/>
            <a:t> 5</a:t>
          </a:r>
          <a:endParaRPr lang="en-IN" sz="1100"/>
        </a:p>
      </xdr:txBody>
    </xdr:sp>
    <xdr:clientData/>
  </xdr:oneCellAnchor>
  <xdr:twoCellAnchor editAs="oneCell">
    <xdr:from>
      <xdr:col>0</xdr:col>
      <xdr:colOff>459437</xdr:colOff>
      <xdr:row>420</xdr:row>
      <xdr:rowOff>152400</xdr:rowOff>
    </xdr:from>
    <xdr:to>
      <xdr:col>7</xdr:col>
      <xdr:colOff>502019</xdr:colOff>
      <xdr:row>436</xdr:row>
      <xdr:rowOff>125507</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59437" y="72654459"/>
          <a:ext cx="6172200" cy="3200400"/>
        </a:xfrm>
        <a:prstGeom prst="rect">
          <a:avLst/>
        </a:prstGeom>
        <a:ln>
          <a:solidFill>
            <a:schemeClr val="tx1"/>
          </a:solidFill>
        </a:ln>
      </xdr:spPr>
    </xdr:pic>
    <xdr:clientData/>
  </xdr:twoCellAnchor>
  <xdr:twoCellAnchor editAs="oneCell">
    <xdr:from>
      <xdr:col>0</xdr:col>
      <xdr:colOff>459437</xdr:colOff>
      <xdr:row>403</xdr:row>
      <xdr:rowOff>0</xdr:rowOff>
    </xdr:from>
    <xdr:to>
      <xdr:col>7</xdr:col>
      <xdr:colOff>502019</xdr:colOff>
      <xdr:row>418</xdr:row>
      <xdr:rowOff>174810</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9437" y="69073059"/>
          <a:ext cx="6172200" cy="3200400"/>
        </a:xfrm>
        <a:prstGeom prst="rect">
          <a:avLst/>
        </a:prstGeom>
        <a:ln>
          <a:solidFill>
            <a:schemeClr val="tx1"/>
          </a:solidFill>
        </a:ln>
      </xdr:spPr>
    </xdr:pic>
    <xdr:clientData/>
  </xdr:twoCellAnchor>
  <xdr:oneCellAnchor>
    <xdr:from>
      <xdr:col>9</xdr:col>
      <xdr:colOff>34862</xdr:colOff>
      <xdr:row>290</xdr:row>
      <xdr:rowOff>0</xdr:rowOff>
    </xdr:from>
    <xdr:ext cx="657288"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8099362" y="36550600"/>
          <a:ext cx="65728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a:t>WING</a:t>
          </a:r>
          <a:r>
            <a:rPr lang="en-IN" sz="1100" baseline="0"/>
            <a:t> 1</a:t>
          </a:r>
          <a:endParaRPr lang="en-IN" sz="1100"/>
        </a:p>
      </xdr:txBody>
    </xdr:sp>
    <xdr:clientData/>
  </xdr:oneCellAnchor>
  <xdr:twoCellAnchor>
    <xdr:from>
      <xdr:col>9</xdr:col>
      <xdr:colOff>0</xdr:colOff>
      <xdr:row>291</xdr:row>
      <xdr:rowOff>74060</xdr:rowOff>
    </xdr:from>
    <xdr:to>
      <xdr:col>9</xdr:col>
      <xdr:colOff>363506</xdr:colOff>
      <xdr:row>293</xdr:row>
      <xdr:rowOff>95250</xdr:rowOff>
    </xdr:to>
    <xdr:cxnSp macro="">
      <xdr:nvCxnSpPr>
        <xdr:cNvPr id="24" name="Straight Arrow Connector 23">
          <a:extLst>
            <a:ext uri="{FF2B5EF4-FFF2-40B4-BE49-F238E27FC236}">
              <a16:creationId xmlns:a16="http://schemas.microsoft.com/office/drawing/2014/main" id="{00000000-0008-0000-0000-000018000000}"/>
            </a:ext>
          </a:extLst>
        </xdr:cNvPr>
        <xdr:cNvCxnSpPr>
          <a:stCxn id="21" idx="2"/>
        </xdr:cNvCxnSpPr>
      </xdr:nvCxnSpPr>
      <xdr:spPr>
        <a:xfrm flipH="1">
          <a:off x="8064500" y="36815160"/>
          <a:ext cx="363506" cy="4148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95250</xdr:colOff>
      <xdr:row>332</xdr:row>
      <xdr:rowOff>9525</xdr:rowOff>
    </xdr:from>
    <xdr:to>
      <xdr:col>7</xdr:col>
      <xdr:colOff>730924</xdr:colOff>
      <xdr:row>348</xdr:row>
      <xdr:rowOff>142342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5250" y="45529500"/>
          <a:ext cx="6331624" cy="3333217"/>
        </a:xfrm>
        <a:prstGeom prst="rect">
          <a:avLst/>
        </a:prstGeom>
        <a:ln>
          <a:solidFill>
            <a:schemeClr val="tx1"/>
          </a:solidFill>
        </a:ln>
      </xdr:spPr>
    </xdr:pic>
    <xdr:clientData/>
  </xdr:twoCellAnchor>
  <xdr:twoCellAnchor>
    <xdr:from>
      <xdr:col>8</xdr:col>
      <xdr:colOff>966844</xdr:colOff>
      <xdr:row>287</xdr:row>
      <xdr:rowOff>86062</xdr:rowOff>
    </xdr:from>
    <xdr:to>
      <xdr:col>16</xdr:col>
      <xdr:colOff>397028</xdr:colOff>
      <xdr:row>323</xdr:row>
      <xdr:rowOff>136072</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500994" y="38528962"/>
          <a:ext cx="5859559" cy="7241385"/>
          <a:chOff x="154704" y="134840"/>
          <a:chExt cx="5996383" cy="7174710"/>
        </a:xfrm>
      </xdr:grpSpPr>
      <xdr:grpSp>
        <xdr:nvGrpSpPr>
          <xdr:cNvPr id="5" name="Group 4">
            <a:extLst>
              <a:ext uri="{FF2B5EF4-FFF2-40B4-BE49-F238E27FC236}">
                <a16:creationId xmlns:a16="http://schemas.microsoft.com/office/drawing/2014/main" id="{00000000-0008-0000-0000-000005000000}"/>
              </a:ext>
            </a:extLst>
          </xdr:cNvPr>
          <xdr:cNvGrpSpPr/>
        </xdr:nvGrpSpPr>
        <xdr:grpSpPr>
          <a:xfrm>
            <a:off x="1705586" y="5509550"/>
            <a:ext cx="2894619" cy="1800000"/>
            <a:chOff x="2717031" y="5509550"/>
            <a:chExt cx="2894619" cy="1800000"/>
          </a:xfrm>
        </xdr:grpSpPr>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2717031" y="5509550"/>
              <a:ext cx="1348594" cy="180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4263056" y="5509550"/>
              <a:ext cx="1348594"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00000000-0008-0000-0000-000006000000}"/>
              </a:ext>
            </a:extLst>
          </xdr:cNvPr>
          <xdr:cNvGrpSpPr/>
        </xdr:nvGrpSpPr>
        <xdr:grpSpPr>
          <a:xfrm>
            <a:off x="154704" y="134840"/>
            <a:ext cx="5996383" cy="5220000"/>
            <a:chOff x="154704" y="134840"/>
            <a:chExt cx="5996383" cy="5220000"/>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4263056" y="2834840"/>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154704" y="134840"/>
              <a:ext cx="3910921" cy="522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4263056" y="134840"/>
              <a:ext cx="1888031" cy="2520000"/>
            </a:xfrm>
            <a:prstGeom prst="rect">
              <a:avLst/>
            </a:prstGeom>
            <a:ln>
              <a:solidFill>
                <a:schemeClr val="tx1"/>
              </a:solidFill>
            </a:ln>
          </xdr:spPr>
        </xdr:pic>
        <xdr:sp macro="" textlink="">
          <xdr:nvSpPr>
            <xdr:cNvPr id="23" name="TextBox 11">
              <a:extLst>
                <a:ext uri="{FF2B5EF4-FFF2-40B4-BE49-F238E27FC236}">
                  <a16:creationId xmlns:a16="http://schemas.microsoft.com/office/drawing/2014/main" id="{00000000-0008-0000-0000-000017000000}"/>
                </a:ext>
              </a:extLst>
            </xdr:cNvPr>
            <xdr:cNvSpPr txBox="1"/>
          </xdr:nvSpPr>
          <xdr:spPr>
            <a:xfrm>
              <a:off x="2110164" y="520861"/>
              <a:ext cx="85311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Wing 1</a:t>
              </a:r>
            </a:p>
          </xdr:txBody>
        </xdr:sp>
      </xdr:grpSp>
    </xdr:grpSp>
    <xdr:clientData/>
  </xdr:twoCellAnchor>
  <xdr:twoCellAnchor>
    <xdr:from>
      <xdr:col>0</xdr:col>
      <xdr:colOff>234950</xdr:colOff>
      <xdr:row>288</xdr:row>
      <xdr:rowOff>146050</xdr:rowOff>
    </xdr:from>
    <xdr:to>
      <xdr:col>7</xdr:col>
      <xdr:colOff>642911</xdr:colOff>
      <xdr:row>323</xdr:row>
      <xdr:rowOff>96536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234950" y="38788975"/>
          <a:ext cx="6113436" cy="6941836"/>
          <a:chOff x="234950" y="38011100"/>
          <a:chExt cx="6389661" cy="6833886"/>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574748" y="42108986"/>
            <a:ext cx="2049863" cy="2736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509152" y="38011100"/>
            <a:ext cx="2966907" cy="396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34950" y="42108986"/>
            <a:ext cx="2049863" cy="2736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62665" y="38011100"/>
            <a:ext cx="2966907" cy="396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404849" y="42108986"/>
            <a:ext cx="2049863" cy="2736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y5N5XKcY6tZWok4k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01"/>
  <sheetViews>
    <sheetView tabSelected="1" view="pageBreakPreview" topLeftCell="A267" zoomScaleNormal="100" zoomScaleSheetLayoutView="100" zoomScalePageLayoutView="85" workbookViewId="0">
      <selection activeCell="L276" sqref="L276"/>
    </sheetView>
  </sheetViews>
  <sheetFormatPr defaultColWidth="9.28515625" defaultRowHeight="15.75" x14ac:dyDescent="0.25"/>
  <cols>
    <col min="1" max="1" width="11.42578125" style="40" customWidth="1"/>
    <col min="2" max="2" width="12" style="40" customWidth="1"/>
    <col min="3" max="3" width="12.7109375" style="40" customWidth="1"/>
    <col min="4" max="4" width="14.28515625" style="40" customWidth="1"/>
    <col min="5" max="7" width="11.7109375" style="40" customWidth="1"/>
    <col min="8" max="8" width="12.42578125" style="40" customWidth="1"/>
    <col min="9" max="9" width="17.42578125" style="21" customWidth="1"/>
    <col min="10" max="10" width="11.42578125" style="21" customWidth="1"/>
    <col min="11" max="11" width="11.28515625" style="21" bestFit="1" customWidth="1"/>
    <col min="12" max="12" width="10.5703125" style="21" customWidth="1"/>
    <col min="13" max="13" width="11.7109375" style="21" customWidth="1"/>
    <col min="14" max="14" width="12.5703125" style="21" customWidth="1"/>
    <col min="15" max="15" width="9.7109375" style="21" customWidth="1"/>
    <col min="16" max="16" width="11.7109375" style="21" customWidth="1"/>
    <col min="17" max="247" width="9.28515625" style="21"/>
    <col min="248" max="248" width="8.7109375" style="21" customWidth="1"/>
    <col min="249" max="249" width="9.7109375" style="21" customWidth="1"/>
    <col min="250" max="250" width="14.42578125" style="21" customWidth="1"/>
    <col min="251" max="251" width="7.28515625" style="21" customWidth="1"/>
    <col min="252" max="252" width="5.5703125" style="21" customWidth="1"/>
    <col min="253" max="253" width="9" style="21" customWidth="1"/>
    <col min="254" max="255" width="9.7109375" style="21" customWidth="1"/>
    <col min="256" max="256" width="11.28515625" style="21" customWidth="1"/>
    <col min="257" max="257" width="2.7109375" style="21" customWidth="1"/>
    <col min="258" max="258" width="3.5703125" style="21" customWidth="1"/>
    <col min="259" max="503" width="9.28515625" style="21"/>
    <col min="504" max="504" width="8.7109375" style="21" customWidth="1"/>
    <col min="505" max="505" width="9.7109375" style="21" customWidth="1"/>
    <col min="506" max="506" width="14.42578125" style="21" customWidth="1"/>
    <col min="507" max="507" width="7.28515625" style="21" customWidth="1"/>
    <col min="508" max="508" width="5.5703125" style="21" customWidth="1"/>
    <col min="509" max="509" width="9" style="21" customWidth="1"/>
    <col min="510" max="511" width="9.7109375" style="21" customWidth="1"/>
    <col min="512" max="512" width="11.28515625" style="21" customWidth="1"/>
    <col min="513" max="513" width="2.7109375" style="21" customWidth="1"/>
    <col min="514" max="514" width="3.5703125" style="21" customWidth="1"/>
    <col min="515" max="759" width="9.28515625" style="21"/>
    <col min="760" max="760" width="8.7109375" style="21" customWidth="1"/>
    <col min="761" max="761" width="9.7109375" style="21" customWidth="1"/>
    <col min="762" max="762" width="14.42578125" style="21" customWidth="1"/>
    <col min="763" max="763" width="7.28515625" style="21" customWidth="1"/>
    <col min="764" max="764" width="5.5703125" style="21" customWidth="1"/>
    <col min="765" max="765" width="9" style="21" customWidth="1"/>
    <col min="766" max="767" width="9.7109375" style="21" customWidth="1"/>
    <col min="768" max="768" width="11.28515625" style="21" customWidth="1"/>
    <col min="769" max="769" width="2.7109375" style="21" customWidth="1"/>
    <col min="770" max="770" width="3.5703125" style="21" customWidth="1"/>
    <col min="771" max="1015" width="9.28515625" style="21"/>
    <col min="1016" max="1016" width="8.7109375" style="21" customWidth="1"/>
    <col min="1017" max="1017" width="9.7109375" style="21" customWidth="1"/>
    <col min="1018" max="1018" width="14.42578125" style="21" customWidth="1"/>
    <col min="1019" max="1019" width="7.28515625" style="21" customWidth="1"/>
    <col min="1020" max="1020" width="5.5703125" style="21" customWidth="1"/>
    <col min="1021" max="1021" width="9" style="21" customWidth="1"/>
    <col min="1022" max="1023" width="9.7109375" style="21" customWidth="1"/>
    <col min="1024" max="1024" width="11.28515625" style="21" customWidth="1"/>
    <col min="1025" max="1025" width="2.7109375" style="21" customWidth="1"/>
    <col min="1026" max="1026" width="3.5703125" style="21" customWidth="1"/>
    <col min="1027" max="1271" width="9.28515625" style="21"/>
    <col min="1272" max="1272" width="8.7109375" style="21" customWidth="1"/>
    <col min="1273" max="1273" width="9.7109375" style="21" customWidth="1"/>
    <col min="1274" max="1274" width="14.42578125" style="21" customWidth="1"/>
    <col min="1275" max="1275" width="7.28515625" style="21" customWidth="1"/>
    <col min="1276" max="1276" width="5.5703125" style="21" customWidth="1"/>
    <col min="1277" max="1277" width="9" style="21" customWidth="1"/>
    <col min="1278" max="1279" width="9.7109375" style="21" customWidth="1"/>
    <col min="1280" max="1280" width="11.28515625" style="21" customWidth="1"/>
    <col min="1281" max="1281" width="2.7109375" style="21" customWidth="1"/>
    <col min="1282" max="1282" width="3.5703125" style="21" customWidth="1"/>
    <col min="1283" max="1527" width="9.28515625" style="21"/>
    <col min="1528" max="1528" width="8.7109375" style="21" customWidth="1"/>
    <col min="1529" max="1529" width="9.7109375" style="21" customWidth="1"/>
    <col min="1530" max="1530" width="14.42578125" style="21" customWidth="1"/>
    <col min="1531" max="1531" width="7.28515625" style="21" customWidth="1"/>
    <col min="1532" max="1532" width="5.5703125" style="21" customWidth="1"/>
    <col min="1533" max="1533" width="9" style="21" customWidth="1"/>
    <col min="1534" max="1535" width="9.7109375" style="21" customWidth="1"/>
    <col min="1536" max="1536" width="11.28515625" style="21" customWidth="1"/>
    <col min="1537" max="1537" width="2.7109375" style="21" customWidth="1"/>
    <col min="1538" max="1538" width="3.5703125" style="21" customWidth="1"/>
    <col min="1539" max="1783" width="9.28515625" style="21"/>
    <col min="1784" max="1784" width="8.7109375" style="21" customWidth="1"/>
    <col min="1785" max="1785" width="9.7109375" style="21" customWidth="1"/>
    <col min="1786" max="1786" width="14.42578125" style="21" customWidth="1"/>
    <col min="1787" max="1787" width="7.28515625" style="21" customWidth="1"/>
    <col min="1788" max="1788" width="5.5703125" style="21" customWidth="1"/>
    <col min="1789" max="1789" width="9" style="21" customWidth="1"/>
    <col min="1790" max="1791" width="9.7109375" style="21" customWidth="1"/>
    <col min="1792" max="1792" width="11.28515625" style="21" customWidth="1"/>
    <col min="1793" max="1793" width="2.7109375" style="21" customWidth="1"/>
    <col min="1794" max="1794" width="3.5703125" style="21" customWidth="1"/>
    <col min="1795" max="2039" width="9.28515625" style="21"/>
    <col min="2040" max="2040" width="8.7109375" style="21" customWidth="1"/>
    <col min="2041" max="2041" width="9.7109375" style="21" customWidth="1"/>
    <col min="2042" max="2042" width="14.42578125" style="21" customWidth="1"/>
    <col min="2043" max="2043" width="7.28515625" style="21" customWidth="1"/>
    <col min="2044" max="2044" width="5.5703125" style="21" customWidth="1"/>
    <col min="2045" max="2045" width="9" style="21" customWidth="1"/>
    <col min="2046" max="2047" width="9.7109375" style="21" customWidth="1"/>
    <col min="2048" max="2048" width="11.28515625" style="21" customWidth="1"/>
    <col min="2049" max="2049" width="2.7109375" style="21" customWidth="1"/>
    <col min="2050" max="2050" width="3.5703125" style="21" customWidth="1"/>
    <col min="2051" max="2295" width="9.28515625" style="21"/>
    <col min="2296" max="2296" width="8.7109375" style="21" customWidth="1"/>
    <col min="2297" max="2297" width="9.7109375" style="21" customWidth="1"/>
    <col min="2298" max="2298" width="14.42578125" style="21" customWidth="1"/>
    <col min="2299" max="2299" width="7.28515625" style="21" customWidth="1"/>
    <col min="2300" max="2300" width="5.5703125" style="21" customWidth="1"/>
    <col min="2301" max="2301" width="9" style="21" customWidth="1"/>
    <col min="2302" max="2303" width="9.7109375" style="21" customWidth="1"/>
    <col min="2304" max="2304" width="11.28515625" style="21" customWidth="1"/>
    <col min="2305" max="2305" width="2.7109375" style="21" customWidth="1"/>
    <col min="2306" max="2306" width="3.5703125" style="21" customWidth="1"/>
    <col min="2307" max="2551" width="9.28515625" style="21"/>
    <col min="2552" max="2552" width="8.7109375" style="21" customWidth="1"/>
    <col min="2553" max="2553" width="9.7109375" style="21" customWidth="1"/>
    <col min="2554" max="2554" width="14.42578125" style="21" customWidth="1"/>
    <col min="2555" max="2555" width="7.28515625" style="21" customWidth="1"/>
    <col min="2556" max="2556" width="5.5703125" style="21" customWidth="1"/>
    <col min="2557" max="2557" width="9" style="21" customWidth="1"/>
    <col min="2558" max="2559" width="9.7109375" style="21" customWidth="1"/>
    <col min="2560" max="2560" width="11.28515625" style="21" customWidth="1"/>
    <col min="2561" max="2561" width="2.7109375" style="21" customWidth="1"/>
    <col min="2562" max="2562" width="3.5703125" style="21" customWidth="1"/>
    <col min="2563" max="2807" width="9.28515625" style="21"/>
    <col min="2808" max="2808" width="8.7109375" style="21" customWidth="1"/>
    <col min="2809" max="2809" width="9.7109375" style="21" customWidth="1"/>
    <col min="2810" max="2810" width="14.42578125" style="21" customWidth="1"/>
    <col min="2811" max="2811" width="7.28515625" style="21" customWidth="1"/>
    <col min="2812" max="2812" width="5.5703125" style="21" customWidth="1"/>
    <col min="2813" max="2813" width="9" style="21" customWidth="1"/>
    <col min="2814" max="2815" width="9.7109375" style="21" customWidth="1"/>
    <col min="2816" max="2816" width="11.28515625" style="21" customWidth="1"/>
    <col min="2817" max="2817" width="2.7109375" style="21" customWidth="1"/>
    <col min="2818" max="2818" width="3.5703125" style="21" customWidth="1"/>
    <col min="2819" max="3063" width="9.28515625" style="21"/>
    <col min="3064" max="3064" width="8.7109375" style="21" customWidth="1"/>
    <col min="3065" max="3065" width="9.7109375" style="21" customWidth="1"/>
    <col min="3066" max="3066" width="14.42578125" style="21" customWidth="1"/>
    <col min="3067" max="3067" width="7.28515625" style="21" customWidth="1"/>
    <col min="3068" max="3068" width="5.5703125" style="21" customWidth="1"/>
    <col min="3069" max="3069" width="9" style="21" customWidth="1"/>
    <col min="3070" max="3071" width="9.7109375" style="21" customWidth="1"/>
    <col min="3072" max="3072" width="11.28515625" style="21" customWidth="1"/>
    <col min="3073" max="3073" width="2.7109375" style="21" customWidth="1"/>
    <col min="3074" max="3074" width="3.5703125" style="21" customWidth="1"/>
    <col min="3075" max="3319" width="9.28515625" style="21"/>
    <col min="3320" max="3320" width="8.7109375" style="21" customWidth="1"/>
    <col min="3321" max="3321" width="9.7109375" style="21" customWidth="1"/>
    <col min="3322" max="3322" width="14.42578125" style="21" customWidth="1"/>
    <col min="3323" max="3323" width="7.28515625" style="21" customWidth="1"/>
    <col min="3324" max="3324" width="5.5703125" style="21" customWidth="1"/>
    <col min="3325" max="3325" width="9" style="21" customWidth="1"/>
    <col min="3326" max="3327" width="9.7109375" style="21" customWidth="1"/>
    <col min="3328" max="3328" width="11.28515625" style="21" customWidth="1"/>
    <col min="3329" max="3329" width="2.7109375" style="21" customWidth="1"/>
    <col min="3330" max="3330" width="3.5703125" style="21" customWidth="1"/>
    <col min="3331" max="3575" width="9.28515625" style="21"/>
    <col min="3576" max="3576" width="8.7109375" style="21" customWidth="1"/>
    <col min="3577" max="3577" width="9.7109375" style="21" customWidth="1"/>
    <col min="3578" max="3578" width="14.42578125" style="21" customWidth="1"/>
    <col min="3579" max="3579" width="7.28515625" style="21" customWidth="1"/>
    <col min="3580" max="3580" width="5.5703125" style="21" customWidth="1"/>
    <col min="3581" max="3581" width="9" style="21" customWidth="1"/>
    <col min="3582" max="3583" width="9.7109375" style="21" customWidth="1"/>
    <col min="3584" max="3584" width="11.28515625" style="21" customWidth="1"/>
    <col min="3585" max="3585" width="2.7109375" style="21" customWidth="1"/>
    <col min="3586" max="3586" width="3.5703125" style="21" customWidth="1"/>
    <col min="3587" max="3831" width="9.28515625" style="21"/>
    <col min="3832" max="3832" width="8.7109375" style="21" customWidth="1"/>
    <col min="3833" max="3833" width="9.7109375" style="21" customWidth="1"/>
    <col min="3834" max="3834" width="14.42578125" style="21" customWidth="1"/>
    <col min="3835" max="3835" width="7.28515625" style="21" customWidth="1"/>
    <col min="3836" max="3836" width="5.5703125" style="21" customWidth="1"/>
    <col min="3837" max="3837" width="9" style="21" customWidth="1"/>
    <col min="3838" max="3839" width="9.7109375" style="21" customWidth="1"/>
    <col min="3840" max="3840" width="11.28515625" style="21" customWidth="1"/>
    <col min="3841" max="3841" width="2.7109375" style="21" customWidth="1"/>
    <col min="3842" max="3842" width="3.5703125" style="21" customWidth="1"/>
    <col min="3843" max="4087" width="9.28515625" style="21"/>
    <col min="4088" max="4088" width="8.7109375" style="21" customWidth="1"/>
    <col min="4089" max="4089" width="9.7109375" style="21" customWidth="1"/>
    <col min="4090" max="4090" width="14.42578125" style="21" customWidth="1"/>
    <col min="4091" max="4091" width="7.28515625" style="21" customWidth="1"/>
    <col min="4092" max="4092" width="5.5703125" style="21" customWidth="1"/>
    <col min="4093" max="4093" width="9" style="21" customWidth="1"/>
    <col min="4094" max="4095" width="9.7109375" style="21" customWidth="1"/>
    <col min="4096" max="4096" width="11.28515625" style="21" customWidth="1"/>
    <col min="4097" max="4097" width="2.7109375" style="21" customWidth="1"/>
    <col min="4098" max="4098" width="3.5703125" style="21" customWidth="1"/>
    <col min="4099" max="4343" width="9.28515625" style="21"/>
    <col min="4344" max="4344" width="8.7109375" style="21" customWidth="1"/>
    <col min="4345" max="4345" width="9.7109375" style="21" customWidth="1"/>
    <col min="4346" max="4346" width="14.42578125" style="21" customWidth="1"/>
    <col min="4347" max="4347" width="7.28515625" style="21" customWidth="1"/>
    <col min="4348" max="4348" width="5.5703125" style="21" customWidth="1"/>
    <col min="4349" max="4349" width="9" style="21" customWidth="1"/>
    <col min="4350" max="4351" width="9.7109375" style="21" customWidth="1"/>
    <col min="4352" max="4352" width="11.28515625" style="21" customWidth="1"/>
    <col min="4353" max="4353" width="2.7109375" style="21" customWidth="1"/>
    <col min="4354" max="4354" width="3.5703125" style="21" customWidth="1"/>
    <col min="4355" max="4599" width="9.28515625" style="21"/>
    <col min="4600" max="4600" width="8.7109375" style="21" customWidth="1"/>
    <col min="4601" max="4601" width="9.7109375" style="21" customWidth="1"/>
    <col min="4602" max="4602" width="14.42578125" style="21" customWidth="1"/>
    <col min="4603" max="4603" width="7.28515625" style="21" customWidth="1"/>
    <col min="4604" max="4604" width="5.5703125" style="21" customWidth="1"/>
    <col min="4605" max="4605" width="9" style="21" customWidth="1"/>
    <col min="4606" max="4607" width="9.7109375" style="21" customWidth="1"/>
    <col min="4608" max="4608" width="11.28515625" style="21" customWidth="1"/>
    <col min="4609" max="4609" width="2.7109375" style="21" customWidth="1"/>
    <col min="4610" max="4610" width="3.5703125" style="21" customWidth="1"/>
    <col min="4611" max="4855" width="9.28515625" style="21"/>
    <col min="4856" max="4856" width="8.7109375" style="21" customWidth="1"/>
    <col min="4857" max="4857" width="9.7109375" style="21" customWidth="1"/>
    <col min="4858" max="4858" width="14.42578125" style="21" customWidth="1"/>
    <col min="4859" max="4859" width="7.28515625" style="21" customWidth="1"/>
    <col min="4860" max="4860" width="5.5703125" style="21" customWidth="1"/>
    <col min="4861" max="4861" width="9" style="21" customWidth="1"/>
    <col min="4862" max="4863" width="9.7109375" style="21" customWidth="1"/>
    <col min="4864" max="4864" width="11.28515625" style="21" customWidth="1"/>
    <col min="4865" max="4865" width="2.7109375" style="21" customWidth="1"/>
    <col min="4866" max="4866" width="3.5703125" style="21" customWidth="1"/>
    <col min="4867" max="5111" width="9.28515625" style="21"/>
    <col min="5112" max="5112" width="8.7109375" style="21" customWidth="1"/>
    <col min="5113" max="5113" width="9.7109375" style="21" customWidth="1"/>
    <col min="5114" max="5114" width="14.42578125" style="21" customWidth="1"/>
    <col min="5115" max="5115" width="7.28515625" style="21" customWidth="1"/>
    <col min="5116" max="5116" width="5.5703125" style="21" customWidth="1"/>
    <col min="5117" max="5117" width="9" style="21" customWidth="1"/>
    <col min="5118" max="5119" width="9.7109375" style="21" customWidth="1"/>
    <col min="5120" max="5120" width="11.28515625" style="21" customWidth="1"/>
    <col min="5121" max="5121" width="2.7109375" style="21" customWidth="1"/>
    <col min="5122" max="5122" width="3.5703125" style="21" customWidth="1"/>
    <col min="5123" max="5367" width="9.28515625" style="21"/>
    <col min="5368" max="5368" width="8.7109375" style="21" customWidth="1"/>
    <col min="5369" max="5369" width="9.7109375" style="21" customWidth="1"/>
    <col min="5370" max="5370" width="14.42578125" style="21" customWidth="1"/>
    <col min="5371" max="5371" width="7.28515625" style="21" customWidth="1"/>
    <col min="5372" max="5372" width="5.5703125" style="21" customWidth="1"/>
    <col min="5373" max="5373" width="9" style="21" customWidth="1"/>
    <col min="5374" max="5375" width="9.7109375" style="21" customWidth="1"/>
    <col min="5376" max="5376" width="11.28515625" style="21" customWidth="1"/>
    <col min="5377" max="5377" width="2.7109375" style="21" customWidth="1"/>
    <col min="5378" max="5378" width="3.5703125" style="21" customWidth="1"/>
    <col min="5379" max="5623" width="9.28515625" style="21"/>
    <col min="5624" max="5624" width="8.7109375" style="21" customWidth="1"/>
    <col min="5625" max="5625" width="9.7109375" style="21" customWidth="1"/>
    <col min="5626" max="5626" width="14.42578125" style="21" customWidth="1"/>
    <col min="5627" max="5627" width="7.28515625" style="21" customWidth="1"/>
    <col min="5628" max="5628" width="5.5703125" style="21" customWidth="1"/>
    <col min="5629" max="5629" width="9" style="21" customWidth="1"/>
    <col min="5630" max="5631" width="9.7109375" style="21" customWidth="1"/>
    <col min="5632" max="5632" width="11.28515625" style="21" customWidth="1"/>
    <col min="5633" max="5633" width="2.7109375" style="21" customWidth="1"/>
    <col min="5634" max="5634" width="3.5703125" style="21" customWidth="1"/>
    <col min="5635" max="5879" width="9.28515625" style="21"/>
    <col min="5880" max="5880" width="8.7109375" style="21" customWidth="1"/>
    <col min="5881" max="5881" width="9.7109375" style="21" customWidth="1"/>
    <col min="5882" max="5882" width="14.42578125" style="21" customWidth="1"/>
    <col min="5883" max="5883" width="7.28515625" style="21" customWidth="1"/>
    <col min="5884" max="5884" width="5.5703125" style="21" customWidth="1"/>
    <col min="5885" max="5885" width="9" style="21" customWidth="1"/>
    <col min="5886" max="5887" width="9.7109375" style="21" customWidth="1"/>
    <col min="5888" max="5888" width="11.28515625" style="21" customWidth="1"/>
    <col min="5889" max="5889" width="2.7109375" style="21" customWidth="1"/>
    <col min="5890" max="5890" width="3.5703125" style="21" customWidth="1"/>
    <col min="5891" max="6135" width="9.28515625" style="21"/>
    <col min="6136" max="6136" width="8.7109375" style="21" customWidth="1"/>
    <col min="6137" max="6137" width="9.7109375" style="21" customWidth="1"/>
    <col min="6138" max="6138" width="14.42578125" style="21" customWidth="1"/>
    <col min="6139" max="6139" width="7.28515625" style="21" customWidth="1"/>
    <col min="6140" max="6140" width="5.5703125" style="21" customWidth="1"/>
    <col min="6141" max="6141" width="9" style="21" customWidth="1"/>
    <col min="6142" max="6143" width="9.7109375" style="21" customWidth="1"/>
    <col min="6144" max="6144" width="11.28515625" style="21" customWidth="1"/>
    <col min="6145" max="6145" width="2.7109375" style="21" customWidth="1"/>
    <col min="6146" max="6146" width="3.5703125" style="21" customWidth="1"/>
    <col min="6147" max="6391" width="9.28515625" style="21"/>
    <col min="6392" max="6392" width="8.7109375" style="21" customWidth="1"/>
    <col min="6393" max="6393" width="9.7109375" style="21" customWidth="1"/>
    <col min="6394" max="6394" width="14.42578125" style="21" customWidth="1"/>
    <col min="6395" max="6395" width="7.28515625" style="21" customWidth="1"/>
    <col min="6396" max="6396" width="5.5703125" style="21" customWidth="1"/>
    <col min="6397" max="6397" width="9" style="21" customWidth="1"/>
    <col min="6398" max="6399" width="9.7109375" style="21" customWidth="1"/>
    <col min="6400" max="6400" width="11.28515625" style="21" customWidth="1"/>
    <col min="6401" max="6401" width="2.7109375" style="21" customWidth="1"/>
    <col min="6402" max="6402" width="3.5703125" style="21" customWidth="1"/>
    <col min="6403" max="6647" width="9.28515625" style="21"/>
    <col min="6648" max="6648" width="8.7109375" style="21" customWidth="1"/>
    <col min="6649" max="6649" width="9.7109375" style="21" customWidth="1"/>
    <col min="6650" max="6650" width="14.42578125" style="21" customWidth="1"/>
    <col min="6651" max="6651" width="7.28515625" style="21" customWidth="1"/>
    <col min="6652" max="6652" width="5.5703125" style="21" customWidth="1"/>
    <col min="6653" max="6653" width="9" style="21" customWidth="1"/>
    <col min="6654" max="6655" width="9.7109375" style="21" customWidth="1"/>
    <col min="6656" max="6656" width="11.28515625" style="21" customWidth="1"/>
    <col min="6657" max="6657" width="2.7109375" style="21" customWidth="1"/>
    <col min="6658" max="6658" width="3.5703125" style="21" customWidth="1"/>
    <col min="6659" max="6903" width="9.28515625" style="21"/>
    <col min="6904" max="6904" width="8.7109375" style="21" customWidth="1"/>
    <col min="6905" max="6905" width="9.7109375" style="21" customWidth="1"/>
    <col min="6906" max="6906" width="14.42578125" style="21" customWidth="1"/>
    <col min="6907" max="6907" width="7.28515625" style="21" customWidth="1"/>
    <col min="6908" max="6908" width="5.5703125" style="21" customWidth="1"/>
    <col min="6909" max="6909" width="9" style="21" customWidth="1"/>
    <col min="6910" max="6911" width="9.7109375" style="21" customWidth="1"/>
    <col min="6912" max="6912" width="11.28515625" style="21" customWidth="1"/>
    <col min="6913" max="6913" width="2.7109375" style="21" customWidth="1"/>
    <col min="6914" max="6914" width="3.5703125" style="21" customWidth="1"/>
    <col min="6915" max="7159" width="9.28515625" style="21"/>
    <col min="7160" max="7160" width="8.7109375" style="21" customWidth="1"/>
    <col min="7161" max="7161" width="9.7109375" style="21" customWidth="1"/>
    <col min="7162" max="7162" width="14.42578125" style="21" customWidth="1"/>
    <col min="7163" max="7163" width="7.28515625" style="21" customWidth="1"/>
    <col min="7164" max="7164" width="5.5703125" style="21" customWidth="1"/>
    <col min="7165" max="7165" width="9" style="21" customWidth="1"/>
    <col min="7166" max="7167" width="9.7109375" style="21" customWidth="1"/>
    <col min="7168" max="7168" width="11.28515625" style="21" customWidth="1"/>
    <col min="7169" max="7169" width="2.7109375" style="21" customWidth="1"/>
    <col min="7170" max="7170" width="3.5703125" style="21" customWidth="1"/>
    <col min="7171" max="7415" width="9.28515625" style="21"/>
    <col min="7416" max="7416" width="8.7109375" style="21" customWidth="1"/>
    <col min="7417" max="7417" width="9.7109375" style="21" customWidth="1"/>
    <col min="7418" max="7418" width="14.42578125" style="21" customWidth="1"/>
    <col min="7419" max="7419" width="7.28515625" style="21" customWidth="1"/>
    <col min="7420" max="7420" width="5.5703125" style="21" customWidth="1"/>
    <col min="7421" max="7421" width="9" style="21" customWidth="1"/>
    <col min="7422" max="7423" width="9.7109375" style="21" customWidth="1"/>
    <col min="7424" max="7424" width="11.28515625" style="21" customWidth="1"/>
    <col min="7425" max="7425" width="2.7109375" style="21" customWidth="1"/>
    <col min="7426" max="7426" width="3.5703125" style="21" customWidth="1"/>
    <col min="7427" max="7671" width="9.28515625" style="21"/>
    <col min="7672" max="7672" width="8.7109375" style="21" customWidth="1"/>
    <col min="7673" max="7673" width="9.7109375" style="21" customWidth="1"/>
    <col min="7674" max="7674" width="14.42578125" style="21" customWidth="1"/>
    <col min="7675" max="7675" width="7.28515625" style="21" customWidth="1"/>
    <col min="7676" max="7676" width="5.5703125" style="21" customWidth="1"/>
    <col min="7677" max="7677" width="9" style="21" customWidth="1"/>
    <col min="7678" max="7679" width="9.7109375" style="21" customWidth="1"/>
    <col min="7680" max="7680" width="11.28515625" style="21" customWidth="1"/>
    <col min="7681" max="7681" width="2.7109375" style="21" customWidth="1"/>
    <col min="7682" max="7682" width="3.5703125" style="21" customWidth="1"/>
    <col min="7683" max="7927" width="9.28515625" style="21"/>
    <col min="7928" max="7928" width="8.7109375" style="21" customWidth="1"/>
    <col min="7929" max="7929" width="9.7109375" style="21" customWidth="1"/>
    <col min="7930" max="7930" width="14.42578125" style="21" customWidth="1"/>
    <col min="7931" max="7931" width="7.28515625" style="21" customWidth="1"/>
    <col min="7932" max="7932" width="5.5703125" style="21" customWidth="1"/>
    <col min="7933" max="7933" width="9" style="21" customWidth="1"/>
    <col min="7934" max="7935" width="9.7109375" style="21" customWidth="1"/>
    <col min="7936" max="7936" width="11.28515625" style="21" customWidth="1"/>
    <col min="7937" max="7937" width="2.7109375" style="21" customWidth="1"/>
    <col min="7938" max="7938" width="3.5703125" style="21" customWidth="1"/>
    <col min="7939" max="8183" width="9.28515625" style="21"/>
    <col min="8184" max="8184" width="8.7109375" style="21" customWidth="1"/>
    <col min="8185" max="8185" width="9.7109375" style="21" customWidth="1"/>
    <col min="8186" max="8186" width="14.42578125" style="21" customWidth="1"/>
    <col min="8187" max="8187" width="7.28515625" style="21" customWidth="1"/>
    <col min="8188" max="8188" width="5.5703125" style="21" customWidth="1"/>
    <col min="8189" max="8189" width="9" style="21" customWidth="1"/>
    <col min="8190" max="8191" width="9.7109375" style="21" customWidth="1"/>
    <col min="8192" max="8192" width="11.28515625" style="21" customWidth="1"/>
    <col min="8193" max="8193" width="2.7109375" style="21" customWidth="1"/>
    <col min="8194" max="8194" width="3.5703125" style="21" customWidth="1"/>
    <col min="8195" max="8439" width="9.28515625" style="21"/>
    <col min="8440" max="8440" width="8.7109375" style="21" customWidth="1"/>
    <col min="8441" max="8441" width="9.7109375" style="21" customWidth="1"/>
    <col min="8442" max="8442" width="14.42578125" style="21" customWidth="1"/>
    <col min="8443" max="8443" width="7.28515625" style="21" customWidth="1"/>
    <col min="8444" max="8444" width="5.5703125" style="21" customWidth="1"/>
    <col min="8445" max="8445" width="9" style="21" customWidth="1"/>
    <col min="8446" max="8447" width="9.7109375" style="21" customWidth="1"/>
    <col min="8448" max="8448" width="11.28515625" style="21" customWidth="1"/>
    <col min="8449" max="8449" width="2.7109375" style="21" customWidth="1"/>
    <col min="8450" max="8450" width="3.5703125" style="21" customWidth="1"/>
    <col min="8451" max="8695" width="9.28515625" style="21"/>
    <col min="8696" max="8696" width="8.7109375" style="21" customWidth="1"/>
    <col min="8697" max="8697" width="9.7109375" style="21" customWidth="1"/>
    <col min="8698" max="8698" width="14.42578125" style="21" customWidth="1"/>
    <col min="8699" max="8699" width="7.28515625" style="21" customWidth="1"/>
    <col min="8700" max="8700" width="5.5703125" style="21" customWidth="1"/>
    <col min="8701" max="8701" width="9" style="21" customWidth="1"/>
    <col min="8702" max="8703" width="9.7109375" style="21" customWidth="1"/>
    <col min="8704" max="8704" width="11.28515625" style="21" customWidth="1"/>
    <col min="8705" max="8705" width="2.7109375" style="21" customWidth="1"/>
    <col min="8706" max="8706" width="3.5703125" style="21" customWidth="1"/>
    <col min="8707" max="8951" width="9.28515625" style="21"/>
    <col min="8952" max="8952" width="8.7109375" style="21" customWidth="1"/>
    <col min="8953" max="8953" width="9.7109375" style="21" customWidth="1"/>
    <col min="8954" max="8954" width="14.42578125" style="21" customWidth="1"/>
    <col min="8955" max="8955" width="7.28515625" style="21" customWidth="1"/>
    <col min="8956" max="8956" width="5.5703125" style="21" customWidth="1"/>
    <col min="8957" max="8957" width="9" style="21" customWidth="1"/>
    <col min="8958" max="8959" width="9.7109375" style="21" customWidth="1"/>
    <col min="8960" max="8960" width="11.28515625" style="21" customWidth="1"/>
    <col min="8961" max="8961" width="2.7109375" style="21" customWidth="1"/>
    <col min="8962" max="8962" width="3.5703125" style="21" customWidth="1"/>
    <col min="8963" max="9207" width="9.28515625" style="21"/>
    <col min="9208" max="9208" width="8.7109375" style="21" customWidth="1"/>
    <col min="9209" max="9209" width="9.7109375" style="21" customWidth="1"/>
    <col min="9210" max="9210" width="14.42578125" style="21" customWidth="1"/>
    <col min="9211" max="9211" width="7.28515625" style="21" customWidth="1"/>
    <col min="9212" max="9212" width="5.5703125" style="21" customWidth="1"/>
    <col min="9213" max="9213" width="9" style="21" customWidth="1"/>
    <col min="9214" max="9215" width="9.7109375" style="21" customWidth="1"/>
    <col min="9216" max="9216" width="11.28515625" style="21" customWidth="1"/>
    <col min="9217" max="9217" width="2.7109375" style="21" customWidth="1"/>
    <col min="9218" max="9218" width="3.5703125" style="21" customWidth="1"/>
    <col min="9219" max="9463" width="9.28515625" style="21"/>
    <col min="9464" max="9464" width="8.7109375" style="21" customWidth="1"/>
    <col min="9465" max="9465" width="9.7109375" style="21" customWidth="1"/>
    <col min="9466" max="9466" width="14.42578125" style="21" customWidth="1"/>
    <col min="9467" max="9467" width="7.28515625" style="21" customWidth="1"/>
    <col min="9468" max="9468" width="5.5703125" style="21" customWidth="1"/>
    <col min="9469" max="9469" width="9" style="21" customWidth="1"/>
    <col min="9470" max="9471" width="9.7109375" style="21" customWidth="1"/>
    <col min="9472" max="9472" width="11.28515625" style="21" customWidth="1"/>
    <col min="9473" max="9473" width="2.7109375" style="21" customWidth="1"/>
    <col min="9474" max="9474" width="3.5703125" style="21" customWidth="1"/>
    <col min="9475" max="9719" width="9.28515625" style="21"/>
    <col min="9720" max="9720" width="8.7109375" style="21" customWidth="1"/>
    <col min="9721" max="9721" width="9.7109375" style="21" customWidth="1"/>
    <col min="9722" max="9722" width="14.42578125" style="21" customWidth="1"/>
    <col min="9723" max="9723" width="7.28515625" style="21" customWidth="1"/>
    <col min="9724" max="9724" width="5.5703125" style="21" customWidth="1"/>
    <col min="9725" max="9725" width="9" style="21" customWidth="1"/>
    <col min="9726" max="9727" width="9.7109375" style="21" customWidth="1"/>
    <col min="9728" max="9728" width="11.28515625" style="21" customWidth="1"/>
    <col min="9729" max="9729" width="2.7109375" style="21" customWidth="1"/>
    <col min="9730" max="9730" width="3.5703125" style="21" customWidth="1"/>
    <col min="9731" max="9975" width="9.28515625" style="21"/>
    <col min="9976" max="9976" width="8.7109375" style="21" customWidth="1"/>
    <col min="9977" max="9977" width="9.7109375" style="21" customWidth="1"/>
    <col min="9978" max="9978" width="14.42578125" style="21" customWidth="1"/>
    <col min="9979" max="9979" width="7.28515625" style="21" customWidth="1"/>
    <col min="9980" max="9980" width="5.5703125" style="21" customWidth="1"/>
    <col min="9981" max="9981" width="9" style="21" customWidth="1"/>
    <col min="9982" max="9983" width="9.7109375" style="21" customWidth="1"/>
    <col min="9984" max="9984" width="11.28515625" style="21" customWidth="1"/>
    <col min="9985" max="9985" width="2.7109375" style="21" customWidth="1"/>
    <col min="9986" max="9986" width="3.5703125" style="21" customWidth="1"/>
    <col min="9987" max="10231" width="9.28515625" style="21"/>
    <col min="10232" max="10232" width="8.7109375" style="21" customWidth="1"/>
    <col min="10233" max="10233" width="9.7109375" style="21" customWidth="1"/>
    <col min="10234" max="10234" width="14.42578125" style="21" customWidth="1"/>
    <col min="10235" max="10235" width="7.28515625" style="21" customWidth="1"/>
    <col min="10236" max="10236" width="5.5703125" style="21" customWidth="1"/>
    <col min="10237" max="10237" width="9" style="21" customWidth="1"/>
    <col min="10238" max="10239" width="9.7109375" style="21" customWidth="1"/>
    <col min="10240" max="10240" width="11.28515625" style="21" customWidth="1"/>
    <col min="10241" max="10241" width="2.7109375" style="21" customWidth="1"/>
    <col min="10242" max="10242" width="3.5703125" style="21" customWidth="1"/>
    <col min="10243" max="10487" width="9.28515625" style="21"/>
    <col min="10488" max="10488" width="8.7109375" style="21" customWidth="1"/>
    <col min="10489" max="10489" width="9.7109375" style="21" customWidth="1"/>
    <col min="10490" max="10490" width="14.42578125" style="21" customWidth="1"/>
    <col min="10491" max="10491" width="7.28515625" style="21" customWidth="1"/>
    <col min="10492" max="10492" width="5.5703125" style="21" customWidth="1"/>
    <col min="10493" max="10493" width="9" style="21" customWidth="1"/>
    <col min="10494" max="10495" width="9.7109375" style="21" customWidth="1"/>
    <col min="10496" max="10496" width="11.28515625" style="21" customWidth="1"/>
    <col min="10497" max="10497" width="2.7109375" style="21" customWidth="1"/>
    <col min="10498" max="10498" width="3.5703125" style="21" customWidth="1"/>
    <col min="10499" max="10743" width="9.28515625" style="21"/>
    <col min="10744" max="10744" width="8.7109375" style="21" customWidth="1"/>
    <col min="10745" max="10745" width="9.7109375" style="21" customWidth="1"/>
    <col min="10746" max="10746" width="14.42578125" style="21" customWidth="1"/>
    <col min="10747" max="10747" width="7.28515625" style="21" customWidth="1"/>
    <col min="10748" max="10748" width="5.5703125" style="21" customWidth="1"/>
    <col min="10749" max="10749" width="9" style="21" customWidth="1"/>
    <col min="10750" max="10751" width="9.7109375" style="21" customWidth="1"/>
    <col min="10752" max="10752" width="11.28515625" style="21" customWidth="1"/>
    <col min="10753" max="10753" width="2.7109375" style="21" customWidth="1"/>
    <col min="10754" max="10754" width="3.5703125" style="21" customWidth="1"/>
    <col min="10755" max="10999" width="9.28515625" style="21"/>
    <col min="11000" max="11000" width="8.7109375" style="21" customWidth="1"/>
    <col min="11001" max="11001" width="9.7109375" style="21" customWidth="1"/>
    <col min="11002" max="11002" width="14.42578125" style="21" customWidth="1"/>
    <col min="11003" max="11003" width="7.28515625" style="21" customWidth="1"/>
    <col min="11004" max="11004" width="5.5703125" style="21" customWidth="1"/>
    <col min="11005" max="11005" width="9" style="21" customWidth="1"/>
    <col min="11006" max="11007" width="9.7109375" style="21" customWidth="1"/>
    <col min="11008" max="11008" width="11.28515625" style="21" customWidth="1"/>
    <col min="11009" max="11009" width="2.7109375" style="21" customWidth="1"/>
    <col min="11010" max="11010" width="3.5703125" style="21" customWidth="1"/>
    <col min="11011" max="11255" width="9.28515625" style="21"/>
    <col min="11256" max="11256" width="8.7109375" style="21" customWidth="1"/>
    <col min="11257" max="11257" width="9.7109375" style="21" customWidth="1"/>
    <col min="11258" max="11258" width="14.42578125" style="21" customWidth="1"/>
    <col min="11259" max="11259" width="7.28515625" style="21" customWidth="1"/>
    <col min="11260" max="11260" width="5.5703125" style="21" customWidth="1"/>
    <col min="11261" max="11261" width="9" style="21" customWidth="1"/>
    <col min="11262" max="11263" width="9.7109375" style="21" customWidth="1"/>
    <col min="11264" max="11264" width="11.28515625" style="21" customWidth="1"/>
    <col min="11265" max="11265" width="2.7109375" style="21" customWidth="1"/>
    <col min="11266" max="11266" width="3.5703125" style="21" customWidth="1"/>
    <col min="11267" max="11511" width="9.28515625" style="21"/>
    <col min="11512" max="11512" width="8.7109375" style="21" customWidth="1"/>
    <col min="11513" max="11513" width="9.7109375" style="21" customWidth="1"/>
    <col min="11514" max="11514" width="14.42578125" style="21" customWidth="1"/>
    <col min="11515" max="11515" width="7.28515625" style="21" customWidth="1"/>
    <col min="11516" max="11516" width="5.5703125" style="21" customWidth="1"/>
    <col min="11517" max="11517" width="9" style="21" customWidth="1"/>
    <col min="11518" max="11519" width="9.7109375" style="21" customWidth="1"/>
    <col min="11520" max="11520" width="11.28515625" style="21" customWidth="1"/>
    <col min="11521" max="11521" width="2.7109375" style="21" customWidth="1"/>
    <col min="11522" max="11522" width="3.5703125" style="21" customWidth="1"/>
    <col min="11523" max="11767" width="9.28515625" style="21"/>
    <col min="11768" max="11768" width="8.7109375" style="21" customWidth="1"/>
    <col min="11769" max="11769" width="9.7109375" style="21" customWidth="1"/>
    <col min="11770" max="11770" width="14.42578125" style="21" customWidth="1"/>
    <col min="11771" max="11771" width="7.28515625" style="21" customWidth="1"/>
    <col min="11772" max="11772" width="5.5703125" style="21" customWidth="1"/>
    <col min="11773" max="11773" width="9" style="21" customWidth="1"/>
    <col min="11774" max="11775" width="9.7109375" style="21" customWidth="1"/>
    <col min="11776" max="11776" width="11.28515625" style="21" customWidth="1"/>
    <col min="11777" max="11777" width="2.7109375" style="21" customWidth="1"/>
    <col min="11778" max="11778" width="3.5703125" style="21" customWidth="1"/>
    <col min="11779" max="12023" width="9.28515625" style="21"/>
    <col min="12024" max="12024" width="8.7109375" style="21" customWidth="1"/>
    <col min="12025" max="12025" width="9.7109375" style="21" customWidth="1"/>
    <col min="12026" max="12026" width="14.42578125" style="21" customWidth="1"/>
    <col min="12027" max="12027" width="7.28515625" style="21" customWidth="1"/>
    <col min="12028" max="12028" width="5.5703125" style="21" customWidth="1"/>
    <col min="12029" max="12029" width="9" style="21" customWidth="1"/>
    <col min="12030" max="12031" width="9.7109375" style="21" customWidth="1"/>
    <col min="12032" max="12032" width="11.28515625" style="21" customWidth="1"/>
    <col min="12033" max="12033" width="2.7109375" style="21" customWidth="1"/>
    <col min="12034" max="12034" width="3.5703125" style="21" customWidth="1"/>
    <col min="12035" max="12279" width="9.28515625" style="21"/>
    <col min="12280" max="12280" width="8.7109375" style="21" customWidth="1"/>
    <col min="12281" max="12281" width="9.7109375" style="21" customWidth="1"/>
    <col min="12282" max="12282" width="14.42578125" style="21" customWidth="1"/>
    <col min="12283" max="12283" width="7.28515625" style="21" customWidth="1"/>
    <col min="12284" max="12284" width="5.5703125" style="21" customWidth="1"/>
    <col min="12285" max="12285" width="9" style="21" customWidth="1"/>
    <col min="12286" max="12287" width="9.7109375" style="21" customWidth="1"/>
    <col min="12288" max="12288" width="11.28515625" style="21" customWidth="1"/>
    <col min="12289" max="12289" width="2.7109375" style="21" customWidth="1"/>
    <col min="12290" max="12290" width="3.5703125" style="21" customWidth="1"/>
    <col min="12291" max="12535" width="9.28515625" style="21"/>
    <col min="12536" max="12536" width="8.7109375" style="21" customWidth="1"/>
    <col min="12537" max="12537" width="9.7109375" style="21" customWidth="1"/>
    <col min="12538" max="12538" width="14.42578125" style="21" customWidth="1"/>
    <col min="12539" max="12539" width="7.28515625" style="21" customWidth="1"/>
    <col min="12540" max="12540" width="5.5703125" style="21" customWidth="1"/>
    <col min="12541" max="12541" width="9" style="21" customWidth="1"/>
    <col min="12542" max="12543" width="9.7109375" style="21" customWidth="1"/>
    <col min="12544" max="12544" width="11.28515625" style="21" customWidth="1"/>
    <col min="12545" max="12545" width="2.7109375" style="21" customWidth="1"/>
    <col min="12546" max="12546" width="3.5703125" style="21" customWidth="1"/>
    <col min="12547" max="12791" width="9.28515625" style="21"/>
    <col min="12792" max="12792" width="8.7109375" style="21" customWidth="1"/>
    <col min="12793" max="12793" width="9.7109375" style="21" customWidth="1"/>
    <col min="12794" max="12794" width="14.42578125" style="21" customWidth="1"/>
    <col min="12795" max="12795" width="7.28515625" style="21" customWidth="1"/>
    <col min="12796" max="12796" width="5.5703125" style="21" customWidth="1"/>
    <col min="12797" max="12797" width="9" style="21" customWidth="1"/>
    <col min="12798" max="12799" width="9.7109375" style="21" customWidth="1"/>
    <col min="12800" max="12800" width="11.28515625" style="21" customWidth="1"/>
    <col min="12801" max="12801" width="2.7109375" style="21" customWidth="1"/>
    <col min="12802" max="12802" width="3.5703125" style="21" customWidth="1"/>
    <col min="12803" max="13047" width="9.28515625" style="21"/>
    <col min="13048" max="13048" width="8.7109375" style="21" customWidth="1"/>
    <col min="13049" max="13049" width="9.7109375" style="21" customWidth="1"/>
    <col min="13050" max="13050" width="14.42578125" style="21" customWidth="1"/>
    <col min="13051" max="13051" width="7.28515625" style="21" customWidth="1"/>
    <col min="13052" max="13052" width="5.5703125" style="21" customWidth="1"/>
    <col min="13053" max="13053" width="9" style="21" customWidth="1"/>
    <col min="13054" max="13055" width="9.7109375" style="21" customWidth="1"/>
    <col min="13056" max="13056" width="11.28515625" style="21" customWidth="1"/>
    <col min="13057" max="13057" width="2.7109375" style="21" customWidth="1"/>
    <col min="13058" max="13058" width="3.5703125" style="21" customWidth="1"/>
    <col min="13059" max="13303" width="9.28515625" style="21"/>
    <col min="13304" max="13304" width="8.7109375" style="21" customWidth="1"/>
    <col min="13305" max="13305" width="9.7109375" style="21" customWidth="1"/>
    <col min="13306" max="13306" width="14.42578125" style="21" customWidth="1"/>
    <col min="13307" max="13307" width="7.28515625" style="21" customWidth="1"/>
    <col min="13308" max="13308" width="5.5703125" style="21" customWidth="1"/>
    <col min="13309" max="13309" width="9" style="21" customWidth="1"/>
    <col min="13310" max="13311" width="9.7109375" style="21" customWidth="1"/>
    <col min="13312" max="13312" width="11.28515625" style="21" customWidth="1"/>
    <col min="13313" max="13313" width="2.7109375" style="21" customWidth="1"/>
    <col min="13314" max="13314" width="3.5703125" style="21" customWidth="1"/>
    <col min="13315" max="13559" width="9.28515625" style="21"/>
    <col min="13560" max="13560" width="8.7109375" style="21" customWidth="1"/>
    <col min="13561" max="13561" width="9.7109375" style="21" customWidth="1"/>
    <col min="13562" max="13562" width="14.42578125" style="21" customWidth="1"/>
    <col min="13563" max="13563" width="7.28515625" style="21" customWidth="1"/>
    <col min="13564" max="13564" width="5.5703125" style="21" customWidth="1"/>
    <col min="13565" max="13565" width="9" style="21" customWidth="1"/>
    <col min="13566" max="13567" width="9.7109375" style="21" customWidth="1"/>
    <col min="13568" max="13568" width="11.28515625" style="21" customWidth="1"/>
    <col min="13569" max="13569" width="2.7109375" style="21" customWidth="1"/>
    <col min="13570" max="13570" width="3.5703125" style="21" customWidth="1"/>
    <col min="13571" max="13815" width="9.28515625" style="21"/>
    <col min="13816" max="13816" width="8.7109375" style="21" customWidth="1"/>
    <col min="13817" max="13817" width="9.7109375" style="21" customWidth="1"/>
    <col min="13818" max="13818" width="14.42578125" style="21" customWidth="1"/>
    <col min="13819" max="13819" width="7.28515625" style="21" customWidth="1"/>
    <col min="13820" max="13820" width="5.5703125" style="21" customWidth="1"/>
    <col min="13821" max="13821" width="9" style="21" customWidth="1"/>
    <col min="13822" max="13823" width="9.7109375" style="21" customWidth="1"/>
    <col min="13824" max="13824" width="11.28515625" style="21" customWidth="1"/>
    <col min="13825" max="13825" width="2.7109375" style="21" customWidth="1"/>
    <col min="13826" max="13826" width="3.5703125" style="21" customWidth="1"/>
    <col min="13827" max="14071" width="9.28515625" style="21"/>
    <col min="14072" max="14072" width="8.7109375" style="21" customWidth="1"/>
    <col min="14073" max="14073" width="9.7109375" style="21" customWidth="1"/>
    <col min="14074" max="14074" width="14.42578125" style="21" customWidth="1"/>
    <col min="14075" max="14075" width="7.28515625" style="21" customWidth="1"/>
    <col min="14076" max="14076" width="5.5703125" style="21" customWidth="1"/>
    <col min="14077" max="14077" width="9" style="21" customWidth="1"/>
    <col min="14078" max="14079" width="9.7109375" style="21" customWidth="1"/>
    <col min="14080" max="14080" width="11.28515625" style="21" customWidth="1"/>
    <col min="14081" max="14081" width="2.7109375" style="21" customWidth="1"/>
    <col min="14082" max="14082" width="3.5703125" style="21" customWidth="1"/>
    <col min="14083" max="14327" width="9.28515625" style="21"/>
    <col min="14328" max="14328" width="8.7109375" style="21" customWidth="1"/>
    <col min="14329" max="14329" width="9.7109375" style="21" customWidth="1"/>
    <col min="14330" max="14330" width="14.42578125" style="21" customWidth="1"/>
    <col min="14331" max="14331" width="7.28515625" style="21" customWidth="1"/>
    <col min="14332" max="14332" width="5.5703125" style="21" customWidth="1"/>
    <col min="14333" max="14333" width="9" style="21" customWidth="1"/>
    <col min="14334" max="14335" width="9.7109375" style="21" customWidth="1"/>
    <col min="14336" max="14336" width="11.28515625" style="21" customWidth="1"/>
    <col min="14337" max="14337" width="2.7109375" style="21" customWidth="1"/>
    <col min="14338" max="14338" width="3.5703125" style="21" customWidth="1"/>
    <col min="14339" max="14583" width="9.28515625" style="21"/>
    <col min="14584" max="14584" width="8.7109375" style="21" customWidth="1"/>
    <col min="14585" max="14585" width="9.7109375" style="21" customWidth="1"/>
    <col min="14586" max="14586" width="14.42578125" style="21" customWidth="1"/>
    <col min="14587" max="14587" width="7.28515625" style="21" customWidth="1"/>
    <col min="14588" max="14588" width="5.5703125" style="21" customWidth="1"/>
    <col min="14589" max="14589" width="9" style="21" customWidth="1"/>
    <col min="14590" max="14591" width="9.7109375" style="21" customWidth="1"/>
    <col min="14592" max="14592" width="11.28515625" style="21" customWidth="1"/>
    <col min="14593" max="14593" width="2.7109375" style="21" customWidth="1"/>
    <col min="14594" max="14594" width="3.5703125" style="21" customWidth="1"/>
    <col min="14595" max="14839" width="9.28515625" style="21"/>
    <col min="14840" max="14840" width="8.7109375" style="21" customWidth="1"/>
    <col min="14841" max="14841" width="9.7109375" style="21" customWidth="1"/>
    <col min="14842" max="14842" width="14.42578125" style="21" customWidth="1"/>
    <col min="14843" max="14843" width="7.28515625" style="21" customWidth="1"/>
    <col min="14844" max="14844" width="5.5703125" style="21" customWidth="1"/>
    <col min="14845" max="14845" width="9" style="21" customWidth="1"/>
    <col min="14846" max="14847" width="9.7109375" style="21" customWidth="1"/>
    <col min="14848" max="14848" width="11.28515625" style="21" customWidth="1"/>
    <col min="14849" max="14849" width="2.7109375" style="21" customWidth="1"/>
    <col min="14850" max="14850" width="3.5703125" style="21" customWidth="1"/>
    <col min="14851" max="15095" width="9.28515625" style="21"/>
    <col min="15096" max="15096" width="8.7109375" style="21" customWidth="1"/>
    <col min="15097" max="15097" width="9.7109375" style="21" customWidth="1"/>
    <col min="15098" max="15098" width="14.42578125" style="21" customWidth="1"/>
    <col min="15099" max="15099" width="7.28515625" style="21" customWidth="1"/>
    <col min="15100" max="15100" width="5.5703125" style="21" customWidth="1"/>
    <col min="15101" max="15101" width="9" style="21" customWidth="1"/>
    <col min="15102" max="15103" width="9.7109375" style="21" customWidth="1"/>
    <col min="15104" max="15104" width="11.28515625" style="21" customWidth="1"/>
    <col min="15105" max="15105" width="2.7109375" style="21" customWidth="1"/>
    <col min="15106" max="15106" width="3.5703125" style="21" customWidth="1"/>
    <col min="15107" max="15351" width="9.28515625" style="21"/>
    <col min="15352" max="15352" width="8.7109375" style="21" customWidth="1"/>
    <col min="15353" max="15353" width="9.7109375" style="21" customWidth="1"/>
    <col min="15354" max="15354" width="14.42578125" style="21" customWidth="1"/>
    <col min="15355" max="15355" width="7.28515625" style="21" customWidth="1"/>
    <col min="15356" max="15356" width="5.5703125" style="21" customWidth="1"/>
    <col min="15357" max="15357" width="9" style="21" customWidth="1"/>
    <col min="15358" max="15359" width="9.7109375" style="21" customWidth="1"/>
    <col min="15360" max="15360" width="11.28515625" style="21" customWidth="1"/>
    <col min="15361" max="15361" width="2.7109375" style="21" customWidth="1"/>
    <col min="15362" max="15362" width="3.5703125" style="21" customWidth="1"/>
    <col min="15363" max="15607" width="9.28515625" style="21"/>
    <col min="15608" max="15608" width="8.7109375" style="21" customWidth="1"/>
    <col min="15609" max="15609" width="9.7109375" style="21" customWidth="1"/>
    <col min="15610" max="15610" width="14.42578125" style="21" customWidth="1"/>
    <col min="15611" max="15611" width="7.28515625" style="21" customWidth="1"/>
    <col min="15612" max="15612" width="5.5703125" style="21" customWidth="1"/>
    <col min="15613" max="15613" width="9" style="21" customWidth="1"/>
    <col min="15614" max="15615" width="9.7109375" style="21" customWidth="1"/>
    <col min="15616" max="15616" width="11.28515625" style="21" customWidth="1"/>
    <col min="15617" max="15617" width="2.7109375" style="21" customWidth="1"/>
    <col min="15618" max="15618" width="3.5703125" style="21" customWidth="1"/>
    <col min="15619" max="15863" width="9.28515625" style="21"/>
    <col min="15864" max="15864" width="8.7109375" style="21" customWidth="1"/>
    <col min="15865" max="15865" width="9.7109375" style="21" customWidth="1"/>
    <col min="15866" max="15866" width="14.42578125" style="21" customWidth="1"/>
    <col min="15867" max="15867" width="7.28515625" style="21" customWidth="1"/>
    <col min="15868" max="15868" width="5.5703125" style="21" customWidth="1"/>
    <col min="15869" max="15869" width="9" style="21" customWidth="1"/>
    <col min="15870" max="15871" width="9.7109375" style="21" customWidth="1"/>
    <col min="15872" max="15872" width="11.28515625" style="21" customWidth="1"/>
    <col min="15873" max="15873" width="2.7109375" style="21" customWidth="1"/>
    <col min="15874" max="15874" width="3.5703125" style="21" customWidth="1"/>
    <col min="15875" max="16119" width="9.28515625" style="21"/>
    <col min="16120" max="16120" width="8.7109375" style="21" customWidth="1"/>
    <col min="16121" max="16121" width="9.7109375" style="21" customWidth="1"/>
    <col min="16122" max="16122" width="14.42578125" style="21" customWidth="1"/>
    <col min="16123" max="16123" width="7.28515625" style="21" customWidth="1"/>
    <col min="16124" max="16124" width="5.5703125" style="21" customWidth="1"/>
    <col min="16125" max="16125" width="9" style="21" customWidth="1"/>
    <col min="16126" max="16127" width="9.7109375" style="21" customWidth="1"/>
    <col min="16128" max="16128" width="11.28515625" style="21" customWidth="1"/>
    <col min="16129" max="16129" width="2.7109375" style="21" customWidth="1"/>
    <col min="16130" max="16130" width="3.5703125" style="21" customWidth="1"/>
    <col min="16131" max="16384" width="9.28515625" style="21"/>
  </cols>
  <sheetData>
    <row r="1" spans="1:8" ht="46.5" customHeight="1" x14ac:dyDescent="0.25">
      <c r="A1" s="167" t="s">
        <v>218</v>
      </c>
      <c r="B1" s="167"/>
      <c r="C1" s="167"/>
      <c r="D1" s="167"/>
      <c r="E1" s="167"/>
      <c r="F1" s="167"/>
      <c r="G1" s="167"/>
      <c r="H1" s="167"/>
    </row>
    <row r="2" spans="1:8" ht="16.5" customHeight="1" x14ac:dyDescent="0.25">
      <c r="A2" s="125" t="s">
        <v>0</v>
      </c>
      <c r="B2" s="125"/>
      <c r="C2" s="125"/>
      <c r="D2" s="125"/>
      <c r="E2" s="125"/>
      <c r="F2" s="125"/>
      <c r="G2" s="125"/>
      <c r="H2" s="125"/>
    </row>
    <row r="3" spans="1:8" x14ac:dyDescent="0.25">
      <c r="A3" s="146" t="s">
        <v>1</v>
      </c>
      <c r="B3" s="146"/>
      <c r="C3" s="146"/>
      <c r="D3" s="146"/>
      <c r="E3" s="146" t="str">
        <f ca="1">TEXT(TODAY(),"DD/MM/YYYY")</f>
        <v>29/09/2025</v>
      </c>
      <c r="F3" s="146"/>
      <c r="G3" s="146"/>
      <c r="H3" s="146"/>
    </row>
    <row r="4" spans="1:8" ht="15" customHeight="1" x14ac:dyDescent="0.25">
      <c r="A4" s="146" t="s">
        <v>2</v>
      </c>
      <c r="B4" s="146"/>
      <c r="C4" s="146"/>
      <c r="D4" s="146"/>
      <c r="E4" s="164" t="s">
        <v>179</v>
      </c>
      <c r="F4" s="164"/>
      <c r="G4" s="164"/>
      <c r="H4" s="164"/>
    </row>
    <row r="5" spans="1:8" x14ac:dyDescent="0.25">
      <c r="A5" s="146" t="s">
        <v>3</v>
      </c>
      <c r="B5" s="146"/>
      <c r="C5" s="146"/>
      <c r="D5" s="146"/>
      <c r="E5" s="166">
        <v>45927</v>
      </c>
      <c r="F5" s="164"/>
      <c r="G5" s="164"/>
      <c r="H5" s="164"/>
    </row>
    <row r="6" spans="1:8" ht="16.5" customHeight="1" x14ac:dyDescent="0.25">
      <c r="A6" s="146" t="s">
        <v>4</v>
      </c>
      <c r="B6" s="146"/>
      <c r="C6" s="146"/>
      <c r="D6" s="146"/>
      <c r="E6" s="146" t="s">
        <v>180</v>
      </c>
      <c r="F6" s="146"/>
      <c r="G6" s="146"/>
      <c r="H6" s="146"/>
    </row>
    <row r="7" spans="1:8" ht="15" customHeight="1" x14ac:dyDescent="0.25">
      <c r="A7" s="146" t="s">
        <v>5</v>
      </c>
      <c r="B7" s="146"/>
      <c r="C7" s="146"/>
      <c r="D7" s="146"/>
      <c r="E7" s="146" t="str">
        <f>E6</f>
        <v>Macrotech Developers Limited</v>
      </c>
      <c r="F7" s="146"/>
      <c r="G7" s="146"/>
      <c r="H7" s="146"/>
    </row>
    <row r="8" spans="1:8" x14ac:dyDescent="0.25">
      <c r="A8" s="146" t="s">
        <v>6</v>
      </c>
      <c r="B8" s="146"/>
      <c r="C8" s="146"/>
      <c r="D8" s="146"/>
      <c r="E8" s="110" t="s">
        <v>181</v>
      </c>
      <c r="F8" s="110"/>
      <c r="G8" s="110"/>
      <c r="H8" s="110"/>
    </row>
    <row r="9" spans="1:8" x14ac:dyDescent="0.25">
      <c r="A9" s="146" t="s">
        <v>175</v>
      </c>
      <c r="B9" s="146"/>
      <c r="C9" s="146"/>
      <c r="D9" s="146"/>
      <c r="E9" s="146" t="s">
        <v>246</v>
      </c>
      <c r="F9" s="146"/>
      <c r="G9" s="146"/>
      <c r="H9" s="146"/>
    </row>
    <row r="10" spans="1:8" x14ac:dyDescent="0.25">
      <c r="A10" s="146" t="s">
        <v>176</v>
      </c>
      <c r="B10" s="146"/>
      <c r="C10" s="146"/>
      <c r="D10" s="146"/>
      <c r="E10" s="146" t="s">
        <v>30</v>
      </c>
      <c r="F10" s="146"/>
      <c r="G10" s="146"/>
      <c r="H10" s="146"/>
    </row>
    <row r="11" spans="1:8" x14ac:dyDescent="0.25">
      <c r="A11" s="146" t="s">
        <v>7</v>
      </c>
      <c r="B11" s="146"/>
      <c r="C11" s="146"/>
      <c r="D11" s="146"/>
      <c r="E11" s="146" t="s">
        <v>197</v>
      </c>
      <c r="F11" s="146"/>
      <c r="G11" s="146"/>
      <c r="H11" s="146"/>
    </row>
    <row r="12" spans="1:8" x14ac:dyDescent="0.25">
      <c r="A12" s="98" t="s">
        <v>8</v>
      </c>
      <c r="B12" s="98"/>
      <c r="C12" s="98"/>
      <c r="D12" s="98"/>
      <c r="E12" s="163" t="s">
        <v>182</v>
      </c>
      <c r="F12" s="163"/>
      <c r="G12" s="163"/>
      <c r="H12" s="163"/>
    </row>
    <row r="13" spans="1:8" x14ac:dyDescent="0.25">
      <c r="A13" s="98" t="s">
        <v>9</v>
      </c>
      <c r="B13" s="98"/>
      <c r="C13" s="98"/>
      <c r="D13" s="98"/>
      <c r="E13" s="163" t="s">
        <v>183</v>
      </c>
      <c r="F13" s="164"/>
      <c r="G13" s="164"/>
      <c r="H13" s="164"/>
    </row>
    <row r="14" spans="1:8" ht="33" customHeight="1" x14ac:dyDescent="0.25">
      <c r="A14" s="147" t="s">
        <v>10</v>
      </c>
      <c r="B14" s="147"/>
      <c r="C14" s="147" t="str">
        <f>CONCATENATE((IF(OR(E8="",E8="NA"),"",E8)),", ",(IF(OR(A15="",A15="NA"),"",A15)),".",(IF(OR(C15="",C15="NA"),"",C15)),", near ",(IF(OR(C20="",C20="NA"),"",C20)),", ",(IF(OR(C17="",C17="NA"),"",C17)),", ",(IF(OR(C16="",C16="NA"),"",C16)),", ",(IF(OR(G17="",G17="NA"),"",G17)),", ",(IF(OR(C18="",C18="NA"),"",C18)),", ",(IF(OR(C19="",C19="NA"),"",C19)),", ",(IF(OR(G18="",G18="NA"),"",G18))," - ",(IF(OR(G19="",G19="NA"),"",G19)),".")</f>
        <v>Lodha Bellevue, CTS No.1913, near Dagdi Chawl, Maulana Azad Road, Agripada, Byculla, Byculla West, Byculla, Mumbai - 400011.</v>
      </c>
      <c r="D14" s="147"/>
      <c r="E14" s="147"/>
      <c r="F14" s="147"/>
      <c r="G14" s="147"/>
      <c r="H14" s="147"/>
    </row>
    <row r="15" spans="1:8" x14ac:dyDescent="0.25">
      <c r="A15" s="163" t="s">
        <v>184</v>
      </c>
      <c r="B15" s="163"/>
      <c r="C15" s="163">
        <v>1913</v>
      </c>
      <c r="D15" s="163"/>
      <c r="E15" s="163"/>
      <c r="F15" s="163"/>
      <c r="G15" s="163"/>
      <c r="H15" s="163"/>
    </row>
    <row r="16" spans="1:8" ht="15.75" customHeight="1" x14ac:dyDescent="0.25">
      <c r="A16" s="163" t="s">
        <v>174</v>
      </c>
      <c r="B16" s="163"/>
      <c r="C16" s="163" t="s">
        <v>185</v>
      </c>
      <c r="D16" s="163"/>
      <c r="E16" s="163"/>
      <c r="F16" s="163"/>
      <c r="G16" s="163"/>
      <c r="H16" s="163"/>
    </row>
    <row r="17" spans="1:8" ht="15.75" customHeight="1" x14ac:dyDescent="0.25">
      <c r="A17" s="147" t="s">
        <v>11</v>
      </c>
      <c r="B17" s="147"/>
      <c r="C17" s="146" t="s">
        <v>187</v>
      </c>
      <c r="D17" s="146"/>
      <c r="E17" s="147" t="s">
        <v>75</v>
      </c>
      <c r="F17" s="147"/>
      <c r="G17" s="153" t="s">
        <v>186</v>
      </c>
      <c r="H17" s="153"/>
    </row>
    <row r="18" spans="1:8" x14ac:dyDescent="0.25">
      <c r="A18" s="98" t="s">
        <v>13</v>
      </c>
      <c r="B18" s="98"/>
      <c r="C18" s="153" t="s">
        <v>189</v>
      </c>
      <c r="D18" s="153"/>
      <c r="E18" s="147" t="s">
        <v>12</v>
      </c>
      <c r="F18" s="147"/>
      <c r="G18" s="165" t="s">
        <v>188</v>
      </c>
      <c r="H18" s="165"/>
    </row>
    <row r="19" spans="1:8" x14ac:dyDescent="0.25">
      <c r="A19" s="98" t="s">
        <v>76</v>
      </c>
      <c r="B19" s="98"/>
      <c r="C19" s="153" t="s">
        <v>186</v>
      </c>
      <c r="D19" s="153"/>
      <c r="E19" s="147" t="s">
        <v>14</v>
      </c>
      <c r="F19" s="147"/>
      <c r="G19" s="153">
        <v>400011</v>
      </c>
      <c r="H19" s="153"/>
    </row>
    <row r="20" spans="1:8" ht="32.25" customHeight="1" x14ac:dyDescent="0.25">
      <c r="A20" s="98" t="s">
        <v>129</v>
      </c>
      <c r="B20" s="98"/>
      <c r="C20" s="153" t="s">
        <v>190</v>
      </c>
      <c r="D20" s="153"/>
      <c r="E20" s="147" t="s">
        <v>15</v>
      </c>
      <c r="F20" s="147"/>
      <c r="G20" s="153" t="s">
        <v>193</v>
      </c>
      <c r="H20" s="153"/>
    </row>
    <row r="21" spans="1:8" ht="15" customHeight="1" x14ac:dyDescent="0.25">
      <c r="A21" s="147" t="s">
        <v>79</v>
      </c>
      <c r="B21" s="147"/>
      <c r="C21" s="147"/>
      <c r="D21" s="147"/>
      <c r="E21" s="146" t="s">
        <v>16</v>
      </c>
      <c r="F21" s="146"/>
      <c r="G21" s="146"/>
      <c r="H21" s="146"/>
    </row>
    <row r="22" spans="1:8" ht="18.75" customHeight="1" x14ac:dyDescent="0.25">
      <c r="A22" s="147"/>
      <c r="B22" s="147"/>
      <c r="C22" s="147"/>
      <c r="D22" s="147"/>
      <c r="E22" s="146"/>
      <c r="F22" s="146"/>
      <c r="G22" s="146"/>
      <c r="H22" s="146"/>
    </row>
    <row r="23" spans="1:8" ht="15" customHeight="1" x14ac:dyDescent="0.25">
      <c r="A23" s="147" t="s">
        <v>17</v>
      </c>
      <c r="B23" s="147"/>
      <c r="C23" s="147"/>
      <c r="D23" s="147"/>
      <c r="E23" s="153" t="s">
        <v>18</v>
      </c>
      <c r="F23" s="153"/>
      <c r="G23" s="153"/>
      <c r="H23" s="153"/>
    </row>
    <row r="24" spans="1:8" ht="15" customHeight="1" x14ac:dyDescent="0.25">
      <c r="A24" s="98" t="s">
        <v>19</v>
      </c>
      <c r="B24" s="98"/>
      <c r="C24" s="98"/>
      <c r="D24" s="98"/>
      <c r="E24" s="153" t="str">
        <f>IF(AND(G18="Mumbai"),"Upper Class","Middle Class")</f>
        <v>Upper Class</v>
      </c>
      <c r="F24" s="153"/>
      <c r="G24" s="153"/>
      <c r="H24" s="153"/>
    </row>
    <row r="25" spans="1:8" x14ac:dyDescent="0.25">
      <c r="A25" s="98" t="s">
        <v>20</v>
      </c>
      <c r="B25" s="98"/>
      <c r="C25" s="98"/>
      <c r="D25" s="98"/>
      <c r="E25" s="153" t="s">
        <v>21</v>
      </c>
      <c r="F25" s="153"/>
      <c r="G25" s="153"/>
      <c r="H25" s="153"/>
    </row>
    <row r="26" spans="1:8" ht="15.75" customHeight="1" x14ac:dyDescent="0.25">
      <c r="A26" s="98" t="s">
        <v>22</v>
      </c>
      <c r="B26" s="98"/>
      <c r="C26" s="98"/>
      <c r="D26" s="98"/>
      <c r="E26" s="153" t="str">
        <f>IF(AND(G18="Mumbai"),"Developed","Developing")</f>
        <v>Developed</v>
      </c>
      <c r="F26" s="153"/>
      <c r="G26" s="153"/>
      <c r="H26" s="153"/>
    </row>
    <row r="27" spans="1:8" x14ac:dyDescent="0.25">
      <c r="A27" s="98" t="s">
        <v>23</v>
      </c>
      <c r="B27" s="98"/>
      <c r="C27" s="98"/>
      <c r="D27" s="98"/>
      <c r="E27" s="153" t="s">
        <v>24</v>
      </c>
      <c r="F27" s="153"/>
      <c r="G27" s="153"/>
      <c r="H27" s="153"/>
    </row>
    <row r="28" spans="1:8" ht="15.75" customHeight="1" x14ac:dyDescent="0.25">
      <c r="A28" s="98" t="s">
        <v>84</v>
      </c>
      <c r="B28" s="98"/>
      <c r="C28" s="98"/>
      <c r="D28" s="98"/>
      <c r="E28" s="153" t="s">
        <v>85</v>
      </c>
      <c r="F28" s="153"/>
      <c r="G28" s="153"/>
      <c r="H28" s="153"/>
    </row>
    <row r="29" spans="1:8" ht="15" customHeight="1" x14ac:dyDescent="0.25">
      <c r="A29" s="98" t="s">
        <v>33</v>
      </c>
      <c r="B29" s="98"/>
      <c r="C29" s="98"/>
      <c r="D29" s="98"/>
      <c r="E29" s="153"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v>
      </c>
      <c r="F29" s="153"/>
      <c r="G29" s="153"/>
      <c r="H29" s="153"/>
    </row>
    <row r="30" spans="1:8" ht="15.75" customHeight="1" x14ac:dyDescent="0.25">
      <c r="A30" s="98" t="s">
        <v>96</v>
      </c>
      <c r="B30" s="98"/>
      <c r="C30" s="98"/>
      <c r="D30" s="98"/>
      <c r="E30" s="153" t="s">
        <v>34</v>
      </c>
      <c r="F30" s="153"/>
      <c r="G30" s="153"/>
      <c r="H30" s="153"/>
    </row>
    <row r="31" spans="1:8" s="22" customFormat="1" x14ac:dyDescent="0.25">
      <c r="A31" s="162" t="s">
        <v>97</v>
      </c>
      <c r="B31" s="162"/>
      <c r="C31" s="161" t="s">
        <v>29</v>
      </c>
      <c r="D31" s="161"/>
      <c r="E31" s="161"/>
      <c r="F31" s="161" t="s">
        <v>31</v>
      </c>
      <c r="G31" s="161"/>
      <c r="H31" s="161"/>
    </row>
    <row r="32" spans="1:8" s="22" customFormat="1" x14ac:dyDescent="0.25">
      <c r="A32" s="148" t="s">
        <v>25</v>
      </c>
      <c r="B32" s="148" t="s">
        <v>30</v>
      </c>
      <c r="C32" s="149" t="s">
        <v>30</v>
      </c>
      <c r="D32" s="149"/>
      <c r="E32" s="149"/>
      <c r="F32" s="149" t="s">
        <v>192</v>
      </c>
      <c r="G32" s="149"/>
      <c r="H32" s="149"/>
    </row>
    <row r="33" spans="1:8" x14ac:dyDescent="0.25">
      <c r="A33" s="148" t="s">
        <v>26</v>
      </c>
      <c r="B33" s="148" t="s">
        <v>30</v>
      </c>
      <c r="C33" s="149" t="s">
        <v>30</v>
      </c>
      <c r="D33" s="149"/>
      <c r="E33" s="149"/>
      <c r="F33" s="149" t="s">
        <v>191</v>
      </c>
      <c r="G33" s="149"/>
      <c r="H33" s="149"/>
    </row>
    <row r="34" spans="1:8" s="22" customFormat="1" x14ac:dyDescent="0.25">
      <c r="A34" s="148" t="s">
        <v>28</v>
      </c>
      <c r="B34" s="148" t="s">
        <v>30</v>
      </c>
      <c r="C34" s="149" t="s">
        <v>30</v>
      </c>
      <c r="D34" s="149"/>
      <c r="E34" s="149"/>
      <c r="F34" s="149" t="s">
        <v>190</v>
      </c>
      <c r="G34" s="149"/>
      <c r="H34" s="149"/>
    </row>
    <row r="35" spans="1:8" x14ac:dyDescent="0.25">
      <c r="A35" s="148" t="s">
        <v>27</v>
      </c>
      <c r="B35" s="148" t="s">
        <v>30</v>
      </c>
      <c r="C35" s="149" t="s">
        <v>30</v>
      </c>
      <c r="D35" s="149"/>
      <c r="E35" s="149"/>
      <c r="F35" s="149" t="s">
        <v>194</v>
      </c>
      <c r="G35" s="149"/>
      <c r="H35" s="149"/>
    </row>
    <row r="36" spans="1:8" x14ac:dyDescent="0.25">
      <c r="A36" s="98" t="s">
        <v>32</v>
      </c>
      <c r="B36" s="98"/>
      <c r="C36" s="98"/>
      <c r="D36" s="98"/>
      <c r="E36" s="98"/>
      <c r="F36" s="98"/>
      <c r="G36" s="98"/>
      <c r="H36" s="98"/>
    </row>
    <row r="37" spans="1:8" ht="15.75" customHeight="1" x14ac:dyDescent="0.25">
      <c r="A37" s="125" t="s">
        <v>232</v>
      </c>
      <c r="B37" s="125"/>
      <c r="C37" s="63" t="s">
        <v>233</v>
      </c>
      <c r="D37" s="64"/>
      <c r="E37" s="64"/>
      <c r="F37" s="64"/>
      <c r="G37" s="64"/>
      <c r="H37" s="65"/>
    </row>
    <row r="38" spans="1:8" x14ac:dyDescent="0.25">
      <c r="A38" s="125" t="s">
        <v>173</v>
      </c>
      <c r="B38" s="125"/>
      <c r="C38" s="152" t="s">
        <v>178</v>
      </c>
      <c r="D38" s="153"/>
      <c r="E38" s="153"/>
      <c r="F38" s="153"/>
      <c r="G38" s="153"/>
      <c r="H38" s="153"/>
    </row>
    <row r="39" spans="1:8" x14ac:dyDescent="0.25">
      <c r="A39" s="151" t="s">
        <v>35</v>
      </c>
      <c r="B39" s="151"/>
      <c r="C39" s="151"/>
      <c r="D39" s="151"/>
      <c r="E39" s="151"/>
      <c r="F39" s="151"/>
      <c r="G39" s="151"/>
      <c r="H39" s="151"/>
    </row>
    <row r="40" spans="1:8" x14ac:dyDescent="0.25">
      <c r="A40" s="98" t="s">
        <v>36</v>
      </c>
      <c r="B40" s="98"/>
      <c r="C40" s="98"/>
      <c r="D40" s="98"/>
      <c r="E40" s="150">
        <v>24858.97</v>
      </c>
      <c r="F40" s="150"/>
      <c r="G40" s="150"/>
      <c r="H40" s="150"/>
    </row>
    <row r="41" spans="1:8" x14ac:dyDescent="0.25">
      <c r="A41" s="98" t="s">
        <v>37</v>
      </c>
      <c r="B41" s="98"/>
      <c r="C41" s="98"/>
      <c r="D41" s="98"/>
      <c r="E41" s="144">
        <v>1.33</v>
      </c>
      <c r="F41" s="144"/>
      <c r="G41" s="144"/>
      <c r="H41" s="144"/>
    </row>
    <row r="42" spans="1:8" x14ac:dyDescent="0.25">
      <c r="A42" s="98" t="s">
        <v>38</v>
      </c>
      <c r="B42" s="98"/>
      <c r="C42" s="98"/>
      <c r="D42" s="98"/>
      <c r="E42" s="144">
        <f>E44/E40-E41</f>
        <v>4.0579907333248313</v>
      </c>
      <c r="F42" s="144"/>
      <c r="G42" s="144"/>
      <c r="H42" s="144"/>
    </row>
    <row r="43" spans="1:8" x14ac:dyDescent="0.25">
      <c r="A43" s="98" t="s">
        <v>39</v>
      </c>
      <c r="B43" s="98"/>
      <c r="C43" s="98"/>
      <c r="D43" s="98"/>
      <c r="E43" s="144">
        <f>E41+E42</f>
        <v>5.3879907333248314</v>
      </c>
      <c r="F43" s="144"/>
      <c r="G43" s="144"/>
      <c r="H43" s="144"/>
    </row>
    <row r="44" spans="1:8" x14ac:dyDescent="0.25">
      <c r="A44" s="98" t="s">
        <v>95</v>
      </c>
      <c r="B44" s="98"/>
      <c r="C44" s="98"/>
      <c r="D44" s="98"/>
      <c r="E44" s="145">
        <v>133939.9</v>
      </c>
      <c r="F44" s="145"/>
      <c r="G44" s="145"/>
      <c r="H44" s="145"/>
    </row>
    <row r="45" spans="1:8" x14ac:dyDescent="0.25">
      <c r="A45" s="146" t="s">
        <v>40</v>
      </c>
      <c r="B45" s="146"/>
      <c r="C45" s="146"/>
      <c r="D45" s="146"/>
      <c r="E45" s="146" t="s">
        <v>219</v>
      </c>
      <c r="F45" s="146"/>
      <c r="G45" s="146"/>
      <c r="H45" s="146"/>
    </row>
    <row r="46" spans="1:8" x14ac:dyDescent="0.25">
      <c r="A46" s="151" t="s">
        <v>41</v>
      </c>
      <c r="B46" s="151"/>
      <c r="C46" s="151"/>
      <c r="D46" s="151"/>
      <c r="E46" s="151"/>
      <c r="F46" s="151"/>
      <c r="G46" s="151"/>
      <c r="H46" s="151"/>
    </row>
    <row r="47" spans="1:8" ht="33.75" customHeight="1" x14ac:dyDescent="0.25">
      <c r="A47" s="84" t="s">
        <v>161</v>
      </c>
      <c r="B47" s="85"/>
      <c r="C47" s="86" t="s">
        <v>195</v>
      </c>
      <c r="D47" s="87"/>
      <c r="E47" s="87"/>
      <c r="F47" s="87"/>
      <c r="G47" s="87"/>
      <c r="H47" s="88"/>
    </row>
    <row r="48" spans="1:8" ht="34.5" customHeight="1" x14ac:dyDescent="0.25">
      <c r="A48" s="84" t="s">
        <v>42</v>
      </c>
      <c r="B48" s="85"/>
      <c r="C48" s="84" t="s">
        <v>226</v>
      </c>
      <c r="D48" s="160"/>
      <c r="E48" s="85"/>
      <c r="F48" s="18" t="s">
        <v>43</v>
      </c>
      <c r="G48" s="159">
        <v>45421</v>
      </c>
      <c r="H48" s="85"/>
    </row>
    <row r="49" spans="1:14" ht="33.75" customHeight="1" x14ac:dyDescent="0.25">
      <c r="A49" s="84" t="s">
        <v>44</v>
      </c>
      <c r="B49" s="85"/>
      <c r="C49" s="84" t="str">
        <f>C48</f>
        <v>P-11910/2022/(1913)/E Ward/BYCULLA/337/3/Amend</v>
      </c>
      <c r="D49" s="160"/>
      <c r="E49" s="85"/>
      <c r="F49" s="58" t="s">
        <v>43</v>
      </c>
      <c r="G49" s="157">
        <f>G48</f>
        <v>45421</v>
      </c>
      <c r="H49" s="158"/>
    </row>
    <row r="50" spans="1:14" s="23" customFormat="1" ht="31.5" customHeight="1" x14ac:dyDescent="0.25">
      <c r="A50" s="191" t="s">
        <v>164</v>
      </c>
      <c r="B50" s="192"/>
      <c r="C50" s="84" t="s">
        <v>248</v>
      </c>
      <c r="D50" s="160"/>
      <c r="E50" s="85"/>
      <c r="F50" s="58" t="s">
        <v>43</v>
      </c>
      <c r="G50" s="157">
        <v>45482</v>
      </c>
      <c r="H50" s="158"/>
    </row>
    <row r="51" spans="1:14" s="23" customFormat="1" ht="158.44999999999999" customHeight="1" x14ac:dyDescent="0.25">
      <c r="A51" s="193"/>
      <c r="B51" s="194"/>
      <c r="C51" s="84" t="s">
        <v>249</v>
      </c>
      <c r="D51" s="160"/>
      <c r="E51" s="85"/>
      <c r="F51" s="58" t="s">
        <v>128</v>
      </c>
      <c r="G51" s="157">
        <v>45846</v>
      </c>
      <c r="H51" s="195"/>
    </row>
    <row r="52" spans="1:14" x14ac:dyDescent="0.25">
      <c r="A52" s="180" t="s">
        <v>45</v>
      </c>
      <c r="B52" s="181"/>
      <c r="C52" s="180" t="s">
        <v>108</v>
      </c>
      <c r="D52" s="182"/>
      <c r="E52" s="181"/>
      <c r="F52" s="46" t="s">
        <v>43</v>
      </c>
      <c r="G52" s="183" t="s">
        <v>30</v>
      </c>
      <c r="H52" s="184"/>
    </row>
    <row r="53" spans="1:14" x14ac:dyDescent="0.25">
      <c r="A53" s="171" t="s">
        <v>47</v>
      </c>
      <c r="B53" s="171"/>
      <c r="C53" s="171"/>
      <c r="D53" s="171"/>
      <c r="E53" s="171"/>
      <c r="F53" s="171"/>
      <c r="G53" s="171"/>
      <c r="H53" s="171"/>
    </row>
    <row r="54" spans="1:14" x14ac:dyDescent="0.25">
      <c r="A54" s="147" t="s">
        <v>94</v>
      </c>
      <c r="B54" s="147"/>
      <c r="C54" s="147"/>
      <c r="D54" s="98">
        <v>47451.25</v>
      </c>
      <c r="E54" s="98"/>
      <c r="F54" s="98"/>
      <c r="G54" s="98"/>
      <c r="H54" s="98"/>
    </row>
    <row r="55" spans="1:14" x14ac:dyDescent="0.25">
      <c r="A55" s="153" t="s">
        <v>48</v>
      </c>
      <c r="B55" s="146"/>
      <c r="C55" s="146"/>
      <c r="D55" s="146" t="s">
        <v>228</v>
      </c>
      <c r="E55" s="146"/>
      <c r="F55" s="146"/>
      <c r="G55" s="146"/>
      <c r="H55" s="146"/>
      <c r="I55" s="24" t="s">
        <v>214</v>
      </c>
    </row>
    <row r="56" spans="1:14" ht="16.5" customHeight="1" x14ac:dyDescent="0.25">
      <c r="A56" s="154" t="s">
        <v>49</v>
      </c>
      <c r="B56" s="155"/>
      <c r="C56" s="156"/>
      <c r="D56" s="153" t="s">
        <v>227</v>
      </c>
      <c r="E56" s="146"/>
      <c r="F56" s="146"/>
      <c r="G56" s="146"/>
      <c r="H56" s="146"/>
    </row>
    <row r="57" spans="1:14" ht="15.75" customHeight="1" x14ac:dyDescent="0.25">
      <c r="A57" s="154" t="s">
        <v>92</v>
      </c>
      <c r="B57" s="155"/>
      <c r="C57" s="156"/>
      <c r="D57" s="153" t="s">
        <v>227</v>
      </c>
      <c r="E57" s="146"/>
      <c r="F57" s="146"/>
      <c r="G57" s="146"/>
      <c r="H57" s="146"/>
    </row>
    <row r="58" spans="1:14" ht="15.75" hidden="1" customHeight="1" x14ac:dyDescent="0.25">
      <c r="A58" s="185"/>
      <c r="B58" s="186"/>
      <c r="C58" s="187"/>
      <c r="D58" s="146" t="s">
        <v>217</v>
      </c>
      <c r="E58" s="146"/>
      <c r="F58" s="146"/>
      <c r="G58" s="146"/>
      <c r="H58" s="146"/>
    </row>
    <row r="59" spans="1:14" ht="15.75" hidden="1" customHeight="1" x14ac:dyDescent="0.25">
      <c r="A59" s="185"/>
      <c r="B59" s="186"/>
      <c r="C59" s="187"/>
      <c r="D59" s="146" t="s">
        <v>216</v>
      </c>
      <c r="E59" s="146"/>
      <c r="F59" s="146"/>
      <c r="G59" s="146"/>
      <c r="H59" s="146"/>
    </row>
    <row r="60" spans="1:14" ht="15.75" hidden="1" customHeight="1" x14ac:dyDescent="0.25">
      <c r="A60" s="188"/>
      <c r="B60" s="189"/>
      <c r="C60" s="190"/>
      <c r="D60" s="146" t="s">
        <v>215</v>
      </c>
      <c r="E60" s="146"/>
      <c r="F60" s="146"/>
      <c r="G60" s="146"/>
      <c r="H60" s="146"/>
    </row>
    <row r="61" spans="1:14" ht="15.75" customHeight="1" x14ac:dyDescent="0.25">
      <c r="A61" s="98" t="s">
        <v>46</v>
      </c>
      <c r="B61" s="98"/>
      <c r="C61" s="98"/>
      <c r="D61" s="142" t="s">
        <v>213</v>
      </c>
      <c r="E61" s="142"/>
      <c r="F61" s="142"/>
      <c r="G61" s="142"/>
      <c r="H61" s="142"/>
      <c r="J61" s="25"/>
      <c r="K61" s="24"/>
      <c r="N61" s="24"/>
    </row>
    <row r="62" spans="1:14" ht="15.75" customHeight="1" x14ac:dyDescent="0.25">
      <c r="A62" s="98" t="s">
        <v>90</v>
      </c>
      <c r="B62" s="98"/>
      <c r="C62" s="98"/>
      <c r="D62" s="143" t="str">
        <f>(IF(G52="NA","60 Years After Completion",IF(G52&lt;&gt;"NA",""&amp;60-ROUNDDOWN((E3-G52)/360,0)&amp;" Years"," ")))</f>
        <v>60 Years After Completion</v>
      </c>
      <c r="E62" s="143"/>
      <c r="F62" s="143"/>
      <c r="G62" s="143"/>
      <c r="H62" s="143"/>
      <c r="N62" s="24"/>
    </row>
    <row r="63" spans="1:14" ht="15.75" customHeight="1" x14ac:dyDescent="0.25">
      <c r="A63" s="98" t="s">
        <v>91</v>
      </c>
      <c r="B63" s="98"/>
      <c r="C63" s="98"/>
      <c r="D63" s="147" t="s">
        <v>24</v>
      </c>
      <c r="E63" s="147"/>
      <c r="F63" s="147"/>
      <c r="G63" s="147"/>
      <c r="H63" s="147"/>
      <c r="J63" s="26"/>
      <c r="K63" s="26"/>
    </row>
    <row r="64" spans="1:14" x14ac:dyDescent="0.25">
      <c r="A64" s="98" t="s">
        <v>77</v>
      </c>
      <c r="B64" s="98"/>
      <c r="C64" s="98"/>
      <c r="D64" s="153" t="s">
        <v>220</v>
      </c>
      <c r="E64" s="147"/>
      <c r="F64" s="147"/>
      <c r="G64" s="147"/>
      <c r="H64" s="147"/>
    </row>
    <row r="65" spans="1:14" x14ac:dyDescent="0.25">
      <c r="A65" s="147" t="s">
        <v>157</v>
      </c>
      <c r="B65" s="147"/>
      <c r="C65" s="147"/>
      <c r="D65" s="147" t="s">
        <v>30</v>
      </c>
      <c r="E65" s="147"/>
      <c r="F65" s="147"/>
      <c r="G65" s="147"/>
      <c r="H65" s="147"/>
      <c r="I65" s="27"/>
      <c r="J65" s="27"/>
      <c r="K65" s="27"/>
      <c r="L65" s="27"/>
      <c r="M65" s="27"/>
      <c r="N65" s="27"/>
    </row>
    <row r="66" spans="1:14" ht="15.75" customHeight="1" x14ac:dyDescent="0.25">
      <c r="A66" s="170" t="s">
        <v>89</v>
      </c>
      <c r="B66" s="170"/>
      <c r="C66" s="170"/>
      <c r="D66" s="169" t="str">
        <f>(IF(G72&gt;95%,"Nothing",IF(G72&gt;0%,"Cement, Aggregate, Steel, etc",IF(G72=0%,"Work not yet Started"))))</f>
        <v>Cement, Aggregate, Steel, etc</v>
      </c>
      <c r="E66" s="169"/>
      <c r="F66" s="169"/>
      <c r="G66" s="169"/>
      <c r="H66" s="169"/>
      <c r="J66" s="26"/>
    </row>
    <row r="67" spans="1:14" ht="33.75" customHeight="1" thickBot="1" x14ac:dyDescent="0.3">
      <c r="A67" s="168" t="s">
        <v>121</v>
      </c>
      <c r="B67" s="168"/>
      <c r="C67" s="168"/>
      <c r="D67" s="169" t="str">
        <f>(IF(D66="Nothing","Yes",IF(D66="Cement, Aggregate, Steel, etc","Under Construction",IF(D66="Work not yet Started","Work not yet Started"))))</f>
        <v>Under Construction</v>
      </c>
      <c r="E67" s="169"/>
      <c r="F67" s="169" t="str">
        <f>(IF(D66="Nothing","Yes",IF(D66="Cement, Aggregate, Steel, etc","Under Construction",IF(D66="Work not yet Started","Work not yet Started"))))</f>
        <v>Under Construction</v>
      </c>
      <c r="G67" s="169"/>
      <c r="H67" s="169"/>
    </row>
    <row r="68" spans="1:14" ht="15.75" customHeight="1" x14ac:dyDescent="0.25">
      <c r="A68" s="115" t="s">
        <v>147</v>
      </c>
      <c r="B68" s="116"/>
      <c r="C68" s="117" t="str">
        <f>D57</f>
        <v>Wing 1 = Gr/Stilt + Service Floor + 1st to 58th Floor
Wing 2 = G + 1st Floor
Wing 3 = G + 7P + 8A + 9th Floor
Wing 4 = G + 7P + 8A + 9th Floor
Wing 5 = 4B + Gr Floor</v>
      </c>
      <c r="D68" s="118"/>
      <c r="E68" s="118"/>
      <c r="F68" s="118"/>
      <c r="G68" s="118"/>
      <c r="H68" s="119"/>
      <c r="I68" s="48" t="str">
        <f>IF(D81=100%,"All work Completed. Possession granted to the Building.",IF(D80=100%,"All work Completed, Waiting for OC",I69&amp;""&amp;I70&amp;""&amp;J69&amp;""&amp;J68&amp;" "&amp;J70))</f>
        <v>Excavation, Plinth Completed, RCC upto 53 Slab, Brickwork upto 52 Floor, Internal Plaster upto 39 Floor, External Plaster upto 36.4 Floor, Flooring upto 16 Floor Completed</v>
      </c>
      <c r="J68" s="49" t="str">
        <f>(IF(C74=(D69+F69+H69),"",IF(C74&gt;0,",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RCC upto 53 Slab, Brickwork upto 52 Floor, Internal Plaster upto 39 Floor, External Plaster upto 36.4 Floor, Flooring upto 16 Floor</v>
      </c>
    </row>
    <row r="69" spans="1:14" x14ac:dyDescent="0.25">
      <c r="A69" s="16" t="s">
        <v>149</v>
      </c>
      <c r="B69" s="53">
        <v>0</v>
      </c>
      <c r="C69" s="53" t="s">
        <v>74</v>
      </c>
      <c r="D69" s="53">
        <v>1</v>
      </c>
      <c r="E69" s="53" t="s">
        <v>73</v>
      </c>
      <c r="F69" s="53">
        <v>0</v>
      </c>
      <c r="G69" s="53" t="s">
        <v>83</v>
      </c>
      <c r="H69" s="17">
        <v>58</v>
      </c>
      <c r="I69" s="50" t="str">
        <f>IF(D72=100%,"Excavation","")&amp;IF(D73=100%,", Plinth","")&amp;IF(D74=100%,", RCC Slab","")&amp;IF(D75=100%,", Brickwork","")&amp;IF(D76=100%,", Internal Plaster","")&amp;IF(D77=100%,", External Plaster","")&amp;IF(D78=100%,", Flooring","")&amp;IF(D79=100%,", Painting","")&amp;IF(D80=100%,", Building common Amenities","")</f>
        <v>Excavation, Plinth</v>
      </c>
      <c r="J69" s="51" t="str">
        <f>(IF(C72=0,"Work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
      </c>
    </row>
    <row r="70" spans="1:14" ht="49.15" customHeight="1" x14ac:dyDescent="0.25">
      <c r="A70" s="109" t="s">
        <v>93</v>
      </c>
      <c r="B70" s="110"/>
      <c r="C70" s="111" t="str">
        <f>I68</f>
        <v>Excavation, Plinth Completed, RCC upto 53 Slab, Brickwork upto 52 Floor, Internal Plaster upto 39 Floor, External Plaster upto 36.4 Floor, Flooring upto 16 Floor Completed</v>
      </c>
      <c r="D70" s="111"/>
      <c r="E70" s="111"/>
      <c r="F70" s="111"/>
      <c r="G70" s="111"/>
      <c r="H70" s="112"/>
      <c r="I70" s="50" t="str">
        <f>IF(I69&lt;&gt;""," Completed","")</f>
        <v xml:space="preserve"> Completed</v>
      </c>
      <c r="J70" s="51" t="str">
        <f>IF(J68&lt;&gt;"","Completed","")</f>
        <v>Completed</v>
      </c>
    </row>
    <row r="71" spans="1:14" ht="15.75" customHeight="1" x14ac:dyDescent="0.25">
      <c r="A71" s="95" t="s">
        <v>50</v>
      </c>
      <c r="B71" s="96"/>
      <c r="C71" s="44" t="s">
        <v>146</v>
      </c>
      <c r="D71" s="44" t="s">
        <v>86</v>
      </c>
      <c r="E71" s="96" t="s">
        <v>88</v>
      </c>
      <c r="F71" s="96"/>
      <c r="G71" s="96" t="s">
        <v>87</v>
      </c>
      <c r="H71" s="113"/>
      <c r="I71" s="14" t="s">
        <v>148</v>
      </c>
      <c r="J71" s="28">
        <f>H69*25%</f>
        <v>14.5</v>
      </c>
    </row>
    <row r="72" spans="1:14" x14ac:dyDescent="0.25">
      <c r="A72" s="95" t="s">
        <v>135</v>
      </c>
      <c r="B72" s="96"/>
      <c r="C72" s="44">
        <f>J73</f>
        <v>58</v>
      </c>
      <c r="D72" s="19">
        <f>((100/H69)*C72)/100</f>
        <v>1</v>
      </c>
      <c r="E72" s="89">
        <f>(((C73/H69*10)+(40/(D69+F69+H69)*C74)+(7.5/(H69)*C75)+(7.5/(H69)*C76)+(10/H69*C77)+(10/H69*C78)+(5/H69*C79)+(5/H69*C80)+(5/H69*C81))/100)</f>
        <v>0.66733927527761538</v>
      </c>
      <c r="F72" s="132"/>
      <c r="G72" s="89">
        <f>((((C72/H69)*20)+((C73/H69)*25)+(30/(H69+F69+D69)*C74)+(5/H69*C75)+(5/H69*C76)+(5/H69*C77)+(5/H69*C78)+(0/H69*C79)+(0/H69*C80)+(5/H69*C81))/100)</f>
        <v>0.84311221507890111</v>
      </c>
      <c r="H72" s="90"/>
      <c r="I72" s="14" t="s">
        <v>103</v>
      </c>
      <c r="J72" s="29">
        <f>H69*50%</f>
        <v>29</v>
      </c>
    </row>
    <row r="73" spans="1:14" x14ac:dyDescent="0.25">
      <c r="A73" s="95" t="s">
        <v>51</v>
      </c>
      <c r="B73" s="96"/>
      <c r="C73" s="55">
        <f>J81</f>
        <v>58</v>
      </c>
      <c r="D73" s="19">
        <f>((100/H69)*C73)/100</f>
        <v>1</v>
      </c>
      <c r="E73" s="91"/>
      <c r="F73" s="133"/>
      <c r="G73" s="91"/>
      <c r="H73" s="92"/>
      <c r="I73" s="14" t="s">
        <v>104</v>
      </c>
      <c r="J73" s="29">
        <f>H69</f>
        <v>58</v>
      </c>
    </row>
    <row r="74" spans="1:14" ht="15.75" customHeight="1" x14ac:dyDescent="0.25">
      <c r="A74" s="95" t="s">
        <v>136</v>
      </c>
      <c r="B74" s="96"/>
      <c r="C74" s="44">
        <v>53</v>
      </c>
      <c r="D74" s="19">
        <f>((100/(D69+F69+H69))*C74)/100</f>
        <v>0.89830508474576265</v>
      </c>
      <c r="E74" s="91"/>
      <c r="F74" s="133"/>
      <c r="G74" s="91"/>
      <c r="H74" s="92"/>
      <c r="I74" s="14" t="s">
        <v>105</v>
      </c>
      <c r="J74" s="30">
        <f>(IF(B69&gt;1,(H69/(B69+2)),H69/4))</f>
        <v>14.5</v>
      </c>
    </row>
    <row r="75" spans="1:14" ht="15.75" customHeight="1" x14ac:dyDescent="0.25">
      <c r="A75" s="95" t="s">
        <v>143</v>
      </c>
      <c r="B75" s="96" t="s">
        <v>137</v>
      </c>
      <c r="C75" s="44">
        <f>C74-1</f>
        <v>52</v>
      </c>
      <c r="D75" s="19">
        <f>((100/H69)*C75)/100</f>
        <v>0.89655172413793094</v>
      </c>
      <c r="E75" s="91"/>
      <c r="F75" s="133"/>
      <c r="G75" s="91"/>
      <c r="H75" s="92"/>
      <c r="I75" s="14" t="s">
        <v>106</v>
      </c>
      <c r="J75" s="30">
        <f>(IF(B69&gt;1,(H69/(B69+2)+J74),H69/4+J74))</f>
        <v>29</v>
      </c>
    </row>
    <row r="76" spans="1:14" ht="15.75" customHeight="1" x14ac:dyDescent="0.25">
      <c r="A76" s="95" t="s">
        <v>144</v>
      </c>
      <c r="B76" s="96" t="s">
        <v>137</v>
      </c>
      <c r="C76" s="55">
        <f>C75*0.75</f>
        <v>39</v>
      </c>
      <c r="D76" s="19">
        <f>((100/H69)*C76)/100</f>
        <v>0.67241379310344829</v>
      </c>
      <c r="E76" s="91"/>
      <c r="F76" s="133"/>
      <c r="G76" s="91"/>
      <c r="H76" s="92"/>
      <c r="I76" s="14" t="s">
        <v>155</v>
      </c>
      <c r="J76" s="30">
        <f>(IF(B69&gt;1,(H69/(B69+2)+J75),0))</f>
        <v>0</v>
      </c>
    </row>
    <row r="77" spans="1:14" ht="15" customHeight="1" x14ac:dyDescent="0.25">
      <c r="A77" s="95" t="s">
        <v>142</v>
      </c>
      <c r="B77" s="96" t="s">
        <v>139</v>
      </c>
      <c r="C77" s="55">
        <f>C75*0.7</f>
        <v>36.4</v>
      </c>
      <c r="D77" s="19">
        <f>((100/(H69))*C77)/100</f>
        <v>0.62758620689655165</v>
      </c>
      <c r="E77" s="91"/>
      <c r="F77" s="133"/>
      <c r="G77" s="91"/>
      <c r="H77" s="92"/>
      <c r="I77" s="14" t="s">
        <v>150</v>
      </c>
      <c r="J77" s="30">
        <f>(IF(B69&gt;2,(H69/(B69+2)+J76),0))</f>
        <v>0</v>
      </c>
    </row>
    <row r="78" spans="1:14" ht="15.75" customHeight="1" x14ac:dyDescent="0.25">
      <c r="A78" s="95" t="s">
        <v>138</v>
      </c>
      <c r="B78" s="96" t="s">
        <v>138</v>
      </c>
      <c r="C78" s="44">
        <v>16</v>
      </c>
      <c r="D78" s="19">
        <f>((100/H69)*C78)/100</f>
        <v>0.27586206896551724</v>
      </c>
      <c r="E78" s="91"/>
      <c r="F78" s="133"/>
      <c r="G78" s="91"/>
      <c r="H78" s="92"/>
      <c r="I78" s="14" t="s">
        <v>151</v>
      </c>
      <c r="J78" s="31">
        <f>(IF(B69&gt;3,(H69/(B69+2)+J77),0))</f>
        <v>0</v>
      </c>
    </row>
    <row r="79" spans="1:14" ht="15.75" customHeight="1" x14ac:dyDescent="0.25">
      <c r="A79" s="95" t="s">
        <v>145</v>
      </c>
      <c r="B79" s="96"/>
      <c r="C79" s="44">
        <v>0</v>
      </c>
      <c r="D79" s="19">
        <f>((100/H69)*C79)/100</f>
        <v>0</v>
      </c>
      <c r="E79" s="91"/>
      <c r="F79" s="133"/>
      <c r="G79" s="91"/>
      <c r="H79" s="92"/>
      <c r="I79" s="14" t="s">
        <v>152</v>
      </c>
      <c r="J79" s="30">
        <f>(IF(B69&gt;4,(H69/(B69+2)+J78),0))</f>
        <v>0</v>
      </c>
    </row>
    <row r="80" spans="1:14" ht="15.75" customHeight="1" x14ac:dyDescent="0.25">
      <c r="A80" s="95" t="s">
        <v>140</v>
      </c>
      <c r="B80" s="96" t="s">
        <v>140</v>
      </c>
      <c r="C80" s="44">
        <v>0</v>
      </c>
      <c r="D80" s="19">
        <f>((100/(H69))*C80)/100</f>
        <v>0</v>
      </c>
      <c r="E80" s="91"/>
      <c r="F80" s="133"/>
      <c r="G80" s="91"/>
      <c r="H80" s="92"/>
      <c r="I80" s="14" t="s">
        <v>156</v>
      </c>
      <c r="J80" s="30">
        <f>(IF(B69=1,(H69/(B69+3)+J75),IF(B69=0,(H69/4+J75),IF(B69&gt;1,0))))</f>
        <v>43.5</v>
      </c>
    </row>
    <row r="81" spans="1:10" ht="16.5" thickBot="1" x14ac:dyDescent="0.3">
      <c r="A81" s="135" t="s">
        <v>141</v>
      </c>
      <c r="B81" s="136"/>
      <c r="C81" s="45">
        <v>0</v>
      </c>
      <c r="D81" s="20">
        <f>((100/(H69))*C81)/100</f>
        <v>0</v>
      </c>
      <c r="E81" s="93"/>
      <c r="F81" s="134"/>
      <c r="G81" s="93"/>
      <c r="H81" s="94"/>
      <c r="I81" s="15" t="s">
        <v>107</v>
      </c>
      <c r="J81" s="32">
        <f>(IF(B69&gt;1.5,(H69/(B69+2)+J75+MAX(0,J76-J75)+MAX(0,J77-J76)+MAX(0,J78-J77)+MAX(0,J79-J78)+MAX(0,J80-J79)),IF(B69=1,(H69/(B69+3)+J80),IF(B69=0,H69/4+J80))))</f>
        <v>58</v>
      </c>
    </row>
    <row r="82" spans="1:10" ht="15.75" hidden="1" customHeight="1" x14ac:dyDescent="0.25">
      <c r="A82" s="115" t="s">
        <v>147</v>
      </c>
      <c r="B82" s="116"/>
      <c r="C82" s="117" t="str">
        <f>D58</f>
        <v>Wing 2 = G + 1st to 56th Floor</v>
      </c>
      <c r="D82" s="118"/>
      <c r="E82" s="118"/>
      <c r="F82" s="118"/>
      <c r="G82" s="118"/>
      <c r="H82" s="119"/>
      <c r="I82" s="48" t="str">
        <f ca="1">IF(D95=100%,"All work Completed. Possession granted to the Building.",IF(D94=100%,"All work Completed, Waiting for OC",I83&amp;""&amp;I84&amp;""&amp;J83&amp;""&amp;J82&amp;" "&amp;J84))</f>
        <v xml:space="preserve">Work not yet Started. </v>
      </c>
      <c r="J82" s="49"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c>
    </row>
    <row r="83" spans="1:10" hidden="1" x14ac:dyDescent="0.25">
      <c r="A83" s="16" t="s">
        <v>149</v>
      </c>
      <c r="B83" s="53">
        <v>0</v>
      </c>
      <c r="C83" s="53" t="s">
        <v>74</v>
      </c>
      <c r="D83" s="53">
        <v>1</v>
      </c>
      <c r="E83" s="53" t="s">
        <v>73</v>
      </c>
      <c r="F83" s="53">
        <v>0</v>
      </c>
      <c r="G83" s="53" t="s">
        <v>83</v>
      </c>
      <c r="H83" s="17">
        <f ca="1">--TRIM(RIGHT(SUBSTITUTE(LEFT(C82,_xlfn.AGGREGATE(16,6,FIND({0,1,2,3,4,5,6,7,8,9},C82,ROW(INDIRECT("1:"&amp;LEN(C82)))),1))," ",REPT(" ",LEN(C82))),LEN(C82)))</f>
        <v>56</v>
      </c>
      <c r="I83" s="50" t="str">
        <f ca="1">IF(D86=100%,"Excavation","")&amp;IF(D87=100%,", Plinth","")&amp;IF(D88=100%,", RCC Slab","")&amp;IF(D89=100%,", Brickwork","")&amp;IF(D90=100%,", Internal Plaster","")&amp;IF(D91=100%,", External Plaster","")&amp;IF(D92=100%,", Flooring","")&amp;IF(D93=100%,", Painting","")&amp;IF(D94=100%,", Building common Amenities","")</f>
        <v/>
      </c>
      <c r="J83" s="51" t="str">
        <f>(IF(C86=0,"Work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Work not yet Started.</v>
      </c>
    </row>
    <row r="84" spans="1:10" ht="17.25" hidden="1" customHeight="1" x14ac:dyDescent="0.25">
      <c r="A84" s="109" t="s">
        <v>93</v>
      </c>
      <c r="B84" s="110"/>
      <c r="C84" s="111" t="str">
        <f ca="1">(IF($G$52="NA",I82,"All work Completed. OC Received."))</f>
        <v xml:space="preserve">Work not yet Started. </v>
      </c>
      <c r="D84" s="111"/>
      <c r="E84" s="111"/>
      <c r="F84" s="111"/>
      <c r="G84" s="111"/>
      <c r="H84" s="112"/>
      <c r="I84" s="50" t="str">
        <f ca="1">IF(I83&lt;&gt;""," Completed","")</f>
        <v/>
      </c>
      <c r="J84" s="51" t="str">
        <f ca="1">IF(J82&lt;&gt;"","Completed","")</f>
        <v/>
      </c>
    </row>
    <row r="85" spans="1:10" ht="15.75" hidden="1" customHeight="1" x14ac:dyDescent="0.25">
      <c r="A85" s="95" t="s">
        <v>50</v>
      </c>
      <c r="B85" s="96"/>
      <c r="C85" s="44" t="s">
        <v>146</v>
      </c>
      <c r="D85" s="44" t="s">
        <v>86</v>
      </c>
      <c r="E85" s="96" t="s">
        <v>88</v>
      </c>
      <c r="F85" s="96"/>
      <c r="G85" s="96" t="s">
        <v>87</v>
      </c>
      <c r="H85" s="113"/>
      <c r="I85" s="14" t="s">
        <v>148</v>
      </c>
      <c r="J85" s="28">
        <f ca="1">H83*25%</f>
        <v>14</v>
      </c>
    </row>
    <row r="86" spans="1:10" hidden="1" x14ac:dyDescent="0.25">
      <c r="A86" s="95" t="s">
        <v>135</v>
      </c>
      <c r="B86" s="96"/>
      <c r="C86" s="44">
        <v>0</v>
      </c>
      <c r="D86" s="19">
        <f ca="1">((100/H83)*C86)/100</f>
        <v>0</v>
      </c>
      <c r="E86" s="89">
        <f ca="1">(((C87/H83*10)+(40/(D83+F83+H83)*C88)+(7.5/(H83)*C89)+(7.5/(H83)*C90)+(10/H83*C91)+(10/H83*C92)+(5/H83*C93)+(5/H83*C94)+(5/H83*C95))/100)</f>
        <v>0</v>
      </c>
      <c r="F86" s="132"/>
      <c r="G86" s="89">
        <f ca="1">((((C86/H83)*20)+((C87/H83)*25)+(30/(H83+F83+D83)*C88)+(5/H83*C89)+(5/H83*C90)+(5/H83*C91)+(5/H83*C92)+(0/H83*C93)+(0/H83*C94)+(5/H83*C95))/100)</f>
        <v>0</v>
      </c>
      <c r="H86" s="90"/>
      <c r="I86" s="14" t="s">
        <v>103</v>
      </c>
      <c r="J86" s="29">
        <f ca="1">H83*50%</f>
        <v>28</v>
      </c>
    </row>
    <row r="87" spans="1:10" hidden="1" x14ac:dyDescent="0.25">
      <c r="A87" s="95" t="s">
        <v>51</v>
      </c>
      <c r="B87" s="96"/>
      <c r="C87" s="44">
        <v>0</v>
      </c>
      <c r="D87" s="19">
        <f ca="1">((100/H83)*C87)/100</f>
        <v>0</v>
      </c>
      <c r="E87" s="91"/>
      <c r="F87" s="133"/>
      <c r="G87" s="91"/>
      <c r="H87" s="92"/>
      <c r="I87" s="14" t="s">
        <v>104</v>
      </c>
      <c r="J87" s="29">
        <f ca="1">H83</f>
        <v>56</v>
      </c>
    </row>
    <row r="88" spans="1:10" ht="15.75" hidden="1" customHeight="1" x14ac:dyDescent="0.25">
      <c r="A88" s="95" t="s">
        <v>136</v>
      </c>
      <c r="B88" s="96"/>
      <c r="C88" s="44">
        <v>0</v>
      </c>
      <c r="D88" s="19">
        <f ca="1">((100/(D83+F83+H83))*C88)/100</f>
        <v>0</v>
      </c>
      <c r="E88" s="91"/>
      <c r="F88" s="133"/>
      <c r="G88" s="91"/>
      <c r="H88" s="92"/>
      <c r="I88" s="14" t="s">
        <v>105</v>
      </c>
      <c r="J88" s="30">
        <f ca="1">(IF(B83&gt;1,(H83/(B83+2)),H83/4))</f>
        <v>14</v>
      </c>
    </row>
    <row r="89" spans="1:10" ht="15.75" hidden="1" customHeight="1" x14ac:dyDescent="0.25">
      <c r="A89" s="95" t="s">
        <v>143</v>
      </c>
      <c r="B89" s="96" t="s">
        <v>137</v>
      </c>
      <c r="C89" s="44">
        <v>0</v>
      </c>
      <c r="D89" s="19">
        <f ca="1">((100/H83)*C89)/100</f>
        <v>0</v>
      </c>
      <c r="E89" s="91"/>
      <c r="F89" s="133"/>
      <c r="G89" s="91"/>
      <c r="H89" s="92"/>
      <c r="I89" s="14" t="s">
        <v>106</v>
      </c>
      <c r="J89" s="30">
        <f ca="1">(IF(B83&gt;1,(H83/(B83+2)+J88),H83/4+J88))</f>
        <v>28</v>
      </c>
    </row>
    <row r="90" spans="1:10" ht="15.75" hidden="1" customHeight="1" x14ac:dyDescent="0.25">
      <c r="A90" s="95" t="s">
        <v>144</v>
      </c>
      <c r="B90" s="96" t="s">
        <v>137</v>
      </c>
      <c r="C90" s="44">
        <v>0</v>
      </c>
      <c r="D90" s="19">
        <f ca="1">((100/H83)*C90)/100</f>
        <v>0</v>
      </c>
      <c r="E90" s="91"/>
      <c r="F90" s="133"/>
      <c r="G90" s="91"/>
      <c r="H90" s="92"/>
      <c r="I90" s="14" t="s">
        <v>155</v>
      </c>
      <c r="J90" s="30">
        <f>(IF(B83&gt;1,(H83/(B83+2)+J89),0))</f>
        <v>0</v>
      </c>
    </row>
    <row r="91" spans="1:10" ht="15" hidden="1" customHeight="1" x14ac:dyDescent="0.25">
      <c r="A91" s="95" t="s">
        <v>142</v>
      </c>
      <c r="B91" s="96" t="s">
        <v>139</v>
      </c>
      <c r="C91" s="44">
        <v>0</v>
      </c>
      <c r="D91" s="19">
        <f ca="1">((100/(H83))*C91)/100</f>
        <v>0</v>
      </c>
      <c r="E91" s="91"/>
      <c r="F91" s="133"/>
      <c r="G91" s="91"/>
      <c r="H91" s="92"/>
      <c r="I91" s="14" t="s">
        <v>150</v>
      </c>
      <c r="J91" s="30">
        <f>(IF(B83&gt;2,(H83/(B83+2)+J90),0))</f>
        <v>0</v>
      </c>
    </row>
    <row r="92" spans="1:10" ht="15.75" hidden="1" customHeight="1" x14ac:dyDescent="0.25">
      <c r="A92" s="95" t="s">
        <v>138</v>
      </c>
      <c r="B92" s="96" t="s">
        <v>138</v>
      </c>
      <c r="C92" s="44">
        <v>0</v>
      </c>
      <c r="D92" s="19">
        <f ca="1">((100/H83)*C92)/100</f>
        <v>0</v>
      </c>
      <c r="E92" s="91"/>
      <c r="F92" s="133"/>
      <c r="G92" s="91"/>
      <c r="H92" s="92"/>
      <c r="I92" s="14" t="s">
        <v>151</v>
      </c>
      <c r="J92" s="31">
        <f>(IF(B83&gt;3,(H83/(B83+2)+J91),0))</f>
        <v>0</v>
      </c>
    </row>
    <row r="93" spans="1:10" ht="15.75" hidden="1" customHeight="1" x14ac:dyDescent="0.25">
      <c r="A93" s="95" t="s">
        <v>145</v>
      </c>
      <c r="B93" s="96"/>
      <c r="C93" s="44">
        <v>0</v>
      </c>
      <c r="D93" s="19">
        <f ca="1">((100/H83)*C93)/100</f>
        <v>0</v>
      </c>
      <c r="E93" s="91"/>
      <c r="F93" s="133"/>
      <c r="G93" s="91"/>
      <c r="H93" s="92"/>
      <c r="I93" s="14" t="s">
        <v>152</v>
      </c>
      <c r="J93" s="30">
        <f>(IF(B83&gt;4,(H83/(B83+2)+J92),0))</f>
        <v>0</v>
      </c>
    </row>
    <row r="94" spans="1:10" ht="15.75" hidden="1" customHeight="1" x14ac:dyDescent="0.25">
      <c r="A94" s="95" t="s">
        <v>140</v>
      </c>
      <c r="B94" s="96" t="s">
        <v>140</v>
      </c>
      <c r="C94" s="44">
        <v>0</v>
      </c>
      <c r="D94" s="19">
        <f ca="1">((100/(H83))*C94)/100</f>
        <v>0</v>
      </c>
      <c r="E94" s="91"/>
      <c r="F94" s="133"/>
      <c r="G94" s="91"/>
      <c r="H94" s="92"/>
      <c r="I94" s="14" t="s">
        <v>156</v>
      </c>
      <c r="J94" s="30">
        <f ca="1">(IF(B83=1,(H83/(B83+3)+J89),IF(B83=0,(H83/4+J89),IF(B83&gt;1,0))))</f>
        <v>42</v>
      </c>
    </row>
    <row r="95" spans="1:10" ht="16.5" hidden="1" thickBot="1" x14ac:dyDescent="0.3">
      <c r="A95" s="135" t="s">
        <v>141</v>
      </c>
      <c r="B95" s="136"/>
      <c r="C95" s="45">
        <v>0</v>
      </c>
      <c r="D95" s="20">
        <f ca="1">((100/(H83))*C95)/100</f>
        <v>0</v>
      </c>
      <c r="E95" s="93"/>
      <c r="F95" s="134"/>
      <c r="G95" s="93"/>
      <c r="H95" s="94"/>
      <c r="I95" s="15" t="s">
        <v>107</v>
      </c>
      <c r="J95" s="32">
        <f ca="1">(IF(B83&gt;1.5,(H83/(B83+2)+J89+MAX(0,J90-J89)+MAX(0,J91-J90)+MAX(0,J92-J91)+MAX(0,J93-J92)+MAX(0,J94-J93)),IF(B83=1,(H83/(B83+3)+J94),IF(B83=0,H83/4+J94))))</f>
        <v>56</v>
      </c>
    </row>
    <row r="96" spans="1:10" ht="15.75" hidden="1" customHeight="1" x14ac:dyDescent="0.25">
      <c r="A96" s="115" t="s">
        <v>147</v>
      </c>
      <c r="B96" s="116"/>
      <c r="C96" s="117" t="str">
        <f>D59</f>
        <v>Wing 3 &amp; 4 = G + 7P + 8A + 56th Floor</v>
      </c>
      <c r="D96" s="118"/>
      <c r="E96" s="118"/>
      <c r="F96" s="118"/>
      <c r="G96" s="118"/>
      <c r="H96" s="119"/>
      <c r="I96" s="48" t="str">
        <f ca="1">IF(D109=100%,"All work Completed. Possession granted to the Building.",IF(D108=100%,"All work Completed, Waiting for OC",I97&amp;""&amp;I98&amp;""&amp;J97&amp;""&amp;J96&amp;" "&amp;J98))</f>
        <v xml:space="preserve">Work not yet Started. </v>
      </c>
      <c r="J96" s="49" t="str">
        <f ca="1">(IF(C102=(D97+F97+H97),"",IF(C102&gt;0,", RCC upto "&amp;C102&amp;" Slab","")))&amp;(IF(C103=H97,"",IF(C103&gt;0,", Brickwork upto "&amp;C103&amp;" Floor","")))&amp;(IF(C104=H97,"",IF(C104&gt;0,", Internal Plaster upto "&amp;C104&amp;" Floor","")))&amp;(IF(C105=H97,"",IF(C105&gt;0,", External Plaster upto "&amp;C105&amp;" Floor","")))&amp;(IF(C106=H97,"",IF(C106&gt;0,", Flooring upto "&amp;C106&amp;" Floor","")))&amp;(IF(C107=H97,"",IF(C107&gt;0,", Painting upto "&amp;C107&amp;" Floor","")))&amp;(IF(C108=H97,"",IF(C108&gt;0,", Finishing upto "&amp;C108&amp;" Floor","")))&amp;(IF(C109=H97,"",IF(C109&gt;0,", Possession upto "&amp;C109&amp;" Floor","")))</f>
        <v/>
      </c>
    </row>
    <row r="97" spans="1:10" hidden="1" x14ac:dyDescent="0.25">
      <c r="A97" s="16" t="s">
        <v>149</v>
      </c>
      <c r="B97" s="53">
        <v>0</v>
      </c>
      <c r="C97" s="53" t="s">
        <v>74</v>
      </c>
      <c r="D97" s="53">
        <v>1</v>
      </c>
      <c r="E97" s="53" t="s">
        <v>73</v>
      </c>
      <c r="F97" s="53">
        <v>0</v>
      </c>
      <c r="G97" s="53" t="s">
        <v>83</v>
      </c>
      <c r="H97" s="17">
        <f ca="1">--TRIM(RIGHT(SUBSTITUTE(LEFT(C96,_xlfn.AGGREGATE(16,6,FIND({0,1,2,3,4,5,6,7,8,9},C96,ROW(INDIRECT("1:"&amp;LEN(C96)))),1))," ",REPT(" ",LEN(C96))),LEN(C96)))</f>
        <v>56</v>
      </c>
      <c r="I97" s="50" t="str">
        <f ca="1">IF(D100=100%,"Excavation","")&amp;IF(D101=100%,", Plinth","")&amp;IF(D102=100%,", RCC Slab","")&amp;IF(D103=100%,", Brickwork","")&amp;IF(D104=100%,", Internal Plaster","")&amp;IF(D105=100%,", External Plaster","")&amp;IF(D106=100%,", Flooring","")&amp;IF(D107=100%,", Painting","")&amp;IF(D108=100%,", Building common Amenities","")</f>
        <v/>
      </c>
      <c r="J97" s="51" t="str">
        <f>(IF(C100=0,"Work not yet Started.",IF(D100=25%,"Piling work in process",IF(D100=50%,"Excavation work in process",IF(D100=100%,"","0")))))&amp;(IF(C101=0%,"",IF(C101=J102,", Footing work is process",IF(C101=J103,", Footing work Completed",IF(C101=J104,", 1st Basement Completed",IF(C101=J105,", 1st &amp; 2nd Basement Completed",IF(C101=J106,", 1st to 3rd Basement Completed",IF(C101=J107,", 1st to 4th Basement Completed",IF(C101=J108,", Plinth work is process",IF(C101=J109,"","0"))))))))))</f>
        <v>Work not yet Started.</v>
      </c>
    </row>
    <row r="98" spans="1:10" ht="17.25" hidden="1" customHeight="1" x14ac:dyDescent="0.25">
      <c r="A98" s="109" t="s">
        <v>93</v>
      </c>
      <c r="B98" s="110"/>
      <c r="C98" s="111" t="str">
        <f ca="1">(IF($G$52="NA",I96,"All work Completed. OC Received."))</f>
        <v xml:space="preserve">Work not yet Started. </v>
      </c>
      <c r="D98" s="111"/>
      <c r="E98" s="111"/>
      <c r="F98" s="111"/>
      <c r="G98" s="111"/>
      <c r="H98" s="112"/>
      <c r="I98" s="50" t="str">
        <f ca="1">IF(I97&lt;&gt;""," Completed","")</f>
        <v/>
      </c>
      <c r="J98" s="51" t="str">
        <f ca="1">IF(J96&lt;&gt;"","Completed","")</f>
        <v/>
      </c>
    </row>
    <row r="99" spans="1:10" ht="15.75" hidden="1" customHeight="1" x14ac:dyDescent="0.25">
      <c r="A99" s="95" t="s">
        <v>50</v>
      </c>
      <c r="B99" s="96"/>
      <c r="C99" s="44" t="s">
        <v>146</v>
      </c>
      <c r="D99" s="44" t="s">
        <v>86</v>
      </c>
      <c r="E99" s="96" t="s">
        <v>88</v>
      </c>
      <c r="F99" s="96"/>
      <c r="G99" s="96" t="s">
        <v>87</v>
      </c>
      <c r="H99" s="113"/>
      <c r="I99" s="14" t="s">
        <v>148</v>
      </c>
      <c r="J99" s="28">
        <f ca="1">H97*25%</f>
        <v>14</v>
      </c>
    </row>
    <row r="100" spans="1:10" hidden="1" x14ac:dyDescent="0.25">
      <c r="A100" s="95" t="s">
        <v>135</v>
      </c>
      <c r="B100" s="96"/>
      <c r="C100" s="44">
        <v>0</v>
      </c>
      <c r="D100" s="19">
        <f ca="1">((100/H97)*C100)/100</f>
        <v>0</v>
      </c>
      <c r="E100" s="89">
        <f ca="1">(((C101/H97*10)+(40/(D97+F97+H97)*C102)+(7.5/(H97)*C103)+(7.5/(H97)*C104)+(10/H97*C105)+(10/H97*C106)+(5/H97*C107)+(5/H97*C108)+(5/H97*C109))/100)</f>
        <v>0</v>
      </c>
      <c r="F100" s="132"/>
      <c r="G100" s="89">
        <f ca="1">((((C100/H97)*20)+((C101/H97)*25)+(30/(H97+F97+D97)*C102)+(5/H97*C103)+(5/H97*C104)+(5/H97*C105)+(5/H97*C106)+(0/H97*C107)+(0/H97*C108)+(5/H97*C109))/100)</f>
        <v>0</v>
      </c>
      <c r="H100" s="90"/>
      <c r="I100" s="14" t="s">
        <v>103</v>
      </c>
      <c r="J100" s="29">
        <f ca="1">H97*50%</f>
        <v>28</v>
      </c>
    </row>
    <row r="101" spans="1:10" hidden="1" x14ac:dyDescent="0.25">
      <c r="A101" s="95" t="s">
        <v>51</v>
      </c>
      <c r="B101" s="96"/>
      <c r="C101" s="44">
        <v>0</v>
      </c>
      <c r="D101" s="19">
        <f ca="1">((100/H97)*C101)/100</f>
        <v>0</v>
      </c>
      <c r="E101" s="91"/>
      <c r="F101" s="133"/>
      <c r="G101" s="91"/>
      <c r="H101" s="92"/>
      <c r="I101" s="14" t="s">
        <v>104</v>
      </c>
      <c r="J101" s="29">
        <f ca="1">H97</f>
        <v>56</v>
      </c>
    </row>
    <row r="102" spans="1:10" ht="15.75" hidden="1" customHeight="1" x14ac:dyDescent="0.25">
      <c r="A102" s="95" t="s">
        <v>136</v>
      </c>
      <c r="B102" s="96"/>
      <c r="C102" s="44">
        <v>0</v>
      </c>
      <c r="D102" s="19">
        <f ca="1">((100/(D97+F97+H97))*C102)/100</f>
        <v>0</v>
      </c>
      <c r="E102" s="91"/>
      <c r="F102" s="133"/>
      <c r="G102" s="91"/>
      <c r="H102" s="92"/>
      <c r="I102" s="14" t="s">
        <v>105</v>
      </c>
      <c r="J102" s="30">
        <f ca="1">(IF(B97&gt;1,(H97/(B97+2)),H97/4))</f>
        <v>14</v>
      </c>
    </row>
    <row r="103" spans="1:10" ht="15.75" hidden="1" customHeight="1" x14ac:dyDescent="0.25">
      <c r="A103" s="95" t="s">
        <v>143</v>
      </c>
      <c r="B103" s="96" t="s">
        <v>137</v>
      </c>
      <c r="C103" s="44">
        <v>0</v>
      </c>
      <c r="D103" s="19">
        <f ca="1">((100/H97)*C103)/100</f>
        <v>0</v>
      </c>
      <c r="E103" s="91"/>
      <c r="F103" s="133"/>
      <c r="G103" s="91"/>
      <c r="H103" s="92"/>
      <c r="I103" s="14" t="s">
        <v>106</v>
      </c>
      <c r="J103" s="30">
        <f ca="1">(IF(B97&gt;1,(H97/(B97+2)+J102),H97/4+J102))</f>
        <v>28</v>
      </c>
    </row>
    <row r="104" spans="1:10" ht="15.75" hidden="1" customHeight="1" x14ac:dyDescent="0.25">
      <c r="A104" s="95" t="s">
        <v>144</v>
      </c>
      <c r="B104" s="96" t="s">
        <v>137</v>
      </c>
      <c r="C104" s="44">
        <v>0</v>
      </c>
      <c r="D104" s="19">
        <f ca="1">((100/H97)*C104)/100</f>
        <v>0</v>
      </c>
      <c r="E104" s="91"/>
      <c r="F104" s="133"/>
      <c r="G104" s="91"/>
      <c r="H104" s="92"/>
      <c r="I104" s="14" t="s">
        <v>155</v>
      </c>
      <c r="J104" s="30">
        <f>(IF(B97&gt;1,(H97/(B97+2)+J103),0))</f>
        <v>0</v>
      </c>
    </row>
    <row r="105" spans="1:10" ht="15" hidden="1" customHeight="1" x14ac:dyDescent="0.25">
      <c r="A105" s="95" t="s">
        <v>142</v>
      </c>
      <c r="B105" s="96" t="s">
        <v>139</v>
      </c>
      <c r="C105" s="44">
        <v>0</v>
      </c>
      <c r="D105" s="19">
        <f ca="1">((100/(H97))*C105)/100</f>
        <v>0</v>
      </c>
      <c r="E105" s="91"/>
      <c r="F105" s="133"/>
      <c r="G105" s="91"/>
      <c r="H105" s="92"/>
      <c r="I105" s="14" t="s">
        <v>150</v>
      </c>
      <c r="J105" s="30">
        <f>(IF(B97&gt;2,(H97/(B97+2)+J104),0))</f>
        <v>0</v>
      </c>
    </row>
    <row r="106" spans="1:10" ht="15.75" hidden="1" customHeight="1" x14ac:dyDescent="0.25">
      <c r="A106" s="95" t="s">
        <v>138</v>
      </c>
      <c r="B106" s="96" t="s">
        <v>138</v>
      </c>
      <c r="C106" s="44">
        <v>0</v>
      </c>
      <c r="D106" s="19">
        <f ca="1">((100/H97)*C106)/100</f>
        <v>0</v>
      </c>
      <c r="E106" s="91"/>
      <c r="F106" s="133"/>
      <c r="G106" s="91"/>
      <c r="H106" s="92"/>
      <c r="I106" s="14" t="s">
        <v>151</v>
      </c>
      <c r="J106" s="31">
        <f>(IF(B97&gt;3,(H97/(B97+2)+J105),0))</f>
        <v>0</v>
      </c>
    </row>
    <row r="107" spans="1:10" ht="15.75" hidden="1" customHeight="1" x14ac:dyDescent="0.25">
      <c r="A107" s="95" t="s">
        <v>145</v>
      </c>
      <c r="B107" s="96"/>
      <c r="C107" s="44">
        <v>0</v>
      </c>
      <c r="D107" s="19">
        <f ca="1">((100/H97)*C107)/100</f>
        <v>0</v>
      </c>
      <c r="E107" s="91"/>
      <c r="F107" s="133"/>
      <c r="G107" s="91"/>
      <c r="H107" s="92"/>
      <c r="I107" s="14" t="s">
        <v>152</v>
      </c>
      <c r="J107" s="30">
        <f>(IF(B97&gt;4,(H97/(B97+2)+J106),0))</f>
        <v>0</v>
      </c>
    </row>
    <row r="108" spans="1:10" ht="15.75" hidden="1" customHeight="1" x14ac:dyDescent="0.25">
      <c r="A108" s="95" t="s">
        <v>140</v>
      </c>
      <c r="B108" s="96" t="s">
        <v>140</v>
      </c>
      <c r="C108" s="44">
        <v>0</v>
      </c>
      <c r="D108" s="19">
        <f ca="1">((100/(H97))*C108)/100</f>
        <v>0</v>
      </c>
      <c r="E108" s="91"/>
      <c r="F108" s="133"/>
      <c r="G108" s="91"/>
      <c r="H108" s="92"/>
      <c r="I108" s="14" t="s">
        <v>156</v>
      </c>
      <c r="J108" s="30">
        <f ca="1">(IF(B97=1,(H97/(B97+3)+J103),IF(B97=0,(H97/4+J103),IF(B97&gt;1,0))))</f>
        <v>42</v>
      </c>
    </row>
    <row r="109" spans="1:10" ht="16.5" hidden="1" thickBot="1" x14ac:dyDescent="0.3">
      <c r="A109" s="135" t="s">
        <v>141</v>
      </c>
      <c r="B109" s="136"/>
      <c r="C109" s="45">
        <v>0</v>
      </c>
      <c r="D109" s="20">
        <f ca="1">((100/(H97))*C109)/100</f>
        <v>0</v>
      </c>
      <c r="E109" s="93"/>
      <c r="F109" s="134"/>
      <c r="G109" s="93"/>
      <c r="H109" s="94"/>
      <c r="I109" s="15" t="s">
        <v>107</v>
      </c>
      <c r="J109" s="32">
        <f ca="1">(IF(B97&gt;1.5,(H97/(B97+2)+J103+MAX(0,J104-J103)+MAX(0,J105-J104)+MAX(0,J106-J105)+MAX(0,J107-J106)+MAX(0,J108-J107)),IF(B97=1,(H97/(B97+3)+J108),IF(B97=0,H97/4+J108))))</f>
        <v>56</v>
      </c>
    </row>
    <row r="110" spans="1:10" ht="15.75" hidden="1" customHeight="1" x14ac:dyDescent="0.25">
      <c r="A110" s="115" t="s">
        <v>147</v>
      </c>
      <c r="B110" s="116"/>
      <c r="C110" s="117" t="str">
        <f>D60</f>
        <v>Wing 5 = 4B + Gr + 20th Floor</v>
      </c>
      <c r="D110" s="118"/>
      <c r="E110" s="118"/>
      <c r="F110" s="118"/>
      <c r="G110" s="118"/>
      <c r="H110" s="119"/>
      <c r="I110" s="48" t="str">
        <f ca="1">IF(D123=100%,"All work Completed. Possession granted to the Building.",IF(D122=100%,"All work Completed, Waiting for OC",I111&amp;""&amp;I112&amp;""&amp;J111&amp;""&amp;J110&amp;" "&amp;J112))</f>
        <v xml:space="preserve">Work not yet Started. </v>
      </c>
      <c r="J110" s="49" t="str">
        <f ca="1">(IF(C116=(D111+F111+H111),"",IF(C116&gt;0,", RCC upto "&amp;C116&amp;" Slab","")))&amp;(IF(C117=H111,"",IF(C117&gt;0,", Brickwork upto "&amp;C117&amp;" Floor","")))&amp;(IF(C118=H111,"",IF(C118&gt;0,", Internal Plaster upto "&amp;C118&amp;" Floor","")))&amp;(IF(C119=H111,"",IF(C119&gt;0,", External Plaster upto "&amp;C119&amp;" Floor","")))&amp;(IF(C120=H111,"",IF(C120&gt;0,", Flooring upto "&amp;C120&amp;" Floor","")))&amp;(IF(C121=H111,"",IF(C121&gt;0,", Painting upto "&amp;C121&amp;" Floor","")))&amp;(IF(C122=H111,"",IF(C122&gt;0,", Finishing upto "&amp;C122&amp;" Floor","")))&amp;(IF(C123=H111,"",IF(C123&gt;0,", Possession upto "&amp;C123&amp;" Floor","")))</f>
        <v/>
      </c>
    </row>
    <row r="111" spans="1:10" hidden="1" x14ac:dyDescent="0.25">
      <c r="A111" s="16" t="s">
        <v>149</v>
      </c>
      <c r="B111" s="53">
        <v>0</v>
      </c>
      <c r="C111" s="53" t="s">
        <v>74</v>
      </c>
      <c r="D111" s="53">
        <v>1</v>
      </c>
      <c r="E111" s="53" t="s">
        <v>73</v>
      </c>
      <c r="F111" s="53">
        <v>0</v>
      </c>
      <c r="G111" s="53" t="s">
        <v>83</v>
      </c>
      <c r="H111" s="17">
        <f ca="1">--TRIM(RIGHT(SUBSTITUTE(LEFT(C110,_xlfn.AGGREGATE(16,6,FIND({0,1,2,3,4,5,6,7,8,9},C110,ROW(INDIRECT("1:"&amp;LEN(C110)))),1))," ",REPT(" ",LEN(C110))),LEN(C110)))</f>
        <v>20</v>
      </c>
      <c r="I111" s="50" t="str">
        <f ca="1">IF(D114=100%,"Excavation","")&amp;IF(D115=100%,", Plinth","")&amp;IF(D116=100%,", RCC Slab","")&amp;IF(D117=100%,", Brickwork","")&amp;IF(D118=100%,", Internal Plaster","")&amp;IF(D119=100%,", External Plaster","")&amp;IF(D120=100%,", Flooring","")&amp;IF(D121=100%,", Painting","")&amp;IF(D122=100%,", Building common Amenities","")</f>
        <v/>
      </c>
      <c r="J111" s="51" t="str">
        <f>(IF(C114=0,"Work not yet Started.",IF(D114=25%,"Piling work in process",IF(D114=50%,"Excavation work in process",IF(D114=100%,"","0")))))&amp;(IF(C115=0%,"",IF(C115=J116,", Footing work is process",IF(C115=J117,", Footing work Completed",IF(C115=J118,", 1st Basement Completed",IF(C115=J119,", 1st &amp; 2nd Basement Completed",IF(C115=J120,", 1st to 3rd Basement Completed",IF(C115=J121,", 1st to 4th Basement Completed",IF(C115=J122,", Plinth work is process",IF(C115=J123,"","0"))))))))))</f>
        <v>Work not yet Started.</v>
      </c>
    </row>
    <row r="112" spans="1:10" ht="17.25" hidden="1" customHeight="1" x14ac:dyDescent="0.25">
      <c r="A112" s="109" t="s">
        <v>93</v>
      </c>
      <c r="B112" s="110"/>
      <c r="C112" s="111" t="str">
        <f ca="1">(IF($G$52="NA",I110,"All work Completed. OC Received."))</f>
        <v xml:space="preserve">Work not yet Started. </v>
      </c>
      <c r="D112" s="111"/>
      <c r="E112" s="111"/>
      <c r="F112" s="111"/>
      <c r="G112" s="111"/>
      <c r="H112" s="112"/>
      <c r="I112" s="50" t="str">
        <f ca="1">IF(I111&lt;&gt;""," Completed","")</f>
        <v/>
      </c>
      <c r="J112" s="51" t="str">
        <f ca="1">IF(J110&lt;&gt;"","Completed","")</f>
        <v/>
      </c>
    </row>
    <row r="113" spans="1:13" ht="15.75" hidden="1" customHeight="1" x14ac:dyDescent="0.25">
      <c r="A113" s="95" t="s">
        <v>50</v>
      </c>
      <c r="B113" s="96"/>
      <c r="C113" s="44" t="s">
        <v>146</v>
      </c>
      <c r="D113" s="44" t="s">
        <v>86</v>
      </c>
      <c r="E113" s="96" t="s">
        <v>88</v>
      </c>
      <c r="F113" s="96"/>
      <c r="G113" s="96" t="s">
        <v>87</v>
      </c>
      <c r="H113" s="113"/>
      <c r="I113" s="14" t="s">
        <v>148</v>
      </c>
      <c r="J113" s="28">
        <f ca="1">H111*25%</f>
        <v>5</v>
      </c>
    </row>
    <row r="114" spans="1:13" hidden="1" x14ac:dyDescent="0.25">
      <c r="A114" s="95" t="s">
        <v>135</v>
      </c>
      <c r="B114" s="96"/>
      <c r="C114" s="44">
        <v>0</v>
      </c>
      <c r="D114" s="19">
        <f ca="1">((100/H111)*C114)/100</f>
        <v>0</v>
      </c>
      <c r="E114" s="89">
        <f ca="1">(((C115/H111*10)+(40/(D111+F111+H111)*C116)+(7.5/(H111)*C117)+(7.5/(H111)*C118)+(10/H111*C119)+(10/H111*C120)+(5/H111*C121)+(5/H111*C122)+(5/H111*C123))/100)</f>
        <v>0</v>
      </c>
      <c r="F114" s="132"/>
      <c r="G114" s="89">
        <f ca="1">((((C114/H111)*20)+((C115/H111)*25)+(30/(H111+F111+D111)*C116)+(5/H111*C117)+(5/H111*C118)+(5/H111*C119)+(5/H111*C120)+(0/H111*C121)+(0/H111*C122)+(5/H111*C123))/100)</f>
        <v>0</v>
      </c>
      <c r="H114" s="90"/>
      <c r="I114" s="14" t="s">
        <v>103</v>
      </c>
      <c r="J114" s="29">
        <f ca="1">H111*50%</f>
        <v>10</v>
      </c>
    </row>
    <row r="115" spans="1:13" hidden="1" x14ac:dyDescent="0.25">
      <c r="A115" s="95" t="s">
        <v>51</v>
      </c>
      <c r="B115" s="96"/>
      <c r="C115" s="44">
        <v>0</v>
      </c>
      <c r="D115" s="19">
        <f ca="1">((100/H111)*C115)/100</f>
        <v>0</v>
      </c>
      <c r="E115" s="91"/>
      <c r="F115" s="133"/>
      <c r="G115" s="91"/>
      <c r="H115" s="92"/>
      <c r="I115" s="14" t="s">
        <v>104</v>
      </c>
      <c r="J115" s="29">
        <f ca="1">H111</f>
        <v>20</v>
      </c>
    </row>
    <row r="116" spans="1:13" ht="15.75" hidden="1" customHeight="1" x14ac:dyDescent="0.25">
      <c r="A116" s="95" t="s">
        <v>136</v>
      </c>
      <c r="B116" s="96"/>
      <c r="C116" s="44">
        <v>0</v>
      </c>
      <c r="D116" s="19">
        <f ca="1">((100/(D111+F111+H111))*C116)/100</f>
        <v>0</v>
      </c>
      <c r="E116" s="91"/>
      <c r="F116" s="133"/>
      <c r="G116" s="91"/>
      <c r="H116" s="92"/>
      <c r="I116" s="14" t="s">
        <v>105</v>
      </c>
      <c r="J116" s="30">
        <f ca="1">(IF(B111&gt;1,(H111/(B111+2)),H111/4))</f>
        <v>5</v>
      </c>
    </row>
    <row r="117" spans="1:13" ht="15.75" hidden="1" customHeight="1" x14ac:dyDescent="0.25">
      <c r="A117" s="95" t="s">
        <v>143</v>
      </c>
      <c r="B117" s="96" t="s">
        <v>137</v>
      </c>
      <c r="C117" s="44">
        <v>0</v>
      </c>
      <c r="D117" s="19">
        <f ca="1">((100/H111)*C117)/100</f>
        <v>0</v>
      </c>
      <c r="E117" s="91"/>
      <c r="F117" s="133"/>
      <c r="G117" s="91"/>
      <c r="H117" s="92"/>
      <c r="I117" s="14" t="s">
        <v>106</v>
      </c>
      <c r="J117" s="30">
        <f ca="1">(IF(B111&gt;1,(H111/(B111+2)+J116),H111/4+J116))</f>
        <v>10</v>
      </c>
    </row>
    <row r="118" spans="1:13" ht="15.75" hidden="1" customHeight="1" x14ac:dyDescent="0.25">
      <c r="A118" s="95" t="s">
        <v>144</v>
      </c>
      <c r="B118" s="96" t="s">
        <v>137</v>
      </c>
      <c r="C118" s="44">
        <v>0</v>
      </c>
      <c r="D118" s="19">
        <f ca="1">((100/H111)*C118)/100</f>
        <v>0</v>
      </c>
      <c r="E118" s="91"/>
      <c r="F118" s="133"/>
      <c r="G118" s="91"/>
      <c r="H118" s="92"/>
      <c r="I118" s="14" t="s">
        <v>155</v>
      </c>
      <c r="J118" s="30">
        <f>(IF(B111&gt;1,(H111/(B111+2)+J117),0))</f>
        <v>0</v>
      </c>
    </row>
    <row r="119" spans="1:13" ht="15" hidden="1" customHeight="1" x14ac:dyDescent="0.25">
      <c r="A119" s="95" t="s">
        <v>142</v>
      </c>
      <c r="B119" s="96" t="s">
        <v>139</v>
      </c>
      <c r="C119" s="44">
        <v>0</v>
      </c>
      <c r="D119" s="19">
        <f ca="1">((100/(H111))*C119)/100</f>
        <v>0</v>
      </c>
      <c r="E119" s="91"/>
      <c r="F119" s="133"/>
      <c r="G119" s="91"/>
      <c r="H119" s="92"/>
      <c r="I119" s="14" t="s">
        <v>150</v>
      </c>
      <c r="J119" s="30">
        <f>(IF(B111&gt;2,(H111/(B111+2)+J118),0))</f>
        <v>0</v>
      </c>
    </row>
    <row r="120" spans="1:13" ht="15.75" hidden="1" customHeight="1" x14ac:dyDescent="0.25">
      <c r="A120" s="95" t="s">
        <v>138</v>
      </c>
      <c r="B120" s="96" t="s">
        <v>138</v>
      </c>
      <c r="C120" s="44">
        <v>0</v>
      </c>
      <c r="D120" s="19">
        <f ca="1">((100/H111)*C120)/100</f>
        <v>0</v>
      </c>
      <c r="E120" s="91"/>
      <c r="F120" s="133"/>
      <c r="G120" s="91"/>
      <c r="H120" s="92"/>
      <c r="I120" s="14" t="s">
        <v>151</v>
      </c>
      <c r="J120" s="31">
        <f>(IF(B111&gt;3,(H111/(B111+2)+J119),0))</f>
        <v>0</v>
      </c>
    </row>
    <row r="121" spans="1:13" ht="15.75" hidden="1" customHeight="1" x14ac:dyDescent="0.25">
      <c r="A121" s="95" t="s">
        <v>145</v>
      </c>
      <c r="B121" s="96"/>
      <c r="C121" s="44">
        <v>0</v>
      </c>
      <c r="D121" s="19">
        <f ca="1">((100/H111)*C121)/100</f>
        <v>0</v>
      </c>
      <c r="E121" s="91"/>
      <c r="F121" s="133"/>
      <c r="G121" s="91"/>
      <c r="H121" s="92"/>
      <c r="I121" s="14" t="s">
        <v>152</v>
      </c>
      <c r="J121" s="30">
        <f>(IF(B111&gt;4,(H111/(B111+2)+J120),0))</f>
        <v>0</v>
      </c>
    </row>
    <row r="122" spans="1:13" ht="15.75" hidden="1" customHeight="1" x14ac:dyDescent="0.25">
      <c r="A122" s="95" t="s">
        <v>140</v>
      </c>
      <c r="B122" s="96" t="s">
        <v>140</v>
      </c>
      <c r="C122" s="44">
        <v>0</v>
      </c>
      <c r="D122" s="19">
        <f ca="1">((100/(H111))*C122)/100</f>
        <v>0</v>
      </c>
      <c r="E122" s="91"/>
      <c r="F122" s="133"/>
      <c r="G122" s="91"/>
      <c r="H122" s="92"/>
      <c r="I122" s="14" t="s">
        <v>156</v>
      </c>
      <c r="J122" s="30">
        <f ca="1">(IF(B111=1,(H111/(B111+3)+J117),IF(B111=0,(H111/4+J117),IF(B111&gt;1,0))))</f>
        <v>15</v>
      </c>
    </row>
    <row r="123" spans="1:13" ht="16.5" hidden="1" thickBot="1" x14ac:dyDescent="0.3">
      <c r="A123" s="135" t="s">
        <v>141</v>
      </c>
      <c r="B123" s="136"/>
      <c r="C123" s="45">
        <v>0</v>
      </c>
      <c r="D123" s="20">
        <f ca="1">((100/(H111))*C123)/100</f>
        <v>0</v>
      </c>
      <c r="E123" s="93"/>
      <c r="F123" s="134"/>
      <c r="G123" s="93"/>
      <c r="H123" s="94"/>
      <c r="I123" s="15" t="s">
        <v>107</v>
      </c>
      <c r="J123" s="32">
        <f ca="1">(IF(B111&gt;1.5,(H111/(B111+2)+J117+MAX(0,J118-J117)+MAX(0,J119-J118)+MAX(0,J120-J119)+MAX(0,J121-J120)+MAX(0,J122-J121)),IF(B111=1,(H111/(B111+3)+J122),IF(B111=0,H111/4+J122))))</f>
        <v>20</v>
      </c>
    </row>
    <row r="124" spans="1:13" x14ac:dyDescent="0.25">
      <c r="A124" s="114" t="s">
        <v>166</v>
      </c>
      <c r="B124" s="114"/>
      <c r="C124" s="114"/>
      <c r="D124" s="114"/>
      <c r="E124" s="114"/>
      <c r="F124" s="137" t="s">
        <v>171</v>
      </c>
      <c r="G124" s="137"/>
      <c r="H124" s="137"/>
    </row>
    <row r="125" spans="1:13" x14ac:dyDescent="0.25">
      <c r="A125" s="98" t="s">
        <v>169</v>
      </c>
      <c r="B125" s="98"/>
      <c r="C125" s="98"/>
      <c r="D125" s="98"/>
      <c r="E125" s="98"/>
      <c r="F125" s="97">
        <v>35000</v>
      </c>
      <c r="G125" s="97"/>
      <c r="H125" s="97"/>
      <c r="I125" s="198" t="s">
        <v>253</v>
      </c>
      <c r="J125" s="198" t="s">
        <v>254</v>
      </c>
      <c r="K125" s="199">
        <v>45929</v>
      </c>
      <c r="L125" s="198" t="s">
        <v>255</v>
      </c>
      <c r="M125" s="198"/>
    </row>
    <row r="126" spans="1:13" x14ac:dyDescent="0.25">
      <c r="A126" s="98" t="s">
        <v>168</v>
      </c>
      <c r="B126" s="98"/>
      <c r="C126" s="98"/>
      <c r="D126" s="98"/>
      <c r="E126" s="98"/>
      <c r="F126" s="97">
        <v>42000</v>
      </c>
      <c r="G126" s="97"/>
      <c r="H126" s="97"/>
    </row>
    <row r="127" spans="1:13" hidden="1" x14ac:dyDescent="0.25">
      <c r="A127" s="98" t="s">
        <v>170</v>
      </c>
      <c r="B127" s="98"/>
      <c r="C127" s="98"/>
      <c r="D127" s="98"/>
      <c r="E127" s="98"/>
      <c r="F127" s="97"/>
      <c r="G127" s="97"/>
      <c r="H127" s="97"/>
    </row>
    <row r="128" spans="1:13" s="33" customFormat="1" hidden="1" x14ac:dyDescent="0.25">
      <c r="A128" s="98" t="s">
        <v>167</v>
      </c>
      <c r="B128" s="98"/>
      <c r="C128" s="98"/>
      <c r="D128" s="98"/>
      <c r="E128" s="98"/>
      <c r="F128" s="97"/>
      <c r="G128" s="97"/>
      <c r="H128" s="97"/>
    </row>
    <row r="129" spans="1:8" s="33" customFormat="1" x14ac:dyDescent="0.25">
      <c r="A129" s="98" t="s">
        <v>256</v>
      </c>
      <c r="B129" s="98"/>
      <c r="C129" s="98"/>
      <c r="D129" s="98"/>
      <c r="E129" s="98"/>
      <c r="F129" s="97">
        <v>855000</v>
      </c>
      <c r="G129" s="97"/>
      <c r="H129" s="97"/>
    </row>
    <row r="130" spans="1:8" s="33" customFormat="1" hidden="1" x14ac:dyDescent="0.25">
      <c r="A130" s="98" t="s">
        <v>98</v>
      </c>
      <c r="B130" s="98"/>
      <c r="C130" s="98"/>
      <c r="D130" s="98"/>
      <c r="E130" s="98"/>
      <c r="F130" s="97"/>
      <c r="G130" s="97"/>
      <c r="H130" s="97"/>
    </row>
    <row r="131" spans="1:8" s="33" customFormat="1" hidden="1" x14ac:dyDescent="0.25">
      <c r="A131" s="98" t="s">
        <v>172</v>
      </c>
      <c r="B131" s="98"/>
      <c r="C131" s="98"/>
      <c r="D131" s="98"/>
      <c r="E131" s="98"/>
      <c r="F131" s="97"/>
      <c r="G131" s="97"/>
      <c r="H131" s="97"/>
    </row>
    <row r="132" spans="1:8" s="33" customFormat="1" hidden="1" x14ac:dyDescent="0.25">
      <c r="A132" s="98" t="s">
        <v>99</v>
      </c>
      <c r="B132" s="98"/>
      <c r="C132" s="98"/>
      <c r="D132" s="98"/>
      <c r="E132" s="98"/>
      <c r="F132" s="97"/>
      <c r="G132" s="97"/>
      <c r="H132" s="97"/>
    </row>
    <row r="133" spans="1:8" s="33" customFormat="1" hidden="1" x14ac:dyDescent="0.25">
      <c r="A133" s="98" t="s">
        <v>100</v>
      </c>
      <c r="B133" s="98"/>
      <c r="C133" s="98"/>
      <c r="D133" s="98"/>
      <c r="E133" s="98"/>
      <c r="F133" s="97"/>
      <c r="G133" s="97"/>
      <c r="H133" s="97"/>
    </row>
    <row r="134" spans="1:8" s="33" customFormat="1" hidden="1" x14ac:dyDescent="0.25">
      <c r="A134" s="98" t="s">
        <v>101</v>
      </c>
      <c r="B134" s="98"/>
      <c r="C134" s="98"/>
      <c r="D134" s="98"/>
      <c r="E134" s="98"/>
      <c r="F134" s="97"/>
      <c r="G134" s="97"/>
      <c r="H134" s="97"/>
    </row>
    <row r="135" spans="1:8" s="33" customFormat="1" hidden="1" x14ac:dyDescent="0.25">
      <c r="A135" s="98" t="s">
        <v>102</v>
      </c>
      <c r="B135" s="98"/>
      <c r="C135" s="98"/>
      <c r="D135" s="98"/>
      <c r="E135" s="98"/>
      <c r="F135" s="97"/>
      <c r="G135" s="97"/>
      <c r="H135" s="97"/>
    </row>
    <row r="136" spans="1:8" x14ac:dyDescent="0.25">
      <c r="A136" s="98" t="s">
        <v>52</v>
      </c>
      <c r="B136" s="98"/>
      <c r="C136" s="98"/>
      <c r="D136" s="98"/>
      <c r="E136" s="98"/>
      <c r="F136" s="97">
        <v>1200000</v>
      </c>
      <c r="G136" s="97"/>
      <c r="H136" s="97"/>
    </row>
    <row r="137" spans="1:8" s="34" customFormat="1" x14ac:dyDescent="0.25">
      <c r="A137" s="151" t="s">
        <v>53</v>
      </c>
      <c r="B137" s="151"/>
      <c r="C137" s="151"/>
      <c r="D137" s="151"/>
      <c r="E137" s="151"/>
      <c r="F137" s="97">
        <f>F125*0.8</f>
        <v>28000</v>
      </c>
      <c r="G137" s="97"/>
      <c r="H137" s="97"/>
    </row>
    <row r="138" spans="1:8" s="35" customFormat="1" ht="15.75" hidden="1" customHeight="1" x14ac:dyDescent="0.25">
      <c r="A138" s="124" t="s">
        <v>78</v>
      </c>
      <c r="B138" s="124"/>
      <c r="C138" s="124"/>
      <c r="D138" s="124"/>
      <c r="E138" s="124"/>
      <c r="F138" s="124"/>
      <c r="G138" s="124"/>
      <c r="H138" s="124"/>
    </row>
    <row r="139" spans="1:8" s="35" customFormat="1" ht="15.75" hidden="1" customHeight="1" x14ac:dyDescent="0.25">
      <c r="A139" s="122" t="s">
        <v>54</v>
      </c>
      <c r="B139" s="122"/>
      <c r="C139" s="138" t="s">
        <v>81</v>
      </c>
      <c r="D139" s="138"/>
      <c r="E139" s="172" t="s">
        <v>55</v>
      </c>
      <c r="F139" s="172"/>
      <c r="G139" s="122" t="s">
        <v>56</v>
      </c>
      <c r="H139" s="122"/>
    </row>
    <row r="140" spans="1:8" s="35" customFormat="1" hidden="1" x14ac:dyDescent="0.25">
      <c r="A140" s="139" t="s">
        <v>196</v>
      </c>
      <c r="B140" s="139"/>
      <c r="C140" s="140">
        <f>COUNT(D155:D163)</f>
        <v>9</v>
      </c>
      <c r="D140" s="141"/>
      <c r="E140" s="123">
        <f>SUM(D155:D163)</f>
        <v>3145.9996619999993</v>
      </c>
      <c r="F140" s="179"/>
      <c r="G140" s="123">
        <f>SUM(F155:F163)</f>
        <v>5033.5994592000006</v>
      </c>
      <c r="H140" s="179"/>
    </row>
    <row r="141" spans="1:8" s="35" customFormat="1" x14ac:dyDescent="0.25">
      <c r="A141" s="124" t="s">
        <v>72</v>
      </c>
      <c r="B141" s="124"/>
      <c r="C141" s="124"/>
      <c r="D141" s="124"/>
      <c r="E141" s="124"/>
      <c r="F141" s="124"/>
      <c r="G141" s="124"/>
      <c r="H141" s="124"/>
    </row>
    <row r="142" spans="1:8" s="35" customFormat="1" ht="15.75" customHeight="1" x14ac:dyDescent="0.25">
      <c r="A142" s="122" t="s">
        <v>54</v>
      </c>
      <c r="B142" s="122"/>
      <c r="C142" s="138" t="s">
        <v>81</v>
      </c>
      <c r="D142" s="138"/>
      <c r="E142" s="172" t="s">
        <v>55</v>
      </c>
      <c r="F142" s="172"/>
      <c r="G142" s="122" t="s">
        <v>56</v>
      </c>
      <c r="H142" s="122"/>
    </row>
    <row r="143" spans="1:8" s="35" customFormat="1" x14ac:dyDescent="0.25">
      <c r="A143" s="139" t="s">
        <v>197</v>
      </c>
      <c r="B143" s="139"/>
      <c r="C143" s="123">
        <f>COUNT(D171:D177)*50+COUNT(D179:D181,D184:D185)*7+COUNT(D187:D189,D191:D193)</f>
        <v>391</v>
      </c>
      <c r="D143" s="123"/>
      <c r="E143" s="123">
        <f>SUM(D171:D177)*50+SUM(D179:D181,D184:D185)*7+SUM(D187:D189,D191:D193)</f>
        <v>442662.48725399992</v>
      </c>
      <c r="F143" s="123"/>
      <c r="G143" s="123">
        <f>SUM(F171:F177)*50+SUM(F179:F181,F184:F185)*7+SUM(F187:F189,F191:F193)</f>
        <v>663993.73088099982</v>
      </c>
      <c r="H143" s="123"/>
    </row>
    <row r="144" spans="1:8" s="35" customFormat="1" hidden="1" x14ac:dyDescent="0.25">
      <c r="A144" s="139" t="s">
        <v>201</v>
      </c>
      <c r="B144" s="139"/>
      <c r="C144" s="140">
        <f>COUNT(D206:D212)</f>
        <v>7</v>
      </c>
      <c r="D144" s="141"/>
      <c r="E144" s="123">
        <f>SUM(D206:D212)</f>
        <v>7660.1575439999997</v>
      </c>
      <c r="F144" s="123"/>
      <c r="G144" s="123">
        <f>SUM(F206:F212)</f>
        <v>11490.236315999999</v>
      </c>
      <c r="H144" s="123"/>
    </row>
    <row r="145" spans="1:14" s="35" customFormat="1" hidden="1" x14ac:dyDescent="0.25">
      <c r="A145" s="139" t="s">
        <v>203</v>
      </c>
      <c r="B145" s="139"/>
      <c r="C145" s="140">
        <f>COUNT(D218:D220)</f>
        <v>3</v>
      </c>
      <c r="D145" s="141"/>
      <c r="E145" s="123">
        <f t="shared" ref="E145" si="0">SUM(D218:D220)</f>
        <v>5094.9079739999997</v>
      </c>
      <c r="F145" s="123"/>
      <c r="G145" s="123">
        <f>SUM(F218:F220)</f>
        <v>7642.3619609999996</v>
      </c>
      <c r="H145" s="123"/>
    </row>
    <row r="146" spans="1:14" s="35" customFormat="1" hidden="1" x14ac:dyDescent="0.25">
      <c r="A146" s="139" t="s">
        <v>207</v>
      </c>
      <c r="B146" s="139"/>
      <c r="C146" s="140">
        <f>COUNT(D226:D228)</f>
        <v>3</v>
      </c>
      <c r="D146" s="141"/>
      <c r="E146" s="123">
        <f>SUM(D226:D228)</f>
        <v>5094.9079739999997</v>
      </c>
      <c r="F146" s="123"/>
      <c r="G146" s="123">
        <f>SUM(F226:F228)</f>
        <v>7642.3619609999996</v>
      </c>
      <c r="H146" s="123"/>
    </row>
    <row r="147" spans="1:14" s="35" customFormat="1" hidden="1" x14ac:dyDescent="0.25">
      <c r="A147" s="124" t="s">
        <v>160</v>
      </c>
      <c r="B147" s="124"/>
      <c r="C147" s="138">
        <f>SUM(C143:D146)</f>
        <v>404</v>
      </c>
      <c r="D147" s="138"/>
      <c r="E147" s="102">
        <f t="shared" ref="E147" si="1">SUM(E143:F146)</f>
        <v>460512.46074599988</v>
      </c>
      <c r="F147" s="102"/>
      <c r="G147" s="102">
        <f t="shared" ref="G147" si="2">SUM(G143:H146)</f>
        <v>690768.69111899985</v>
      </c>
      <c r="H147" s="102"/>
    </row>
    <row r="148" spans="1:14" s="34" customFormat="1" x14ac:dyDescent="0.25">
      <c r="A148" s="125" t="s">
        <v>57</v>
      </c>
      <c r="B148" s="125"/>
      <c r="C148" s="125"/>
      <c r="D148" s="125"/>
      <c r="E148" s="125"/>
      <c r="F148" s="125"/>
      <c r="G148" s="125"/>
      <c r="H148" s="125"/>
    </row>
    <row r="149" spans="1:14" x14ac:dyDescent="0.25">
      <c r="A149" s="125" t="s">
        <v>58</v>
      </c>
      <c r="B149" s="125"/>
      <c r="C149" s="125"/>
      <c r="D149" s="125"/>
      <c r="E149" s="125"/>
      <c r="F149" s="125"/>
      <c r="G149" s="125"/>
      <c r="H149" s="125"/>
    </row>
    <row r="150" spans="1:14" ht="47.25" hidden="1" customHeight="1" x14ac:dyDescent="0.25">
      <c r="A150" s="100" t="s">
        <v>125</v>
      </c>
      <c r="B150" s="100" t="s">
        <v>124</v>
      </c>
      <c r="C150" s="100" t="s">
        <v>59</v>
      </c>
      <c r="D150" s="100" t="s">
        <v>60</v>
      </c>
      <c r="E150" s="128" t="s">
        <v>165</v>
      </c>
      <c r="F150" s="43" t="s">
        <v>158</v>
      </c>
      <c r="G150" s="120" t="s">
        <v>62</v>
      </c>
      <c r="H150" s="130"/>
    </row>
    <row r="151" spans="1:14" s="37" customFormat="1" hidden="1" x14ac:dyDescent="0.25">
      <c r="A151" s="101"/>
      <c r="B151" s="101"/>
      <c r="C151" s="101"/>
      <c r="D151" s="101"/>
      <c r="E151" s="129"/>
      <c r="F151" s="13">
        <v>0.6</v>
      </c>
      <c r="G151" s="121"/>
      <c r="H151" s="131"/>
    </row>
    <row r="152" spans="1:14" s="37" customFormat="1" hidden="1" x14ac:dyDescent="0.25">
      <c r="A152" s="66" t="s">
        <v>211</v>
      </c>
      <c r="B152" s="67"/>
      <c r="C152" s="67"/>
      <c r="D152" s="67"/>
      <c r="E152" s="67"/>
      <c r="F152" s="67"/>
      <c r="G152" s="67"/>
      <c r="H152" s="68"/>
      <c r="J152" s="36"/>
    </row>
    <row r="153" spans="1:14" s="37" customFormat="1" hidden="1" x14ac:dyDescent="0.25">
      <c r="A153" s="66" t="s">
        <v>208</v>
      </c>
      <c r="B153" s="67"/>
      <c r="C153" s="67"/>
      <c r="D153" s="67"/>
      <c r="E153" s="67"/>
      <c r="F153" s="67"/>
      <c r="G153" s="67"/>
      <c r="H153" s="68"/>
      <c r="J153" s="36"/>
    </row>
    <row r="154" spans="1:14" s="37" customFormat="1" hidden="1" x14ac:dyDescent="0.25">
      <c r="A154" s="66" t="s">
        <v>209</v>
      </c>
      <c r="B154" s="67"/>
      <c r="C154" s="67"/>
      <c r="D154" s="67"/>
      <c r="E154" s="67"/>
      <c r="F154" s="67"/>
      <c r="G154" s="67"/>
      <c r="H154" s="68"/>
      <c r="J154" s="54">
        <f>10.764</f>
        <v>10.763999999999999</v>
      </c>
    </row>
    <row r="155" spans="1:14" s="37" customFormat="1" hidden="1" x14ac:dyDescent="0.25">
      <c r="A155" s="76">
        <v>1</v>
      </c>
      <c r="B155" s="77"/>
      <c r="C155" s="42" t="s">
        <v>210</v>
      </c>
      <c r="D155" s="54">
        <f>(3.35*7.75+1.55*1.8+1.65*1.5+2.75*0.5)*(10.764)</f>
        <v>350.93330999999995</v>
      </c>
      <c r="E155" s="42">
        <v>0</v>
      </c>
      <c r="F155" s="42">
        <f>(D155+E155)*(($F$151)+1)</f>
        <v>561.49329599999999</v>
      </c>
      <c r="G155" s="76" t="str">
        <f>A154</f>
        <v>Ground Floor For Commercial</v>
      </c>
      <c r="H155" s="77"/>
      <c r="I155" s="36"/>
      <c r="L155" s="69"/>
      <c r="M155" s="69"/>
      <c r="N155" s="36"/>
    </row>
    <row r="156" spans="1:14" s="37" customFormat="1" hidden="1" x14ac:dyDescent="0.25">
      <c r="A156" s="76">
        <f t="shared" ref="A156:A163" si="3">A155+1</f>
        <v>2</v>
      </c>
      <c r="B156" s="77"/>
      <c r="C156" s="42" t="s">
        <v>210</v>
      </c>
      <c r="D156" s="54">
        <f>(3.35*7.75+1.55*1.8+1.65*1.5+2.75*2.15)*(10.764)</f>
        <v>399.77495999999996</v>
      </c>
      <c r="E156" s="42">
        <v>0</v>
      </c>
      <c r="F156" s="42">
        <f t="shared" ref="F156:F158" si="4">(D156+E156)*(($F$151)+1)</f>
        <v>639.63993600000003</v>
      </c>
      <c r="G156" s="76" t="str">
        <f t="shared" ref="G156:G163" si="5">G155</f>
        <v>Ground Floor For Commercial</v>
      </c>
      <c r="H156" s="77"/>
      <c r="I156" s="36"/>
      <c r="L156" s="69"/>
      <c r="M156" s="69"/>
      <c r="N156" s="36"/>
    </row>
    <row r="157" spans="1:14" s="37" customFormat="1" hidden="1" x14ac:dyDescent="0.25">
      <c r="A157" s="76">
        <f t="shared" si="3"/>
        <v>3</v>
      </c>
      <c r="B157" s="77"/>
      <c r="C157" s="42" t="s">
        <v>210</v>
      </c>
      <c r="D157" s="54">
        <f>(3.35*7.75+1.55*1.8+1.65*1.5+2.75*2.15)*(10.764)</f>
        <v>399.77495999999996</v>
      </c>
      <c r="E157" s="42">
        <v>0</v>
      </c>
      <c r="F157" s="42">
        <f t="shared" si="4"/>
        <v>639.63993600000003</v>
      </c>
      <c r="G157" s="76" t="str">
        <f t="shared" si="5"/>
        <v>Ground Floor For Commercial</v>
      </c>
      <c r="H157" s="77"/>
      <c r="I157" s="36"/>
      <c r="L157" s="69"/>
      <c r="M157" s="69"/>
      <c r="N157" s="36"/>
    </row>
    <row r="158" spans="1:14" s="37" customFormat="1" hidden="1" x14ac:dyDescent="0.25">
      <c r="A158" s="76">
        <f t="shared" si="3"/>
        <v>4</v>
      </c>
      <c r="B158" s="77"/>
      <c r="C158" s="42" t="s">
        <v>210</v>
      </c>
      <c r="D158" s="54">
        <f>(3.35*7.75+1.55*1.8+1.65*1.5+2.75*2.15)*(10.764)</f>
        <v>399.77495999999996</v>
      </c>
      <c r="E158" s="42">
        <v>0</v>
      </c>
      <c r="F158" s="42">
        <f t="shared" si="4"/>
        <v>639.63993600000003</v>
      </c>
      <c r="G158" s="76" t="str">
        <f t="shared" si="5"/>
        <v>Ground Floor For Commercial</v>
      </c>
      <c r="H158" s="77"/>
      <c r="I158" s="36"/>
      <c r="L158" s="69"/>
      <c r="M158" s="69"/>
      <c r="N158" s="36"/>
    </row>
    <row r="159" spans="1:14" s="37" customFormat="1" hidden="1" x14ac:dyDescent="0.25">
      <c r="A159" s="76">
        <f t="shared" si="3"/>
        <v>5</v>
      </c>
      <c r="B159" s="77"/>
      <c r="C159" s="42" t="s">
        <v>210</v>
      </c>
      <c r="D159" s="54">
        <f>(3.35*7.75+1.55*1.8+1.65*1.5+2.75*2.15)*(10.764)</f>
        <v>399.77495999999996</v>
      </c>
      <c r="E159" s="42">
        <v>0</v>
      </c>
      <c r="F159" s="42">
        <f t="shared" ref="F159:F161" si="6">(D159+E159)*(($F$151)+1)</f>
        <v>639.63993600000003</v>
      </c>
      <c r="G159" s="76" t="str">
        <f t="shared" si="5"/>
        <v>Ground Floor For Commercial</v>
      </c>
      <c r="H159" s="77"/>
      <c r="I159" s="36"/>
      <c r="L159" s="69"/>
      <c r="M159" s="69"/>
      <c r="N159" s="36"/>
    </row>
    <row r="160" spans="1:14" s="37" customFormat="1" hidden="1" x14ac:dyDescent="0.25">
      <c r="A160" s="76">
        <f t="shared" si="3"/>
        <v>6</v>
      </c>
      <c r="B160" s="77"/>
      <c r="C160" s="42" t="s">
        <v>210</v>
      </c>
      <c r="D160" s="54">
        <f>(3.35*6.72+1.55*1.8+1.65*1.5)*(10.764)</f>
        <v>298.99162799999999</v>
      </c>
      <c r="E160" s="42">
        <v>0</v>
      </c>
      <c r="F160" s="42">
        <f t="shared" si="6"/>
        <v>478.38660479999999</v>
      </c>
      <c r="G160" s="76" t="str">
        <f t="shared" si="5"/>
        <v>Ground Floor For Commercial</v>
      </c>
      <c r="H160" s="77"/>
      <c r="I160" s="36"/>
      <c r="L160" s="69"/>
      <c r="M160" s="69"/>
      <c r="N160" s="36"/>
    </row>
    <row r="161" spans="1:14" s="37" customFormat="1" hidden="1" x14ac:dyDescent="0.25">
      <c r="A161" s="76">
        <f t="shared" si="3"/>
        <v>7</v>
      </c>
      <c r="B161" s="77"/>
      <c r="C161" s="42" t="s">
        <v>210</v>
      </c>
      <c r="D161" s="54">
        <f>(3.35*6.72+1.55*1.8+1.65*1.5)*(10.764)</f>
        <v>298.99162799999999</v>
      </c>
      <c r="E161" s="42">
        <v>0</v>
      </c>
      <c r="F161" s="42">
        <f t="shared" si="6"/>
        <v>478.38660479999999</v>
      </c>
      <c r="G161" s="76" t="str">
        <f t="shared" si="5"/>
        <v>Ground Floor For Commercial</v>
      </c>
      <c r="H161" s="77"/>
      <c r="I161" s="36"/>
      <c r="L161" s="69"/>
      <c r="M161" s="69"/>
      <c r="N161" s="36"/>
    </row>
    <row r="162" spans="1:14" s="37" customFormat="1" hidden="1" x14ac:dyDescent="0.25">
      <c r="A162" s="76">
        <f t="shared" si="3"/>
        <v>8</v>
      </c>
      <c r="B162" s="77"/>
      <c r="C162" s="42" t="s">
        <v>210</v>
      </c>
      <c r="D162" s="54">
        <f>(3.35*6.72+1.55*1.8+1.65*1.5)*(10.764)</f>
        <v>298.99162799999999</v>
      </c>
      <c r="E162" s="42">
        <v>0</v>
      </c>
      <c r="F162" s="42">
        <f t="shared" ref="F162:F163" si="7">(D162+E162)*(($F$151)+1)</f>
        <v>478.38660479999999</v>
      </c>
      <c r="G162" s="76" t="str">
        <f t="shared" si="5"/>
        <v>Ground Floor For Commercial</v>
      </c>
      <c r="H162" s="77"/>
      <c r="I162" s="36"/>
      <c r="L162" s="69"/>
      <c r="M162" s="69"/>
      <c r="N162" s="36"/>
    </row>
    <row r="163" spans="1:14" s="37" customFormat="1" hidden="1" x14ac:dyDescent="0.25">
      <c r="A163" s="76">
        <f t="shared" si="3"/>
        <v>9</v>
      </c>
      <c r="B163" s="77"/>
      <c r="C163" s="42" t="s">
        <v>210</v>
      </c>
      <c r="D163" s="54">
        <f>(3.35*6.72+1.55*1.8+1.65*1.5)*(10.764)</f>
        <v>298.99162799999999</v>
      </c>
      <c r="E163" s="42">
        <v>0</v>
      </c>
      <c r="F163" s="42">
        <f t="shared" si="7"/>
        <v>478.38660479999999</v>
      </c>
      <c r="G163" s="76" t="str">
        <f t="shared" si="5"/>
        <v>Ground Floor For Commercial</v>
      </c>
      <c r="H163" s="77"/>
      <c r="I163" s="36"/>
      <c r="L163" s="69"/>
      <c r="M163" s="69"/>
      <c r="N163" s="36"/>
    </row>
    <row r="164" spans="1:14" s="37" customFormat="1" hidden="1" x14ac:dyDescent="0.25">
      <c r="A164" s="76"/>
      <c r="B164" s="126"/>
      <c r="C164" s="126"/>
      <c r="D164" s="126"/>
      <c r="E164" s="126"/>
      <c r="F164" s="126"/>
      <c r="G164" s="126"/>
      <c r="H164" s="77"/>
      <c r="I164" s="36"/>
      <c r="N164" s="36"/>
    </row>
    <row r="165" spans="1:14" ht="47.25" customHeight="1" x14ac:dyDescent="0.25">
      <c r="A165" s="120" t="s">
        <v>126</v>
      </c>
      <c r="B165" s="120" t="s">
        <v>127</v>
      </c>
      <c r="C165" s="100" t="s">
        <v>59</v>
      </c>
      <c r="D165" s="100" t="s">
        <v>60</v>
      </c>
      <c r="E165" s="128" t="s">
        <v>61</v>
      </c>
      <c r="F165" s="43" t="s">
        <v>158</v>
      </c>
      <c r="G165" s="120" t="s">
        <v>62</v>
      </c>
      <c r="H165" s="130"/>
      <c r="I165" s="36"/>
    </row>
    <row r="166" spans="1:14" s="37" customFormat="1" x14ac:dyDescent="0.25">
      <c r="A166" s="121"/>
      <c r="B166" s="121"/>
      <c r="C166" s="101"/>
      <c r="D166" s="101"/>
      <c r="E166" s="129"/>
      <c r="F166" s="13">
        <v>0.5</v>
      </c>
      <c r="G166" s="121"/>
      <c r="H166" s="131"/>
      <c r="I166" s="36"/>
    </row>
    <row r="167" spans="1:14" s="37" customFormat="1" x14ac:dyDescent="0.25">
      <c r="A167" s="66" t="s">
        <v>197</v>
      </c>
      <c r="B167" s="67"/>
      <c r="C167" s="67"/>
      <c r="D167" s="67"/>
      <c r="E167" s="67"/>
      <c r="F167" s="67"/>
      <c r="G167" s="67"/>
      <c r="H167" s="68"/>
      <c r="J167" s="36"/>
    </row>
    <row r="168" spans="1:14" s="37" customFormat="1" x14ac:dyDescent="0.25">
      <c r="A168" s="66" t="s">
        <v>221</v>
      </c>
      <c r="B168" s="67"/>
      <c r="C168" s="67"/>
      <c r="D168" s="67"/>
      <c r="E168" s="67"/>
      <c r="F168" s="67"/>
      <c r="G168" s="67"/>
      <c r="H168" s="68"/>
      <c r="J168" s="36"/>
    </row>
    <row r="169" spans="1:14" s="37" customFormat="1" x14ac:dyDescent="0.25">
      <c r="A169" s="66" t="s">
        <v>222</v>
      </c>
      <c r="B169" s="67"/>
      <c r="C169" s="67"/>
      <c r="D169" s="67"/>
      <c r="E169" s="67"/>
      <c r="F169" s="67"/>
      <c r="G169" s="67"/>
      <c r="H169" s="68"/>
      <c r="J169" s="36"/>
    </row>
    <row r="170" spans="1:14" s="37" customFormat="1" ht="147.6" customHeight="1" x14ac:dyDescent="0.25">
      <c r="A170" s="66" t="s">
        <v>223</v>
      </c>
      <c r="B170" s="67"/>
      <c r="C170" s="67"/>
      <c r="D170" s="67"/>
      <c r="E170" s="67"/>
      <c r="F170" s="67"/>
      <c r="G170" s="67"/>
      <c r="H170" s="68"/>
      <c r="J170" s="36"/>
    </row>
    <row r="171" spans="1:14" s="37" customFormat="1" ht="15.75" customHeight="1" x14ac:dyDescent="0.25">
      <c r="A171" s="42">
        <v>1</v>
      </c>
      <c r="B171" s="42" t="s">
        <v>237</v>
      </c>
      <c r="C171" s="52">
        <v>2</v>
      </c>
      <c r="D171" s="54">
        <f>(77.35+2.75*1.53)*(10.764)</f>
        <v>877.88492999999983</v>
      </c>
      <c r="E171" s="42">
        <v>0</v>
      </c>
      <c r="F171" s="42">
        <f t="shared" ref="F171:F177" si="8">D171*(($F$166)+1)+(IF(E171&lt;101,E171,IF(E171&lt;201,E171/2,IF(E171&lt;=301,E171/3,E171/4))))</f>
        <v>1316.8273949999998</v>
      </c>
      <c r="G171" s="70" t="str">
        <f>A170</f>
        <v>1st to 6th Floor, 8th to 12th Floor
13th Floor (14th Floor As per Builder),
15th to 20th Floor (16th to 21st Floor As per Builder),
22nd to 27th Floor (23rd to 28th Floor As per Builder),
29th to 34th Floor (30th to 35th Floor As per Builder),
36th to 41st Floor(37th to 42nd Floor As per Builder),
43rd to 48th Floor (44th to 49th Floor As per Builder),
50th to 55th Floor (51st to 56th Floor As per Builder),
57th &amp; 58th Floor (58th &amp; 59th Floor As per Builder)</v>
      </c>
      <c r="H171" s="71"/>
      <c r="I171" s="36"/>
      <c r="L171" s="69"/>
      <c r="M171" s="69"/>
      <c r="N171" s="36"/>
    </row>
    <row r="172" spans="1:14" s="37" customFormat="1" ht="15.75" customHeight="1" x14ac:dyDescent="0.25">
      <c r="A172" s="42">
        <f t="shared" ref="A172:A177" si="9">A171+1</f>
        <v>2</v>
      </c>
      <c r="B172" s="42" t="s">
        <v>238</v>
      </c>
      <c r="C172" s="52">
        <v>2</v>
      </c>
      <c r="D172" s="54">
        <f>(77.35+2.75*1.53)*(10.764)</f>
        <v>877.88492999999983</v>
      </c>
      <c r="E172" s="42">
        <v>0</v>
      </c>
      <c r="F172" s="42">
        <f t="shared" si="8"/>
        <v>1316.8273949999998</v>
      </c>
      <c r="G172" s="72"/>
      <c r="H172" s="73"/>
      <c r="I172" s="36"/>
      <c r="J172" s="37">
        <f>1.33*1.35+3.36*5.55+3.05*2.45+1.23*2.45+2.45*1.53+2.75*1+0.95*2.63+3.65*3.2+3.2*3.51+1.52*2.45+0.6*1.52+0.6*1.2+1.82*2.82</f>
        <v>73.326900000000009</v>
      </c>
      <c r="L172" s="69"/>
      <c r="M172" s="69"/>
      <c r="N172" s="36"/>
    </row>
    <row r="173" spans="1:14" s="37" customFormat="1" ht="15.75" customHeight="1" x14ac:dyDescent="0.25">
      <c r="A173" s="42">
        <f t="shared" si="9"/>
        <v>3</v>
      </c>
      <c r="B173" s="42" t="s">
        <v>239</v>
      </c>
      <c r="C173" s="52">
        <v>3</v>
      </c>
      <c r="D173" s="54">
        <f>(98.07+2.65*1.73)*(10.764)</f>
        <v>1104.9730379999999</v>
      </c>
      <c r="E173" s="42">
        <v>0</v>
      </c>
      <c r="F173" s="42">
        <f t="shared" si="8"/>
        <v>1657.4595569999997</v>
      </c>
      <c r="G173" s="72"/>
      <c r="H173" s="73"/>
      <c r="I173" s="36">
        <f>49600000/F173</f>
        <v>29925.315396398542</v>
      </c>
      <c r="L173" s="69"/>
      <c r="M173" s="69"/>
      <c r="N173" s="36"/>
    </row>
    <row r="174" spans="1:14" s="37" customFormat="1" ht="15.75" customHeight="1" x14ac:dyDescent="0.25">
      <c r="A174" s="42">
        <f t="shared" si="9"/>
        <v>4</v>
      </c>
      <c r="B174" s="42" t="s">
        <v>240</v>
      </c>
      <c r="C174" s="52">
        <v>4</v>
      </c>
      <c r="D174" s="54">
        <f>(134.4+3.35*2.35)*(10.764)</f>
        <v>1531.42119</v>
      </c>
      <c r="E174" s="42">
        <v>0</v>
      </c>
      <c r="F174" s="42">
        <f t="shared" si="8"/>
        <v>2297.131785</v>
      </c>
      <c r="G174" s="72"/>
      <c r="H174" s="73"/>
      <c r="I174" s="36">
        <f>70000000/F174</f>
        <v>30472.783693600755</v>
      </c>
      <c r="L174" s="69"/>
      <c r="M174" s="69"/>
      <c r="N174" s="36"/>
    </row>
    <row r="175" spans="1:14" s="37" customFormat="1" ht="15.75" customHeight="1" x14ac:dyDescent="0.25">
      <c r="A175" s="42">
        <f t="shared" si="9"/>
        <v>5</v>
      </c>
      <c r="B175" s="42" t="s">
        <v>241</v>
      </c>
      <c r="C175" s="56">
        <v>2.5</v>
      </c>
      <c r="D175" s="54">
        <f>(79.39+2.75*1.53)*(10.764)</f>
        <v>899.84348999999986</v>
      </c>
      <c r="E175" s="42">
        <v>0</v>
      </c>
      <c r="F175" s="42">
        <f t="shared" si="8"/>
        <v>1349.7652349999998</v>
      </c>
      <c r="G175" s="72"/>
      <c r="H175" s="73"/>
      <c r="I175" s="36">
        <f>39600000/F175</f>
        <v>29338.435287229786</v>
      </c>
      <c r="L175" s="69"/>
      <c r="M175" s="69"/>
      <c r="N175" s="36"/>
    </row>
    <row r="176" spans="1:14" s="37" customFormat="1" ht="14.65" customHeight="1" x14ac:dyDescent="0.25">
      <c r="A176" s="42">
        <f t="shared" si="9"/>
        <v>6</v>
      </c>
      <c r="B176" s="42" t="s">
        <v>242</v>
      </c>
      <c r="C176" s="52">
        <v>4</v>
      </c>
      <c r="D176" s="54">
        <f>(134.4+3.35*2.35)*(10.764)</f>
        <v>1531.42119</v>
      </c>
      <c r="E176" s="42">
        <v>0</v>
      </c>
      <c r="F176" s="42">
        <f t="shared" si="8"/>
        <v>2297.131785</v>
      </c>
      <c r="G176" s="72"/>
      <c r="H176" s="73"/>
      <c r="I176" s="36"/>
      <c r="L176" s="69"/>
      <c r="M176" s="69"/>
      <c r="N176" s="36"/>
    </row>
    <row r="177" spans="1:14" s="37" customFormat="1" ht="15.75" customHeight="1" x14ac:dyDescent="0.25">
      <c r="A177" s="42">
        <f t="shared" si="9"/>
        <v>7</v>
      </c>
      <c r="B177" s="42" t="s">
        <v>243</v>
      </c>
      <c r="C177" s="52">
        <v>3</v>
      </c>
      <c r="D177" s="54">
        <f>(98.07+2.75*1.83)*(10.764)</f>
        <v>1109.7953099999997</v>
      </c>
      <c r="E177" s="42">
        <v>0</v>
      </c>
      <c r="F177" s="42">
        <f t="shared" si="8"/>
        <v>1664.6929649999997</v>
      </c>
      <c r="G177" s="74"/>
      <c r="H177" s="75"/>
      <c r="I177" s="36"/>
      <c r="L177" s="69"/>
      <c r="M177" s="69"/>
      <c r="N177" s="36"/>
    </row>
    <row r="178" spans="1:14" s="37" customFormat="1" ht="135" customHeight="1" x14ac:dyDescent="0.25">
      <c r="A178" s="66" t="s">
        <v>224</v>
      </c>
      <c r="B178" s="67"/>
      <c r="C178" s="67"/>
      <c r="D178" s="67"/>
      <c r="E178" s="67"/>
      <c r="F178" s="67"/>
      <c r="G178" s="67"/>
      <c r="H178" s="68"/>
      <c r="J178" s="36"/>
    </row>
    <row r="179" spans="1:14" s="37" customFormat="1" ht="15.75" customHeight="1" x14ac:dyDescent="0.25">
      <c r="A179" s="42">
        <v>1</v>
      </c>
      <c r="B179" s="42" t="s">
        <v>237</v>
      </c>
      <c r="C179" s="52">
        <v>2</v>
      </c>
      <c r="D179" s="54">
        <f>(77.35+2.75*1.53)*(10.764)</f>
        <v>877.88492999999983</v>
      </c>
      <c r="E179" s="42">
        <v>0</v>
      </c>
      <c r="F179" s="42">
        <f>D179*(($F$166)+1)+(IF(E179&lt;101,E179,IF(E179&lt;201,E179/2,IF(E179&lt;=301,E179/3,E179/4))))</f>
        <v>1316.8273949999998</v>
      </c>
      <c r="G179" s="70" t="str">
        <f>A178</f>
        <v>7th Floor,
14th Floor (15th Floor As per Builder),
21st Floor (22nd Floor As per Builder),
28th Floor (29th Floor As per Builder),
35th Floor (36th Floor As per Builder),
42nd Floor (43rd Floor As per Builder),
49th Floor (50th Floor As per Builder
(Part Refuge Area)</v>
      </c>
      <c r="H179" s="71"/>
      <c r="I179" s="36"/>
      <c r="L179" s="69"/>
      <c r="M179" s="69"/>
      <c r="N179" s="36"/>
    </row>
    <row r="180" spans="1:14" s="37" customFormat="1" ht="15.75" customHeight="1" x14ac:dyDescent="0.25">
      <c r="A180" s="42">
        <f t="shared" ref="A180:A185" si="10">A179+1</f>
        <v>2</v>
      </c>
      <c r="B180" s="42" t="s">
        <v>238</v>
      </c>
      <c r="C180" s="52">
        <v>2</v>
      </c>
      <c r="D180" s="54">
        <f>(77.35+2.75*1.53)*(10.764)</f>
        <v>877.88492999999983</v>
      </c>
      <c r="E180" s="42">
        <v>0</v>
      </c>
      <c r="F180" s="42">
        <f>D180*(($F$166)+1)+(IF(E180&lt;101,E180,IF(E180&lt;201,E180/2,IF(E180&lt;=301,E180/3,E180/4))))</f>
        <v>1316.8273949999998</v>
      </c>
      <c r="G180" s="72"/>
      <c r="H180" s="73"/>
      <c r="I180" s="36"/>
      <c r="J180" s="37">
        <f>1.33*1.35+3.36*5.55+3.05*2.45+1.23*2.45+2.45*1.53+2.75*1+0.95*2.63+3.65*3.2+3.2*3.51+1.52*2.45+0.6*1.52+0.6*1.2+1.82*2.82</f>
        <v>73.326900000000009</v>
      </c>
      <c r="L180" s="69"/>
      <c r="M180" s="69"/>
      <c r="N180" s="36"/>
    </row>
    <row r="181" spans="1:14" s="37" customFormat="1" ht="15.75" customHeight="1" x14ac:dyDescent="0.25">
      <c r="A181" s="42">
        <f t="shared" si="10"/>
        <v>3</v>
      </c>
      <c r="B181" s="42" t="s">
        <v>239</v>
      </c>
      <c r="C181" s="52">
        <v>3</v>
      </c>
      <c r="D181" s="54">
        <f>(98.07+2.65*1.73)*(10.764)</f>
        <v>1104.9730379999999</v>
      </c>
      <c r="E181" s="42">
        <v>0</v>
      </c>
      <c r="F181" s="42">
        <f>D181*(($F$166)+1)+(IF(E181&lt;101,E181,IF(E181&lt;201,E181/2,IF(E181&lt;=301,E181/3,E181/4))))</f>
        <v>1657.4595569999997</v>
      </c>
      <c r="G181" s="72"/>
      <c r="H181" s="73"/>
      <c r="I181" s="36"/>
      <c r="L181" s="69"/>
      <c r="M181" s="69"/>
      <c r="N181" s="36"/>
    </row>
    <row r="182" spans="1:14" s="37" customFormat="1" ht="15.75" customHeight="1" x14ac:dyDescent="0.25">
      <c r="A182" s="42">
        <f t="shared" si="10"/>
        <v>4</v>
      </c>
      <c r="B182" s="42" t="s">
        <v>240</v>
      </c>
      <c r="C182" s="78" t="s">
        <v>199</v>
      </c>
      <c r="D182" s="79"/>
      <c r="E182" s="79"/>
      <c r="F182" s="80"/>
      <c r="G182" s="72"/>
      <c r="H182" s="73"/>
      <c r="I182" s="36"/>
      <c r="L182" s="69"/>
      <c r="M182" s="69"/>
      <c r="N182" s="36"/>
    </row>
    <row r="183" spans="1:14" s="37" customFormat="1" ht="15.75" customHeight="1" x14ac:dyDescent="0.25">
      <c r="A183" s="42">
        <f t="shared" si="10"/>
        <v>5</v>
      </c>
      <c r="B183" s="42" t="s">
        <v>241</v>
      </c>
      <c r="C183" s="81"/>
      <c r="D183" s="82"/>
      <c r="E183" s="82"/>
      <c r="F183" s="83"/>
      <c r="G183" s="72"/>
      <c r="H183" s="73"/>
      <c r="I183" s="36"/>
      <c r="L183" s="69"/>
      <c r="M183" s="69"/>
      <c r="N183" s="36"/>
    </row>
    <row r="184" spans="1:14" s="37" customFormat="1" ht="15.75" customHeight="1" x14ac:dyDescent="0.25">
      <c r="A184" s="42">
        <f t="shared" si="10"/>
        <v>6</v>
      </c>
      <c r="B184" s="42" t="s">
        <v>242</v>
      </c>
      <c r="C184" s="56">
        <v>4.5</v>
      </c>
      <c r="D184" s="54">
        <f>(146.72+3.35*2.35)*(10.764)</f>
        <v>1664.0336699999998</v>
      </c>
      <c r="E184" s="42">
        <v>0</v>
      </c>
      <c r="F184" s="42">
        <f>D184*(($F$166)+1)+(IF(E184&lt;101,E184,IF(E184&lt;201,E184/2,IF(E184&lt;=301,E184/3,E184/4))))</f>
        <v>2496.0505049999997</v>
      </c>
      <c r="G184" s="72"/>
      <c r="H184" s="73"/>
      <c r="I184" s="36"/>
      <c r="L184" s="69"/>
      <c r="M184" s="69"/>
      <c r="N184" s="36"/>
    </row>
    <row r="185" spans="1:14" s="37" customFormat="1" ht="15.75" customHeight="1" x14ac:dyDescent="0.25">
      <c r="A185" s="42">
        <f t="shared" si="10"/>
        <v>7</v>
      </c>
      <c r="B185" s="42" t="s">
        <v>243</v>
      </c>
      <c r="C185" s="52">
        <v>3</v>
      </c>
      <c r="D185" s="54">
        <f>(98.07+2.75*1.83)*(10.764)</f>
        <v>1109.7953099999997</v>
      </c>
      <c r="E185" s="42">
        <v>0</v>
      </c>
      <c r="F185" s="42">
        <f>D185*(($F$166)+1)+(IF(E185&lt;101,E185,IF(E185&lt;201,E185/2,IF(E185&lt;=301,E185/3,E185/4))))</f>
        <v>1664.6929649999997</v>
      </c>
      <c r="G185" s="74"/>
      <c r="H185" s="75"/>
      <c r="I185" s="36"/>
      <c r="L185" s="69"/>
      <c r="M185" s="69"/>
      <c r="N185" s="36"/>
    </row>
    <row r="186" spans="1:14" s="37" customFormat="1" ht="30.6" customHeight="1" x14ac:dyDescent="0.25">
      <c r="A186" s="66" t="s">
        <v>225</v>
      </c>
      <c r="B186" s="67"/>
      <c r="C186" s="67"/>
      <c r="D186" s="67"/>
      <c r="E186" s="67"/>
      <c r="F186" s="67"/>
      <c r="G186" s="67"/>
      <c r="H186" s="68"/>
      <c r="J186" s="36"/>
    </row>
    <row r="187" spans="1:14" s="37" customFormat="1" ht="15.75" customHeight="1" x14ac:dyDescent="0.25">
      <c r="A187" s="42">
        <v>1</v>
      </c>
      <c r="B187" s="42" t="s">
        <v>237</v>
      </c>
      <c r="C187" s="52">
        <v>2</v>
      </c>
      <c r="D187" s="54">
        <f>(77.35+2.75*1.53)*(10.764)</f>
        <v>877.88492999999983</v>
      </c>
      <c r="E187" s="42">
        <v>0</v>
      </c>
      <c r="F187" s="42">
        <f>D187*(($F$166)+1)+(IF(E187&lt;101,E187,IF(E187&lt;201,E187/2,IF(E187&lt;=301,E187/3,E187/4))))</f>
        <v>1316.8273949999998</v>
      </c>
      <c r="G187" s="70" t="str">
        <f>A186</f>
        <v>56th Floor (57th Floor As per Builder)
(Part Refuge Area)</v>
      </c>
      <c r="H187" s="71"/>
      <c r="I187" s="36"/>
      <c r="L187" s="69"/>
      <c r="M187" s="69"/>
      <c r="N187" s="36"/>
    </row>
    <row r="188" spans="1:14" s="37" customFormat="1" ht="15.75" customHeight="1" x14ac:dyDescent="0.25">
      <c r="A188" s="42">
        <f t="shared" ref="A188:A193" si="11">A187+1</f>
        <v>2</v>
      </c>
      <c r="B188" s="42" t="s">
        <v>238</v>
      </c>
      <c r="C188" s="52">
        <v>2</v>
      </c>
      <c r="D188" s="54">
        <f>(77.35+2.75*1.53)*(10.764)</f>
        <v>877.88492999999983</v>
      </c>
      <c r="E188" s="42">
        <v>0</v>
      </c>
      <c r="F188" s="42">
        <f>D188*(($F$166)+1)+(IF(E188&lt;101,E188,IF(E188&lt;201,E188/2,IF(E188&lt;=301,E188/3,E188/4))))</f>
        <v>1316.8273949999998</v>
      </c>
      <c r="G188" s="72"/>
      <c r="H188" s="73"/>
      <c r="I188" s="36"/>
      <c r="L188" s="69"/>
      <c r="M188" s="69"/>
      <c r="N188" s="36"/>
    </row>
    <row r="189" spans="1:14" s="37" customFormat="1" ht="15.75" customHeight="1" x14ac:dyDescent="0.25">
      <c r="A189" s="42">
        <f t="shared" si="11"/>
        <v>3</v>
      </c>
      <c r="B189" s="42" t="s">
        <v>239</v>
      </c>
      <c r="C189" s="52">
        <v>3</v>
      </c>
      <c r="D189" s="54">
        <f>(98.07+2.65*1.73)*(10.764)</f>
        <v>1104.9730379999999</v>
      </c>
      <c r="E189" s="42">
        <v>0</v>
      </c>
      <c r="F189" s="42">
        <f>D189*(($F$166)+1)+(IF(E189&lt;101,E189,IF(E189&lt;201,E189/2,IF(E189&lt;=301,E189/3,E189/4))))</f>
        <v>1657.4595569999997</v>
      </c>
      <c r="G189" s="72"/>
      <c r="H189" s="73"/>
      <c r="I189" s="36"/>
      <c r="L189" s="69"/>
      <c r="M189" s="69"/>
      <c r="N189" s="36"/>
    </row>
    <row r="190" spans="1:14" s="37" customFormat="1" ht="15.75" customHeight="1" x14ac:dyDescent="0.25">
      <c r="A190" s="42">
        <f t="shared" si="11"/>
        <v>4</v>
      </c>
      <c r="B190" s="42" t="s">
        <v>240</v>
      </c>
      <c r="C190" s="103" t="s">
        <v>199</v>
      </c>
      <c r="D190" s="104"/>
      <c r="E190" s="104"/>
      <c r="F190" s="105"/>
      <c r="G190" s="72"/>
      <c r="H190" s="73"/>
      <c r="I190" s="36"/>
      <c r="L190" s="69"/>
      <c r="M190" s="69"/>
      <c r="N190" s="36"/>
    </row>
    <row r="191" spans="1:14" s="37" customFormat="1" ht="15.75" customHeight="1" x14ac:dyDescent="0.25">
      <c r="A191" s="42">
        <f t="shared" si="11"/>
        <v>5</v>
      </c>
      <c r="B191" s="42" t="s">
        <v>241</v>
      </c>
      <c r="C191" s="56">
        <v>3.5</v>
      </c>
      <c r="D191" s="54">
        <f>(94.02+2.75*1.53)*(10.764)</f>
        <v>1057.3208099999999</v>
      </c>
      <c r="E191" s="42">
        <v>0</v>
      </c>
      <c r="F191" s="42">
        <f>D191*(($F$166)+1)+(IF(E191&lt;101,E191,IF(E191&lt;201,E191/2,IF(E191&lt;=301,E191/3,E191/4))))</f>
        <v>1585.9812149999998</v>
      </c>
      <c r="G191" s="72"/>
      <c r="H191" s="73"/>
      <c r="I191" s="36"/>
      <c r="L191" s="69"/>
      <c r="M191" s="69"/>
      <c r="N191" s="36"/>
    </row>
    <row r="192" spans="1:14" s="37" customFormat="1" ht="14.65" customHeight="1" x14ac:dyDescent="0.25">
      <c r="A192" s="42">
        <f t="shared" si="11"/>
        <v>6</v>
      </c>
      <c r="B192" s="42" t="s">
        <v>242</v>
      </c>
      <c r="C192" s="52">
        <v>4</v>
      </c>
      <c r="D192" s="54">
        <f>(134.4+3.35*2.35)*(10.764)</f>
        <v>1531.42119</v>
      </c>
      <c r="E192" s="42">
        <v>0</v>
      </c>
      <c r="F192" s="42">
        <f>D192*(($F$166)+1)+(IF(E192&lt;101,E192,IF(E192&lt;201,E192/2,IF(E192&lt;=301,E192/3,E192/4))))</f>
        <v>2297.131785</v>
      </c>
      <c r="G192" s="72"/>
      <c r="H192" s="73"/>
      <c r="I192" s="36"/>
      <c r="L192" s="69"/>
      <c r="M192" s="69"/>
      <c r="N192" s="36"/>
    </row>
    <row r="193" spans="1:14" s="37" customFormat="1" ht="15.75" customHeight="1" x14ac:dyDescent="0.25">
      <c r="A193" s="42">
        <f t="shared" si="11"/>
        <v>7</v>
      </c>
      <c r="B193" s="42" t="s">
        <v>243</v>
      </c>
      <c r="C193" s="52">
        <v>3</v>
      </c>
      <c r="D193" s="54">
        <f>(98.07+2.75*1.83)*(10.764)</f>
        <v>1109.7953099999997</v>
      </c>
      <c r="E193" s="42">
        <v>0</v>
      </c>
      <c r="F193" s="42">
        <f>D193*(($F$166)+1)+(IF(E193&lt;101,E193,IF(E193&lt;201,E193/2,IF(E193&lt;=301,E193/3,E193/4))))</f>
        <v>1664.6929649999997</v>
      </c>
      <c r="G193" s="74"/>
      <c r="H193" s="75"/>
      <c r="I193" s="36"/>
      <c r="L193" s="69"/>
      <c r="M193" s="69"/>
      <c r="N193" s="36"/>
    </row>
    <row r="194" spans="1:14" s="37" customFormat="1" x14ac:dyDescent="0.25">
      <c r="A194" s="66" t="s">
        <v>234</v>
      </c>
      <c r="B194" s="67"/>
      <c r="C194" s="67"/>
      <c r="D194" s="67"/>
      <c r="E194" s="67"/>
      <c r="F194" s="67"/>
      <c r="G194" s="67"/>
      <c r="H194" s="68"/>
      <c r="J194" s="36"/>
    </row>
    <row r="195" spans="1:14" s="37" customFormat="1" ht="40.5" hidden="1" customHeight="1" x14ac:dyDescent="0.25">
      <c r="A195" s="106" t="s">
        <v>200</v>
      </c>
      <c r="B195" s="107"/>
      <c r="C195" s="107"/>
      <c r="D195" s="107"/>
      <c r="E195" s="107"/>
      <c r="F195" s="107"/>
      <c r="G195" s="107"/>
      <c r="H195" s="108"/>
      <c r="J195" s="36"/>
    </row>
    <row r="196" spans="1:14" s="37" customFormat="1" ht="15.75" hidden="1" customHeight="1" x14ac:dyDescent="0.25">
      <c r="A196" s="76">
        <v>1</v>
      </c>
      <c r="B196" s="77"/>
      <c r="C196" s="52">
        <v>2</v>
      </c>
      <c r="D196" s="54">
        <f>(74.35+2.75*1.82)*(10.764)</f>
        <v>854.17721999999981</v>
      </c>
      <c r="E196" s="42">
        <v>0</v>
      </c>
      <c r="F196" s="42">
        <f>D196*(($F$166)+1)+(IF(E196&lt;101,E196,IF(E196&lt;201,E196/2,IF(E196&lt;=301,E196/3,E196/4))))</f>
        <v>1281.2658299999998</v>
      </c>
      <c r="G196" s="70" t="str">
        <f>A195</f>
        <v>36th Floor (37th Floor As per builder)
(Part Refuge Area)</v>
      </c>
      <c r="H196" s="71"/>
      <c r="I196" s="36"/>
      <c r="L196" s="69"/>
      <c r="M196" s="69"/>
      <c r="N196" s="36"/>
    </row>
    <row r="197" spans="1:14" s="37" customFormat="1" ht="15.75" hidden="1" customHeight="1" x14ac:dyDescent="0.25">
      <c r="A197" s="76">
        <f t="shared" ref="A197:A202" si="12">A196+1</f>
        <v>2</v>
      </c>
      <c r="B197" s="77"/>
      <c r="C197" s="52">
        <v>2</v>
      </c>
      <c r="D197" s="54">
        <f>(74.65+2.75*1.82)*(10.764)</f>
        <v>857.40641999999991</v>
      </c>
      <c r="E197" s="42">
        <v>0</v>
      </c>
      <c r="F197" s="42">
        <f>D197*(($F$166)+1)+(IF(E197&lt;101,E197,IF(E197&lt;201,E197/2,IF(E197&lt;=301,E197/3,E197/4))))</f>
        <v>1286.1096299999999</v>
      </c>
      <c r="G197" s="72"/>
      <c r="H197" s="73"/>
      <c r="I197" s="36"/>
      <c r="J197" s="37">
        <f>1.33*1.35+3.36*5.55+3.05*2.45+1.23*2.45+2.45*1.53+2.75*1+0.95*2.63+3.65*3.2+3.2*3.51+1.52*2.45+0.6*1.52+0.6*1.2+1.82*2.82</f>
        <v>73.326900000000009</v>
      </c>
      <c r="L197" s="69"/>
      <c r="M197" s="69"/>
      <c r="N197" s="36"/>
    </row>
    <row r="198" spans="1:14" s="37" customFormat="1" ht="15.75" hidden="1" customHeight="1" x14ac:dyDescent="0.25">
      <c r="A198" s="76">
        <f t="shared" si="12"/>
        <v>3</v>
      </c>
      <c r="B198" s="77"/>
      <c r="C198" s="52">
        <v>3</v>
      </c>
      <c r="D198" s="54">
        <f>(92.01+2.75*1.82)*(10.764)</f>
        <v>1044.26946</v>
      </c>
      <c r="E198" s="42">
        <v>0</v>
      </c>
      <c r="F198" s="42">
        <f>D198*(($F$166)+1)+(IF(E198&lt;101,E198,IF(E198&lt;201,E198/2,IF(E198&lt;=301,E198/3,E198/4))))</f>
        <v>1566.40419</v>
      </c>
      <c r="G198" s="72"/>
      <c r="H198" s="73"/>
      <c r="I198" s="36"/>
      <c r="L198" s="69"/>
      <c r="M198" s="69"/>
      <c r="N198" s="36"/>
    </row>
    <row r="199" spans="1:14" s="37" customFormat="1" ht="15.75" hidden="1" customHeight="1" x14ac:dyDescent="0.25">
      <c r="A199" s="76">
        <f t="shared" si="12"/>
        <v>4</v>
      </c>
      <c r="B199" s="77"/>
      <c r="C199" s="78" t="s">
        <v>199</v>
      </c>
      <c r="D199" s="79"/>
      <c r="E199" s="79"/>
      <c r="F199" s="80"/>
      <c r="G199" s="72"/>
      <c r="H199" s="73"/>
      <c r="I199" s="36"/>
      <c r="L199" s="69"/>
      <c r="M199" s="69"/>
      <c r="N199" s="36"/>
    </row>
    <row r="200" spans="1:14" s="37" customFormat="1" ht="15.75" hidden="1" customHeight="1" x14ac:dyDescent="0.25">
      <c r="A200" s="76">
        <f t="shared" si="12"/>
        <v>5</v>
      </c>
      <c r="B200" s="77"/>
      <c r="C200" s="81"/>
      <c r="D200" s="82"/>
      <c r="E200" s="82"/>
      <c r="F200" s="83"/>
      <c r="G200" s="72"/>
      <c r="H200" s="73"/>
      <c r="I200" s="36"/>
      <c r="L200" s="69"/>
      <c r="M200" s="69"/>
      <c r="N200" s="36"/>
    </row>
    <row r="201" spans="1:14" s="37" customFormat="1" ht="15.75" hidden="1" customHeight="1" x14ac:dyDescent="0.25">
      <c r="A201" s="76">
        <f t="shared" si="12"/>
        <v>6</v>
      </c>
      <c r="B201" s="77"/>
      <c r="C201" s="52">
        <v>4</v>
      </c>
      <c r="D201" s="54">
        <f>(130.17+3.45*2.45)*(10.764)</f>
        <v>1492.1325899999999</v>
      </c>
      <c r="E201" s="42">
        <v>0</v>
      </c>
      <c r="F201" s="42">
        <f>D201*(($F$166)+1)+(IF(E201&lt;101,E201,IF(E201&lt;201,E201/2,IF(E201&lt;=301,E201/3,E201/4))))</f>
        <v>2238.1988849999998</v>
      </c>
      <c r="G201" s="72"/>
      <c r="H201" s="73"/>
      <c r="I201" s="36"/>
      <c r="L201" s="69"/>
      <c r="M201" s="69"/>
      <c r="N201" s="36"/>
    </row>
    <row r="202" spans="1:14" s="37" customFormat="1" ht="15.75" hidden="1" customHeight="1" x14ac:dyDescent="0.25">
      <c r="A202" s="76">
        <f t="shared" si="12"/>
        <v>7</v>
      </c>
      <c r="B202" s="77"/>
      <c r="C202" s="52">
        <v>3</v>
      </c>
      <c r="D202" s="54">
        <f>(92.01+2.75*1.82)*(10.764)</f>
        <v>1044.26946</v>
      </c>
      <c r="E202" s="42">
        <v>0</v>
      </c>
      <c r="F202" s="42">
        <f>D202*(($F$166)+1)+(IF(E202&lt;101,E202,IF(E202&lt;201,E202/2,IF(E202&lt;=301,E202/3,E202/4))))</f>
        <v>1566.40419</v>
      </c>
      <c r="G202" s="74"/>
      <c r="H202" s="75"/>
      <c r="I202" s="36"/>
      <c r="L202" s="69"/>
      <c r="M202" s="69"/>
      <c r="N202" s="36"/>
    </row>
    <row r="203" spans="1:14" s="37" customFormat="1" hidden="1" x14ac:dyDescent="0.25">
      <c r="A203" s="66" t="s">
        <v>201</v>
      </c>
      <c r="B203" s="67"/>
      <c r="C203" s="67"/>
      <c r="D203" s="67"/>
      <c r="E203" s="67"/>
      <c r="F203" s="67"/>
      <c r="G203" s="67"/>
      <c r="H203" s="68"/>
      <c r="J203" s="36"/>
    </row>
    <row r="204" spans="1:14" s="37" customFormat="1" hidden="1" x14ac:dyDescent="0.25">
      <c r="A204" s="66" t="s">
        <v>198</v>
      </c>
      <c r="B204" s="67"/>
      <c r="C204" s="67"/>
      <c r="D204" s="67"/>
      <c r="E204" s="67"/>
      <c r="F204" s="67"/>
      <c r="G204" s="67"/>
      <c r="H204" s="68"/>
      <c r="J204" s="36"/>
    </row>
    <row r="205" spans="1:14" s="37" customFormat="1" hidden="1" x14ac:dyDescent="0.25">
      <c r="A205" s="66" t="s">
        <v>202</v>
      </c>
      <c r="B205" s="67"/>
      <c r="C205" s="67"/>
      <c r="D205" s="67"/>
      <c r="E205" s="67"/>
      <c r="F205" s="67"/>
      <c r="G205" s="67"/>
      <c r="H205" s="68"/>
      <c r="J205" s="36"/>
    </row>
    <row r="206" spans="1:14" s="37" customFormat="1" hidden="1" x14ac:dyDescent="0.25">
      <c r="A206" s="76">
        <v>1</v>
      </c>
      <c r="B206" s="77"/>
      <c r="C206" s="52">
        <v>2</v>
      </c>
      <c r="D206" s="54">
        <f>(74.35+2.75*1.82)*(10.764)</f>
        <v>854.17721999999981</v>
      </c>
      <c r="E206" s="42">
        <v>0</v>
      </c>
      <c r="F206" s="42">
        <f t="shared" ref="F206:F212" si="13">D206*(($F$166)+1)+(IF(E206&lt;101,E206,IF(E206&lt;201,E206/2,IF(E206&lt;=301,E206/3,E206/4))))</f>
        <v>1281.2658299999998</v>
      </c>
      <c r="G206" s="76" t="str">
        <f>A205</f>
        <v>1st Floor For Residential</v>
      </c>
      <c r="H206" s="77"/>
      <c r="I206" s="36"/>
      <c r="L206" s="69"/>
      <c r="M206" s="69"/>
      <c r="N206" s="36"/>
    </row>
    <row r="207" spans="1:14" s="37" customFormat="1" hidden="1" x14ac:dyDescent="0.25">
      <c r="A207" s="76">
        <f t="shared" ref="A207:A212" si="14">A206+1</f>
        <v>2</v>
      </c>
      <c r="B207" s="77"/>
      <c r="C207" s="52">
        <v>2</v>
      </c>
      <c r="D207" s="54">
        <f>(74.65+2.75*1.82)*(10.764)</f>
        <v>857.40641999999991</v>
      </c>
      <c r="E207" s="42">
        <v>0</v>
      </c>
      <c r="F207" s="42">
        <f t="shared" si="13"/>
        <v>1286.1096299999999</v>
      </c>
      <c r="G207" s="76" t="str">
        <f t="shared" ref="G207:G212" si="15">G206</f>
        <v>1st Floor For Residential</v>
      </c>
      <c r="H207" s="77"/>
      <c r="I207" s="36"/>
      <c r="L207" s="69"/>
      <c r="M207" s="69"/>
      <c r="N207" s="36"/>
    </row>
    <row r="208" spans="1:14" s="37" customFormat="1" hidden="1" x14ac:dyDescent="0.25">
      <c r="A208" s="76">
        <f t="shared" si="14"/>
        <v>3</v>
      </c>
      <c r="B208" s="77"/>
      <c r="C208" s="52">
        <v>3</v>
      </c>
      <c r="D208" s="54">
        <f>(92.01+2.75*1.82)*(10.764)</f>
        <v>1044.26946</v>
      </c>
      <c r="E208" s="42">
        <v>0</v>
      </c>
      <c r="F208" s="42">
        <f t="shared" si="13"/>
        <v>1566.40419</v>
      </c>
      <c r="G208" s="76" t="str">
        <f t="shared" si="15"/>
        <v>1st Floor For Residential</v>
      </c>
      <c r="H208" s="77"/>
      <c r="I208" s="36"/>
      <c r="L208" s="69"/>
      <c r="M208" s="69"/>
      <c r="N208" s="36"/>
    </row>
    <row r="209" spans="1:14" s="37" customFormat="1" hidden="1" x14ac:dyDescent="0.25">
      <c r="A209" s="76">
        <f t="shared" si="14"/>
        <v>4</v>
      </c>
      <c r="B209" s="77"/>
      <c r="C209" s="52">
        <v>4</v>
      </c>
      <c r="D209" s="54">
        <f>(130.17+3.45*2.45)*(10.764)</f>
        <v>1492.1325899999999</v>
      </c>
      <c r="E209" s="42">
        <v>0</v>
      </c>
      <c r="F209" s="42">
        <f t="shared" si="13"/>
        <v>2238.1988849999998</v>
      </c>
      <c r="G209" s="76" t="str">
        <f t="shared" si="15"/>
        <v>1st Floor For Residential</v>
      </c>
      <c r="H209" s="77"/>
      <c r="I209" s="36"/>
      <c r="L209" s="69"/>
      <c r="M209" s="69"/>
      <c r="N209" s="36"/>
    </row>
    <row r="210" spans="1:14" s="37" customFormat="1" hidden="1" x14ac:dyDescent="0.25">
      <c r="A210" s="76">
        <f t="shared" si="14"/>
        <v>5</v>
      </c>
      <c r="B210" s="77"/>
      <c r="C210" s="52">
        <v>3</v>
      </c>
      <c r="D210" s="54">
        <f>(76.42+2.7*1.83)*(10.764)</f>
        <v>875.76980400000002</v>
      </c>
      <c r="E210" s="42">
        <v>0</v>
      </c>
      <c r="F210" s="42">
        <f t="shared" si="13"/>
        <v>1313.654706</v>
      </c>
      <c r="G210" s="76" t="str">
        <f t="shared" si="15"/>
        <v>1st Floor For Residential</v>
      </c>
      <c r="H210" s="77"/>
      <c r="I210" s="36"/>
      <c r="L210" s="69"/>
      <c r="M210" s="69"/>
      <c r="N210" s="36"/>
    </row>
    <row r="211" spans="1:14" s="37" customFormat="1" hidden="1" x14ac:dyDescent="0.25">
      <c r="A211" s="76">
        <f t="shared" si="14"/>
        <v>6</v>
      </c>
      <c r="B211" s="77"/>
      <c r="C211" s="52">
        <v>4</v>
      </c>
      <c r="D211" s="54">
        <f>(130.17+3.45*2.45)*(10.764)</f>
        <v>1492.1325899999999</v>
      </c>
      <c r="E211" s="42">
        <v>0</v>
      </c>
      <c r="F211" s="42">
        <f t="shared" si="13"/>
        <v>2238.1988849999998</v>
      </c>
      <c r="G211" s="76" t="str">
        <f t="shared" si="15"/>
        <v>1st Floor For Residential</v>
      </c>
      <c r="H211" s="77"/>
      <c r="I211" s="36"/>
      <c r="L211" s="69"/>
      <c r="M211" s="69"/>
      <c r="N211" s="36"/>
    </row>
    <row r="212" spans="1:14" s="37" customFormat="1" hidden="1" x14ac:dyDescent="0.25">
      <c r="A212" s="76">
        <f t="shared" si="14"/>
        <v>7</v>
      </c>
      <c r="B212" s="77"/>
      <c r="C212" s="52">
        <v>3</v>
      </c>
      <c r="D212" s="54">
        <f>(92.01+2.75*1.82)*(10.764)</f>
        <v>1044.26946</v>
      </c>
      <c r="E212" s="42">
        <v>0</v>
      </c>
      <c r="F212" s="42">
        <f t="shared" si="13"/>
        <v>1566.40419</v>
      </c>
      <c r="G212" s="76" t="str">
        <f t="shared" si="15"/>
        <v>1st Floor For Residential</v>
      </c>
      <c r="H212" s="77"/>
      <c r="I212" s="36"/>
      <c r="L212" s="69"/>
      <c r="M212" s="69"/>
      <c r="N212" s="36"/>
    </row>
    <row r="213" spans="1:14" s="37" customFormat="1" ht="15.75" hidden="1" customHeight="1" x14ac:dyDescent="0.25">
      <c r="A213" s="66" t="s">
        <v>203</v>
      </c>
      <c r="B213" s="67"/>
      <c r="C213" s="67"/>
      <c r="D213" s="67"/>
      <c r="E213" s="67"/>
      <c r="F213" s="67"/>
      <c r="G213" s="67"/>
      <c r="H213" s="68"/>
      <c r="J213" s="36"/>
    </row>
    <row r="214" spans="1:14" s="37" customFormat="1" hidden="1" x14ac:dyDescent="0.25">
      <c r="A214" s="66" t="s">
        <v>198</v>
      </c>
      <c r="B214" s="67"/>
      <c r="C214" s="67"/>
      <c r="D214" s="67"/>
      <c r="E214" s="67"/>
      <c r="F214" s="67"/>
      <c r="G214" s="67"/>
      <c r="H214" s="68"/>
      <c r="J214" s="36"/>
    </row>
    <row r="215" spans="1:14" s="37" customFormat="1" hidden="1" x14ac:dyDescent="0.25">
      <c r="A215" s="66" t="s">
        <v>204</v>
      </c>
      <c r="B215" s="67"/>
      <c r="C215" s="67"/>
      <c r="D215" s="67"/>
      <c r="E215" s="67"/>
      <c r="F215" s="67"/>
      <c r="G215" s="67"/>
      <c r="H215" s="68"/>
      <c r="J215" s="36"/>
    </row>
    <row r="216" spans="1:14" s="37" customFormat="1" hidden="1" x14ac:dyDescent="0.25">
      <c r="A216" s="66" t="s">
        <v>205</v>
      </c>
      <c r="B216" s="67"/>
      <c r="C216" s="67"/>
      <c r="D216" s="67"/>
      <c r="E216" s="67"/>
      <c r="F216" s="67"/>
      <c r="G216" s="67"/>
      <c r="H216" s="68"/>
      <c r="J216" s="36"/>
    </row>
    <row r="217" spans="1:14" s="37" customFormat="1" hidden="1" x14ac:dyDescent="0.25">
      <c r="A217" s="66" t="s">
        <v>206</v>
      </c>
      <c r="B217" s="67"/>
      <c r="C217" s="67"/>
      <c r="D217" s="67"/>
      <c r="E217" s="67"/>
      <c r="F217" s="67"/>
      <c r="G217" s="67"/>
      <c r="H217" s="68"/>
      <c r="J217" s="36"/>
    </row>
    <row r="218" spans="1:14" s="37" customFormat="1" hidden="1" x14ac:dyDescent="0.25">
      <c r="A218" s="76">
        <v>1</v>
      </c>
      <c r="B218" s="77"/>
      <c r="C218" s="52">
        <v>4</v>
      </c>
      <c r="D218" s="54">
        <f>(159.19+4.57*1.85)*(10.764)</f>
        <v>1804.5253979999998</v>
      </c>
      <c r="E218" s="42">
        <v>0</v>
      </c>
      <c r="F218" s="42">
        <f>D218*(($F$166)+1)+(IF(E218&lt;101,E218,IF(E218&lt;201,E218/2,IF(E218&lt;=301,E218/3,E218/4))))</f>
        <v>2706.7880969999997</v>
      </c>
      <c r="G218" s="76" t="str">
        <f>A217</f>
        <v>9th Floor For Residential</v>
      </c>
      <c r="H218" s="77"/>
      <c r="I218" s="36">
        <f>80000000/F218</f>
        <v>29555.324293270678</v>
      </c>
      <c r="L218" s="69"/>
      <c r="M218" s="69"/>
      <c r="N218" s="36"/>
    </row>
    <row r="219" spans="1:14" s="37" customFormat="1" hidden="1" x14ac:dyDescent="0.25">
      <c r="A219" s="76">
        <f t="shared" ref="A219:A220" si="16">A218+1</f>
        <v>2</v>
      </c>
      <c r="B219" s="77"/>
      <c r="C219" s="52">
        <v>3</v>
      </c>
      <c r="D219" s="54">
        <f>(131.25+3.67*1.85)*(10.764)</f>
        <v>1485.857178</v>
      </c>
      <c r="E219" s="42">
        <v>0</v>
      </c>
      <c r="F219" s="42">
        <f>D219*(($F$166)+1)+(IF(E219&lt;101,E219,IF(E219&lt;201,E219/2,IF(E219&lt;=301,E219/3,E219/4))))</f>
        <v>2228.7857669999999</v>
      </c>
      <c r="G219" s="76" t="str">
        <f t="shared" ref="G219:G220" si="17">G218</f>
        <v>9th Floor For Residential</v>
      </c>
      <c r="H219" s="77"/>
      <c r="I219" s="36"/>
      <c r="L219" s="69"/>
      <c r="M219" s="69"/>
      <c r="N219" s="36"/>
    </row>
    <row r="220" spans="1:14" s="37" customFormat="1" hidden="1" x14ac:dyDescent="0.25">
      <c r="A220" s="76">
        <f t="shared" si="16"/>
        <v>3</v>
      </c>
      <c r="B220" s="77"/>
      <c r="C220" s="52">
        <v>4</v>
      </c>
      <c r="D220" s="54">
        <f>(159.19+4.57*1.85)*(10.764)</f>
        <v>1804.5253979999998</v>
      </c>
      <c r="E220" s="42">
        <v>0</v>
      </c>
      <c r="F220" s="42">
        <f>D220*(($F$166)+1)+(IF(E220&lt;101,E220,IF(E220&lt;201,E220/2,IF(E220&lt;=301,E220/3,E220/4))))</f>
        <v>2706.7880969999997</v>
      </c>
      <c r="G220" s="76" t="str">
        <f t="shared" si="17"/>
        <v>9th Floor For Residential</v>
      </c>
      <c r="H220" s="77"/>
      <c r="I220" s="36"/>
      <c r="L220" s="69"/>
      <c r="M220" s="69"/>
      <c r="N220" s="36"/>
    </row>
    <row r="221" spans="1:14" s="37" customFormat="1" ht="15.75" hidden="1" customHeight="1" x14ac:dyDescent="0.25">
      <c r="A221" s="66" t="s">
        <v>207</v>
      </c>
      <c r="B221" s="67"/>
      <c r="C221" s="67"/>
      <c r="D221" s="67"/>
      <c r="E221" s="67"/>
      <c r="F221" s="67"/>
      <c r="G221" s="67"/>
      <c r="H221" s="68"/>
      <c r="J221" s="36"/>
    </row>
    <row r="222" spans="1:14" s="37" customFormat="1" hidden="1" x14ac:dyDescent="0.25">
      <c r="A222" s="66" t="s">
        <v>198</v>
      </c>
      <c r="B222" s="67"/>
      <c r="C222" s="67"/>
      <c r="D222" s="67"/>
      <c r="E222" s="67"/>
      <c r="F222" s="67"/>
      <c r="G222" s="67"/>
      <c r="H222" s="68"/>
      <c r="J222" s="36"/>
    </row>
    <row r="223" spans="1:14" s="37" customFormat="1" hidden="1" x14ac:dyDescent="0.25">
      <c r="A223" s="66" t="s">
        <v>204</v>
      </c>
      <c r="B223" s="67"/>
      <c r="C223" s="67"/>
      <c r="D223" s="67"/>
      <c r="E223" s="67"/>
      <c r="F223" s="67"/>
      <c r="G223" s="67"/>
      <c r="H223" s="68"/>
      <c r="J223" s="36"/>
    </row>
    <row r="224" spans="1:14" s="37" customFormat="1" hidden="1" x14ac:dyDescent="0.25">
      <c r="A224" s="66" t="s">
        <v>205</v>
      </c>
      <c r="B224" s="67"/>
      <c r="C224" s="67"/>
      <c r="D224" s="67"/>
      <c r="E224" s="67"/>
      <c r="F224" s="67"/>
      <c r="G224" s="67"/>
      <c r="H224" s="68"/>
      <c r="J224" s="36"/>
    </row>
    <row r="225" spans="1:14" s="37" customFormat="1" hidden="1" x14ac:dyDescent="0.25">
      <c r="A225" s="66" t="s">
        <v>206</v>
      </c>
      <c r="B225" s="67"/>
      <c r="C225" s="67"/>
      <c r="D225" s="67"/>
      <c r="E225" s="67"/>
      <c r="F225" s="67"/>
      <c r="G225" s="67"/>
      <c r="H225" s="68"/>
      <c r="J225" s="36"/>
    </row>
    <row r="226" spans="1:14" s="37" customFormat="1" hidden="1" x14ac:dyDescent="0.25">
      <c r="A226" s="76">
        <v>1</v>
      </c>
      <c r="B226" s="77"/>
      <c r="C226" s="52">
        <v>4</v>
      </c>
      <c r="D226" s="54">
        <f>(159.19+4.57*1.85)*(10.764)</f>
        <v>1804.5253979999998</v>
      </c>
      <c r="E226" s="42">
        <v>0</v>
      </c>
      <c r="F226" s="42">
        <f>D226*(($F$166)+1)+(IF(E226&lt;101,E226,IF(E226&lt;201,E226/2,IF(E226&lt;=301,E226/3,E226/4))))</f>
        <v>2706.7880969999997</v>
      </c>
      <c r="G226" s="76" t="str">
        <f>A225</f>
        <v>9th Floor For Residential</v>
      </c>
      <c r="H226" s="77"/>
      <c r="I226" s="36"/>
      <c r="L226" s="69"/>
      <c r="M226" s="69"/>
      <c r="N226" s="36"/>
    </row>
    <row r="227" spans="1:14" s="37" customFormat="1" hidden="1" x14ac:dyDescent="0.25">
      <c r="A227" s="76">
        <f t="shared" ref="A227:A228" si="18">A226+1</f>
        <v>2</v>
      </c>
      <c r="B227" s="77"/>
      <c r="C227" s="52">
        <v>3</v>
      </c>
      <c r="D227" s="54">
        <f>(131.25+3.67*1.85)*(10.764)</f>
        <v>1485.857178</v>
      </c>
      <c r="E227" s="42">
        <v>0</v>
      </c>
      <c r="F227" s="42">
        <f>D227*(($F$166)+1)+(IF(E227&lt;101,E227,IF(E227&lt;201,E227/2,IF(E227&lt;=301,E227/3,E227/4))))</f>
        <v>2228.7857669999999</v>
      </c>
      <c r="G227" s="76" t="str">
        <f t="shared" ref="G227:G228" si="19">G226</f>
        <v>9th Floor For Residential</v>
      </c>
      <c r="H227" s="77"/>
      <c r="I227" s="36"/>
      <c r="L227" s="69"/>
      <c r="M227" s="69"/>
      <c r="N227" s="36"/>
    </row>
    <row r="228" spans="1:14" s="37" customFormat="1" hidden="1" x14ac:dyDescent="0.25">
      <c r="A228" s="76">
        <f t="shared" si="18"/>
        <v>3</v>
      </c>
      <c r="B228" s="77"/>
      <c r="C228" s="52">
        <v>4</v>
      </c>
      <c r="D228" s="54">
        <f>(159.19+4.57*1.85)*(10.764)</f>
        <v>1804.5253979999998</v>
      </c>
      <c r="E228" s="42">
        <v>0</v>
      </c>
      <c r="F228" s="42">
        <f>D228*(($F$166)+1)+(IF(E228&lt;101,E228,IF(E228&lt;201,E228/2,IF(E228&lt;=301,E228/3,E228/4))))</f>
        <v>2706.7880969999997</v>
      </c>
      <c r="G228" s="76" t="str">
        <f t="shared" si="19"/>
        <v>9th Floor For Residential</v>
      </c>
      <c r="H228" s="77"/>
      <c r="I228" s="36"/>
      <c r="L228" s="69"/>
      <c r="M228" s="69"/>
      <c r="N228" s="36"/>
    </row>
    <row r="229" spans="1:14" s="37" customFormat="1" hidden="1" x14ac:dyDescent="0.25">
      <c r="A229" s="66" t="s">
        <v>122</v>
      </c>
      <c r="B229" s="67"/>
      <c r="C229" s="67"/>
      <c r="D229" s="67"/>
      <c r="E229" s="67"/>
      <c r="F229" s="67"/>
      <c r="G229" s="67"/>
      <c r="H229" s="68"/>
      <c r="J229" s="36"/>
    </row>
    <row r="230" spans="1:14" s="37" customFormat="1" hidden="1" x14ac:dyDescent="0.25">
      <c r="A230" s="76">
        <v>1</v>
      </c>
      <c r="B230" s="77"/>
      <c r="C230" s="52">
        <v>1</v>
      </c>
      <c r="D230" s="42"/>
      <c r="E230" s="42">
        <v>0</v>
      </c>
      <c r="F230" s="42">
        <f>D230*(($F$166)+1)+(IF(E230&lt;101,E230,IF(E230&lt;201,E230/2,IF(E230&lt;=301,E230/3,E230/4))))</f>
        <v>0</v>
      </c>
      <c r="G230" s="76" t="str">
        <f>A229</f>
        <v>Ground Floor</v>
      </c>
      <c r="H230" s="77"/>
      <c r="I230" s="36"/>
      <c r="L230" s="69"/>
      <c r="M230" s="69"/>
      <c r="N230" s="36"/>
    </row>
    <row r="231" spans="1:14" s="37" customFormat="1" hidden="1" x14ac:dyDescent="0.25">
      <c r="A231" s="76">
        <f t="shared" ref="A231:A233" si="20">A230+1</f>
        <v>2</v>
      </c>
      <c r="B231" s="77"/>
      <c r="C231" s="52"/>
      <c r="D231" s="42"/>
      <c r="E231" s="42">
        <v>0</v>
      </c>
      <c r="F231" s="42">
        <f>D231*(($F$166)+1)+(IF(E231&lt;101,E231,IF(E231&lt;201,E231/2,IF(E231&lt;=301,E231/3,E231/4))))</f>
        <v>0</v>
      </c>
      <c r="G231" s="76" t="str">
        <f t="shared" ref="G231:G233" si="21">G230</f>
        <v>Ground Floor</v>
      </c>
      <c r="H231" s="77"/>
      <c r="I231" s="36"/>
      <c r="L231" s="69"/>
      <c r="M231" s="69"/>
      <c r="N231" s="36"/>
    </row>
    <row r="232" spans="1:14" s="37" customFormat="1" hidden="1" x14ac:dyDescent="0.25">
      <c r="A232" s="76">
        <f t="shared" si="20"/>
        <v>3</v>
      </c>
      <c r="B232" s="77"/>
      <c r="C232" s="52"/>
      <c r="D232" s="42"/>
      <c r="E232" s="42">
        <v>0</v>
      </c>
      <c r="F232" s="42">
        <f>D232*(($F$166)+1)+(IF(E232&lt;101,E232,IF(E232&lt;201,E232/2,IF(E232&lt;=301,E232/3,E232/4))))</f>
        <v>0</v>
      </c>
      <c r="G232" s="76" t="str">
        <f t="shared" si="21"/>
        <v>Ground Floor</v>
      </c>
      <c r="H232" s="77"/>
      <c r="I232" s="36"/>
      <c r="L232" s="69"/>
      <c r="M232" s="69"/>
      <c r="N232" s="36"/>
    </row>
    <row r="233" spans="1:14" s="37" customFormat="1" hidden="1" x14ac:dyDescent="0.25">
      <c r="A233" s="76">
        <f t="shared" si="20"/>
        <v>4</v>
      </c>
      <c r="B233" s="77"/>
      <c r="C233" s="52"/>
      <c r="D233" s="42"/>
      <c r="E233" s="42">
        <v>0</v>
      </c>
      <c r="F233" s="42">
        <f>D233*(($F$166)+1)+(IF(E233&lt;101,E233,IF(E233&lt;201,E233/2,IF(E233&lt;=301,E233/3,E233/4))))</f>
        <v>0</v>
      </c>
      <c r="G233" s="76" t="str">
        <f t="shared" si="21"/>
        <v>Ground Floor</v>
      </c>
      <c r="H233" s="77"/>
      <c r="I233" s="36"/>
      <c r="L233" s="69"/>
      <c r="M233" s="69"/>
      <c r="N233" s="36"/>
    </row>
    <row r="234" spans="1:14" s="37" customFormat="1" hidden="1" x14ac:dyDescent="0.25">
      <c r="A234" s="127" t="s">
        <v>123</v>
      </c>
      <c r="B234" s="127"/>
      <c r="C234" s="127"/>
      <c r="D234" s="127"/>
      <c r="E234" s="127"/>
      <c r="F234" s="127"/>
      <c r="G234" s="127"/>
      <c r="H234" s="127"/>
      <c r="I234" s="36"/>
      <c r="L234" s="69"/>
      <c r="M234" s="69"/>
    </row>
    <row r="235" spans="1:14" s="37" customFormat="1" hidden="1" x14ac:dyDescent="0.25">
      <c r="A235" s="99">
        <f>LEFT(A234,SUM(LEN(A234)-LEN(SUBSTITUTE(A234,{"0","1","2","3","4","5","6","7","8","9"},""))))*100+1</f>
        <v>201</v>
      </c>
      <c r="B235" s="99"/>
      <c r="C235" s="52"/>
      <c r="D235" s="42"/>
      <c r="E235" s="42">
        <v>0</v>
      </c>
      <c r="F235" s="42">
        <f t="shared" ref="F235:F236" si="22">D235*(($F$166)+1)+(IF(E235&lt;101,E235,IF(E235&lt;201,E235/2,IF(E235&lt;=301,E235/3,E235/4))))</f>
        <v>0</v>
      </c>
      <c r="G235" s="99" t="str">
        <f>A234</f>
        <v>2nd Floor</v>
      </c>
      <c r="H235" s="99"/>
      <c r="I235" s="36"/>
      <c r="N235" s="36"/>
    </row>
    <row r="236" spans="1:14" s="37" customFormat="1" hidden="1" x14ac:dyDescent="0.25">
      <c r="A236" s="99">
        <f>A235+1</f>
        <v>202</v>
      </c>
      <c r="B236" s="99"/>
      <c r="C236" s="52"/>
      <c r="D236" s="42"/>
      <c r="E236" s="42">
        <v>0</v>
      </c>
      <c r="F236" s="42">
        <f t="shared" si="22"/>
        <v>0</v>
      </c>
      <c r="G236" s="99" t="str">
        <f>G235</f>
        <v>2nd Floor</v>
      </c>
      <c r="H236" s="99"/>
      <c r="I236" s="36"/>
      <c r="N236" s="36"/>
    </row>
    <row r="237" spans="1:14" s="37" customFormat="1" hidden="1" x14ac:dyDescent="0.25">
      <c r="A237" s="99">
        <f>A236+1</f>
        <v>203</v>
      </c>
      <c r="B237" s="99"/>
      <c r="C237" s="52"/>
      <c r="D237" s="42"/>
      <c r="E237" s="42">
        <v>0</v>
      </c>
      <c r="F237" s="42">
        <f>D237*(($F$166)+1)+(IF(E237&lt;101,E237,IF(E237&lt;201,E237/2,IF(E237&lt;=301,E237/3,E237/4))))</f>
        <v>0</v>
      </c>
      <c r="G237" s="99" t="str">
        <f>G236</f>
        <v>2nd Floor</v>
      </c>
      <c r="H237" s="99"/>
      <c r="I237" s="36"/>
      <c r="N237" s="36"/>
    </row>
    <row r="238" spans="1:14" s="37" customFormat="1" hidden="1" x14ac:dyDescent="0.25">
      <c r="A238" s="99">
        <f>A237+1</f>
        <v>204</v>
      </c>
      <c r="B238" s="99"/>
      <c r="C238" s="52"/>
      <c r="D238" s="42"/>
      <c r="E238" s="42">
        <v>0</v>
      </c>
      <c r="F238" s="42">
        <f>D238*(($F$166)+1)+(IF(E238&lt;101,E238,IF(E238&lt;201,E238/2,IF(E238&lt;=301,E238/3,E238/4))))</f>
        <v>0</v>
      </c>
      <c r="G238" s="99" t="str">
        <f>G237</f>
        <v>2nd Floor</v>
      </c>
      <c r="H238" s="99"/>
      <c r="I238" s="36"/>
      <c r="N238" s="36"/>
    </row>
    <row r="239" spans="1:14" s="37" customFormat="1" hidden="1" x14ac:dyDescent="0.25">
      <c r="A239" s="99">
        <f>A238+1</f>
        <v>205</v>
      </c>
      <c r="B239" s="99"/>
      <c r="C239" s="52"/>
      <c r="D239" s="42"/>
      <c r="E239" s="42">
        <v>0</v>
      </c>
      <c r="F239" s="42">
        <f>D239*(($F$166)+1)+(IF(E239&lt;101,E239,IF(E239&lt;201,E239/2,IF(E239&lt;=301,E239/3,E239/4))))</f>
        <v>0</v>
      </c>
      <c r="G239" s="99" t="str">
        <f>G238</f>
        <v>2nd Floor</v>
      </c>
      <c r="H239" s="99"/>
      <c r="I239" s="36"/>
      <c r="N239" s="36"/>
    </row>
    <row r="240" spans="1:14" s="37" customFormat="1" ht="15.75" hidden="1" customHeight="1" x14ac:dyDescent="0.25">
      <c r="A240" s="66" t="s">
        <v>159</v>
      </c>
      <c r="B240" s="67"/>
      <c r="C240" s="67"/>
      <c r="D240" s="67"/>
      <c r="E240" s="67"/>
      <c r="F240" s="67"/>
      <c r="G240" s="67"/>
      <c r="H240" s="68"/>
      <c r="I240" s="36"/>
    </row>
    <row r="241" spans="1:9" s="37" customFormat="1" hidden="1" x14ac:dyDescent="0.25">
      <c r="A241" s="76"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10^ROW(INDIRECT("1:"&amp;LEN((LEFT(A240,SUM(LEN(A240)-LEN(SUBSTITUTE(A240,{"0","1","2"},""))))))))/10))*100+1&amp;""&amp;" ,..,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",LEN(A240))),LEN(A240)))))))/10))*100+1</f>
        <v>301 ,.., 1501</v>
      </c>
      <c r="B241" s="77"/>
      <c r="C241" s="52"/>
      <c r="D241" s="42"/>
      <c r="E241" s="42">
        <v>0</v>
      </c>
      <c r="F241" s="42">
        <f>D241*(($F$166)+1)+(IF(E241&lt;101,E241,IF(E241&lt;201,E241/2,IF(E241&lt;=301,E241/3,E241/4))))</f>
        <v>0</v>
      </c>
      <c r="G241" s="76" t="str">
        <f>A240</f>
        <v>3rd, 5th, 7th, 9th, 11th, 13th, 15th Floor</v>
      </c>
      <c r="H241" s="77"/>
      <c r="I241" s="36"/>
    </row>
    <row r="242" spans="1:9" s="37" customFormat="1" hidden="1" x14ac:dyDescent="0.25">
      <c r="A242" s="76"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302 ,.., 1502</v>
      </c>
      <c r="B242" s="77"/>
      <c r="C242" s="52"/>
      <c r="D242" s="42"/>
      <c r="E242" s="42">
        <v>0</v>
      </c>
      <c r="F242" s="42">
        <f>D242*(($F$166)+1)+(IF(E242&lt;101,E242,IF(E242&lt;201,E242/2,IF(E242&lt;=301,E242/3,E242/4))))</f>
        <v>0</v>
      </c>
      <c r="G242" s="76" t="str">
        <f>G241</f>
        <v>3rd, 5th, 7th, 9th, 11th, 13th, 15th Floor</v>
      </c>
      <c r="H242" s="77"/>
      <c r="I242" s="36"/>
    </row>
    <row r="243" spans="1:9" s="37" customFormat="1" ht="15.75" hidden="1" customHeight="1" x14ac:dyDescent="0.25">
      <c r="A243" s="76"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303 ,.., 1503</v>
      </c>
      <c r="B243" s="77"/>
      <c r="C243" s="52"/>
      <c r="D243" s="42"/>
      <c r="E243" s="42">
        <v>0</v>
      </c>
      <c r="F243" s="42">
        <f>D243*(($F$166)+1)+(IF(E243&lt;101,E243,IF(E243&lt;201,E243/2,IF(E243&lt;=301,E243/3,E243/4))))</f>
        <v>0</v>
      </c>
      <c r="G243" s="76" t="str">
        <f>G242</f>
        <v>3rd, 5th, 7th, 9th, 11th, 13th, 15th Floor</v>
      </c>
      <c r="H243" s="77"/>
      <c r="I243" s="36"/>
    </row>
    <row r="244" spans="1:9" s="37" customFormat="1" ht="15.75" hidden="1" customHeight="1" x14ac:dyDescent="0.25">
      <c r="A244" s="76"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304 ,.., 1504</v>
      </c>
      <c r="B244" s="77"/>
      <c r="C244" s="52"/>
      <c r="D244" s="42"/>
      <c r="E244" s="42">
        <v>0</v>
      </c>
      <c r="F244" s="42">
        <f>D244*(($F$166)+1)+(IF(E244&lt;101,E244,IF(E244&lt;201,E244/2,IF(E244&lt;=301,E244/3,E244/4))))</f>
        <v>0</v>
      </c>
      <c r="G244" s="76" t="str">
        <f>G243</f>
        <v>3rd, 5th, 7th, 9th, 11th, 13th, 15th Floor</v>
      </c>
      <c r="H244" s="77"/>
      <c r="I244" s="36"/>
    </row>
    <row r="245" spans="1:9" s="37" customFormat="1" ht="15.75" hidden="1" customHeight="1" x14ac:dyDescent="0.25">
      <c r="A245" s="76"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305 ,.., 1505</v>
      </c>
      <c r="B245" s="77"/>
      <c r="C245" s="52"/>
      <c r="D245" s="42"/>
      <c r="E245" s="42">
        <v>0</v>
      </c>
      <c r="F245" s="42">
        <f>D245*(($F$166)+1)+(IF(E245&lt;101,E245,IF(E245&lt;201,E245/2,IF(E245&lt;=301,E245/3,E245/4))))</f>
        <v>0</v>
      </c>
      <c r="G245" s="76" t="str">
        <f>G244</f>
        <v>3rd, 5th, 7th, 9th, 11th, 13th, 15th Floor</v>
      </c>
      <c r="H245" s="77"/>
      <c r="I245" s="36"/>
    </row>
    <row r="246" spans="1:9" s="37" customFormat="1" hidden="1" x14ac:dyDescent="0.25">
      <c r="A246" s="66" t="s">
        <v>153</v>
      </c>
      <c r="B246" s="67"/>
      <c r="C246" s="67"/>
      <c r="D246" s="67"/>
      <c r="E246" s="67"/>
      <c r="F246" s="67"/>
      <c r="G246" s="67"/>
      <c r="H246" s="68"/>
      <c r="I246" s="36"/>
    </row>
    <row r="247" spans="1:9" s="37" customFormat="1" hidden="1" x14ac:dyDescent="0.25">
      <c r="A247" s="76"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10^ROW(INDIRECT("1:"&amp;LEN((LEFT(A246,SUM(LEN(A246)-LEN(SUBSTITUTE(A246,{"0","1","2"},""))))))))/10))*100+1&amp;""&amp;" to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",LEN(A246))),LEN(A246)))))))/10))*100+1</f>
        <v>201 to 501</v>
      </c>
      <c r="B247" s="77"/>
      <c r="C247" s="52"/>
      <c r="D247" s="42"/>
      <c r="E247" s="42">
        <v>0</v>
      </c>
      <c r="F247" s="42">
        <f>D247*(($F$166)+1)+(IF(E247&lt;101,E247,IF(E247&lt;201,E247/2,IF(E247&lt;=301,E247/3,E247/4))))</f>
        <v>0</v>
      </c>
      <c r="G247" s="76" t="str">
        <f>A246</f>
        <v>2nd to 5th Floor</v>
      </c>
      <c r="H247" s="77"/>
      <c r="I247" s="36"/>
    </row>
    <row r="248" spans="1:9" s="37" customFormat="1" hidden="1" x14ac:dyDescent="0.25">
      <c r="A248" s="76"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to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202 to 502</v>
      </c>
      <c r="B248" s="77"/>
      <c r="C248" s="52"/>
      <c r="D248" s="42"/>
      <c r="E248" s="42">
        <v>0</v>
      </c>
      <c r="F248" s="42">
        <f>D248*(($F$166)+1)+(IF(E248&lt;101,E248,IF(E248&lt;201,E248/2,IF(E248&lt;=301,E248/3,E248/4))))</f>
        <v>0</v>
      </c>
      <c r="G248" s="76" t="str">
        <f>G247</f>
        <v>2nd to 5th Floor</v>
      </c>
      <c r="H248" s="77"/>
      <c r="I248" s="36"/>
    </row>
    <row r="249" spans="1:9" s="37" customFormat="1" hidden="1" x14ac:dyDescent="0.25">
      <c r="A249" s="76"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to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203 to 503</v>
      </c>
      <c r="B249" s="77"/>
      <c r="C249" s="52"/>
      <c r="D249" s="42"/>
      <c r="E249" s="42">
        <v>0</v>
      </c>
      <c r="F249" s="42">
        <f>D249*(($F$166)+1)+(IF(E249&lt;101,E249,IF(E249&lt;201,E249/2,IF(E249&lt;=301,E249/3,E249/4))))</f>
        <v>0</v>
      </c>
      <c r="G249" s="76" t="str">
        <f>G248</f>
        <v>2nd to 5th Floor</v>
      </c>
      <c r="H249" s="77"/>
      <c r="I249" s="36"/>
    </row>
    <row r="250" spans="1:9" s="37" customFormat="1" hidden="1" x14ac:dyDescent="0.25">
      <c r="A250" s="76"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to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204 to 504</v>
      </c>
      <c r="B250" s="77"/>
      <c r="C250" s="52"/>
      <c r="D250" s="42"/>
      <c r="E250" s="42">
        <v>0</v>
      </c>
      <c r="F250" s="42">
        <f>D250*(($F$166)+1)+(IF(E250&lt;101,E250,IF(E250&lt;201,E250/2,IF(E250&lt;=301,E250/3,E250/4))))</f>
        <v>0</v>
      </c>
      <c r="G250" s="76" t="str">
        <f>G249</f>
        <v>2nd to 5th Floor</v>
      </c>
      <c r="H250" s="77"/>
      <c r="I250" s="36"/>
    </row>
    <row r="251" spans="1:9" s="37" customFormat="1" hidden="1" x14ac:dyDescent="0.25">
      <c r="A251" s="76"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to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205 to 505</v>
      </c>
      <c r="B251" s="77"/>
      <c r="C251" s="52"/>
      <c r="D251" s="42"/>
      <c r="E251" s="42">
        <v>0</v>
      </c>
      <c r="F251" s="42">
        <f>D251*(($F$166)+1)+(IF(E251&lt;101,E251,IF(E251&lt;201,E251/2,IF(E251&lt;=301,E251/3,E251/4))))</f>
        <v>0</v>
      </c>
      <c r="G251" s="76" t="str">
        <f>G250</f>
        <v>2nd to 5th Floor</v>
      </c>
      <c r="H251" s="77"/>
      <c r="I251" s="36"/>
    </row>
    <row r="252" spans="1:9" s="37" customFormat="1" hidden="1" x14ac:dyDescent="0.25">
      <c r="A252" s="66" t="s">
        <v>154</v>
      </c>
      <c r="B252" s="67"/>
      <c r="C252" s="67"/>
      <c r="D252" s="67"/>
      <c r="E252" s="67"/>
      <c r="F252" s="67"/>
      <c r="G252" s="67"/>
      <c r="H252" s="68"/>
      <c r="I252" s="36"/>
    </row>
    <row r="253" spans="1:9" s="37" customFormat="1" hidden="1" x14ac:dyDescent="0.25">
      <c r="A253" s="76"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10^ROW(INDIRECT("1:"&amp;LEN((LEFT(A252,SUM(LEN(A252)-LEN(SUBSTITUTE(A252,{"0","1","2"},""))))))))/10))*100+1&amp;""&amp;" &amp;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",LEN(A252))),LEN(A252)))))))/10))*100+1</f>
        <v>201 &amp; 501</v>
      </c>
      <c r="B253" s="77"/>
      <c r="C253" s="52"/>
      <c r="D253" s="42"/>
      <c r="E253" s="42">
        <v>0</v>
      </c>
      <c r="F253" s="42">
        <f>D253*(($F$166)+1)+(IF(E253&lt;101,E253,IF(E253&lt;201,E253/2,IF(E253&lt;=301,E253/3,E253/4))))</f>
        <v>0</v>
      </c>
      <c r="G253" s="76" t="str">
        <f>A252</f>
        <v>2nd &amp; 5th Floor</v>
      </c>
      <c r="H253" s="77"/>
      <c r="I253" s="36"/>
    </row>
    <row r="254" spans="1:9" s="37" customFormat="1" hidden="1" x14ac:dyDescent="0.25">
      <c r="A254" s="76"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&amp;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202 &amp; 502</v>
      </c>
      <c r="B254" s="77"/>
      <c r="C254" s="52"/>
      <c r="D254" s="42"/>
      <c r="E254" s="42">
        <v>0</v>
      </c>
      <c r="F254" s="42">
        <f>D254*(($F$166)+1)+(IF(E254&lt;101,E254,IF(E254&lt;201,E254/2,IF(E254&lt;=301,E254/3,E254/4))))</f>
        <v>0</v>
      </c>
      <c r="G254" s="76" t="str">
        <f t="shared" ref="G254:G257" si="23">G253</f>
        <v>2nd &amp; 5th Floor</v>
      </c>
      <c r="H254" s="77"/>
      <c r="I254" s="36"/>
    </row>
    <row r="255" spans="1:9" s="37" customFormat="1" hidden="1" x14ac:dyDescent="0.25">
      <c r="A255" s="76"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&amp;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203 &amp; 503</v>
      </c>
      <c r="B255" s="77"/>
      <c r="C255" s="52"/>
      <c r="D255" s="42"/>
      <c r="E255" s="42">
        <v>0</v>
      </c>
      <c r="F255" s="42">
        <f>D255*(($F$166)+1)+(IF(E255&lt;101,E255,IF(E255&lt;201,E255/2,IF(E255&lt;=301,E255/3,E255/4))))</f>
        <v>0</v>
      </c>
      <c r="G255" s="76" t="str">
        <f t="shared" si="23"/>
        <v>2nd &amp; 5th Floor</v>
      </c>
      <c r="H255" s="77"/>
      <c r="I255" s="36"/>
    </row>
    <row r="256" spans="1:9" s="37" customFormat="1" hidden="1" x14ac:dyDescent="0.25">
      <c r="A256" s="76"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&amp;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204 &amp; 504</v>
      </c>
      <c r="B256" s="77"/>
      <c r="C256" s="52"/>
      <c r="D256" s="42"/>
      <c r="E256" s="42">
        <v>0</v>
      </c>
      <c r="F256" s="42">
        <f>D256*(($F$166)+1)+(IF(E256&lt;101,E256,IF(E256&lt;201,E256/2,IF(E256&lt;=301,E256/3,E256/4))))</f>
        <v>0</v>
      </c>
      <c r="G256" s="76" t="str">
        <f t="shared" si="23"/>
        <v>2nd &amp; 5th Floor</v>
      </c>
      <c r="H256" s="77"/>
      <c r="I256" s="36"/>
    </row>
    <row r="257" spans="1:9" s="37" customFormat="1" hidden="1" x14ac:dyDescent="0.25">
      <c r="A257" s="76"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&amp;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205 &amp; 505</v>
      </c>
      <c r="B257" s="77"/>
      <c r="C257" s="52"/>
      <c r="D257" s="42"/>
      <c r="E257" s="42">
        <v>0</v>
      </c>
      <c r="F257" s="42">
        <f>D257*(($F$166)+1)+(IF(E257&lt;101,E257,IF(E257&lt;201,E257/2,IF(E257&lt;=301,E257/3,E257/4))))</f>
        <v>0</v>
      </c>
      <c r="G257" s="76" t="str">
        <f t="shared" si="23"/>
        <v>2nd &amp; 5th Floor</v>
      </c>
      <c r="H257" s="77"/>
      <c r="I257" s="36"/>
    </row>
    <row r="258" spans="1:9" s="35" customFormat="1" x14ac:dyDescent="0.25">
      <c r="A258" s="173" t="s">
        <v>70</v>
      </c>
      <c r="B258" s="173"/>
      <c r="C258" s="173"/>
      <c r="D258" s="173"/>
      <c r="E258" s="173"/>
      <c r="F258" s="173"/>
      <c r="G258" s="173"/>
      <c r="H258" s="173"/>
    </row>
    <row r="259" spans="1:9" s="35" customFormat="1" ht="36.75" customHeight="1" x14ac:dyDescent="0.25">
      <c r="A259" s="47">
        <v>1</v>
      </c>
      <c r="B259" s="176" t="s">
        <v>247</v>
      </c>
      <c r="C259" s="177"/>
      <c r="D259" s="177"/>
      <c r="E259" s="177"/>
      <c r="F259" s="177"/>
      <c r="G259" s="177"/>
      <c r="H259" s="178"/>
    </row>
    <row r="260" spans="1:9" s="35" customFormat="1" x14ac:dyDescent="0.25">
      <c r="A260" s="47">
        <f>A259+1</f>
        <v>2</v>
      </c>
      <c r="B260" s="176" t="str">
        <f>(IF(F165="Saleable area Loading :","We have considered Saleable area of Flats as per our Calculation.","We considered Saleable area of Flat as per Builder area Sheet."))</f>
        <v>We have considered Saleable area of Flats as per our Calculation.</v>
      </c>
      <c r="C260" s="177"/>
      <c r="D260" s="177"/>
      <c r="E260" s="177"/>
      <c r="F260" s="177"/>
      <c r="G260" s="177"/>
      <c r="H260" s="178"/>
    </row>
    <row r="261" spans="1:9" s="35" customFormat="1" x14ac:dyDescent="0.25">
      <c r="A261" s="47">
        <f t="shared" ref="A261:A275" si="24">A260+1</f>
        <v>3</v>
      </c>
      <c r="B261" s="176" t="str">
        <f>(IF(F150="Saleable area Loading :","We have considered Saleable area of Commercial as per our Calculation.","We considered Saleable area of Commercial as per Builder area Sheet."))</f>
        <v>We have considered Saleable area of Commercial as per our Calculation.</v>
      </c>
      <c r="C261" s="177"/>
      <c r="D261" s="177"/>
      <c r="E261" s="177"/>
      <c r="F261" s="177"/>
      <c r="G261" s="177"/>
      <c r="H261" s="178"/>
    </row>
    <row r="262" spans="1:9" s="35" customFormat="1" x14ac:dyDescent="0.25">
      <c r="A262" s="47">
        <f t="shared" si="24"/>
        <v>4</v>
      </c>
      <c r="B262" s="59" t="s">
        <v>130</v>
      </c>
      <c r="C262" s="60"/>
      <c r="D262" s="60"/>
      <c r="E262" s="60"/>
      <c r="F262" s="60"/>
      <c r="G262" s="60"/>
      <c r="H262" s="61"/>
    </row>
    <row r="263" spans="1:9" s="35" customFormat="1" x14ac:dyDescent="0.25">
      <c r="A263" s="47">
        <f t="shared" si="24"/>
        <v>5</v>
      </c>
      <c r="B263" s="59" t="s">
        <v>212</v>
      </c>
      <c r="C263" s="60"/>
      <c r="D263" s="60"/>
      <c r="E263" s="60"/>
      <c r="F263" s="60"/>
      <c r="G263" s="60"/>
      <c r="H263" s="61"/>
    </row>
    <row r="264" spans="1:9" s="35" customFormat="1" x14ac:dyDescent="0.25">
      <c r="A264" s="47">
        <f t="shared" si="24"/>
        <v>6</v>
      </c>
      <c r="B264" s="59" t="s">
        <v>162</v>
      </c>
      <c r="C264" s="60"/>
      <c r="D264" s="60"/>
      <c r="E264" s="60"/>
      <c r="F264" s="60"/>
      <c r="G264" s="60"/>
      <c r="H264" s="61"/>
    </row>
    <row r="265" spans="1:9" s="35" customFormat="1" x14ac:dyDescent="0.25">
      <c r="A265" s="47">
        <f t="shared" si="24"/>
        <v>7</v>
      </c>
      <c r="B265" s="59" t="s">
        <v>131</v>
      </c>
      <c r="C265" s="60"/>
      <c r="D265" s="60"/>
      <c r="E265" s="60"/>
      <c r="F265" s="60"/>
      <c r="G265" s="60"/>
      <c r="H265" s="61"/>
    </row>
    <row r="266" spans="1:9" s="35" customFormat="1" ht="34.5" customHeight="1" x14ac:dyDescent="0.25">
      <c r="A266" s="47">
        <f t="shared" si="24"/>
        <v>8</v>
      </c>
      <c r="B266" s="59" t="s">
        <v>163</v>
      </c>
      <c r="C266" s="60"/>
      <c r="D266" s="60"/>
      <c r="E266" s="60"/>
      <c r="F266" s="60"/>
      <c r="G266" s="60"/>
      <c r="H266" s="61"/>
    </row>
    <row r="267" spans="1:9" s="35" customFormat="1" x14ac:dyDescent="0.25">
      <c r="A267" s="47">
        <f t="shared" si="24"/>
        <v>9</v>
      </c>
      <c r="B267" s="59" t="s">
        <v>132</v>
      </c>
      <c r="C267" s="60"/>
      <c r="D267" s="60"/>
      <c r="E267" s="60"/>
      <c r="F267" s="60"/>
      <c r="G267" s="60"/>
      <c r="H267" s="61"/>
    </row>
    <row r="268" spans="1:9" s="35" customFormat="1" x14ac:dyDescent="0.25">
      <c r="A268" s="47">
        <f t="shared" si="24"/>
        <v>10</v>
      </c>
      <c r="B268" s="59" t="s">
        <v>231</v>
      </c>
      <c r="C268" s="60"/>
      <c r="D268" s="60"/>
      <c r="E268" s="60"/>
      <c r="F268" s="60"/>
      <c r="G268" s="60"/>
      <c r="H268" s="61"/>
    </row>
    <row r="269" spans="1:9" s="35" customFormat="1" x14ac:dyDescent="0.25">
      <c r="A269" s="47">
        <f t="shared" si="24"/>
        <v>11</v>
      </c>
      <c r="B269" s="59" t="s">
        <v>230</v>
      </c>
      <c r="C269" s="60"/>
      <c r="D269" s="60"/>
      <c r="E269" s="60"/>
      <c r="F269" s="60"/>
      <c r="G269" s="60"/>
      <c r="H269" s="61"/>
    </row>
    <row r="270" spans="1:9" s="35" customFormat="1" x14ac:dyDescent="0.25">
      <c r="A270" s="47">
        <f t="shared" si="24"/>
        <v>12</v>
      </c>
      <c r="B270" s="59" t="s">
        <v>229</v>
      </c>
      <c r="C270" s="60"/>
      <c r="D270" s="60"/>
      <c r="E270" s="60"/>
      <c r="F270" s="60"/>
      <c r="G270" s="60"/>
      <c r="H270" s="61"/>
    </row>
    <row r="271" spans="1:9" s="35" customFormat="1" x14ac:dyDescent="0.25">
      <c r="A271" s="47">
        <f t="shared" si="24"/>
        <v>13</v>
      </c>
      <c r="B271" s="59" t="s">
        <v>235</v>
      </c>
      <c r="C271" s="60"/>
      <c r="D271" s="60"/>
      <c r="E271" s="60"/>
      <c r="F271" s="60"/>
      <c r="G271" s="60"/>
      <c r="H271" s="61"/>
    </row>
    <row r="272" spans="1:9" s="35" customFormat="1" ht="33.75" customHeight="1" x14ac:dyDescent="0.25">
      <c r="A272" s="57">
        <f t="shared" si="24"/>
        <v>14</v>
      </c>
      <c r="B272" s="59" t="s">
        <v>244</v>
      </c>
      <c r="C272" s="60"/>
      <c r="D272" s="60"/>
      <c r="E272" s="60"/>
      <c r="F272" s="60"/>
      <c r="G272" s="60"/>
      <c r="H272" s="61"/>
    </row>
    <row r="273" spans="1:8" s="35" customFormat="1" x14ac:dyDescent="0.25">
      <c r="A273" s="57">
        <f t="shared" si="24"/>
        <v>15</v>
      </c>
      <c r="B273" s="59" t="s">
        <v>251</v>
      </c>
      <c r="C273" s="60"/>
      <c r="D273" s="60"/>
      <c r="E273" s="60"/>
      <c r="F273" s="60"/>
      <c r="G273" s="60"/>
      <c r="H273" s="61"/>
    </row>
    <row r="274" spans="1:8" s="35" customFormat="1" x14ac:dyDescent="0.25">
      <c r="A274" s="57">
        <f t="shared" si="24"/>
        <v>16</v>
      </c>
      <c r="B274" s="59" t="s">
        <v>250</v>
      </c>
      <c r="C274" s="60"/>
      <c r="D274" s="60"/>
      <c r="E274" s="60"/>
      <c r="F274" s="60"/>
      <c r="G274" s="60"/>
      <c r="H274" s="61"/>
    </row>
    <row r="275" spans="1:8" s="35" customFormat="1" x14ac:dyDescent="0.25">
      <c r="A275" s="200">
        <f t="shared" si="24"/>
        <v>17</v>
      </c>
      <c r="B275" s="201" t="s">
        <v>257</v>
      </c>
      <c r="C275" s="202"/>
      <c r="D275" s="202"/>
      <c r="E275" s="202"/>
      <c r="F275" s="202"/>
      <c r="G275" s="202"/>
      <c r="H275" s="203"/>
    </row>
    <row r="276" spans="1:8" x14ac:dyDescent="0.25">
      <c r="A276" s="171" t="s">
        <v>63</v>
      </c>
      <c r="B276" s="171"/>
      <c r="C276" s="171"/>
      <c r="D276" s="171"/>
      <c r="E276" s="171"/>
      <c r="F276" s="171"/>
      <c r="G276" s="171"/>
      <c r="H276" s="171"/>
    </row>
    <row r="277" spans="1:8" x14ac:dyDescent="0.25">
      <c r="A277" s="98" t="s">
        <v>64</v>
      </c>
      <c r="B277" s="98"/>
      <c r="C277" s="98"/>
      <c r="D277" s="98"/>
      <c r="E277" s="98"/>
      <c r="F277" s="98"/>
      <c r="G277" s="98"/>
      <c r="H277" s="98"/>
    </row>
    <row r="278" spans="1:8" ht="15.75" customHeight="1" x14ac:dyDescent="0.25">
      <c r="A278" s="196" t="s">
        <v>65</v>
      </c>
      <c r="B278" s="196"/>
      <c r="C278" s="196"/>
      <c r="D278" s="196"/>
      <c r="E278" s="196"/>
      <c r="F278" s="196"/>
      <c r="G278" s="196"/>
      <c r="H278" s="196"/>
    </row>
    <row r="279" spans="1:8" x14ac:dyDescent="0.25">
      <c r="A279" s="98" t="s">
        <v>66</v>
      </c>
      <c r="B279" s="98"/>
      <c r="C279" s="98"/>
      <c r="D279" s="98"/>
      <c r="E279" s="98"/>
      <c r="F279" s="98"/>
      <c r="G279" s="98"/>
      <c r="H279" s="98"/>
    </row>
    <row r="280" spans="1:8" x14ac:dyDescent="0.25">
      <c r="A280" s="98" t="s">
        <v>67</v>
      </c>
      <c r="B280" s="98"/>
      <c r="C280" s="98"/>
      <c r="D280" s="98"/>
      <c r="E280" s="98"/>
      <c r="F280" s="98"/>
      <c r="G280" s="98"/>
      <c r="H280" s="98"/>
    </row>
    <row r="281" spans="1:8" x14ac:dyDescent="0.25">
      <c r="A281" s="98" t="s">
        <v>133</v>
      </c>
      <c r="B281" s="98"/>
      <c r="C281" s="98"/>
      <c r="D281" s="98"/>
      <c r="E281" s="98"/>
      <c r="F281" s="98"/>
      <c r="G281" s="98"/>
      <c r="H281" s="98"/>
    </row>
    <row r="282" spans="1:8" x14ac:dyDescent="0.25">
      <c r="A282" s="147" t="s">
        <v>134</v>
      </c>
      <c r="B282" s="147"/>
      <c r="C282" s="147"/>
      <c r="D282" s="147"/>
      <c r="E282" s="147"/>
      <c r="F282" s="147"/>
      <c r="G282" s="147"/>
      <c r="H282" s="147"/>
    </row>
    <row r="283" spans="1:8" x14ac:dyDescent="0.25">
      <c r="A283" s="175" t="s">
        <v>80</v>
      </c>
      <c r="B283" s="175"/>
      <c r="C283" s="175" t="s">
        <v>236</v>
      </c>
      <c r="D283" s="175"/>
      <c r="E283" s="175" t="s">
        <v>109</v>
      </c>
      <c r="F283" s="175"/>
      <c r="G283" s="175" t="s">
        <v>252</v>
      </c>
      <c r="H283" s="175"/>
    </row>
    <row r="284" spans="1:8" x14ac:dyDescent="0.25">
      <c r="A284" s="174" t="s">
        <v>82</v>
      </c>
      <c r="B284" s="174"/>
      <c r="C284" s="174"/>
      <c r="D284" s="174"/>
      <c r="E284" s="174"/>
      <c r="F284" s="174"/>
      <c r="G284" s="174"/>
      <c r="H284" s="174"/>
    </row>
    <row r="285" spans="1:8" x14ac:dyDescent="0.25">
      <c r="A285" s="174"/>
      <c r="B285" s="174"/>
      <c r="C285" s="174"/>
      <c r="D285" s="174"/>
      <c r="E285" s="174"/>
      <c r="F285" s="174"/>
      <c r="G285" s="174"/>
      <c r="H285" s="174"/>
    </row>
    <row r="286" spans="1:8" x14ac:dyDescent="0.25">
      <c r="A286" s="174"/>
      <c r="B286" s="174"/>
      <c r="C286" s="174"/>
      <c r="D286" s="174"/>
      <c r="E286" s="174"/>
      <c r="F286" s="174"/>
      <c r="G286" s="174"/>
      <c r="H286" s="174"/>
    </row>
    <row r="287" spans="1:8" x14ac:dyDescent="0.25">
      <c r="A287" s="174"/>
      <c r="B287" s="174"/>
      <c r="C287" s="174"/>
      <c r="D287" s="174"/>
      <c r="E287" s="174"/>
      <c r="F287" s="174"/>
      <c r="G287" s="174"/>
      <c r="H287" s="174"/>
    </row>
    <row r="288" spans="1:8" x14ac:dyDescent="0.25">
      <c r="A288" s="38" t="s">
        <v>68</v>
      </c>
      <c r="B288" s="39"/>
      <c r="C288" s="39"/>
      <c r="D288" s="38" t="str">
        <f>E8</f>
        <v>Lodha Bellevue</v>
      </c>
      <c r="F288" s="39"/>
      <c r="G288" s="39"/>
      <c r="H288" s="39"/>
    </row>
    <row r="289" spans="1:8" x14ac:dyDescent="0.25">
      <c r="A289" s="39"/>
      <c r="B289" s="39"/>
      <c r="C289" s="39"/>
      <c r="D289" s="39"/>
      <c r="E289" s="39"/>
      <c r="F289" s="39"/>
      <c r="G289" s="39"/>
      <c r="H289" s="39"/>
    </row>
    <row r="290" spans="1:8" x14ac:dyDescent="0.25">
      <c r="A290" s="39"/>
      <c r="B290" s="39"/>
      <c r="C290" s="39"/>
      <c r="D290" s="39"/>
      <c r="E290" s="39"/>
      <c r="F290" s="39"/>
      <c r="G290" s="39"/>
      <c r="H290" s="39"/>
    </row>
    <row r="291" spans="1:8" ht="15" customHeight="1" x14ac:dyDescent="0.25"/>
    <row r="331" spans="1:4" x14ac:dyDescent="0.25">
      <c r="A331" s="62" t="s">
        <v>245</v>
      </c>
      <c r="B331" s="62"/>
      <c r="C331" s="62"/>
      <c r="D331" s="62"/>
    </row>
    <row r="366" spans="1:1" x14ac:dyDescent="0.25">
      <c r="A366" s="41" t="s">
        <v>177</v>
      </c>
    </row>
    <row r="401" spans="1:1" x14ac:dyDescent="0.25">
      <c r="A401" s="41" t="s">
        <v>69</v>
      </c>
    </row>
  </sheetData>
  <mergeCells count="514">
    <mergeCell ref="B275:H275"/>
    <mergeCell ref="B272:H272"/>
    <mergeCell ref="B271:H271"/>
    <mergeCell ref="B274:H274"/>
    <mergeCell ref="B267:H267"/>
    <mergeCell ref="B268:H268"/>
    <mergeCell ref="A115:B115"/>
    <mergeCell ref="A116:B116"/>
    <mergeCell ref="A117:B117"/>
    <mergeCell ref="A118:B118"/>
    <mergeCell ref="A119:B119"/>
    <mergeCell ref="A120:B120"/>
    <mergeCell ref="A121:B121"/>
    <mergeCell ref="A122:B122"/>
    <mergeCell ref="A123:B123"/>
    <mergeCell ref="E145:F145"/>
    <mergeCell ref="G145:H145"/>
    <mergeCell ref="A146:B146"/>
    <mergeCell ref="C146:D146"/>
    <mergeCell ref="E146:F146"/>
    <mergeCell ref="A241:B241"/>
    <mergeCell ref="G233:H233"/>
    <mergeCell ref="F134:H134"/>
    <mergeCell ref="E139:F139"/>
    <mergeCell ref="A148:H148"/>
    <mergeCell ref="A112:B112"/>
    <mergeCell ref="C112:H112"/>
    <mergeCell ref="A113:B113"/>
    <mergeCell ref="E113:F113"/>
    <mergeCell ref="G113:H113"/>
    <mergeCell ref="A114:B114"/>
    <mergeCell ref="E114:F123"/>
    <mergeCell ref="E100:F109"/>
    <mergeCell ref="G100:H109"/>
    <mergeCell ref="A101:B101"/>
    <mergeCell ref="A102:B102"/>
    <mergeCell ref="A103:B103"/>
    <mergeCell ref="A104:B104"/>
    <mergeCell ref="A105:B105"/>
    <mergeCell ref="A106:B106"/>
    <mergeCell ref="A107:B107"/>
    <mergeCell ref="A108:B108"/>
    <mergeCell ref="A109:B109"/>
    <mergeCell ref="A100:B100"/>
    <mergeCell ref="A16:B16"/>
    <mergeCell ref="C16:H16"/>
    <mergeCell ref="E41:H41"/>
    <mergeCell ref="A41:D41"/>
    <mergeCell ref="A281:H281"/>
    <mergeCell ref="A278:H278"/>
    <mergeCell ref="G250:H250"/>
    <mergeCell ref="A235:B235"/>
    <mergeCell ref="A142:B142"/>
    <mergeCell ref="D165:D166"/>
    <mergeCell ref="E165:E166"/>
    <mergeCell ref="G165:H166"/>
    <mergeCell ref="A90:B90"/>
    <mergeCell ref="A91:B91"/>
    <mergeCell ref="A92:B92"/>
    <mergeCell ref="A82:B82"/>
    <mergeCell ref="C82:H82"/>
    <mergeCell ref="A77:B77"/>
    <mergeCell ref="F125:H125"/>
    <mergeCell ref="G140:H140"/>
    <mergeCell ref="A48:B48"/>
    <mergeCell ref="C48:E48"/>
    <mergeCell ref="D60:H60"/>
    <mergeCell ref="A139:B139"/>
    <mergeCell ref="A52:B52"/>
    <mergeCell ref="C52:E52"/>
    <mergeCell ref="A49:B49"/>
    <mergeCell ref="A53:H53"/>
    <mergeCell ref="A54:C54"/>
    <mergeCell ref="A55:C55"/>
    <mergeCell ref="D55:H55"/>
    <mergeCell ref="G52:H52"/>
    <mergeCell ref="A57:C60"/>
    <mergeCell ref="D59:H59"/>
    <mergeCell ref="A50:B51"/>
    <mergeCell ref="C50:E50"/>
    <mergeCell ref="G50:H50"/>
    <mergeCell ref="C51:E51"/>
    <mergeCell ref="G51:H51"/>
    <mergeCell ref="A254:B254"/>
    <mergeCell ref="A257:B257"/>
    <mergeCell ref="G257:H257"/>
    <mergeCell ref="A256:B256"/>
    <mergeCell ref="G256:H256"/>
    <mergeCell ref="B259:H259"/>
    <mergeCell ref="B260:H260"/>
    <mergeCell ref="A134:E134"/>
    <mergeCell ref="C140:D140"/>
    <mergeCell ref="E140:F140"/>
    <mergeCell ref="G236:H236"/>
    <mergeCell ref="B150:B151"/>
    <mergeCell ref="A150:A151"/>
    <mergeCell ref="C165:C166"/>
    <mergeCell ref="C147:D147"/>
    <mergeCell ref="A229:H229"/>
    <mergeCell ref="A144:B144"/>
    <mergeCell ref="C144:D144"/>
    <mergeCell ref="E144:F144"/>
    <mergeCell ref="G144:H144"/>
    <mergeCell ref="C142:D142"/>
    <mergeCell ref="G142:H142"/>
    <mergeCell ref="A147:B147"/>
    <mergeCell ref="E147:F147"/>
    <mergeCell ref="A284:H287"/>
    <mergeCell ref="A283:B283"/>
    <mergeCell ref="E283:F283"/>
    <mergeCell ref="C283:D283"/>
    <mergeCell ref="G283:H283"/>
    <mergeCell ref="A282:H282"/>
    <mergeCell ref="A280:H280"/>
    <mergeCell ref="A205:H205"/>
    <mergeCell ref="A206:B206"/>
    <mergeCell ref="G206:H206"/>
    <mergeCell ref="A210:B210"/>
    <mergeCell ref="G210:H210"/>
    <mergeCell ref="A215:H215"/>
    <mergeCell ref="A222:H222"/>
    <mergeCell ref="A223:H223"/>
    <mergeCell ref="A224:H224"/>
    <mergeCell ref="A225:H225"/>
    <mergeCell ref="B265:H265"/>
    <mergeCell ref="B261:H261"/>
    <mergeCell ref="A255:B255"/>
    <mergeCell ref="G255:H255"/>
    <mergeCell ref="G254:H254"/>
    <mergeCell ref="A252:H252"/>
    <mergeCell ref="A253:B253"/>
    <mergeCell ref="A279:H279"/>
    <mergeCell ref="A141:H141"/>
    <mergeCell ref="B262:H262"/>
    <mergeCell ref="B263:H263"/>
    <mergeCell ref="G253:H253"/>
    <mergeCell ref="A276:H276"/>
    <mergeCell ref="A277:H277"/>
    <mergeCell ref="E142:F142"/>
    <mergeCell ref="G243:H243"/>
    <mergeCell ref="G241:H241"/>
    <mergeCell ref="A230:B230"/>
    <mergeCell ref="A152:H152"/>
    <mergeCell ref="A167:H167"/>
    <mergeCell ref="A168:H168"/>
    <mergeCell ref="A170:H170"/>
    <mergeCell ref="A246:H246"/>
    <mergeCell ref="A240:H240"/>
    <mergeCell ref="B269:H269"/>
    <mergeCell ref="G157:H157"/>
    <mergeCell ref="G219:H219"/>
    <mergeCell ref="G251:H251"/>
    <mergeCell ref="A258:H258"/>
    <mergeCell ref="A250:B250"/>
    <mergeCell ref="A251:B251"/>
    <mergeCell ref="A75:B75"/>
    <mergeCell ref="E71:F71"/>
    <mergeCell ref="A64:C64"/>
    <mergeCell ref="D64:H64"/>
    <mergeCell ref="A67:C67"/>
    <mergeCell ref="D67:H67"/>
    <mergeCell ref="D66:H66"/>
    <mergeCell ref="A72:B72"/>
    <mergeCell ref="G71:H71"/>
    <mergeCell ref="A65:C65"/>
    <mergeCell ref="D65:H65"/>
    <mergeCell ref="A66:C66"/>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36:H36"/>
    <mergeCell ref="A35:B35"/>
    <mergeCell ref="C35:E35"/>
    <mergeCell ref="A40:D40"/>
    <mergeCell ref="E40:H40"/>
    <mergeCell ref="F32:H32"/>
    <mergeCell ref="F33:H33"/>
    <mergeCell ref="A39:H39"/>
    <mergeCell ref="A61:C61"/>
    <mergeCell ref="F35:H35"/>
    <mergeCell ref="A37:B37"/>
    <mergeCell ref="A38:B38"/>
    <mergeCell ref="C38:H38"/>
    <mergeCell ref="A44:D44"/>
    <mergeCell ref="A45:D45"/>
    <mergeCell ref="A46:H46"/>
    <mergeCell ref="D56:H56"/>
    <mergeCell ref="A56:C56"/>
    <mergeCell ref="G49:H49"/>
    <mergeCell ref="G48:H48"/>
    <mergeCell ref="D54:H54"/>
    <mergeCell ref="D57:H57"/>
    <mergeCell ref="D58:H58"/>
    <mergeCell ref="C49:E49"/>
    <mergeCell ref="A62:C62"/>
    <mergeCell ref="D61:H61"/>
    <mergeCell ref="E72:F81"/>
    <mergeCell ref="G72:H81"/>
    <mergeCell ref="A80:B80"/>
    <mergeCell ref="A81:B81"/>
    <mergeCell ref="D62:H62"/>
    <mergeCell ref="A42:D42"/>
    <mergeCell ref="E42:H42"/>
    <mergeCell ref="E43:H43"/>
    <mergeCell ref="E44:H44"/>
    <mergeCell ref="E45:H45"/>
    <mergeCell ref="A43:D43"/>
    <mergeCell ref="A78:B78"/>
    <mergeCell ref="A71:B71"/>
    <mergeCell ref="A74:B74"/>
    <mergeCell ref="A70:B70"/>
    <mergeCell ref="A68:B68"/>
    <mergeCell ref="C68:H68"/>
    <mergeCell ref="A76:B76"/>
    <mergeCell ref="A63:C63"/>
    <mergeCell ref="D63:H63"/>
    <mergeCell ref="C70:H70"/>
    <mergeCell ref="A73:B73"/>
    <mergeCell ref="A79:B79"/>
    <mergeCell ref="C143:D143"/>
    <mergeCell ref="E143:F143"/>
    <mergeCell ref="G143:H143"/>
    <mergeCell ref="F131:H131"/>
    <mergeCell ref="A125:E125"/>
    <mergeCell ref="A154:H154"/>
    <mergeCell ref="E150:E151"/>
    <mergeCell ref="G150:H151"/>
    <mergeCell ref="A86:B86"/>
    <mergeCell ref="E86:F95"/>
    <mergeCell ref="A93:B93"/>
    <mergeCell ref="A94:B94"/>
    <mergeCell ref="A95:B95"/>
    <mergeCell ref="F124:H124"/>
    <mergeCell ref="F129:H129"/>
    <mergeCell ref="F132:H132"/>
    <mergeCell ref="C139:D139"/>
    <mergeCell ref="F135:H135"/>
    <mergeCell ref="F133:H133"/>
    <mergeCell ref="A143:B143"/>
    <mergeCell ref="A140:B140"/>
    <mergeCell ref="A145:B145"/>
    <mergeCell ref="C145:D145"/>
    <mergeCell ref="A249:B249"/>
    <mergeCell ref="A238:B238"/>
    <mergeCell ref="G239:H239"/>
    <mergeCell ref="G245:H245"/>
    <mergeCell ref="G244:H244"/>
    <mergeCell ref="L233:M233"/>
    <mergeCell ref="G230:H230"/>
    <mergeCell ref="L230:M230"/>
    <mergeCell ref="A231:B231"/>
    <mergeCell ref="G231:H231"/>
    <mergeCell ref="L231:M231"/>
    <mergeCell ref="A232:B232"/>
    <mergeCell ref="G232:H232"/>
    <mergeCell ref="L232:M232"/>
    <mergeCell ref="G247:H247"/>
    <mergeCell ref="A245:B245"/>
    <mergeCell ref="A243:B243"/>
    <mergeCell ref="G249:H249"/>
    <mergeCell ref="G237:H237"/>
    <mergeCell ref="A244:B244"/>
    <mergeCell ref="A233:B233"/>
    <mergeCell ref="A234:H234"/>
    <mergeCell ref="L234:M234"/>
    <mergeCell ref="A239:B239"/>
    <mergeCell ref="A236:B236"/>
    <mergeCell ref="A237:B237"/>
    <mergeCell ref="A247:B247"/>
    <mergeCell ref="A248:B248"/>
    <mergeCell ref="L158:M158"/>
    <mergeCell ref="L157:M157"/>
    <mergeCell ref="A226:B226"/>
    <mergeCell ref="A219:B219"/>
    <mergeCell ref="A202:B202"/>
    <mergeCell ref="L175:M175"/>
    <mergeCell ref="L196:M196"/>
    <mergeCell ref="L185:M185"/>
    <mergeCell ref="L179:M179"/>
    <mergeCell ref="L180:M180"/>
    <mergeCell ref="L181:M181"/>
    <mergeCell ref="L182:M182"/>
    <mergeCell ref="L183:M183"/>
    <mergeCell ref="L184:M184"/>
    <mergeCell ref="G228:H228"/>
    <mergeCell ref="L228:M228"/>
    <mergeCell ref="L193:M193"/>
    <mergeCell ref="L219:M219"/>
    <mergeCell ref="A220:B220"/>
    <mergeCell ref="G220:H220"/>
    <mergeCell ref="E99:F99"/>
    <mergeCell ref="G99:H99"/>
    <mergeCell ref="G114:H123"/>
    <mergeCell ref="L156:M156"/>
    <mergeCell ref="L155:M155"/>
    <mergeCell ref="B165:B166"/>
    <mergeCell ref="G139:H139"/>
    <mergeCell ref="G155:H155"/>
    <mergeCell ref="G146:H146"/>
    <mergeCell ref="G156:H156"/>
    <mergeCell ref="G158:H158"/>
    <mergeCell ref="A138:H138"/>
    <mergeCell ref="C150:C151"/>
    <mergeCell ref="A149:H149"/>
    <mergeCell ref="A164:H164"/>
    <mergeCell ref="A165:A166"/>
    <mergeCell ref="L161:M161"/>
    <mergeCell ref="A162:B162"/>
    <mergeCell ref="G162:H162"/>
    <mergeCell ref="L162:M162"/>
    <mergeCell ref="A136:E136"/>
    <mergeCell ref="F136:H136"/>
    <mergeCell ref="A137:E137"/>
    <mergeCell ref="F137:H137"/>
    <mergeCell ref="A214:H214"/>
    <mergeCell ref="C182:F183"/>
    <mergeCell ref="A228:B228"/>
    <mergeCell ref="A84:B84"/>
    <mergeCell ref="C84:H84"/>
    <mergeCell ref="A85:B85"/>
    <mergeCell ref="E85:F85"/>
    <mergeCell ref="G85:H85"/>
    <mergeCell ref="A130:E130"/>
    <mergeCell ref="F130:H130"/>
    <mergeCell ref="A131:E131"/>
    <mergeCell ref="A133:E133"/>
    <mergeCell ref="F127:H127"/>
    <mergeCell ref="A132:E132"/>
    <mergeCell ref="A127:E127"/>
    <mergeCell ref="A124:E124"/>
    <mergeCell ref="F128:H128"/>
    <mergeCell ref="A110:B110"/>
    <mergeCell ref="C110:H110"/>
    <mergeCell ref="A96:B96"/>
    <mergeCell ref="C96:H96"/>
    <mergeCell ref="A98:B98"/>
    <mergeCell ref="C98:H98"/>
    <mergeCell ref="A99:B99"/>
    <mergeCell ref="G179:H185"/>
    <mergeCell ref="A197:B197"/>
    <mergeCell ref="C190:F190"/>
    <mergeCell ref="B266:H266"/>
    <mergeCell ref="A218:B218"/>
    <mergeCell ref="G218:H218"/>
    <mergeCell ref="A153:H153"/>
    <mergeCell ref="A159:B159"/>
    <mergeCell ref="G159:H159"/>
    <mergeCell ref="A163:B163"/>
    <mergeCell ref="G163:H163"/>
    <mergeCell ref="G226:H226"/>
    <mergeCell ref="A227:B227"/>
    <mergeCell ref="G227:H227"/>
    <mergeCell ref="G248:H248"/>
    <mergeCell ref="A242:B242"/>
    <mergeCell ref="A203:H203"/>
    <mergeCell ref="A204:H204"/>
    <mergeCell ref="A195:H195"/>
    <mergeCell ref="A196:B196"/>
    <mergeCell ref="G196:H202"/>
    <mergeCell ref="A201:B201"/>
    <mergeCell ref="A209:B209"/>
    <mergeCell ref="G209:H209"/>
    <mergeCell ref="A212:B212"/>
    <mergeCell ref="G212:H212"/>
    <mergeCell ref="L212:M212"/>
    <mergeCell ref="A47:B47"/>
    <mergeCell ref="C47:H47"/>
    <mergeCell ref="B264:H264"/>
    <mergeCell ref="G86:H95"/>
    <mergeCell ref="A87:B87"/>
    <mergeCell ref="A88:B88"/>
    <mergeCell ref="A89:B89"/>
    <mergeCell ref="F126:H126"/>
    <mergeCell ref="A126:E126"/>
    <mergeCell ref="G242:H242"/>
    <mergeCell ref="G238:H238"/>
    <mergeCell ref="G235:H235"/>
    <mergeCell ref="D150:D151"/>
    <mergeCell ref="A128:E128"/>
    <mergeCell ref="A155:B155"/>
    <mergeCell ref="A156:B156"/>
    <mergeCell ref="A157:B157"/>
    <mergeCell ref="A158:B158"/>
    <mergeCell ref="A129:E129"/>
    <mergeCell ref="A135:E135"/>
    <mergeCell ref="G147:H147"/>
    <mergeCell ref="A207:B207"/>
    <mergeCell ref="G207:H207"/>
    <mergeCell ref="L207:M207"/>
    <mergeCell ref="A208:B208"/>
    <mergeCell ref="G208:H208"/>
    <mergeCell ref="L208:M208"/>
    <mergeCell ref="L209:M209"/>
    <mergeCell ref="L210:M210"/>
    <mergeCell ref="A211:B211"/>
    <mergeCell ref="G211:H211"/>
    <mergeCell ref="L211:M211"/>
    <mergeCell ref="G161:H161"/>
    <mergeCell ref="L227:M227"/>
    <mergeCell ref="L198:M198"/>
    <mergeCell ref="A199:B199"/>
    <mergeCell ref="C199:F200"/>
    <mergeCell ref="L199:M199"/>
    <mergeCell ref="A200:B200"/>
    <mergeCell ref="L200:M200"/>
    <mergeCell ref="L201:M201"/>
    <mergeCell ref="L176:M176"/>
    <mergeCell ref="L177:M177"/>
    <mergeCell ref="G171:H177"/>
    <mergeCell ref="A178:H178"/>
    <mergeCell ref="L171:M171"/>
    <mergeCell ref="L172:M172"/>
    <mergeCell ref="L173:M173"/>
    <mergeCell ref="L174:M174"/>
    <mergeCell ref="L197:M197"/>
    <mergeCell ref="A198:B198"/>
    <mergeCell ref="A213:H213"/>
    <mergeCell ref="L218:M218"/>
    <mergeCell ref="L220:M220"/>
    <mergeCell ref="L202:M202"/>
    <mergeCell ref="L206:M206"/>
    <mergeCell ref="B273:H273"/>
    <mergeCell ref="A331:D331"/>
    <mergeCell ref="C37:H37"/>
    <mergeCell ref="A194:H194"/>
    <mergeCell ref="B270:H270"/>
    <mergeCell ref="L163:M163"/>
    <mergeCell ref="A221:H221"/>
    <mergeCell ref="L226:M226"/>
    <mergeCell ref="A216:H216"/>
    <mergeCell ref="A217:H217"/>
    <mergeCell ref="A169:H169"/>
    <mergeCell ref="A186:H186"/>
    <mergeCell ref="G187:H193"/>
    <mergeCell ref="L187:M187"/>
    <mergeCell ref="L188:M188"/>
    <mergeCell ref="L189:M189"/>
    <mergeCell ref="L190:M190"/>
    <mergeCell ref="L191:M191"/>
    <mergeCell ref="L192:M192"/>
    <mergeCell ref="L159:M159"/>
    <mergeCell ref="A160:B160"/>
    <mergeCell ref="G160:H160"/>
    <mergeCell ref="L160:M160"/>
    <mergeCell ref="A161:B161"/>
  </mergeCells>
  <hyperlinks>
    <hyperlink ref="C38" r:id="rId1" xr:uid="{00000000-0004-0000-0000-000000000000}"/>
  </hyperlinks>
  <printOptions horizontalCentered="1"/>
  <pageMargins left="0.39370078740157483" right="0.39370078740157483" top="0.78740157480314965"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67" max="7" man="1"/>
    <brk id="287" max="16383" man="1"/>
    <brk id="330" max="16383" man="1"/>
    <brk id="365" max="16383" man="1"/>
    <brk id="40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97" t="s">
        <v>110</v>
      </c>
      <c r="C3" s="197"/>
      <c r="D3" s="197"/>
      <c r="E3" s="197"/>
      <c r="F3" s="197"/>
      <c r="G3" s="197"/>
      <c r="H3" s="197"/>
    </row>
    <row r="4" spans="1:9" x14ac:dyDescent="0.25">
      <c r="A4" s="2"/>
      <c r="B4" s="3" t="s">
        <v>111</v>
      </c>
      <c r="C4" s="3" t="s">
        <v>112</v>
      </c>
      <c r="D4" s="3" t="s">
        <v>71</v>
      </c>
      <c r="E4" s="3" t="s">
        <v>113</v>
      </c>
      <c r="F4" s="3" t="s">
        <v>119</v>
      </c>
      <c r="G4" s="3" t="s">
        <v>120</v>
      </c>
      <c r="H4" s="3" t="s">
        <v>114</v>
      </c>
    </row>
    <row r="5" spans="1:9" ht="15" customHeight="1" x14ac:dyDescent="0.25">
      <c r="A5" s="2"/>
      <c r="B5" s="5" t="s">
        <v>115</v>
      </c>
      <c r="C5" s="6"/>
      <c r="D5" s="5"/>
      <c r="E5" s="5"/>
      <c r="F5" s="7">
        <f>E5*1.6</f>
        <v>0</v>
      </c>
      <c r="G5" s="7" t="e">
        <f>H5/F5</f>
        <v>#DIV/0!</v>
      </c>
      <c r="H5" s="8"/>
    </row>
    <row r="6" spans="1:9" x14ac:dyDescent="0.25">
      <c r="A6" s="2"/>
      <c r="B6" s="5" t="s">
        <v>115</v>
      </c>
      <c r="C6" s="9"/>
      <c r="D6" s="5"/>
      <c r="E6" s="5"/>
      <c r="F6" s="7">
        <f t="shared" ref="F6:F11" si="0">E6*1.6</f>
        <v>0</v>
      </c>
      <c r="G6" s="7" t="e">
        <f t="shared" ref="G6:G11" si="1">H6/F6</f>
        <v>#DIV/0!</v>
      </c>
      <c r="H6" s="8"/>
    </row>
    <row r="7" spans="1:9" ht="15" customHeight="1" x14ac:dyDescent="0.25">
      <c r="A7" s="2"/>
      <c r="B7" s="5" t="s">
        <v>115</v>
      </c>
      <c r="C7" s="6"/>
      <c r="D7" s="5"/>
      <c r="E7" s="5"/>
      <c r="F7" s="7">
        <f t="shared" si="0"/>
        <v>0</v>
      </c>
      <c r="G7" s="7" t="e">
        <f t="shared" si="1"/>
        <v>#DIV/0!</v>
      </c>
      <c r="H7" s="8"/>
    </row>
    <row r="8" spans="1:9" x14ac:dyDescent="0.25">
      <c r="A8" s="2"/>
      <c r="B8" s="5" t="s">
        <v>115</v>
      </c>
      <c r="C8" s="9"/>
      <c r="D8" s="5"/>
      <c r="E8" s="5"/>
      <c r="F8" s="7">
        <f t="shared" si="0"/>
        <v>0</v>
      </c>
      <c r="G8" s="7" t="e">
        <f t="shared" si="1"/>
        <v>#DIV/0!</v>
      </c>
      <c r="H8" s="8"/>
    </row>
    <row r="9" spans="1:9" ht="15" customHeight="1" x14ac:dyDescent="0.25">
      <c r="A9" s="2"/>
      <c r="B9" s="5" t="s">
        <v>115</v>
      </c>
      <c r="C9" s="9"/>
      <c r="D9" s="5"/>
      <c r="E9" s="5"/>
      <c r="F9" s="7">
        <f t="shared" si="0"/>
        <v>0</v>
      </c>
      <c r="G9" s="7" t="e">
        <f t="shared" si="1"/>
        <v>#DIV/0!</v>
      </c>
      <c r="H9" s="8"/>
    </row>
    <row r="10" spans="1:9" ht="15" customHeight="1" x14ac:dyDescent="0.25">
      <c r="A10" s="2"/>
      <c r="B10" s="5" t="s">
        <v>116</v>
      </c>
      <c r="C10" s="6"/>
      <c r="D10" s="5"/>
      <c r="E10" s="5"/>
      <c r="F10" s="7">
        <f t="shared" si="0"/>
        <v>0</v>
      </c>
      <c r="G10" s="7" t="e">
        <f t="shared" si="1"/>
        <v>#DIV/0!</v>
      </c>
      <c r="H10" s="8"/>
    </row>
    <row r="11" spans="1:9" ht="15" customHeight="1" x14ac:dyDescent="0.25">
      <c r="A11" s="2"/>
      <c r="B11" s="5" t="s">
        <v>116</v>
      </c>
      <c r="C11" s="6"/>
      <c r="D11" s="5"/>
      <c r="E11" s="5"/>
      <c r="F11" s="7">
        <f t="shared" si="0"/>
        <v>0</v>
      </c>
      <c r="G11" s="7" t="e">
        <f t="shared" si="1"/>
        <v>#DIV/0!</v>
      </c>
      <c r="H11" s="8"/>
    </row>
    <row r="12" spans="1:9" ht="15" customHeight="1" x14ac:dyDescent="0.25">
      <c r="A12" s="2"/>
      <c r="B12" s="10" t="s">
        <v>117</v>
      </c>
      <c r="C12" s="5"/>
      <c r="D12" s="5"/>
      <c r="E12" s="5"/>
      <c r="F12" s="5"/>
      <c r="G12" s="11" t="e">
        <f>AVERAGE(G5:G11)</f>
        <v>#DIV/0!</v>
      </c>
      <c r="H12" s="5"/>
    </row>
    <row r="13" spans="1:9" ht="15" customHeight="1" x14ac:dyDescent="0.25">
      <c r="B13" s="10" t="s">
        <v>118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2025-07-09T09:36:11Z</cp:lastPrinted>
  <dcterms:created xsi:type="dcterms:W3CDTF">2019-07-16T09:29:46Z</dcterms:created>
  <dcterms:modified xsi:type="dcterms:W3CDTF">2025-09-29T11:11:26Z</dcterms:modified>
</cp:coreProperties>
</file>