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23093 - Jewel Of Panvel Phase -I\"/>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Report!$A$1:$H$502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4" i="1" l="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03" i="1"/>
  <c r="J269" i="1"/>
  <c r="J270" i="1"/>
  <c r="J271" i="1"/>
  <c r="J272" i="1"/>
  <c r="J273" i="1"/>
  <c r="J274" i="1"/>
  <c r="J275" i="1"/>
  <c r="J268" i="1"/>
  <c r="C105" i="1" l="1"/>
  <c r="C91" i="1"/>
  <c r="B92" i="1" s="1"/>
  <c r="C158" i="1"/>
  <c r="C157" i="1"/>
  <c r="E159" i="1"/>
  <c r="G159" i="1"/>
  <c r="E158" i="1"/>
  <c r="G158" i="1"/>
  <c r="E157" i="1"/>
  <c r="G157" i="1"/>
  <c r="C153" i="1"/>
  <c r="C152" i="1"/>
  <c r="C150" i="1"/>
  <c r="C151" i="1"/>
  <c r="C149" i="1"/>
  <c r="C148" i="1"/>
  <c r="E154" i="1"/>
  <c r="G154" i="1"/>
  <c r="E153" i="1"/>
  <c r="G153" i="1"/>
  <c r="E152" i="1"/>
  <c r="G152" i="1"/>
  <c r="E151" i="1"/>
  <c r="G151" i="1"/>
  <c r="E150" i="1"/>
  <c r="G150" i="1"/>
  <c r="E149" i="1"/>
  <c r="G149" i="1"/>
  <c r="E148" i="1"/>
  <c r="G148" i="1"/>
  <c r="E312" i="1"/>
  <c r="D312" i="1"/>
  <c r="E311" i="1"/>
  <c r="D311" i="1"/>
  <c r="E310" i="1"/>
  <c r="D310" i="1"/>
  <c r="E309" i="1"/>
  <c r="D309" i="1"/>
  <c r="E308" i="1"/>
  <c r="D308" i="1"/>
  <c r="E307" i="1"/>
  <c r="D307" i="1"/>
  <c r="E306" i="1"/>
  <c r="D306" i="1"/>
  <c r="E305" i="1"/>
  <c r="D305" i="1"/>
  <c r="E304" i="1"/>
  <c r="D304" i="1"/>
  <c r="E303" i="1"/>
  <c r="D303" i="1"/>
  <c r="E301" i="1"/>
  <c r="D301" i="1"/>
  <c r="E300" i="1"/>
  <c r="D300" i="1"/>
  <c r="E299" i="1"/>
  <c r="D299" i="1"/>
  <c r="E298" i="1"/>
  <c r="D298" i="1"/>
  <c r="E297" i="1"/>
  <c r="D297" i="1"/>
  <c r="E296" i="1"/>
  <c r="D296" i="1"/>
  <c r="E295" i="1"/>
  <c r="D295" i="1"/>
  <c r="E294" i="1"/>
  <c r="D294" i="1"/>
  <c r="E293" i="1"/>
  <c r="D293" i="1"/>
  <c r="E292" i="1"/>
  <c r="D292" i="1"/>
  <c r="G284" i="1"/>
  <c r="G283" i="1"/>
  <c r="G282" i="1"/>
  <c r="G281" i="1"/>
  <c r="G280" i="1"/>
  <c r="G279" i="1"/>
  <c r="G278" i="1"/>
  <c r="G277" i="1"/>
  <c r="E284" i="1"/>
  <c r="D284" i="1"/>
  <c r="E283" i="1"/>
  <c r="D283" i="1"/>
  <c r="E282" i="1"/>
  <c r="D282" i="1"/>
  <c r="E281" i="1"/>
  <c r="D281" i="1"/>
  <c r="E280" i="1"/>
  <c r="D280" i="1"/>
  <c r="E279" i="1"/>
  <c r="D279" i="1"/>
  <c r="E278" i="1"/>
  <c r="D278" i="1"/>
  <c r="E277" i="1"/>
  <c r="D277" i="1"/>
  <c r="E275" i="1"/>
  <c r="D275" i="1"/>
  <c r="E274" i="1"/>
  <c r="D274" i="1"/>
  <c r="E273" i="1"/>
  <c r="D273" i="1"/>
  <c r="E272" i="1"/>
  <c r="D272" i="1"/>
  <c r="E271" i="1"/>
  <c r="D271" i="1"/>
  <c r="E270" i="1"/>
  <c r="D270" i="1"/>
  <c r="E269" i="1"/>
  <c r="D269" i="1"/>
  <c r="E268" i="1"/>
  <c r="D268" i="1"/>
  <c r="E266" i="1"/>
  <c r="D266" i="1"/>
  <c r="E265" i="1"/>
  <c r="D265" i="1"/>
  <c r="E264" i="1"/>
  <c r="D264" i="1"/>
  <c r="E263" i="1"/>
  <c r="D263" i="1"/>
  <c r="E262" i="1"/>
  <c r="D262" i="1"/>
  <c r="E261" i="1"/>
  <c r="D261" i="1"/>
  <c r="E260" i="1"/>
  <c r="D260" i="1"/>
  <c r="E259" i="1"/>
  <c r="D259" i="1"/>
  <c r="D182" i="1"/>
  <c r="D181" i="1"/>
  <c r="D180" i="1"/>
  <c r="D179" i="1"/>
  <c r="D178" i="1"/>
  <c r="D177" i="1"/>
  <c r="D176" i="1"/>
  <c r="D175" i="1"/>
  <c r="D174" i="1"/>
  <c r="D173" i="1"/>
  <c r="D172" i="1"/>
  <c r="D171" i="1"/>
  <c r="D170" i="1"/>
  <c r="D169" i="1"/>
  <c r="D168" i="1"/>
  <c r="D197" i="1"/>
  <c r="F197" i="1" s="1"/>
  <c r="H197" i="1" s="1"/>
  <c r="D196" i="1"/>
  <c r="D195" i="1"/>
  <c r="D194" i="1"/>
  <c r="D193" i="1"/>
  <c r="D192" i="1"/>
  <c r="D191" i="1"/>
  <c r="D190" i="1"/>
  <c r="D189" i="1"/>
  <c r="F189" i="1" s="1"/>
  <c r="H189" i="1" s="1"/>
  <c r="D188" i="1"/>
  <c r="D187" i="1"/>
  <c r="D186" i="1"/>
  <c r="D185" i="1"/>
  <c r="D184" i="1"/>
  <c r="D206" i="1"/>
  <c r="D205" i="1"/>
  <c r="D204" i="1"/>
  <c r="D203" i="1"/>
  <c r="D202" i="1"/>
  <c r="D201" i="1"/>
  <c r="D213" i="1"/>
  <c r="D212" i="1"/>
  <c r="D211" i="1"/>
  <c r="D210" i="1"/>
  <c r="D209" i="1"/>
  <c r="F209" i="1" s="1"/>
  <c r="H209" i="1" s="1"/>
  <c r="D208" i="1"/>
  <c r="D231" i="1"/>
  <c r="D230" i="1"/>
  <c r="D229" i="1"/>
  <c r="D228" i="1"/>
  <c r="D227" i="1"/>
  <c r="D226" i="1"/>
  <c r="D225" i="1"/>
  <c r="D224" i="1"/>
  <c r="D223" i="1"/>
  <c r="D222" i="1"/>
  <c r="D221" i="1"/>
  <c r="D220" i="1"/>
  <c r="D219" i="1"/>
  <c r="D218" i="1"/>
  <c r="D217" i="1"/>
  <c r="D246" i="1"/>
  <c r="D245" i="1"/>
  <c r="D244" i="1"/>
  <c r="D243" i="1"/>
  <c r="D242" i="1"/>
  <c r="D241" i="1"/>
  <c r="D240" i="1"/>
  <c r="D239" i="1"/>
  <c r="F239" i="1" s="1"/>
  <c r="H239" i="1" s="1"/>
  <c r="D238" i="1"/>
  <c r="D237" i="1"/>
  <c r="D236" i="1"/>
  <c r="D235" i="1"/>
  <c r="D234" i="1"/>
  <c r="D233" i="1"/>
  <c r="K170" i="1"/>
  <c r="F312" i="1"/>
  <c r="H312" i="1" s="1"/>
  <c r="H311" i="1"/>
  <c r="F311" i="1"/>
  <c r="F310" i="1"/>
  <c r="H310" i="1" s="1"/>
  <c r="F309" i="1"/>
  <c r="H309" i="1" s="1"/>
  <c r="H308" i="1"/>
  <c r="F308" i="1"/>
  <c r="H307" i="1"/>
  <c r="F307" i="1"/>
  <c r="H306" i="1"/>
  <c r="F306" i="1"/>
  <c r="H305" i="1"/>
  <c r="F305" i="1"/>
  <c r="H304" i="1"/>
  <c r="F304" i="1"/>
  <c r="H303" i="1"/>
  <c r="F303" i="1"/>
  <c r="A303" i="1"/>
  <c r="A304" i="1" s="1"/>
  <c r="A305" i="1" s="1"/>
  <c r="A306" i="1" s="1"/>
  <c r="A307" i="1" s="1"/>
  <c r="A308" i="1" s="1"/>
  <c r="A309" i="1" s="1"/>
  <c r="A310" i="1" s="1"/>
  <c r="A311" i="1" s="1"/>
  <c r="A312" i="1" s="1"/>
  <c r="I298" i="1"/>
  <c r="I292" i="1"/>
  <c r="F296" i="1"/>
  <c r="H296" i="1" s="1"/>
  <c r="F301" i="1"/>
  <c r="H301" i="1" s="1"/>
  <c r="H300" i="1"/>
  <c r="F300" i="1"/>
  <c r="H299" i="1"/>
  <c r="F299" i="1"/>
  <c r="F298" i="1"/>
  <c r="H298" i="1" s="1"/>
  <c r="F297" i="1"/>
  <c r="H297" i="1" s="1"/>
  <c r="F295" i="1"/>
  <c r="H295" i="1" s="1"/>
  <c r="F294" i="1"/>
  <c r="H294" i="1" s="1"/>
  <c r="F293" i="1"/>
  <c r="H293" i="1" s="1"/>
  <c r="F292" i="1"/>
  <c r="H292" i="1" s="1"/>
  <c r="F281" i="1"/>
  <c r="H281" i="1" s="1"/>
  <c r="F278" i="1"/>
  <c r="F277" i="1"/>
  <c r="H277" i="1" s="1"/>
  <c r="F284" i="1"/>
  <c r="A284" i="1"/>
  <c r="F283" i="1"/>
  <c r="A283" i="1"/>
  <c r="F282" i="1"/>
  <c r="A282" i="1"/>
  <c r="F280" i="1"/>
  <c r="H280" i="1" s="1"/>
  <c r="F279" i="1"/>
  <c r="A277" i="1"/>
  <c r="A278" i="1" s="1"/>
  <c r="A279" i="1" s="1"/>
  <c r="A280" i="1" s="1"/>
  <c r="A281" i="1" s="1"/>
  <c r="F275" i="1"/>
  <c r="H275" i="1" s="1"/>
  <c r="F274" i="1"/>
  <c r="H274" i="1" s="1"/>
  <c r="F273" i="1"/>
  <c r="H273" i="1" s="1"/>
  <c r="F270" i="1"/>
  <c r="H270" i="1" s="1"/>
  <c r="F269" i="1"/>
  <c r="H269" i="1" s="1"/>
  <c r="F272" i="1"/>
  <c r="H272" i="1" s="1"/>
  <c r="F271" i="1"/>
  <c r="H271" i="1" s="1"/>
  <c r="F268" i="1"/>
  <c r="H268" i="1" s="1"/>
  <c r="J263" i="1"/>
  <c r="I263" i="1"/>
  <c r="J262" i="1"/>
  <c r="I260" i="1"/>
  <c r="F262" i="1"/>
  <c r="H262" i="1" s="1"/>
  <c r="F266" i="1"/>
  <c r="H266" i="1" s="1"/>
  <c r="F263" i="1"/>
  <c r="H263" i="1" s="1"/>
  <c r="F260" i="1"/>
  <c r="H260" i="1" s="1"/>
  <c r="F261" i="1"/>
  <c r="H261" i="1" s="1"/>
  <c r="F259" i="1"/>
  <c r="H259" i="1" s="1"/>
  <c r="I245" i="1"/>
  <c r="I241" i="1"/>
  <c r="F246" i="1"/>
  <c r="H246" i="1" s="1"/>
  <c r="F245" i="1"/>
  <c r="H245" i="1" s="1"/>
  <c r="F244" i="1"/>
  <c r="H244" i="1" s="1"/>
  <c r="F243" i="1"/>
  <c r="H243" i="1" s="1"/>
  <c r="F241" i="1"/>
  <c r="H241" i="1" s="1"/>
  <c r="F240" i="1"/>
  <c r="H240" i="1" s="1"/>
  <c r="F237" i="1"/>
  <c r="H237" i="1" s="1"/>
  <c r="F236" i="1"/>
  <c r="H236" i="1" s="1"/>
  <c r="F235" i="1"/>
  <c r="H235" i="1" s="1"/>
  <c r="F233" i="1"/>
  <c r="H233" i="1" s="1"/>
  <c r="A244" i="1"/>
  <c r="A245" i="1" s="1"/>
  <c r="A246" i="1" s="1"/>
  <c r="F242" i="1"/>
  <c r="H242" i="1" s="1"/>
  <c r="F238" i="1"/>
  <c r="H238" i="1" s="1"/>
  <c r="F234" i="1"/>
  <c r="H234" i="1" s="1"/>
  <c r="A234" i="1"/>
  <c r="A235" i="1" s="1"/>
  <c r="A236" i="1" s="1"/>
  <c r="A237" i="1" s="1"/>
  <c r="A238" i="1" s="1"/>
  <c r="A239" i="1" s="1"/>
  <c r="A240" i="1" s="1"/>
  <c r="A241" i="1" s="1"/>
  <c r="A242" i="1" s="1"/>
  <c r="A243" i="1" s="1"/>
  <c r="I212" i="1"/>
  <c r="F213" i="1"/>
  <c r="H213" i="1" s="1"/>
  <c r="F212" i="1"/>
  <c r="H212" i="1" s="1"/>
  <c r="F211" i="1"/>
  <c r="H211" i="1" s="1"/>
  <c r="F210" i="1"/>
  <c r="H210" i="1" s="1"/>
  <c r="F208" i="1"/>
  <c r="H208" i="1" s="1"/>
  <c r="A209" i="1"/>
  <c r="A210" i="1" s="1"/>
  <c r="A211" i="1" s="1"/>
  <c r="A212" i="1" s="1"/>
  <c r="A213" i="1" s="1"/>
  <c r="I187" i="1"/>
  <c r="I186" i="1"/>
  <c r="F196" i="1"/>
  <c r="H196" i="1" s="1"/>
  <c r="F195" i="1"/>
  <c r="H195" i="1" s="1"/>
  <c r="F194" i="1"/>
  <c r="H194" i="1" s="1"/>
  <c r="F193" i="1"/>
  <c r="H193" i="1" s="1"/>
  <c r="F192" i="1"/>
  <c r="H192" i="1" s="1"/>
  <c r="F191" i="1"/>
  <c r="H191" i="1" s="1"/>
  <c r="F190" i="1"/>
  <c r="H190" i="1" s="1"/>
  <c r="F188" i="1"/>
  <c r="H188" i="1" s="1"/>
  <c r="F187" i="1"/>
  <c r="H187" i="1" s="1"/>
  <c r="F185" i="1"/>
  <c r="H185" i="1" s="1"/>
  <c r="F184" i="1"/>
  <c r="H184" i="1" s="1"/>
  <c r="F186" i="1"/>
  <c r="H186" i="1" s="1"/>
  <c r="A185" i="1"/>
  <c r="A186" i="1" s="1"/>
  <c r="A187" i="1" s="1"/>
  <c r="A188" i="1" s="1"/>
  <c r="A189" i="1" s="1"/>
  <c r="A190" i="1" s="1"/>
  <c r="A191" i="1" s="1"/>
  <c r="A192" i="1" s="1"/>
  <c r="A193" i="1" s="1"/>
  <c r="A194" i="1" s="1"/>
  <c r="A195" i="1" s="1"/>
  <c r="A196" i="1" s="1"/>
  <c r="A197" i="1" s="1"/>
  <c r="A268" i="1"/>
  <c r="H92" i="1"/>
  <c r="A292" i="1"/>
  <c r="A259" i="1"/>
  <c r="J96" i="1" l="1"/>
  <c r="J94" i="1"/>
  <c r="J91" i="1"/>
  <c r="J93" i="1" s="1"/>
  <c r="D101" i="1"/>
  <c r="D104" i="1"/>
  <c r="D100" i="1"/>
  <c r="D97" i="1"/>
  <c r="D103" i="1"/>
  <c r="D99" i="1"/>
  <c r="J95" i="1"/>
  <c r="D102" i="1"/>
  <c r="D98" i="1"/>
  <c r="D95" i="1"/>
  <c r="J97" i="1"/>
  <c r="J98" i="1" s="1"/>
  <c r="J103" i="1" s="1"/>
  <c r="J104" i="1" s="1"/>
  <c r="J101" i="1"/>
  <c r="J102" i="1"/>
  <c r="J99" i="1"/>
  <c r="J100" i="1"/>
  <c r="C159" i="1"/>
  <c r="C154" i="1"/>
  <c r="H283" i="1"/>
  <c r="H282" i="1"/>
  <c r="H284" i="1"/>
  <c r="H279" i="1"/>
  <c r="H278" i="1"/>
  <c r="F265" i="1"/>
  <c r="H265" i="1" s="1"/>
  <c r="F264" i="1"/>
  <c r="H264" i="1" s="1"/>
  <c r="I173" i="1"/>
  <c r="I171" i="1"/>
  <c r="A269" i="1"/>
  <c r="A260" i="1"/>
  <c r="A293" i="1"/>
  <c r="E95" i="1" l="1"/>
  <c r="D96" i="1"/>
  <c r="I92" i="1" s="1"/>
  <c r="I93" i="1" s="1"/>
  <c r="J92" i="1"/>
  <c r="G95" i="1"/>
  <c r="A270" i="1"/>
  <c r="A261" i="1"/>
  <c r="A294" i="1"/>
  <c r="I91" i="1" l="1"/>
  <c r="C93" i="1" s="1"/>
  <c r="A295" i="1"/>
  <c r="A271" i="1"/>
  <c r="A262" i="1"/>
  <c r="F231" i="1" l="1"/>
  <c r="H231" i="1" s="1"/>
  <c r="F230" i="1"/>
  <c r="H230" i="1" s="1"/>
  <c r="F229" i="1"/>
  <c r="H229" i="1" s="1"/>
  <c r="F228" i="1"/>
  <c r="H228" i="1" s="1"/>
  <c r="F227" i="1"/>
  <c r="H227" i="1" s="1"/>
  <c r="F226" i="1"/>
  <c r="H226" i="1" s="1"/>
  <c r="F225" i="1"/>
  <c r="H225" i="1" s="1"/>
  <c r="F224" i="1"/>
  <c r="H224" i="1" s="1"/>
  <c r="F223" i="1"/>
  <c r="H223" i="1" s="1"/>
  <c r="F222" i="1"/>
  <c r="H222" i="1" s="1"/>
  <c r="F221" i="1"/>
  <c r="H221" i="1" s="1"/>
  <c r="F220" i="1"/>
  <c r="H220" i="1" s="1"/>
  <c r="F219" i="1"/>
  <c r="H219" i="1" s="1"/>
  <c r="F218" i="1"/>
  <c r="H218" i="1" s="1"/>
  <c r="F217" i="1"/>
  <c r="H217" i="1" s="1"/>
  <c r="A218" i="1"/>
  <c r="A219" i="1" s="1"/>
  <c r="A220" i="1" s="1"/>
  <c r="A221" i="1" s="1"/>
  <c r="A222" i="1" s="1"/>
  <c r="A223" i="1" s="1"/>
  <c r="A224" i="1" s="1"/>
  <c r="A225" i="1" s="1"/>
  <c r="A226" i="1" s="1"/>
  <c r="A227" i="1" s="1"/>
  <c r="A228" i="1" s="1"/>
  <c r="A229" i="1" s="1"/>
  <c r="A230" i="1" s="1"/>
  <c r="A231" i="1" s="1"/>
  <c r="F206" i="1"/>
  <c r="H206" i="1" s="1"/>
  <c r="F205" i="1"/>
  <c r="H205" i="1" s="1"/>
  <c r="F204" i="1"/>
  <c r="H204" i="1" s="1"/>
  <c r="F202" i="1"/>
  <c r="H202" i="1" s="1"/>
  <c r="F201" i="1"/>
  <c r="H201" i="1" s="1"/>
  <c r="F203" i="1"/>
  <c r="H203" i="1" s="1"/>
  <c r="F182" i="1"/>
  <c r="H182" i="1" s="1"/>
  <c r="F181" i="1"/>
  <c r="H181" i="1" s="1"/>
  <c r="F180" i="1"/>
  <c r="H180" i="1" s="1"/>
  <c r="F179" i="1"/>
  <c r="H179" i="1" s="1"/>
  <c r="F178" i="1"/>
  <c r="H178" i="1" s="1"/>
  <c r="F176" i="1"/>
  <c r="H176" i="1" s="1"/>
  <c r="F175" i="1"/>
  <c r="H175" i="1" s="1"/>
  <c r="F174" i="1"/>
  <c r="H174" i="1" s="1"/>
  <c r="F173" i="1"/>
  <c r="H173" i="1" s="1"/>
  <c r="F172" i="1"/>
  <c r="H172" i="1" s="1"/>
  <c r="F171" i="1"/>
  <c r="H171" i="1" s="1"/>
  <c r="F170" i="1"/>
  <c r="H170" i="1" s="1"/>
  <c r="F169" i="1"/>
  <c r="H169" i="1" s="1"/>
  <c r="F168" i="1"/>
  <c r="H168" i="1" s="1"/>
  <c r="F177" i="1"/>
  <c r="H177" i="1" s="1"/>
  <c r="A169" i="1"/>
  <c r="A170" i="1" s="1"/>
  <c r="A171" i="1" s="1"/>
  <c r="A172" i="1" s="1"/>
  <c r="A173" i="1" s="1"/>
  <c r="A174" i="1" s="1"/>
  <c r="A175" i="1" s="1"/>
  <c r="A176" i="1" s="1"/>
  <c r="A177" i="1" s="1"/>
  <c r="A178" i="1" s="1"/>
  <c r="A179" i="1" s="1"/>
  <c r="A180" i="1" s="1"/>
  <c r="A181" i="1" s="1"/>
  <c r="A182" i="1" s="1"/>
  <c r="A201" i="1" s="1"/>
  <c r="A202" i="1" s="1"/>
  <c r="A203" i="1" s="1"/>
  <c r="A204" i="1" s="1"/>
  <c r="A205" i="1" s="1"/>
  <c r="A206" i="1" s="1"/>
  <c r="E43" i="1"/>
  <c r="A272" i="1"/>
  <c r="A296" i="1"/>
  <c r="A263" i="1"/>
  <c r="C77" i="1" l="1"/>
  <c r="A273" i="1"/>
  <c r="A297" i="1"/>
  <c r="H4" i="8"/>
  <c r="A264" i="1"/>
  <c r="J6" i="8" l="1"/>
  <c r="D16" i="8"/>
  <c r="D10" i="8"/>
  <c r="D11" i="8"/>
  <c r="D15" i="8"/>
  <c r="D9" i="8"/>
  <c r="J8" i="8"/>
  <c r="C7" i="8" s="1"/>
  <c r="D14" i="8"/>
  <c r="D13" i="8"/>
  <c r="J7" i="8"/>
  <c r="J3" i="8"/>
  <c r="J5" i="8" s="1"/>
  <c r="D12" i="8"/>
  <c r="B4" i="8"/>
  <c r="F249" i="1"/>
  <c r="B38" i="6"/>
  <c r="B39" i="6" s="1"/>
  <c r="B40" i="6" s="1"/>
  <c r="B41" i="6" s="1"/>
  <c r="B42" i="6" s="1"/>
  <c r="B43" i="6" s="1"/>
  <c r="B44" i="6" s="1"/>
  <c r="B45" i="6" s="1"/>
  <c r="B46" i="6" s="1"/>
  <c r="B47" i="6" s="1"/>
  <c r="B48" i="6" s="1"/>
  <c r="B49" i="6" s="1"/>
  <c r="B50" i="6" s="1"/>
  <c r="B51" i="6" s="1"/>
  <c r="B52" i="6" s="1"/>
  <c r="B53" i="6" s="1"/>
  <c r="B54" i="6" s="1"/>
  <c r="A298" i="1"/>
  <c r="A274" i="1"/>
  <c r="A265" i="1"/>
  <c r="D7" i="8" l="1"/>
  <c r="J9" i="8"/>
  <c r="J10" i="8" s="1"/>
  <c r="J15" i="8" s="1"/>
  <c r="J16" i="8" s="1"/>
  <c r="E7" i="8" s="1"/>
  <c r="J14" i="8"/>
  <c r="J13" i="8"/>
  <c r="J11" i="8"/>
  <c r="J12" i="8"/>
  <c r="H249" i="1"/>
  <c r="A275" i="1"/>
  <c r="A299" i="1"/>
  <c r="A266" i="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71" i="1"/>
  <c r="B345" i="1"/>
  <c r="B344" i="1"/>
  <c r="F341" i="1"/>
  <c r="H341" i="1" s="1"/>
  <c r="F340" i="1"/>
  <c r="H340" i="1" s="1"/>
  <c r="F339" i="1"/>
  <c r="H339" i="1" s="1"/>
  <c r="F338" i="1"/>
  <c r="H338" i="1" s="1"/>
  <c r="F337" i="1"/>
  <c r="H337" i="1" s="1"/>
  <c r="F335" i="1"/>
  <c r="H335" i="1" s="1"/>
  <c r="F334" i="1"/>
  <c r="H334" i="1" s="1"/>
  <c r="F333" i="1"/>
  <c r="H333" i="1" s="1"/>
  <c r="F332" i="1"/>
  <c r="H332" i="1" s="1"/>
  <c r="F331" i="1"/>
  <c r="H331" i="1" s="1"/>
  <c r="F329" i="1"/>
  <c r="H329" i="1" s="1"/>
  <c r="F328" i="1"/>
  <c r="H328" i="1" s="1"/>
  <c r="F327" i="1"/>
  <c r="H327" i="1" s="1"/>
  <c r="F326" i="1"/>
  <c r="H326" i="1" s="1"/>
  <c r="F325" i="1"/>
  <c r="H325" i="1" s="1"/>
  <c r="F323" i="1"/>
  <c r="H323" i="1" s="1"/>
  <c r="F322" i="1"/>
  <c r="H322" i="1" s="1"/>
  <c r="F321" i="1"/>
  <c r="H321" i="1" s="1"/>
  <c r="F320" i="1"/>
  <c r="H320" i="1" s="1"/>
  <c r="F319" i="1"/>
  <c r="H319" i="1" s="1"/>
  <c r="A319" i="1"/>
  <c r="A320" i="1" s="1"/>
  <c r="A321" i="1" s="1"/>
  <c r="A322" i="1" s="1"/>
  <c r="A323" i="1" s="1"/>
  <c r="F317" i="1"/>
  <c r="H317" i="1" s="1"/>
  <c r="F316" i="1"/>
  <c r="H316" i="1" s="1"/>
  <c r="F315" i="1"/>
  <c r="H315" i="1" s="1"/>
  <c r="A315" i="1"/>
  <c r="A316" i="1" s="1"/>
  <c r="A317" i="1" s="1"/>
  <c r="F314" i="1"/>
  <c r="H314" i="1" s="1"/>
  <c r="F252" i="1"/>
  <c r="H252" i="1" s="1"/>
  <c r="F251" i="1"/>
  <c r="H251" i="1" s="1"/>
  <c r="F250" i="1"/>
  <c r="H250" i="1" s="1"/>
  <c r="A250" i="1"/>
  <c r="A251" i="1" s="1"/>
  <c r="A252" i="1" s="1"/>
  <c r="G160" i="1"/>
  <c r="E160" i="1"/>
  <c r="C160" i="1"/>
  <c r="F145" i="1"/>
  <c r="C119" i="1"/>
  <c r="B78" i="1"/>
  <c r="D71" i="1"/>
  <c r="D63" i="1"/>
  <c r="G56" i="1"/>
  <c r="C56" i="1"/>
  <c r="K54" i="1"/>
  <c r="C54" i="1"/>
  <c r="G51" i="1"/>
  <c r="C51" i="1"/>
  <c r="E44" i="1"/>
  <c r="E45" i="1" s="1"/>
  <c r="S33" i="1"/>
  <c r="E31" i="1"/>
  <c r="E28" i="1"/>
  <c r="E26" i="1"/>
  <c r="C16" i="1"/>
  <c r="I15" i="1"/>
  <c r="Z13" i="1"/>
  <c r="E8" i="1"/>
  <c r="E3" i="1"/>
  <c r="B357" i="1" s="1"/>
  <c r="H120" i="1"/>
  <c r="A325" i="1"/>
  <c r="A337" i="1"/>
  <c r="H106" i="1"/>
  <c r="A331" i="1"/>
  <c r="A300" i="1"/>
  <c r="I5" i="8" l="1"/>
  <c r="I3" i="8" s="1"/>
  <c r="C5" i="8" s="1"/>
  <c r="E42" i="7"/>
  <c r="J85" i="1"/>
  <c r="J86" i="1"/>
  <c r="B120" i="1"/>
  <c r="J128" i="1" s="1"/>
  <c r="I42" i="7"/>
  <c r="H42" i="7" s="1"/>
  <c r="L42" i="7"/>
  <c r="K42" i="7" s="1"/>
  <c r="J105" i="1"/>
  <c r="J107" i="1" s="1"/>
  <c r="D114" i="1"/>
  <c r="D113" i="1"/>
  <c r="D118" i="1"/>
  <c r="D112" i="1"/>
  <c r="J108" i="1"/>
  <c r="D117" i="1"/>
  <c r="J110" i="1"/>
  <c r="C109" i="1" s="1"/>
  <c r="D111" i="1"/>
  <c r="D116" i="1"/>
  <c r="J109" i="1"/>
  <c r="D115" i="1"/>
  <c r="D129" i="1"/>
  <c r="J123" i="1"/>
  <c r="J119" i="1"/>
  <c r="J121" i="1" s="1"/>
  <c r="J122" i="1"/>
  <c r="D127" i="1"/>
  <c r="D132" i="1"/>
  <c r="D126" i="1"/>
  <c r="D131" i="1"/>
  <c r="D125" i="1"/>
  <c r="D128" i="1"/>
  <c r="J124" i="1"/>
  <c r="C123" i="1" s="1"/>
  <c r="D123" i="1" s="1"/>
  <c r="D130" i="1"/>
  <c r="D42" i="7"/>
  <c r="L54" i="1"/>
  <c r="B106" i="1"/>
  <c r="J87" i="1"/>
  <c r="J88" i="1"/>
  <c r="I52" i="1"/>
  <c r="A326" i="1"/>
  <c r="H78" i="1"/>
  <c r="A332" i="1"/>
  <c r="A301" i="1"/>
  <c r="A338" i="1"/>
  <c r="D89" i="1" l="1"/>
  <c r="D83" i="1"/>
  <c r="J83" i="1"/>
  <c r="J84" i="1" s="1"/>
  <c r="J89" i="1" s="1"/>
  <c r="J90" i="1" s="1"/>
  <c r="C82" i="1" s="1"/>
  <c r="E81" i="1" s="1"/>
  <c r="J82" i="1"/>
  <c r="C81" i="1" s="1"/>
  <c r="D81" i="1" s="1"/>
  <c r="D88" i="1"/>
  <c r="D87" i="1"/>
  <c r="J77" i="1"/>
  <c r="J79" i="1" s="1"/>
  <c r="D86" i="1"/>
  <c r="D90" i="1"/>
  <c r="D84" i="1"/>
  <c r="J81" i="1"/>
  <c r="J80" i="1"/>
  <c r="D85" i="1"/>
  <c r="J130" i="1"/>
  <c r="J129" i="1"/>
  <c r="D44" i="7"/>
  <c r="E44" i="7"/>
  <c r="J127" i="1"/>
  <c r="J125" i="1"/>
  <c r="J126" i="1" s="1"/>
  <c r="J131" i="1" s="1"/>
  <c r="J132" i="1" s="1"/>
  <c r="C124" i="1" s="1"/>
  <c r="G123" i="1" s="1"/>
  <c r="D109" i="1"/>
  <c r="J114" i="1"/>
  <c r="J111" i="1"/>
  <c r="J112" i="1" s="1"/>
  <c r="J117" i="1" s="1"/>
  <c r="J118" i="1" s="1"/>
  <c r="C110" i="1" s="1"/>
  <c r="J116" i="1"/>
  <c r="J113" i="1"/>
  <c r="J115" i="1"/>
  <c r="A333" i="1"/>
  <c r="A327" i="1"/>
  <c r="A339" i="1"/>
  <c r="G81" i="1" l="1"/>
  <c r="D75" i="1" s="1"/>
  <c r="D76" i="1" s="1"/>
  <c r="D82" i="1"/>
  <c r="I78" i="1" s="1"/>
  <c r="I79" i="1" s="1"/>
  <c r="D124" i="1"/>
  <c r="I120" i="1" s="1"/>
  <c r="I121" i="1" s="1"/>
  <c r="J120" i="1"/>
  <c r="E123" i="1"/>
  <c r="J78" i="1"/>
  <c r="E109" i="1"/>
  <c r="D110" i="1"/>
  <c r="I106" i="1" s="1"/>
  <c r="J106" i="1"/>
  <c r="G109" i="1"/>
  <c r="A328" i="1"/>
  <c r="A334" i="1"/>
  <c r="A340" i="1"/>
  <c r="F76" i="1" l="1"/>
  <c r="I119" i="1"/>
  <c r="C121" i="1" s="1"/>
  <c r="I77" i="1"/>
  <c r="C79" i="1" s="1"/>
  <c r="I107" i="1"/>
  <c r="I105" i="1" s="1"/>
  <c r="C107" i="1" s="1"/>
  <c r="A341" i="1"/>
  <c r="A329" i="1"/>
  <c r="A335"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5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<sst xmlns="http://schemas.openxmlformats.org/spreadsheetml/2006/main" count="925" uniqueCount="459">
  <si>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</si>
  <si>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</si>
  <si>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</si>
  <si>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</si>
  <si>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</si>
  <si>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</si>
  <si>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</si>
  <si>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</si>
  <si>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</si>
  <si>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</si>
  <si>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</si>
  <si>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</si>
  <si>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</si>
  <si>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</si>
  <si>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</si>
  <si>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</si>
  <si>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</si>
  <si>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</si>
  <si>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</si>
  <si>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</si>
  <si>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</si>
  <si>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</si>
  <si>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</si>
  <si>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</si>
  <si>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</si>
  <si>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</si>
  <si>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</si>
  <si>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</si>
  <si>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</si>
  <si>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</si>
  <si>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</si>
  <si>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</si>
  <si>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</si>
  <si>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</si>
  <si>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</si>
  <si>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</si>
  <si>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</si>
  <si>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</si>
  <si>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</si>
  <si>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</si>
  <si>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</si>
  <si>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</si>
  <si>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</si>
  <si>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</si>
  <si>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</si>
  <si>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</si>
  <si>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</si>
  <si>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</si>
  <si>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</si>
  <si>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</si>
  <si>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</si>
  <si>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</si>
  <si>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</si>
  <si>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</si>
  <si>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</si>
  <si>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</si>
  <si>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</si>
  <si>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</si>
  <si>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</si>
  <si>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</si>
  <si>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</si>
  <si>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</si>
  <si>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</si>
  <si>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</si>
  <si>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</si>
  <si>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</si>
  <si>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</si>
  <si>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</si>
  <si>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</si>
  <si>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</si>
  <si>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</si>
  <si>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</si>
  <si>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</si>
  <si>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</si>
  <si>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</si>
  <si>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</si>
  <si>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</si>
  <si>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</si>
  <si>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</si>
  <si>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</si>
  <si>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</si>
  <si>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</si>
  <si>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</si>
  <si>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</si>
  <si>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</si>
  <si>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</si>
  <si>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</si>
  <si>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</si>
  <si>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</si>
  <si>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</si>
  <si>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</si>
  <si>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</si>
  <si>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</si>
  <si>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</si>
  <si>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</si>
  <si>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</si>
  <si>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</si>
  <si>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</si>
  <si>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</si>
  <si>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</si>
  <si>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</si>
  <si>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</si>
  <si>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</si>
  <si>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</si>
  <si>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</si>
  <si>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</si>
  <si>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</si>
  <si>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</si>
  <si>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</si>
  <si>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</si>
  <si>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</si>
  <si>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</si>
  <si>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</si>
  <si>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</si>
  <si>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</si>
  <si>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</si>
  <si>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</si>
  <si>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</si>
  <si>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</si>
  <si>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</si>
  <si>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</si>
  <si>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</si>
  <si>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</si>
  <si>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</si>
  <si>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</si>
  <si>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</si>
  <si>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</si>
  <si>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</si>
  <si>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</si>
  <si>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</si>
  <si>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</si>
  <si>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</si>
  <si>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</si>
  <si>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</si>
  <si>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</si>
  <si>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</si>
  <si>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</si>
  <si>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</si>
  <si>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</si>
  <si>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</si>
  <si>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</si>
  <si>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</si>
  <si>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</si>
  <si>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</si>
  <si>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</si>
  <si>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</si>
  <si>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</si>
  <si>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</si>
  <si>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</si>
  <si>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</si>
  <si>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</si>
  <si>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</si>
  <si>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</si>
  <si>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</si>
  <si>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</si>
  <si>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</si>
  <si>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</si>
  <si>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</si>
  <si>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</si>
  <si>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</si>
  <si>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</si>
  <si>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</si>
  <si>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</si>
  <si>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</si>
  <si>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</si>
  <si>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</si>
  <si>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</si>
  <si>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</si>
  <si>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</si>
  <si>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</si>
  <si>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</si>
  <si>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</si>
  <si>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</si>
  <si>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</si>
  <si>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</si>
  <si>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</si>
  <si>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</si>
  <si>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</si>
  <si>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</si>
  <si>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</si>
  <si>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</si>
  <si>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</si>
  <si>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</si>
  <si>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</si>
  <si>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</si>
  <si>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</si>
  <si>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</si>
  <si>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</si>
  <si>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</si>
  <si>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</si>
  <si>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</si>
  <si>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</si>
  <si>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</si>
  <si>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</si>
  <si>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</si>
  <si>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</si>
  <si>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</si>
  <si>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</si>
  <si>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</si>
  <si>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</si>
  <si>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</si>
  <si>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</si>
  <si>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</si>
  <si>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</si>
  <si>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</si>
  <si>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</si>
  <si>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</si>
  <si>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</si>
  <si>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</si>
  <si>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</si>
  <si>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</si>
  <si>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</si>
  <si>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</si>
  <si>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</si>
  <si>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</si>
  <si>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</si>
  <si>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</si>
  <si>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</si>
  <si>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</si>
  <si>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</si>
  <si>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</si>
  <si>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</si>
  <si>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</si>
  <si>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</si>
  <si>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</si>
  <si>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</si>
  <si>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</si>
  <si>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</si>
  <si>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</si>
  <si>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</si>
  <si>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</si>
  <si>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</si>
  <si>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</si>
  <si>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</si>
  <si>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</si>
  <si>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</si>
  <si>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</si>
  <si>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</si>
  <si>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</si>
  <si>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</si>
  <si>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</si>
  <si>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</si>
  <si>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</si>
  <si>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</si>
  <si>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</si>
  <si>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</si>
  <si>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</si>
  <si>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</si>
  <si>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</si>
  <si>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</si>
  <si>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</si>
  <si>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</si>
  <si>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</si>
  <si>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</si>
  <si>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</si>
  <si>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</si>
  <si>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</si>
  <si>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</si>
  <si>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</si>
  <si>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</si>
  <si>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</si>
  <si>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</si>
  <si>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</si>
  <si>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</si>
  <si>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</si>
  <si>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</si>
  <si>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</si>
  <si>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</si>
  <si>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</si>
  <si>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</si>
  <si>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</si>
  <si>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</si>
  <si>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</si>
  <si>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</si>
  <si>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</si>
  <si>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</si>
  <si>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</si>
  <si>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</si>
  <si>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</si>
  <si>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</si>
  <si>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</si>
  <si>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</si>
  <si>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</si>
  <si>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</si>
  <si>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</si>
  <si>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</si>
  <si>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</si>
  <si>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</si>
  <si>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</si>
  <si>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</si>
  <si>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</si>
  <si>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</si>
  <si>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</si>
  <si>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</si>
  <si>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</si>
  <si>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</si>
  <si>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</si>
  <si>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</si>
  <si>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</si>
  <si>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</si>
  <si>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</si>
  <si>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</si>
  <si>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</si>
  <si>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</si>
  <si>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</si>
  <si>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</si>
  <si>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</si>
  <si>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</si>
  <si>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</si>
  <si>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</si>
  <si>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</si>
  <si>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</si>
  <si>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</si>
  <si>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</si>
  <si>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</si>
  <si>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</si>
  <si>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</si>
  <si>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</si>
  <si>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</si>
  <si>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</si>
  <si>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</si>
  <si>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</si>
  <si>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</si>
  <si>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</si>
  <si>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</si>
  <si>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</si>
  <si>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</si>
  <si>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</si>
  <si>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</si>
  <si>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</si>
  <si>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</si>
  <si>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</si>
  <si>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</si>
  <si>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</si>
  <si>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</si>
  <si>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</si>
  <si>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</si>
  <si>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</si>
  <si>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</si>
  <si>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</si>
  <si>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</si>
  <si>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</si>
  <si>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</si>
  <si>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</si>
  <si>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</si>
  <si>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</si>
  <si>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</si>
  <si>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</si>
  <si>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</si>
  <si>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</si>
  <si>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</si>
  <si>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</si>
  <si>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</si>
  <si>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</si>
  <si>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</si>
  <si>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</si>
  <si>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</si>
  <si>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</si>
  <si>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</si>
  <si>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</si>
  <si>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</si>
  <si>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</si>
  <si>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</si>
  <si>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</si>
  <si>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</si>
  <si>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</si>
  <si>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</si>
  <si>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</si>
  <si>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</si>
  <si>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</si>
  <si>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</si>
  <si>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</si>
  <si>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</si>
  <si>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</si>
  <si>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</si>
  <si>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</si>
  <si>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</si>
  <si>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</si>
  <si>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</si>
  <si>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</si>
  <si>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</si>
  <si>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</si>
  <si>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</si>
  <si>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</si>
  <si>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</si>
  <si>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</si>
  <si>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</si>
  <si>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Vasai</t>
  </si>
  <si>
    <t>Ground + 20th Floor</t>
  </si>
  <si>
    <t xml:space="preserve">Jio Finance Table </t>
  </si>
  <si>
    <t>Truhome Finance Limited</t>
  </si>
  <si>
    <t>M/s.Okay Estate Developers Private Limited</t>
  </si>
  <si>
    <t>Jewel of Panvel Phase I</t>
  </si>
  <si>
    <t>Mr.Muzakki Mitkar 8928932640</t>
  </si>
  <si>
    <t>P52000028505</t>
  </si>
  <si>
    <t>Mahatma Gandhi Road</t>
  </si>
  <si>
    <t>Old Panvel</t>
  </si>
  <si>
    <t>Panvel West</t>
  </si>
  <si>
    <t>State Bank of India</t>
  </si>
  <si>
    <t>1.9 KM from Panvel Railway Station</t>
  </si>
  <si>
    <t>FP No</t>
  </si>
  <si>
    <t>18 M W Road</t>
  </si>
  <si>
    <t>Other Plot</t>
  </si>
  <si>
    <t>12 M W Road</t>
  </si>
  <si>
    <t>Salman Building</t>
  </si>
  <si>
    <t>Sai Pratik Building</t>
  </si>
  <si>
    <t>18.981774,73.113749</t>
  </si>
  <si>
    <t>https://goo.gl/maps/iHFCQsyK39G85Y2LA</t>
  </si>
  <si>
    <t>04 Buildings</t>
  </si>
  <si>
    <t>PMC/NRV/15963/J.K.2376/2024</t>
  </si>
  <si>
    <t>PMC/TP/Panvel/280/2124/15963/
2376/2024</t>
  </si>
  <si>
    <t>B + Gr. + 1st to 14th upper Floors (Total Builtup Area = 18990.669 sq.m.)
Residential Unit = 186 Nos &amp; Commercial Unit = 70 Nos</t>
  </si>
  <si>
    <t>A Wing = 1B + G + 1st to 14th Floor
D Wing = 1B + G + 1st to 11th Floor
B &amp; C Wing = 1B + G + 1st to 2nd Floor</t>
  </si>
  <si>
    <t>A Wing = 1B + G + 1st to 14th Floor</t>
  </si>
  <si>
    <t>D Wing = 1B + G + 1st to 14th Floor</t>
  </si>
  <si>
    <t>B Wing = 1B + G + 1st to 14th Floor</t>
  </si>
  <si>
    <t>C Wing = 1B + G + 1st to 14th Floor</t>
  </si>
  <si>
    <t>As per RERA - 30/06/2027</t>
  </si>
  <si>
    <t>Rooftop Garden, Joggging Track, Mini Theatre, Fitness Center, Indoor Games, Children's Play Area, Badminton Court, Senior Citizens Seatting, etc.</t>
  </si>
  <si>
    <r>
      <t xml:space="preserve">Proposed Amenities :                                                                                                                                                                                                                         </t>
    </r>
    <r>
      <rPr>
        <b/>
        <sz val="12"/>
        <rFont val="Times New Roman"/>
        <family val="1"/>
      </rPr>
      <t xml:space="preserve">                                               </t>
    </r>
  </si>
  <si>
    <t>Wing A</t>
  </si>
  <si>
    <t>Basement For Parking</t>
  </si>
  <si>
    <t>Shop</t>
  </si>
  <si>
    <t>Wing D</t>
  </si>
  <si>
    <t>Wing C</t>
  </si>
  <si>
    <t>Mr. Gaizan Hurzuk 8928932640</t>
  </si>
  <si>
    <t>Ground Floor For Commercial, Pump Room, Entrance Lobby &amp; Parking</t>
  </si>
  <si>
    <t>Ground Floor For Commercial, Drivers Room &amp; Parking</t>
  </si>
  <si>
    <t>Ground Floor For Commercial &amp; Parking</t>
  </si>
  <si>
    <t>1st Floor For Commercial &amp; Parking</t>
  </si>
  <si>
    <t>Office</t>
  </si>
  <si>
    <t>2nd Podium Floor For Swimming Pool &amp; Parking</t>
  </si>
  <si>
    <t>3rd to 7th &amp; 9th to 12th Floor For Residential</t>
  </si>
  <si>
    <t>2BHK</t>
  </si>
  <si>
    <t>3BHK</t>
  </si>
  <si>
    <t>8th &amp; 13th Floor (Refuge Area at Mid-Landing)</t>
  </si>
  <si>
    <t>14th Floor</t>
  </si>
  <si>
    <t>2BHK Duplex With Terrace Floor</t>
  </si>
  <si>
    <t>3BHK Duplex With Terrace Floor</t>
  </si>
  <si>
    <t>2nd Podium Floor For Parking</t>
  </si>
  <si>
    <t>3rd to 7th &amp; 9th to 11th Floor For Residential</t>
  </si>
  <si>
    <t>1BHK</t>
  </si>
  <si>
    <t>8th Floor (Refuge Area at Mid-Landing)</t>
  </si>
  <si>
    <t>Balcony Area</t>
  </si>
  <si>
    <t>Wing B</t>
  </si>
  <si>
    <t>Basement &amp; Ground Floor For Parking</t>
  </si>
  <si>
    <t>1st Floor For Theater, Indoor Game, Fitness Center &amp; Parking</t>
  </si>
  <si>
    <t>2nd Floor For Society Office &amp; Parking</t>
  </si>
  <si>
    <r>
      <t xml:space="preserve">Shop No.
</t>
    </r>
    <r>
      <rPr>
        <b/>
        <sz val="11"/>
        <rFont val="Times New Roman"/>
        <family val="1"/>
      </rPr>
      <t>(Approved Plan)</t>
    </r>
  </si>
  <si>
    <t>Flats - 186, Shops - 36, Offices - 34</t>
  </si>
  <si>
    <t>Wing A, C &amp; D = Construction work is in process at the time of Visit (labour found)
Wing B = Work not yet Started.</t>
  </si>
  <si>
    <t>We considered Gross carpet area = Net carpet + Balcony Area.</t>
  </si>
  <si>
    <t xml:space="preserve">Please check for  Airport NOC &amp; Fire NOC.
</t>
  </si>
  <si>
    <t>Shruti Tathare</t>
  </si>
  <si>
    <t>Ravindra Vishwakarma</t>
  </si>
  <si>
    <t xml:space="preserve">RERA (P52000028505) Consists of Wing A, B, C, D &amp; Jewel of Panvel Phase - 1. But, Approved plan consist only Wing A, B, C, D &amp; Bunglow. Jewel of Panvel Phase - 1 building is not mentioned in approved plans. So, we have not drafted theses building for APF.
</t>
  </si>
  <si>
    <t>Wing A (Emerald)
Wing B (Pearl)
Wing C (Opal)
Wing D (Sapphire)
Jewel of Panvel Phase I</t>
  </si>
  <si>
    <t>https://www.99acres.com/jewel-of-panvel-old-panvel-navi-mumbai-npxid-r375802?nn_source=Performance&amp;nn_account=Google_99acres-NPGoogle-Account&amp;nn_campaign=22819194916_184402022124_765186228422&amp;nn_medium=22819194916_184402022124_765186228422&amp;nn_adtype=g_&amp;nn_keyword=&amp;nn_placement=&amp;gad_source=1&amp;gad_campaignid=22819194916&amp;gbraid=0AAAAADLswZVh16ADCHkYiT2Y565vvKldg&amp;gclid=CjwKCAjwi4PHBhA-EiwAnjTHubOaZ0xW5pKhK8TQvRoWqnM73hbkqzdnSabEhscU12_acxI-9Q9kehoCiQwQAvD_BwE#showModal</t>
  </si>
  <si>
    <t>We have updated approved plans &amp; CC from RERA site on 04/10/2025.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</si>
</sst>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8" xfId="0" applyBorder="1" applyAlignment="1">
      <alignmen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1" fontId="7" fillId="0" borderId="1" xfId="1" applyNumberFormat="1" applyFont="1" applyFill="1" applyBorder="1" applyAlignment="1">
      <alignment horizontal="center" vertical="center"/>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1" fontId="6" fillId="0" borderId="9" xfId="1" applyNumberFormat="1" applyFont="1" applyFill="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8" fillId="0" borderId="1" xfId="1" applyFont="1" applyBorder="1" applyAlignment="1" applyProtection="1">
      <alignment vertical="top"/>
      <protection locked="0"/>
    </xf>
    <xf numFmtId="0" fontId="13" fillId="0" borderId="22" xfId="1" applyFont="1" applyFill="1" applyBorder="1" applyAlignment="1" applyProtection="1">
      <alignment horizontal="left" vertical="top" wrapText="1"/>
      <protection locked="0"/>
    </xf>
    <xf numFmtId="0" fontId="13" fillId="0" borderId="15" xfId="1" applyFont="1" applyFill="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0" fontId="12" fillId="0" borderId="8" xfId="1" applyFont="1" applyFill="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0" borderId="11" xfId="0" applyBorder="1" applyAlignment="1">
      <alignment horizont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10</xdr:col>
      <xdr:colOff>647700</xdr:colOff>
      <xdr:row>152</xdr:row>
      <xdr:rowOff>182677</xdr:rowOff>
    </xdr:from>
    <xdr:to>
      <xdr:col>16</xdr:col>
      <xdr:colOff>75507</xdr:colOff>
      <xdr:row>162</xdr:row>
      <xdr:rowOff>466356</xdr:rowOff>
    </xdr:to>
    <xdr:pic>
      <xdr:nvPicPr>
        <xdr:cNvPr id="2" name="Picture 1"/>
        <xdr:cNvPicPr>
          <a:picLocks noChangeAspect="1"/>
        </xdr:cNvPicPr>
      </xdr:nvPicPr>
      <xdr:blipFill>
        <a:blip xmlns:r="http://schemas.openxmlformats.org/officeDocument/2006/relationships" r:embed="rId1"/>
        <a:stretch>
          <a:fillRect/>
        </a:stretch>
      </xdr:blipFill>
      <xdr:spPr>
        <a:xfrm>
          <a:off x="8886825" y="31262752"/>
          <a:ext cx="4323657" cy="2302979"/>
        </a:xfrm>
        <a:prstGeom prst="rect">
          <a:avLst/>
        </a:prstGeom>
      </xdr:spPr>
    </xdr:pic>
    <xdr:clientData/>
  </xdr:twoCellAnchor>
  <xdr:twoCellAnchor editAs="oneCell">
    <xdr:from>
      <xdr:col>10</xdr:col>
      <xdr:colOff>114300</xdr:colOff>
      <xdr:row>146</xdr:row>
      <xdr:rowOff>47625</xdr:rowOff>
    </xdr:from>
    <xdr:to>
      <xdr:col>12</xdr:col>
      <xdr:colOff>323614</xdr:colOff>
      <xdr:row>151</xdr:row>
      <xdr:rowOff>18929</xdr:rowOff>
    </xdr:to>
    <xdr:pic>
      <xdr:nvPicPr>
        <xdr:cNvPr id="3" name="Picture 2"/>
        <xdr:cNvPicPr>
          <a:picLocks noChangeAspect="1"/>
        </xdr:cNvPicPr>
      </xdr:nvPicPr>
      <xdr:blipFill>
        <a:blip xmlns:r="http://schemas.openxmlformats.org/officeDocument/2006/relationships" r:embed="rId2"/>
        <a:stretch>
          <a:fillRect/>
        </a:stretch>
      </xdr:blipFill>
      <xdr:spPr>
        <a:xfrm>
          <a:off x="8353425" y="29927550"/>
          <a:ext cx="1885714" cy="971429"/>
        </a:xfrm>
        <a:prstGeom prst="rect">
          <a:avLst/>
        </a:prstGeom>
      </xdr:spPr>
    </xdr:pic>
    <xdr:clientData/>
  </xdr:twoCellAnchor>
  <xdr:twoCellAnchor>
    <xdr:from>
      <xdr:col>1</xdr:col>
      <xdr:colOff>119273</xdr:colOff>
      <xdr:row>415</xdr:row>
      <xdr:rowOff>151400</xdr:rowOff>
    </xdr:from>
    <xdr:to>
      <xdr:col>7</xdr:col>
      <xdr:colOff>10346</xdr:colOff>
      <xdr:row>455</xdr:row>
      <xdr:rowOff>112059</xdr:rowOff>
    </xdr:to>
    <xdr:grpSp>
      <xdr:nvGrpSpPr>
        <xdr:cNvPr id="7" name="Group 6"/>
        <xdr:cNvGrpSpPr/>
      </xdr:nvGrpSpPr>
      <xdr:grpSpPr>
        <a:xfrm>
          <a:off x="881273" y="81352025"/>
          <a:ext cx="4710723" cy="7961659"/>
          <a:chOff x="858862" y="83411106"/>
          <a:chExt cx="4709602" cy="8028894"/>
        </a:xfrm>
      </xdr:grpSpPr>
      <xdr:pic>
        <xdr:nvPicPr>
          <xdr:cNvPr id="5" name="Picture 4"/>
          <xdr:cNvPicPr>
            <a:picLocks noChangeAspect="1"/>
          </xdr:cNvPicPr>
        </xdr:nvPicPr>
        <xdr:blipFill>
          <a:blip xmlns:r="http://schemas.openxmlformats.org/officeDocument/2006/relationships" r:embed="rId3"/>
          <a:stretch>
            <a:fillRect/>
          </a:stretch>
        </xdr:blipFill>
        <xdr:spPr>
          <a:xfrm>
            <a:off x="1400737" y="83411106"/>
            <a:ext cx="3635108" cy="3680452"/>
          </a:xfrm>
          <a:prstGeom prst="rect">
            <a:avLst/>
          </a:prstGeom>
          <a:ln>
            <a:solidFill>
              <a:schemeClr val="tx1"/>
            </a:solidFill>
          </a:ln>
        </xdr:spPr>
      </xdr:pic>
      <xdr:pic>
        <xdr:nvPicPr>
          <xdr:cNvPr id="6" name="Picture 5"/>
          <xdr:cNvPicPr>
            <a:picLocks noChangeAspect="1"/>
          </xdr:cNvPicPr>
        </xdr:nvPicPr>
        <xdr:blipFill>
          <a:blip xmlns:r="http://schemas.openxmlformats.org/officeDocument/2006/relationships" r:embed="rId4"/>
          <a:stretch>
            <a:fillRect/>
          </a:stretch>
        </xdr:blipFill>
        <xdr:spPr>
          <a:xfrm>
            <a:off x="858862" y="87226588"/>
            <a:ext cx="4709602" cy="4213412"/>
          </a:xfrm>
          <a:prstGeom prst="rect">
            <a:avLst/>
          </a:prstGeom>
          <a:ln>
            <a:solidFill>
              <a:schemeClr val="tx1"/>
            </a:solidFill>
          </a:ln>
        </xdr:spPr>
      </xdr:pic>
    </xdr:grpSp>
    <xdr:clientData/>
  </xdr:twoCellAnchor>
  <xdr:twoCellAnchor>
    <xdr:from>
      <xdr:col>0</xdr:col>
      <xdr:colOff>304800</xdr:colOff>
      <xdr:row>459</xdr:row>
      <xdr:rowOff>153365</xdr:rowOff>
    </xdr:from>
    <xdr:to>
      <xdr:col>7</xdr:col>
      <xdr:colOff>581025</xdr:colOff>
      <xdr:row>495</xdr:row>
      <xdr:rowOff>80603</xdr:rowOff>
    </xdr:to>
    <xdr:grpSp>
      <xdr:nvGrpSpPr>
        <xdr:cNvPr id="12" name="Group 11"/>
        <xdr:cNvGrpSpPr/>
      </xdr:nvGrpSpPr>
      <xdr:grpSpPr>
        <a:xfrm>
          <a:off x="304800" y="90155090"/>
          <a:ext cx="5857875" cy="7128138"/>
          <a:chOff x="276225" y="91688615"/>
          <a:chExt cx="5857875" cy="7128138"/>
        </a:xfrm>
      </xdr:grpSpPr>
      <xdr:pic>
        <xdr:nvPicPr>
          <xdr:cNvPr id="8" name="Picture 7"/>
          <xdr:cNvPicPr>
            <a:picLocks noChangeAspect="1"/>
          </xdr:cNvPicPr>
        </xdr:nvPicPr>
        <xdr:blipFill>
          <a:blip xmlns:r="http://schemas.openxmlformats.org/officeDocument/2006/relationships" r:embed="rId5"/>
          <a:stretch>
            <a:fillRect/>
          </a:stretch>
        </xdr:blipFill>
        <xdr:spPr>
          <a:xfrm>
            <a:off x="823912" y="91688615"/>
            <a:ext cx="4845011" cy="3075610"/>
          </a:xfrm>
          <a:prstGeom prst="rect">
            <a:avLst/>
          </a:prstGeom>
          <a:ln>
            <a:solidFill>
              <a:schemeClr val="tx1"/>
            </a:solidFill>
          </a:ln>
        </xdr:spPr>
      </xdr:pic>
      <xdr:grpSp>
        <xdr:nvGrpSpPr>
          <xdr:cNvPr id="11" name="Group 10"/>
          <xdr:cNvGrpSpPr/>
        </xdr:nvGrpSpPr>
        <xdr:grpSpPr>
          <a:xfrm>
            <a:off x="276225" y="94873403"/>
            <a:ext cx="5857875" cy="3943350"/>
            <a:chOff x="276225" y="94873403"/>
            <a:chExt cx="5857875" cy="3943350"/>
          </a:xfrm>
        </xdr:grpSpPr>
        <xdr:pic>
          <xdr:nvPicPr>
            <xdr:cNvPr id="9" name="Picture 8"/>
            <xdr:cNvPicPr>
              <a:picLocks noChangeAspect="1"/>
            </xdr:cNvPicPr>
          </xdr:nvPicPr>
          <xdr:blipFill>
            <a:blip xmlns:r="http://schemas.openxmlformats.org/officeDocument/2006/relationships" r:embed="rId6"/>
            <a:stretch>
              <a:fillRect/>
            </a:stretch>
          </xdr:blipFill>
          <xdr:spPr>
            <a:xfrm>
              <a:off x="276225" y="94873403"/>
              <a:ext cx="5857875" cy="3943350"/>
            </a:xfrm>
            <a:prstGeom prst="rect">
              <a:avLst/>
            </a:prstGeom>
            <a:ln>
              <a:solidFill>
                <a:schemeClr val="tx1"/>
              </a:solidFill>
            </a:ln>
          </xdr:spPr>
        </xdr:pic>
        <xdr:sp macro="" textlink="">
          <xdr:nvSpPr>
            <xdr:cNvPr id="10" name="Freeform 9"/>
            <xdr:cNvSpPr/>
          </xdr:nvSpPr>
          <xdr:spPr>
            <a:xfrm>
              <a:off x="2190750" y="96040575"/>
              <a:ext cx="2000250" cy="1562100"/>
            </a:xfrm>
            <a:custGeom>
              <a:avLst/>
              <a:gdLst>
                <a:gd name="connsiteX0" fmla="*/ 828675 w 2000250"/>
                <a:gd name="connsiteY0" fmla="*/ 1266825 h 1562100"/>
                <a:gd name="connsiteX1" fmla="*/ 619125 w 2000250"/>
                <a:gd name="connsiteY1" fmla="*/ 1562100 h 1562100"/>
                <a:gd name="connsiteX2" fmla="*/ 0 w 2000250"/>
                <a:gd name="connsiteY2" fmla="*/ 1466850 h 1562100"/>
                <a:gd name="connsiteX3" fmla="*/ 95250 w 2000250"/>
                <a:gd name="connsiteY3" fmla="*/ 228600 h 1562100"/>
                <a:gd name="connsiteX4" fmla="*/ 1047750 w 2000250"/>
                <a:gd name="connsiteY4" fmla="*/ 0 h 1562100"/>
                <a:gd name="connsiteX5" fmla="*/ 2000250 w 2000250"/>
                <a:gd name="connsiteY5" fmla="*/ 790575 h 1562100"/>
                <a:gd name="connsiteX6" fmla="*/ 1276350 w 2000250"/>
                <a:gd name="connsiteY6" fmla="*/ 1095375 h 1562100"/>
                <a:gd name="connsiteX7" fmla="*/ 885825 w 2000250"/>
                <a:gd name="connsiteY7" fmla="*/ 1076325 h 1562100"/>
                <a:gd name="connsiteX8" fmla="*/ 828675 w 2000250"/>
                <a:gd name="connsiteY8" fmla="*/ 1266825 h 1562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000250" h="1562100">
                  <a:moveTo>
                    <a:pt x="828675" y="1266825"/>
                  </a:moveTo>
                  <a:lnTo>
                    <a:pt x="619125" y="1562100"/>
                  </a:lnTo>
                  <a:lnTo>
                    <a:pt x="0" y="1466850"/>
                  </a:lnTo>
                  <a:lnTo>
                    <a:pt x="95250" y="228600"/>
                  </a:lnTo>
                  <a:lnTo>
                    <a:pt x="1047750" y="0"/>
                  </a:lnTo>
                  <a:lnTo>
                    <a:pt x="2000250" y="790575"/>
                  </a:lnTo>
                  <a:lnTo>
                    <a:pt x="1276350" y="1095375"/>
                  </a:lnTo>
                  <a:lnTo>
                    <a:pt x="885825" y="1076325"/>
                  </a:lnTo>
                  <a:lnTo>
                    <a:pt x="828675" y="126682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0</xdr:col>
      <xdr:colOff>609600</xdr:colOff>
      <xdr:row>371</xdr:row>
      <xdr:rowOff>28575</xdr:rowOff>
    </xdr:from>
    <xdr:to>
      <xdr:col>7</xdr:col>
      <xdr:colOff>219076</xdr:colOff>
      <xdr:row>413</xdr:row>
      <xdr:rowOff>140699</xdr:rowOff>
    </xdr:to>
    <xdr:grpSp>
      <xdr:nvGrpSpPr>
        <xdr:cNvPr id="28" name="Group 27"/>
        <xdr:cNvGrpSpPr/>
      </xdr:nvGrpSpPr>
      <xdr:grpSpPr>
        <a:xfrm>
          <a:off x="609600" y="72437625"/>
          <a:ext cx="5191126" cy="8503649"/>
          <a:chOff x="609600" y="74009250"/>
          <a:chExt cx="5191126" cy="8503649"/>
        </a:xfrm>
      </xdr:grpSpPr>
      <xdr:grpSp>
        <xdr:nvGrpSpPr>
          <xdr:cNvPr id="23" name="Group 22"/>
          <xdr:cNvGrpSpPr/>
        </xdr:nvGrpSpPr>
        <xdr:grpSpPr>
          <a:xfrm>
            <a:off x="609600" y="74009250"/>
            <a:ext cx="5191126" cy="8503649"/>
            <a:chOff x="609600" y="74009250"/>
            <a:chExt cx="5191126" cy="8503649"/>
          </a:xfrm>
        </xdr:grpSpPr>
        <xdr:pic>
          <xdr:nvPicPr>
            <xdr:cNvPr id="13" name="Picture 12" descr="https://vsjcllp.vsjadon.com/upload/insp-249493-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895601" y="80829149"/>
              <a:ext cx="2236576" cy="16789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9493-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3425" y="79046612"/>
              <a:ext cx="1269655" cy="16946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9493-87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619126" y="76528612"/>
              <a:ext cx="3257550" cy="24454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9493-88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962400" y="76523850"/>
              <a:ext cx="1832161" cy="24454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9493-93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09600" y="74009250"/>
              <a:ext cx="1832161" cy="24454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9493-916.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562100" y="80833912"/>
              <a:ext cx="1257929" cy="16789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9493-9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095500" y="79046612"/>
              <a:ext cx="1269655" cy="16946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9493-928.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457575" y="79041849"/>
              <a:ext cx="2257425" cy="16946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9493-151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543176" y="74014012"/>
              <a:ext cx="3257550" cy="24454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4" name="TextBox 23"/>
          <xdr:cNvSpPr txBox="1"/>
        </xdr:nvSpPr>
        <xdr:spPr>
          <a:xfrm>
            <a:off x="3495675" y="74123550"/>
            <a:ext cx="8096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Wing</a:t>
            </a:r>
            <a:r>
              <a:rPr lang="en-IN" sz="1600" b="1" baseline="0"/>
              <a:t> B</a:t>
            </a:r>
            <a:endParaRPr lang="en-IN" sz="1600" b="1"/>
          </a:p>
        </xdr:txBody>
      </xdr:sp>
      <xdr:sp macro="" textlink="">
        <xdr:nvSpPr>
          <xdr:cNvPr id="25" name="TextBox 24"/>
          <xdr:cNvSpPr txBox="1"/>
        </xdr:nvSpPr>
        <xdr:spPr>
          <a:xfrm>
            <a:off x="4410075" y="76819125"/>
            <a:ext cx="8096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Wing</a:t>
            </a:r>
            <a:r>
              <a:rPr lang="en-IN" sz="1600" b="1" baseline="0"/>
              <a:t> D</a:t>
            </a:r>
            <a:endParaRPr lang="en-IN" sz="1600" b="1"/>
          </a:p>
        </xdr:txBody>
      </xdr:sp>
      <xdr:sp macro="" textlink="">
        <xdr:nvSpPr>
          <xdr:cNvPr id="26" name="TextBox 25"/>
          <xdr:cNvSpPr txBox="1"/>
        </xdr:nvSpPr>
        <xdr:spPr>
          <a:xfrm>
            <a:off x="1638300" y="77162025"/>
            <a:ext cx="8096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Wing</a:t>
            </a:r>
            <a:r>
              <a:rPr lang="en-IN" sz="1600" b="1" baseline="0"/>
              <a:t> C</a:t>
            </a:r>
            <a:endParaRPr lang="en-IN" sz="1600" b="1"/>
          </a:p>
        </xdr:txBody>
      </xdr:sp>
      <xdr:sp macro="" textlink="">
        <xdr:nvSpPr>
          <xdr:cNvPr id="27" name="TextBox 26"/>
          <xdr:cNvSpPr txBox="1"/>
        </xdr:nvSpPr>
        <xdr:spPr>
          <a:xfrm>
            <a:off x="762000" y="74018775"/>
            <a:ext cx="8096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Wing</a:t>
            </a:r>
            <a:r>
              <a:rPr lang="en-IN" sz="1600" b="1" baseline="0"/>
              <a:t> A</a:t>
            </a:r>
            <a:endParaRPr lang="en-IN" sz="1600" b="1"/>
          </a:p>
        </xdr:txBody>
      </xdr:sp>
    </xdr:grpSp>
    <xdr:clientData/>
  </xdr:twoCellAnchor>
  <xdr:twoCellAnchor editAs="oneCell">
    <xdr:from>
      <xdr:col>8</xdr:col>
      <xdr:colOff>1066800</xdr:colOff>
      <xdr:row>3</xdr:row>
      <xdr:rowOff>186417</xdr:rowOff>
    </xdr:from>
    <xdr:to>
      <xdr:col>15</xdr:col>
      <xdr:colOff>580083</xdr:colOff>
      <xdr:row>19</xdr:row>
      <xdr:rowOff>132676</xdr:rowOff>
    </xdr:to>
    <xdr:pic>
      <xdr:nvPicPr>
        <xdr:cNvPr id="4" name="Picture 3"/>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381875" y="1186542"/>
          <a:ext cx="5552133" cy="3965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iHFCQsyK39G85Y2L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59"/>
  <sheetViews>
    <sheetView tabSelected="1" view="pageBreakPreview" zoomScaleNormal="100" zoomScaleSheetLayoutView="100" zoomScalePageLayoutView="85" workbookViewId="0">
      <selection activeCell="I2" sqref="I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1" t="s">
        <v>378</v>
      </c>
      <c r="B1" s="201"/>
      <c r="C1" s="201"/>
      <c r="D1" s="201"/>
      <c r="E1" s="201"/>
      <c r="F1" s="201"/>
      <c r="G1" s="201"/>
      <c r="H1" s="201"/>
    </row>
    <row r="2" spans="1:26" ht="16.5" customHeight="1" x14ac:dyDescent="0.25">
      <c r="A2" s="202" t="s">
        <v>0</v>
      </c>
      <c r="B2" s="202"/>
      <c r="C2" s="202"/>
      <c r="D2" s="202"/>
      <c r="E2" s="202"/>
      <c r="F2" s="202"/>
      <c r="G2" s="202"/>
      <c r="H2" s="202"/>
    </row>
    <row r="3" spans="1:26" x14ac:dyDescent="0.25">
      <c r="A3" s="168" t="s">
        <v>1</v>
      </c>
      <c r="B3" s="168"/>
      <c r="C3" s="168"/>
      <c r="D3" s="168"/>
      <c r="E3" s="168" t="str">
        <f ca="1">TEXT(TODAY(),"DD/MM/YYYY")</f>
        <v>04/10/2025</v>
      </c>
      <c r="F3" s="168"/>
      <c r="G3" s="168"/>
      <c r="H3" s="168"/>
      <c r="K3" s="55" t="s">
        <v>236</v>
      </c>
      <c r="L3" s="54" t="s">
        <v>234</v>
      </c>
      <c r="M3" s="54" t="s">
        <v>239</v>
      </c>
      <c r="N3" s="54" t="s">
        <v>390</v>
      </c>
      <c r="O3" s="54" t="s">
        <v>355</v>
      </c>
      <c r="P3" s="54" t="s">
        <v>381</v>
      </c>
    </row>
    <row r="4" spans="1:26" ht="15" customHeight="1" x14ac:dyDescent="0.25">
      <c r="A4" s="168" t="s">
        <v>233</v>
      </c>
      <c r="B4" s="168"/>
      <c r="C4" s="168"/>
      <c r="D4" s="168"/>
      <c r="E4" s="168" t="s">
        <v>234</v>
      </c>
      <c r="F4" s="168"/>
      <c r="G4" s="168"/>
      <c r="H4" s="168"/>
      <c r="K4" s="53" t="s">
        <v>235</v>
      </c>
      <c r="L4" s="54" t="s">
        <v>170</v>
      </c>
      <c r="M4" s="54" t="s">
        <v>244</v>
      </c>
      <c r="N4" s="54" t="s">
        <v>387</v>
      </c>
      <c r="O4" s="54" t="s">
        <v>341</v>
      </c>
      <c r="P4" s="54" t="s">
        <v>382</v>
      </c>
    </row>
    <row r="5" spans="1:26" ht="15" customHeight="1" x14ac:dyDescent="0.25">
      <c r="A5" s="168" t="s">
        <v>2</v>
      </c>
      <c r="B5" s="168"/>
      <c r="C5" s="168"/>
      <c r="D5" s="168"/>
      <c r="E5" s="168" t="s">
        <v>242</v>
      </c>
      <c r="F5" s="168"/>
      <c r="G5" s="168"/>
      <c r="H5" s="168"/>
      <c r="K5" s="53"/>
      <c r="L5" s="54" t="s">
        <v>241</v>
      </c>
      <c r="M5" s="54" t="s">
        <v>245</v>
      </c>
      <c r="N5" s="54" t="s">
        <v>247</v>
      </c>
      <c r="O5" s="54" t="s">
        <v>342</v>
      </c>
      <c r="P5" s="54"/>
    </row>
    <row r="6" spans="1:26" x14ac:dyDescent="0.25">
      <c r="A6" s="204" t="s">
        <v>3</v>
      </c>
      <c r="B6" s="204"/>
      <c r="C6" s="204"/>
      <c r="D6" s="204"/>
      <c r="E6" s="205">
        <v>45929</v>
      </c>
      <c r="F6" s="168"/>
      <c r="G6" s="168"/>
      <c r="H6" s="168"/>
      <c r="K6" s="53"/>
      <c r="L6" s="54" t="s">
        <v>242</v>
      </c>
      <c r="M6" s="54" t="s">
        <v>353</v>
      </c>
      <c r="N6" s="54"/>
      <c r="O6" s="54" t="s">
        <v>343</v>
      </c>
      <c r="P6" s="54"/>
    </row>
    <row r="7" spans="1:26" ht="16.5" customHeight="1" x14ac:dyDescent="0.25">
      <c r="A7" s="168" t="s">
        <v>4</v>
      </c>
      <c r="B7" s="168"/>
      <c r="C7" s="168"/>
      <c r="D7" s="168"/>
      <c r="E7" s="168" t="s">
        <v>391</v>
      </c>
      <c r="F7" s="168"/>
      <c r="G7" s="168"/>
      <c r="H7" s="168"/>
      <c r="K7" s="53"/>
      <c r="L7" s="54" t="s">
        <v>243</v>
      </c>
      <c r="M7" s="54"/>
      <c r="N7" s="54"/>
      <c r="O7" s="54" t="s">
        <v>343</v>
      </c>
      <c r="P7" s="54"/>
    </row>
    <row r="8" spans="1:26" ht="15" customHeight="1" x14ac:dyDescent="0.25">
      <c r="A8" s="168" t="s">
        <v>5</v>
      </c>
      <c r="B8" s="168"/>
      <c r="C8" s="168"/>
      <c r="D8" s="168"/>
      <c r="E8" s="168" t="str">
        <f>E7</f>
        <v>M/s.Okay Estate Developers Private Limited</v>
      </c>
      <c r="F8" s="168"/>
      <c r="G8" s="168"/>
      <c r="H8" s="168"/>
      <c r="K8" s="53"/>
      <c r="L8" s="54"/>
      <c r="M8" s="54"/>
      <c r="N8" s="54"/>
      <c r="O8" s="54" t="s">
        <v>344</v>
      </c>
      <c r="P8" s="54"/>
    </row>
    <row r="9" spans="1:26" x14ac:dyDescent="0.25">
      <c r="A9" s="168" t="s">
        <v>6</v>
      </c>
      <c r="B9" s="168"/>
      <c r="C9" s="168"/>
      <c r="D9" s="168"/>
      <c r="E9" s="203" t="s">
        <v>392</v>
      </c>
      <c r="F9" s="203"/>
      <c r="G9" s="203"/>
      <c r="H9" s="203"/>
      <c r="K9" s="53"/>
      <c r="L9" s="54"/>
      <c r="M9" s="54"/>
      <c r="N9" s="54"/>
      <c r="O9" s="54" t="s">
        <v>345</v>
      </c>
      <c r="P9" s="54"/>
    </row>
    <row r="10" spans="1:26" x14ac:dyDescent="0.25">
      <c r="A10" s="168" t="s">
        <v>167</v>
      </c>
      <c r="B10" s="168"/>
      <c r="C10" s="168"/>
      <c r="D10" s="168"/>
      <c r="E10" s="168" t="s">
        <v>393</v>
      </c>
      <c r="F10" s="168"/>
      <c r="G10" s="168"/>
      <c r="H10" s="168"/>
      <c r="K10" s="53"/>
      <c r="L10" s="54"/>
      <c r="M10" s="54"/>
      <c r="N10" s="54"/>
      <c r="O10" s="54" t="s">
        <v>346</v>
      </c>
      <c r="P10" s="54"/>
    </row>
    <row r="11" spans="1:26" x14ac:dyDescent="0.25">
      <c r="A11" s="204" t="s">
        <v>168</v>
      </c>
      <c r="B11" s="204"/>
      <c r="C11" s="204"/>
      <c r="D11" s="204"/>
      <c r="E11" s="168" t="s">
        <v>425</v>
      </c>
      <c r="F11" s="168"/>
      <c r="G11" s="168"/>
      <c r="H11" s="168"/>
      <c r="O11" s="54" t="s">
        <v>347</v>
      </c>
    </row>
    <row r="12" spans="1:26" ht="63" customHeight="1" x14ac:dyDescent="0.25">
      <c r="A12" s="168" t="s">
        <v>7</v>
      </c>
      <c r="B12" s="168"/>
      <c r="C12" s="168"/>
      <c r="D12" s="168"/>
      <c r="E12" s="206" t="s">
        <v>456</v>
      </c>
      <c r="F12" s="168"/>
      <c r="G12" s="168"/>
      <c r="H12" s="168"/>
    </row>
    <row r="13" spans="1:26" x14ac:dyDescent="0.25">
      <c r="A13" s="168" t="s">
        <v>171</v>
      </c>
      <c r="B13" s="168"/>
      <c r="C13" s="168"/>
      <c r="D13" s="168"/>
      <c r="E13" s="168" t="s">
        <v>28</v>
      </c>
      <c r="F13" s="168"/>
      <c r="G13" s="168"/>
      <c r="H13" s="168"/>
      <c r="S13" s="54" t="s">
        <v>180</v>
      </c>
      <c r="T13" s="54" t="s">
        <v>189</v>
      </c>
      <c r="U13" s="54" t="s">
        <v>172</v>
      </c>
      <c r="V13" s="54" t="s">
        <v>194</v>
      </c>
      <c r="W13" s="54" t="s">
        <v>212</v>
      </c>
      <c r="X13"/>
      <c r="Y13" t="s">
        <v>194</v>
      </c>
      <c r="Z13" t="e">
        <f ca="1">OFFSET($S$13,1,MATCH($G20,$S$13:$W$13,0)-1,15,1)</f>
        <v>#VALUE!</v>
      </c>
    </row>
    <row r="14" spans="1:26" x14ac:dyDescent="0.25">
      <c r="A14" s="123" t="s">
        <v>279</v>
      </c>
      <c r="B14" s="123"/>
      <c r="C14" s="123"/>
      <c r="D14" s="123"/>
      <c r="E14" s="206" t="s">
        <v>228</v>
      </c>
      <c r="F14" s="206"/>
      <c r="G14" s="206"/>
      <c r="H14" s="206"/>
      <c r="S14" s="54" t="s">
        <v>180</v>
      </c>
      <c r="T14" s="54" t="s">
        <v>187</v>
      </c>
      <c r="U14" s="54" t="s">
        <v>209</v>
      </c>
      <c r="V14" s="54" t="s">
        <v>195</v>
      </c>
      <c r="W14" s="54" t="s">
        <v>213</v>
      </c>
      <c r="X14"/>
      <c r="Y14"/>
      <c r="Z14"/>
    </row>
    <row r="15" spans="1:26" x14ac:dyDescent="0.25">
      <c r="A15" s="123" t="s">
        <v>8</v>
      </c>
      <c r="B15" s="123"/>
      <c r="C15" s="123"/>
      <c r="D15" s="123"/>
      <c r="E15" s="206" t="s">
        <v>394</v>
      </c>
      <c r="F15" s="168"/>
      <c r="G15" s="168"/>
      <c r="H15" s="168"/>
      <c r="I15" s="158" t="e">
        <f ca="1">OFFSET($D$5,1,MATCH($J13,$D$5:$H$5,0)-1,15,1)</f>
        <v>#N/A</v>
      </c>
      <c r="J15" s="159"/>
      <c r="K15" s="159"/>
      <c r="L15" s="159"/>
      <c r="M15" s="159"/>
      <c r="N15" s="159"/>
      <c r="O15" s="159"/>
      <c r="P15" s="159"/>
      <c r="S15" s="54" t="s">
        <v>181</v>
      </c>
      <c r="T15" s="54" t="s">
        <v>188</v>
      </c>
      <c r="U15" s="54" t="s">
        <v>210</v>
      </c>
      <c r="V15" s="54" t="s">
        <v>196</v>
      </c>
      <c r="W15" s="54" t="s">
        <v>226</v>
      </c>
      <c r="X15"/>
      <c r="Y15"/>
      <c r="Z15"/>
    </row>
    <row r="16" spans="1:26" ht="34.5" customHeight="1" x14ac:dyDescent="0.25">
      <c r="A16" s="167" t="s">
        <v>9</v>
      </c>
      <c r="B16" s="167"/>
      <c r="C16" s="167" t="str">
        <f>CONCATENATE((IF(OR(E9="",E9="NA"),"",E9)),", ",(IF(OR(A17="",A17="NA"),"",A17)),".",(IF(OR(C17="",C17="NA"),"",C17)),", near ",(IF(OR(C22="",C22="NA"),"",C22)),", ",(IF(OR(C19="",C19="NA"),"",C19)),", ",(IF(OR(C18="",C18="NA"),"",C18)),", ",(IF(OR(G19="",G19="NA"),"",G19)),", ",(IF(OR(C20="",C20="NA"),"",C20)),", ",(IF(OR(C21="",C21="NA"),"",C21)),", ",(IF(OR(G20="",G20="NA"),"",G20))," - ",(IF(OR(G21="",G21="NA"),"",G21)),".")</f>
        <v>Jewel of Panvel Phase I, FP No.280, near State Bank of India, Mahatma Gandhi Road, Old Panvel, Panvel, Panvel West, Panvel, Raigad - 410206.</v>
      </c>
      <c r="D16" s="167"/>
      <c r="E16" s="167"/>
      <c r="F16" s="167"/>
      <c r="G16" s="167"/>
      <c r="H16" s="167"/>
      <c r="S16" s="54" t="s">
        <v>182</v>
      </c>
      <c r="T16" s="54" t="s">
        <v>190</v>
      </c>
      <c r="U16" s="54" t="s">
        <v>211</v>
      </c>
      <c r="V16" s="54" t="s">
        <v>197</v>
      </c>
      <c r="W16" s="54" t="s">
        <v>214</v>
      </c>
      <c r="X16"/>
      <c r="Y16"/>
      <c r="Z16"/>
    </row>
    <row r="17" spans="1:26" x14ac:dyDescent="0.25">
      <c r="A17" s="206" t="s">
        <v>400</v>
      </c>
      <c r="B17" s="206"/>
      <c r="C17" s="206">
        <v>280</v>
      </c>
      <c r="D17" s="206"/>
      <c r="E17" s="206"/>
      <c r="F17" s="206"/>
      <c r="G17" s="206"/>
      <c r="H17" s="206"/>
      <c r="S17" s="54" t="s">
        <v>183</v>
      </c>
      <c r="T17" s="54" t="s">
        <v>191</v>
      </c>
      <c r="U17" s="54" t="s">
        <v>172</v>
      </c>
      <c r="V17" s="54" t="s">
        <v>198</v>
      </c>
      <c r="W17" s="54" t="s">
        <v>215</v>
      </c>
      <c r="X17"/>
      <c r="Y17"/>
      <c r="Z17"/>
    </row>
    <row r="18" spans="1:26" ht="15.75" customHeight="1" x14ac:dyDescent="0.25">
      <c r="A18" s="206" t="s">
        <v>163</v>
      </c>
      <c r="B18" s="206"/>
      <c r="C18" s="206" t="s">
        <v>396</v>
      </c>
      <c r="D18" s="206"/>
      <c r="E18" s="206"/>
      <c r="F18" s="206"/>
      <c r="G18" s="206"/>
      <c r="H18" s="206"/>
      <c r="S18" s="54" t="s">
        <v>184</v>
      </c>
      <c r="T18" s="54" t="s">
        <v>189</v>
      </c>
      <c r="U18" s="54"/>
      <c r="V18" s="54" t="s">
        <v>199</v>
      </c>
      <c r="W18" s="54" t="s">
        <v>216</v>
      </c>
      <c r="X18"/>
      <c r="Y18"/>
      <c r="Z18"/>
    </row>
    <row r="19" spans="1:26" ht="15.75" customHeight="1" x14ac:dyDescent="0.25">
      <c r="A19" s="206" t="s">
        <v>10</v>
      </c>
      <c r="B19" s="206"/>
      <c r="C19" s="168" t="s">
        <v>395</v>
      </c>
      <c r="D19" s="168"/>
      <c r="E19" s="206" t="s">
        <v>69</v>
      </c>
      <c r="F19" s="206"/>
      <c r="G19" s="206" t="s">
        <v>196</v>
      </c>
      <c r="H19" s="206"/>
      <c r="S19" s="54" t="s">
        <v>185</v>
      </c>
      <c r="T19" s="54" t="s">
        <v>192</v>
      </c>
      <c r="U19" s="54"/>
      <c r="V19" s="54" t="s">
        <v>200</v>
      </c>
      <c r="W19" s="54" t="s">
        <v>217</v>
      </c>
      <c r="X19"/>
      <c r="Y19"/>
      <c r="Z19"/>
    </row>
    <row r="20" spans="1:26" x14ac:dyDescent="0.25">
      <c r="A20" s="168" t="s">
        <v>12</v>
      </c>
      <c r="B20" s="168"/>
      <c r="C20" s="206" t="s">
        <v>397</v>
      </c>
      <c r="D20" s="206"/>
      <c r="E20" s="206" t="s">
        <v>11</v>
      </c>
      <c r="F20" s="206"/>
      <c r="G20" s="207" t="s">
        <v>194</v>
      </c>
      <c r="H20" s="207"/>
      <c r="J20" s="21" t="s">
        <v>457</v>
      </c>
      <c r="S20" s="54" t="s">
        <v>186</v>
      </c>
      <c r="T20" s="54" t="s">
        <v>193</v>
      </c>
      <c r="U20" s="54"/>
      <c r="V20" s="54" t="s">
        <v>201</v>
      </c>
      <c r="W20" s="54" t="s">
        <v>218</v>
      </c>
      <c r="X20"/>
      <c r="Y20"/>
      <c r="Z20"/>
    </row>
    <row r="21" spans="1:26" x14ac:dyDescent="0.25">
      <c r="A21" s="168" t="s">
        <v>70</v>
      </c>
      <c r="B21" s="168"/>
      <c r="C21" s="206" t="s">
        <v>196</v>
      </c>
      <c r="D21" s="206"/>
      <c r="E21" s="206" t="s">
        <v>13</v>
      </c>
      <c r="F21" s="206"/>
      <c r="G21" s="206">
        <v>410206</v>
      </c>
      <c r="H21" s="206"/>
      <c r="S21" s="54"/>
      <c r="T21" s="54"/>
      <c r="U21" s="54"/>
      <c r="V21" s="54" t="s">
        <v>202</v>
      </c>
      <c r="W21" s="54" t="s">
        <v>219</v>
      </c>
      <c r="X21"/>
      <c r="Y21"/>
      <c r="Z21"/>
    </row>
    <row r="22" spans="1:26" ht="32.25" customHeight="1" x14ac:dyDescent="0.25">
      <c r="A22" s="168" t="s">
        <v>119</v>
      </c>
      <c r="B22" s="168"/>
      <c r="C22" s="206" t="s">
        <v>398</v>
      </c>
      <c r="D22" s="206"/>
      <c r="E22" s="206" t="s">
        <v>14</v>
      </c>
      <c r="F22" s="206"/>
      <c r="G22" s="206" t="s">
        <v>399</v>
      </c>
      <c r="H22" s="206"/>
      <c r="S22" s="54"/>
      <c r="T22" s="54"/>
      <c r="U22" s="54"/>
      <c r="V22" s="54" t="s">
        <v>203</v>
      </c>
      <c r="W22" s="54" t="s">
        <v>220</v>
      </c>
      <c r="X22"/>
      <c r="Y22"/>
      <c r="Z22"/>
    </row>
    <row r="23" spans="1:26" ht="15" customHeight="1" x14ac:dyDescent="0.25">
      <c r="A23" s="167" t="s">
        <v>72</v>
      </c>
      <c r="B23" s="167"/>
      <c r="C23" s="167"/>
      <c r="D23" s="167"/>
      <c r="E23" s="168" t="s">
        <v>15</v>
      </c>
      <c r="F23" s="168"/>
      <c r="G23" s="168"/>
      <c r="H23" s="168"/>
      <c r="S23" s="54"/>
      <c r="T23" s="54"/>
      <c r="U23" s="54"/>
      <c r="V23" s="54" t="s">
        <v>204</v>
      </c>
      <c r="W23" s="54" t="s">
        <v>221</v>
      </c>
      <c r="X23"/>
      <c r="Y23"/>
      <c r="Z23"/>
    </row>
    <row r="24" spans="1:26" ht="18.75" customHeight="1" x14ac:dyDescent="0.25">
      <c r="A24" s="167"/>
      <c r="B24" s="167"/>
      <c r="C24" s="167"/>
      <c r="D24" s="167"/>
      <c r="E24" s="168"/>
      <c r="F24" s="168"/>
      <c r="G24" s="168"/>
      <c r="H24" s="168"/>
      <c r="S24" s="54"/>
      <c r="T24" s="54"/>
      <c r="U24" s="54"/>
      <c r="V24" s="54" t="s">
        <v>205</v>
      </c>
      <c r="W24" s="54" t="s">
        <v>222</v>
      </c>
      <c r="X24"/>
      <c r="Y24"/>
      <c r="Z24"/>
    </row>
    <row r="25" spans="1:26" ht="15" customHeight="1" x14ac:dyDescent="0.25">
      <c r="A25" s="167" t="s">
        <v>16</v>
      </c>
      <c r="B25" s="167"/>
      <c r="C25" s="167"/>
      <c r="D25" s="167"/>
      <c r="E25" s="206" t="s">
        <v>17</v>
      </c>
      <c r="F25" s="206"/>
      <c r="G25" s="206"/>
      <c r="H25" s="206"/>
      <c r="S25" s="54"/>
      <c r="T25" s="54"/>
      <c r="U25" s="54"/>
      <c r="V25" s="54" t="s">
        <v>206</v>
      </c>
      <c r="W25" s="54" t="s">
        <v>223</v>
      </c>
      <c r="X25"/>
      <c r="Y25"/>
      <c r="Z25"/>
    </row>
    <row r="26" spans="1:26" ht="15" customHeight="1" x14ac:dyDescent="0.25">
      <c r="A26" s="123" t="s">
        <v>18</v>
      </c>
      <c r="B26" s="123"/>
      <c r="C26" s="123"/>
      <c r="D26" s="123"/>
      <c r="E26" s="206" t="str">
        <f>IF(AND(G20="Mumbai"),"Upper Class","Middle Class")</f>
        <v>Middle Class</v>
      </c>
      <c r="F26" s="206"/>
      <c r="G26" s="206"/>
      <c r="H26" s="206"/>
      <c r="S26" s="54"/>
      <c r="T26" s="54"/>
      <c r="U26" s="54"/>
      <c r="V26" s="54" t="s">
        <v>207</v>
      </c>
      <c r="W26" s="54" t="s">
        <v>224</v>
      </c>
      <c r="X26"/>
      <c r="Y26"/>
      <c r="Z26"/>
    </row>
    <row r="27" spans="1:26" x14ac:dyDescent="0.25">
      <c r="A27" s="123" t="s">
        <v>19</v>
      </c>
      <c r="B27" s="123"/>
      <c r="C27" s="123"/>
      <c r="D27" s="123"/>
      <c r="E27" s="206" t="s">
        <v>20</v>
      </c>
      <c r="F27" s="206"/>
      <c r="G27" s="206"/>
      <c r="H27" s="206"/>
      <c r="S27" s="54"/>
      <c r="T27" s="54"/>
      <c r="U27" s="54"/>
      <c r="V27" s="54" t="s">
        <v>208</v>
      </c>
      <c r="W27" s="54" t="s">
        <v>225</v>
      </c>
      <c r="X27"/>
      <c r="Y27"/>
      <c r="Z27"/>
    </row>
    <row r="28" spans="1:26" ht="15.75" customHeight="1" x14ac:dyDescent="0.25">
      <c r="A28" s="123" t="s">
        <v>21</v>
      </c>
      <c r="B28" s="123"/>
      <c r="C28" s="123"/>
      <c r="D28" s="123"/>
      <c r="E28" s="206" t="str">
        <f>IF(AND(G20="Mumbai"),"Developed","Developing")</f>
        <v>Developing</v>
      </c>
      <c r="F28" s="206"/>
      <c r="G28" s="206"/>
      <c r="H28" s="206"/>
    </row>
    <row r="29" spans="1:26" x14ac:dyDescent="0.25">
      <c r="A29" s="123" t="s">
        <v>22</v>
      </c>
      <c r="B29" s="123"/>
      <c r="C29" s="123"/>
      <c r="D29" s="123"/>
      <c r="E29" s="206" t="s">
        <v>23</v>
      </c>
      <c r="F29" s="206"/>
      <c r="G29" s="206"/>
      <c r="H29" s="206"/>
    </row>
    <row r="30" spans="1:26" ht="15.75" customHeight="1" x14ac:dyDescent="0.25">
      <c r="A30" s="123" t="s">
        <v>77</v>
      </c>
      <c r="B30" s="123"/>
      <c r="C30" s="123"/>
      <c r="D30" s="123"/>
      <c r="E30" s="206" t="s">
        <v>78</v>
      </c>
      <c r="F30" s="206"/>
      <c r="G30" s="206"/>
      <c r="H30" s="206"/>
    </row>
    <row r="31" spans="1:26" ht="15" customHeight="1" x14ac:dyDescent="0.25">
      <c r="A31" s="123" t="s">
        <v>30</v>
      </c>
      <c r="B31" s="123"/>
      <c r="C31" s="123"/>
      <c r="D31" s="123"/>
      <c r="E31" s="206"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206"/>
      <c r="G31" s="206"/>
      <c r="H31" s="206"/>
    </row>
    <row r="32" spans="1:26" ht="15.75" customHeight="1" x14ac:dyDescent="0.25">
      <c r="A32" s="123" t="s">
        <v>89</v>
      </c>
      <c r="B32" s="123"/>
      <c r="C32" s="123"/>
      <c r="D32" s="123"/>
      <c r="E32" s="206" t="s">
        <v>31</v>
      </c>
      <c r="F32" s="206"/>
      <c r="G32" s="206"/>
      <c r="H32" s="206"/>
    </row>
    <row r="33" spans="1:19" s="22" customFormat="1" x14ac:dyDescent="0.25">
      <c r="A33" s="213" t="s">
        <v>90</v>
      </c>
      <c r="B33" s="213"/>
      <c r="C33" s="208" t="s">
        <v>173</v>
      </c>
      <c r="D33" s="209"/>
      <c r="E33" s="210"/>
      <c r="F33" s="208" t="s">
        <v>29</v>
      </c>
      <c r="G33" s="209"/>
      <c r="H33" s="210"/>
      <c r="S33" s="22" t="e">
        <f ca="1">OFFSET($S$13,1,MATCH($G20,$S$13:$W$13,0)-1,15,1)</f>
        <v>#VALUE!</v>
      </c>
    </row>
    <row r="34" spans="1:19" s="22" customFormat="1" x14ac:dyDescent="0.25">
      <c r="A34" s="124" t="s">
        <v>24</v>
      </c>
      <c r="B34" s="124" t="s">
        <v>28</v>
      </c>
      <c r="C34" s="125" t="s">
        <v>401</v>
      </c>
      <c r="D34" s="126"/>
      <c r="E34" s="127"/>
      <c r="F34" s="125" t="s">
        <v>395</v>
      </c>
      <c r="G34" s="126"/>
      <c r="H34" s="127"/>
    </row>
    <row r="35" spans="1:19" x14ac:dyDescent="0.25">
      <c r="A35" s="124" t="s">
        <v>25</v>
      </c>
      <c r="B35" s="124" t="s">
        <v>28</v>
      </c>
      <c r="C35" s="125" t="s">
        <v>403</v>
      </c>
      <c r="D35" s="126"/>
      <c r="E35" s="127"/>
      <c r="F35" s="125" t="s">
        <v>10</v>
      </c>
      <c r="G35" s="126"/>
      <c r="H35" s="127"/>
    </row>
    <row r="36" spans="1:19" s="22" customFormat="1" x14ac:dyDescent="0.25">
      <c r="A36" s="124" t="s">
        <v>27</v>
      </c>
      <c r="B36" s="124" t="s">
        <v>28</v>
      </c>
      <c r="C36" s="125" t="s">
        <v>402</v>
      </c>
      <c r="D36" s="126"/>
      <c r="E36" s="127"/>
      <c r="F36" s="211" t="s">
        <v>404</v>
      </c>
      <c r="G36" s="211"/>
      <c r="H36" s="212"/>
    </row>
    <row r="37" spans="1:19" x14ac:dyDescent="0.25">
      <c r="A37" s="124" t="s">
        <v>26</v>
      </c>
      <c r="B37" s="124" t="s">
        <v>28</v>
      </c>
      <c r="C37" s="125" t="s">
        <v>402</v>
      </c>
      <c r="D37" s="126"/>
      <c r="E37" s="127"/>
      <c r="F37" s="211" t="s">
        <v>405</v>
      </c>
      <c r="G37" s="211"/>
      <c r="H37" s="212"/>
    </row>
    <row r="38" spans="1:19" x14ac:dyDescent="0.25">
      <c r="A38" s="123" t="s">
        <v>280</v>
      </c>
      <c r="B38" s="123"/>
      <c r="C38" s="123"/>
      <c r="D38" s="123"/>
      <c r="E38" s="123"/>
      <c r="F38" s="123"/>
      <c r="G38" s="123"/>
      <c r="H38" s="123"/>
    </row>
    <row r="39" spans="1:19" ht="15.75" customHeight="1" x14ac:dyDescent="0.25">
      <c r="A39" s="123" t="s">
        <v>165</v>
      </c>
      <c r="B39" s="123"/>
      <c r="C39" s="197" t="s">
        <v>406</v>
      </c>
      <c r="D39" s="197"/>
      <c r="E39" s="197"/>
      <c r="F39" s="197"/>
      <c r="G39" s="197"/>
      <c r="H39" s="197"/>
    </row>
    <row r="40" spans="1:19" x14ac:dyDescent="0.25">
      <c r="A40" s="123" t="s">
        <v>162</v>
      </c>
      <c r="B40" s="123"/>
      <c r="C40" s="261" t="s">
        <v>407</v>
      </c>
      <c r="D40" s="206"/>
      <c r="E40" s="206"/>
      <c r="F40" s="206"/>
      <c r="G40" s="206"/>
      <c r="H40" s="206"/>
    </row>
    <row r="41" spans="1:19" x14ac:dyDescent="0.25">
      <c r="A41" s="197" t="s">
        <v>32</v>
      </c>
      <c r="B41" s="197"/>
      <c r="C41" s="197"/>
      <c r="D41" s="197"/>
      <c r="E41" s="197"/>
      <c r="F41" s="197"/>
      <c r="G41" s="197"/>
      <c r="H41" s="197"/>
    </row>
    <row r="42" spans="1:19" x14ac:dyDescent="0.25">
      <c r="A42" s="123" t="s">
        <v>33</v>
      </c>
      <c r="B42" s="123"/>
      <c r="C42" s="123"/>
      <c r="D42" s="123"/>
      <c r="E42" s="248">
        <v>7332</v>
      </c>
      <c r="F42" s="248"/>
      <c r="G42" s="248"/>
      <c r="H42" s="248"/>
    </row>
    <row r="43" spans="1:19" x14ac:dyDescent="0.25">
      <c r="A43" s="123" t="s">
        <v>34</v>
      </c>
      <c r="B43" s="123"/>
      <c r="C43" s="123"/>
      <c r="D43" s="123"/>
      <c r="E43" s="122">
        <f>8065.2/E42</f>
        <v>1.0999999999999999</v>
      </c>
      <c r="F43" s="122"/>
      <c r="G43" s="122"/>
      <c r="H43" s="122"/>
    </row>
    <row r="44" spans="1:19" x14ac:dyDescent="0.25">
      <c r="A44" s="123" t="s">
        <v>35</v>
      </c>
      <c r="B44" s="123"/>
      <c r="C44" s="123"/>
      <c r="D44" s="123"/>
      <c r="E44" s="122">
        <f>E46/E42-E43</f>
        <v>1.490107610474632</v>
      </c>
      <c r="F44" s="122"/>
      <c r="G44" s="122"/>
      <c r="H44" s="122"/>
    </row>
    <row r="45" spans="1:19" x14ac:dyDescent="0.25">
      <c r="A45" s="123" t="s">
        <v>36</v>
      </c>
      <c r="B45" s="123"/>
      <c r="C45" s="123"/>
      <c r="D45" s="123"/>
      <c r="E45" s="122">
        <f>E43+E44</f>
        <v>2.5901076104746319</v>
      </c>
      <c r="F45" s="122"/>
      <c r="G45" s="122"/>
      <c r="H45" s="122"/>
    </row>
    <row r="46" spans="1:19" x14ac:dyDescent="0.25">
      <c r="A46" s="123" t="s">
        <v>88</v>
      </c>
      <c r="B46" s="123"/>
      <c r="C46" s="123"/>
      <c r="D46" s="123"/>
      <c r="E46" s="269">
        <v>18990.669000000002</v>
      </c>
      <c r="F46" s="269"/>
      <c r="G46" s="269"/>
      <c r="H46" s="269"/>
    </row>
    <row r="47" spans="1:19" x14ac:dyDescent="0.25">
      <c r="A47" s="168" t="s">
        <v>37</v>
      </c>
      <c r="B47" s="168"/>
      <c r="C47" s="168"/>
      <c r="D47" s="168"/>
      <c r="E47" s="168" t="s">
        <v>408</v>
      </c>
      <c r="F47" s="168"/>
      <c r="G47" s="168"/>
      <c r="H47" s="168"/>
    </row>
    <row r="48" spans="1:19" x14ac:dyDescent="0.25">
      <c r="A48" s="197" t="s">
        <v>38</v>
      </c>
      <c r="B48" s="197"/>
      <c r="C48" s="197"/>
      <c r="D48" s="197"/>
      <c r="E48" s="197"/>
      <c r="F48" s="197"/>
      <c r="G48" s="197"/>
      <c r="H48" s="197"/>
    </row>
    <row r="49" spans="1:24" ht="33.75" customHeight="1" x14ac:dyDescent="0.25">
      <c r="A49" s="136" t="s">
        <v>151</v>
      </c>
      <c r="B49" s="137"/>
      <c r="C49" s="229" t="s">
        <v>270</v>
      </c>
      <c r="D49" s="230"/>
      <c r="E49" s="230"/>
      <c r="F49" s="230"/>
      <c r="G49" s="230"/>
      <c r="H49" s="231"/>
      <c r="R49" t="s">
        <v>253</v>
      </c>
      <c r="S49" s="56" t="s">
        <v>172</v>
      </c>
      <c r="T49" s="56" t="s">
        <v>180</v>
      </c>
      <c r="U49" s="56" t="s">
        <v>194</v>
      </c>
      <c r="V49" s="56" t="s">
        <v>189</v>
      </c>
    </row>
    <row r="50" spans="1:24" ht="15.75" customHeight="1" x14ac:dyDescent="0.25">
      <c r="A50" s="136" t="s">
        <v>39</v>
      </c>
      <c r="B50" s="137"/>
      <c r="C50" s="136" t="s">
        <v>409</v>
      </c>
      <c r="D50" s="147"/>
      <c r="E50" s="137"/>
      <c r="F50" s="18" t="s">
        <v>40</v>
      </c>
      <c r="G50" s="219">
        <v>45562</v>
      </c>
      <c r="H50" s="220"/>
      <c r="R50"/>
      <c r="S50" s="56" t="s">
        <v>254</v>
      </c>
      <c r="T50" s="56" t="s">
        <v>259</v>
      </c>
      <c r="U50" s="56" t="s">
        <v>270</v>
      </c>
      <c r="V50" s="56" t="s">
        <v>275</v>
      </c>
    </row>
    <row r="51" spans="1:24" x14ac:dyDescent="0.25">
      <c r="A51" s="136" t="s">
        <v>41</v>
      </c>
      <c r="B51" s="137"/>
      <c r="C51" s="136" t="str">
        <f>C50</f>
        <v>PMC/NRV/15963/J.K.2376/2024</v>
      </c>
      <c r="D51" s="147"/>
      <c r="E51" s="137"/>
      <c r="F51" s="18" t="s">
        <v>40</v>
      </c>
      <c r="G51" s="219">
        <f>G50</f>
        <v>45562</v>
      </c>
      <c r="H51" s="220"/>
      <c r="R51"/>
      <c r="S51" s="56" t="s">
        <v>255</v>
      </c>
      <c r="T51" s="56" t="s">
        <v>356</v>
      </c>
      <c r="U51" s="56" t="s">
        <v>268</v>
      </c>
      <c r="V51" s="56" t="s">
        <v>276</v>
      </c>
    </row>
    <row r="52" spans="1:24" s="23" customFormat="1" ht="33" customHeight="1" x14ac:dyDescent="0.25">
      <c r="A52" s="243" t="s">
        <v>155</v>
      </c>
      <c r="B52" s="244"/>
      <c r="C52" s="243" t="s">
        <v>410</v>
      </c>
      <c r="D52" s="247"/>
      <c r="E52" s="244"/>
      <c r="F52" s="18" t="s">
        <v>40</v>
      </c>
      <c r="G52" s="219">
        <v>45562</v>
      </c>
      <c r="H52" s="220"/>
      <c r="I52" s="22" t="str">
        <f ca="1">IF(G52&gt;EDATE(E3,-48),"NO REMARK","CC REMARK FOR CC")</f>
        <v>NO REMARK</v>
      </c>
      <c r="J52" s="77"/>
      <c r="R52"/>
      <c r="S52" s="56" t="s">
        <v>256</v>
      </c>
      <c r="T52" s="56" t="s">
        <v>261</v>
      </c>
      <c r="U52" s="56" t="s">
        <v>258</v>
      </c>
      <c r="V52" s="56" t="s">
        <v>277</v>
      </c>
    </row>
    <row r="53" spans="1:24" s="23" customFormat="1" ht="32.25" customHeight="1" x14ac:dyDescent="0.25">
      <c r="A53" s="245"/>
      <c r="B53" s="246"/>
      <c r="C53" s="136" t="s">
        <v>411</v>
      </c>
      <c r="D53" s="147"/>
      <c r="E53" s="147"/>
      <c r="F53" s="147"/>
      <c r="G53" s="147"/>
      <c r="H53" s="137"/>
      <c r="R53"/>
      <c r="S53" s="56"/>
      <c r="T53" s="56"/>
      <c r="U53" s="56"/>
      <c r="V53" s="73"/>
    </row>
    <row r="54" spans="1:24" s="23" customFormat="1" hidden="1" x14ac:dyDescent="0.25">
      <c r="A54" s="141" t="s">
        <v>281</v>
      </c>
      <c r="B54" s="142"/>
      <c r="C54" s="136" t="e">
        <f>#REF!</f>
        <v>#REF!</v>
      </c>
      <c r="D54" s="147"/>
      <c r="E54" s="137"/>
      <c r="F54" s="18" t="s">
        <v>40</v>
      </c>
      <c r="G54" s="219"/>
      <c r="H54" s="220"/>
      <c r="K54" s="78">
        <f>EDATE(G52,-48)</f>
        <v>44101</v>
      </c>
      <c r="L54" s="23" t="str">
        <f ca="1">IF(G52&gt;EDATE(E3,-48),"NO REMARK","CC REMARK FOR CC")</f>
        <v>NO REMARK</v>
      </c>
      <c r="R54"/>
      <c r="S54" s="56" t="s">
        <v>256</v>
      </c>
      <c r="T54" s="56" t="s">
        <v>261</v>
      </c>
      <c r="U54" s="56" t="s">
        <v>258</v>
      </c>
      <c r="V54" s="56" t="s">
        <v>277</v>
      </c>
    </row>
    <row r="55" spans="1:24" s="23" customFormat="1" ht="32.25" hidden="1" customHeight="1" x14ac:dyDescent="0.25">
      <c r="A55" s="145"/>
      <c r="B55" s="146"/>
      <c r="C55" s="240"/>
      <c r="D55" s="241"/>
      <c r="E55" s="241"/>
      <c r="F55" s="241"/>
      <c r="G55" s="241"/>
      <c r="H55" s="242"/>
      <c r="R55"/>
      <c r="S55" s="56" t="s">
        <v>258</v>
      </c>
      <c r="T55" s="56" t="s">
        <v>262</v>
      </c>
      <c r="U55" s="56" t="s">
        <v>272</v>
      </c>
      <c r="V55" s="74"/>
      <c r="W55" s="21"/>
      <c r="X55" s="21"/>
    </row>
    <row r="56" spans="1:24" s="23" customFormat="1" ht="34.5" hidden="1" customHeight="1" x14ac:dyDescent="0.25">
      <c r="A56" s="141" t="s">
        <v>282</v>
      </c>
      <c r="B56" s="142"/>
      <c r="C56" s="136">
        <f>C55</f>
        <v>0</v>
      </c>
      <c r="D56" s="147"/>
      <c r="E56" s="137"/>
      <c r="F56" s="18" t="s">
        <v>40</v>
      </c>
      <c r="G56" s="219">
        <f>G55</f>
        <v>0</v>
      </c>
      <c r="H56" s="220"/>
      <c r="R56"/>
      <c r="S56" s="74"/>
      <c r="T56" s="56" t="s">
        <v>263</v>
      </c>
      <c r="U56" s="56" t="s">
        <v>273</v>
      </c>
      <c r="V56" s="74"/>
      <c r="W56" s="21"/>
      <c r="X56" s="21"/>
    </row>
    <row r="57" spans="1:24" s="23" customFormat="1" ht="41.25" hidden="1" customHeight="1" x14ac:dyDescent="0.25">
      <c r="A57" s="145"/>
      <c r="B57" s="146"/>
      <c r="C57" s="136"/>
      <c r="D57" s="147"/>
      <c r="E57" s="147"/>
      <c r="F57" s="147"/>
      <c r="G57" s="147"/>
      <c r="H57" s="137"/>
      <c r="R57"/>
      <c r="S57" s="74"/>
      <c r="T57" s="56" t="s">
        <v>265</v>
      </c>
      <c r="U57" s="56" t="s">
        <v>274</v>
      </c>
      <c r="V57" s="74"/>
      <c r="W57" s="21"/>
      <c r="X57" s="21"/>
    </row>
    <row r="58" spans="1:24" s="23" customFormat="1" ht="15.75" hidden="1" customHeight="1" x14ac:dyDescent="0.25">
      <c r="A58" s="141" t="s">
        <v>351</v>
      </c>
      <c r="B58" s="142"/>
      <c r="C58" s="148"/>
      <c r="D58" s="149"/>
      <c r="E58" s="150"/>
      <c r="F58" s="18" t="s">
        <v>40</v>
      </c>
      <c r="G58" s="219"/>
      <c r="H58" s="220"/>
      <c r="R58"/>
      <c r="S58" s="74"/>
      <c r="T58" s="56" t="s">
        <v>266</v>
      </c>
      <c r="U58" s="74" t="s">
        <v>296</v>
      </c>
      <c r="V58" s="74"/>
      <c r="W58" s="21"/>
      <c r="X58" s="21"/>
    </row>
    <row r="59" spans="1:24" s="23" customFormat="1" ht="33.75" hidden="1" customHeight="1" x14ac:dyDescent="0.25">
      <c r="A59" s="143"/>
      <c r="B59" s="144"/>
      <c r="C59" s="151"/>
      <c r="D59" s="152"/>
      <c r="E59" s="153"/>
      <c r="F59" s="18" t="s">
        <v>352</v>
      </c>
      <c r="G59" s="219"/>
      <c r="H59" s="220"/>
      <c r="R59"/>
      <c r="S59" s="74"/>
      <c r="T59" s="56" t="s">
        <v>267</v>
      </c>
      <c r="U59" s="74"/>
      <c r="V59" s="74"/>
      <c r="W59" s="21"/>
      <c r="X59" s="21"/>
    </row>
    <row r="60" spans="1:24" s="23" customFormat="1" ht="33.75" hidden="1" customHeight="1" x14ac:dyDescent="0.25">
      <c r="A60" s="145"/>
      <c r="B60" s="146"/>
      <c r="C60" s="136" t="s">
        <v>374</v>
      </c>
      <c r="D60" s="147"/>
      <c r="E60" s="147"/>
      <c r="F60" s="147"/>
      <c r="G60" s="147"/>
      <c r="H60" s="137"/>
      <c r="R60"/>
      <c r="S60" s="74"/>
      <c r="T60" s="56"/>
      <c r="U60" s="74"/>
      <c r="V60" s="74"/>
      <c r="W60" s="21"/>
      <c r="X60" s="21"/>
    </row>
    <row r="61" spans="1:24" x14ac:dyDescent="0.25">
      <c r="A61" s="163" t="s">
        <v>42</v>
      </c>
      <c r="B61" s="164"/>
      <c r="C61" s="163" t="s">
        <v>102</v>
      </c>
      <c r="D61" s="165"/>
      <c r="E61" s="164"/>
      <c r="F61" s="45" t="s">
        <v>40</v>
      </c>
      <c r="G61" s="169" t="s">
        <v>28</v>
      </c>
      <c r="H61" s="170"/>
      <c r="R61"/>
      <c r="S61" s="74"/>
      <c r="T61" s="56" t="s">
        <v>269</v>
      </c>
      <c r="U61" s="74"/>
      <c r="V61" s="74"/>
    </row>
    <row r="62" spans="1:24" x14ac:dyDescent="0.25">
      <c r="A62" s="128" t="s">
        <v>44</v>
      </c>
      <c r="B62" s="128"/>
      <c r="C62" s="128"/>
      <c r="D62" s="128"/>
      <c r="E62" s="128"/>
      <c r="F62" s="128"/>
      <c r="G62" s="128"/>
      <c r="H62" s="128"/>
      <c r="S62" s="74"/>
      <c r="T62" s="56" t="s">
        <v>278</v>
      </c>
      <c r="U62" s="74"/>
      <c r="V62" s="74"/>
    </row>
    <row r="63" spans="1:24" x14ac:dyDescent="0.25">
      <c r="A63" s="167" t="s">
        <v>87</v>
      </c>
      <c r="B63" s="167"/>
      <c r="C63" s="167"/>
      <c r="D63" s="123">
        <f>E46</f>
        <v>18990.669000000002</v>
      </c>
      <c r="E63" s="123"/>
      <c r="F63" s="123"/>
      <c r="G63" s="123"/>
      <c r="H63" s="123"/>
      <c r="R63"/>
    </row>
    <row r="64" spans="1:24" x14ac:dyDescent="0.25">
      <c r="A64" s="267" t="s">
        <v>45</v>
      </c>
      <c r="B64" s="204"/>
      <c r="C64" s="204"/>
      <c r="D64" s="168" t="s">
        <v>449</v>
      </c>
      <c r="E64" s="168"/>
      <c r="F64" s="168"/>
      <c r="G64" s="168"/>
      <c r="H64" s="168"/>
      <c r="I64" s="24"/>
      <c r="R64"/>
    </row>
    <row r="65" spans="1:19" ht="50.25" customHeight="1" x14ac:dyDescent="0.25">
      <c r="A65" s="226" t="s">
        <v>46</v>
      </c>
      <c r="B65" s="227"/>
      <c r="C65" s="228"/>
      <c r="D65" s="217" t="s">
        <v>412</v>
      </c>
      <c r="E65" s="225"/>
      <c r="F65" s="225"/>
      <c r="G65" s="225"/>
      <c r="H65" s="225"/>
      <c r="R65"/>
    </row>
    <row r="66" spans="1:19" ht="15.75" customHeight="1" x14ac:dyDescent="0.25">
      <c r="A66" s="226" t="s">
        <v>85</v>
      </c>
      <c r="B66" s="227"/>
      <c r="C66" s="227"/>
      <c r="D66" s="236" t="s">
        <v>413</v>
      </c>
      <c r="E66" s="237"/>
      <c r="F66" s="237"/>
      <c r="G66" s="237"/>
      <c r="H66" s="238"/>
      <c r="R66"/>
    </row>
    <row r="67" spans="1:19" ht="15.75" customHeight="1" x14ac:dyDescent="0.25">
      <c r="A67" s="232"/>
      <c r="B67" s="233"/>
      <c r="C67" s="233"/>
      <c r="D67" s="222" t="s">
        <v>415</v>
      </c>
      <c r="E67" s="239"/>
      <c r="F67" s="239"/>
      <c r="G67" s="239"/>
      <c r="H67" s="224"/>
      <c r="R67"/>
    </row>
    <row r="68" spans="1:19" ht="15.75" customHeight="1" x14ac:dyDescent="0.25">
      <c r="A68" s="232"/>
      <c r="B68" s="233"/>
      <c r="C68" s="233"/>
      <c r="D68" s="222" t="s">
        <v>416</v>
      </c>
      <c r="E68" s="223"/>
      <c r="F68" s="223"/>
      <c r="G68" s="223"/>
      <c r="H68" s="224"/>
      <c r="S68"/>
    </row>
    <row r="69" spans="1:19" ht="15.75" customHeight="1" x14ac:dyDescent="0.25">
      <c r="A69" s="234"/>
      <c r="B69" s="235"/>
      <c r="C69" s="235"/>
      <c r="D69" s="138" t="s">
        <v>414</v>
      </c>
      <c r="E69" s="139"/>
      <c r="F69" s="139"/>
      <c r="G69" s="139"/>
      <c r="H69" s="140"/>
      <c r="S69"/>
    </row>
    <row r="70" spans="1:19" ht="15.75" customHeight="1" x14ac:dyDescent="0.25">
      <c r="A70" s="123" t="s">
        <v>43</v>
      </c>
      <c r="B70" s="123"/>
      <c r="C70" s="123"/>
      <c r="D70" s="266" t="s">
        <v>417</v>
      </c>
      <c r="E70" s="266"/>
      <c r="F70" s="266"/>
      <c r="G70" s="266"/>
      <c r="H70" s="266"/>
      <c r="J70" s="25"/>
      <c r="K70" s="24"/>
      <c r="N70" s="24"/>
      <c r="S70"/>
    </row>
    <row r="71" spans="1:19" ht="15.75" customHeight="1" x14ac:dyDescent="0.25">
      <c r="A71" s="123" t="s">
        <v>83</v>
      </c>
      <c r="B71" s="123"/>
      <c r="C71" s="123"/>
      <c r="D71" s="268" t="str">
        <f>(IF(G61="NA","60 Years After Completion",IF(G61&lt;&gt;"NA",""&amp;60-ROUNDDOWN((E3-G61)/360,0)&amp;" Years"," ")))</f>
        <v>60 Years After Completion</v>
      </c>
      <c r="E71" s="268"/>
      <c r="F71" s="268"/>
      <c r="G71" s="268"/>
      <c r="H71" s="268"/>
      <c r="N71" s="24"/>
      <c r="S71"/>
    </row>
    <row r="72" spans="1:19" ht="15.75" customHeight="1" x14ac:dyDescent="0.25">
      <c r="A72" s="123" t="s">
        <v>84</v>
      </c>
      <c r="B72" s="123"/>
      <c r="C72" s="123"/>
      <c r="D72" s="167" t="s">
        <v>23</v>
      </c>
      <c r="E72" s="167"/>
      <c r="F72" s="167"/>
      <c r="G72" s="167"/>
      <c r="H72" s="167"/>
      <c r="J72" s="26"/>
      <c r="K72" s="26"/>
      <c r="S72"/>
    </row>
    <row r="73" spans="1:19" ht="48.75" customHeight="1" x14ac:dyDescent="0.25">
      <c r="A73" s="168" t="s">
        <v>419</v>
      </c>
      <c r="B73" s="168"/>
      <c r="C73" s="168"/>
      <c r="D73" s="206" t="s">
        <v>418</v>
      </c>
      <c r="E73" s="167"/>
      <c r="F73" s="167"/>
      <c r="G73" s="167"/>
      <c r="H73" s="167"/>
      <c r="S73"/>
    </row>
    <row r="74" spans="1:19" x14ac:dyDescent="0.25">
      <c r="A74" s="167" t="s">
        <v>147</v>
      </c>
      <c r="B74" s="167"/>
      <c r="C74" s="167"/>
      <c r="D74" s="167" t="s">
        <v>28</v>
      </c>
      <c r="E74" s="167"/>
      <c r="F74" s="167"/>
      <c r="G74" s="167"/>
      <c r="H74" s="167"/>
      <c r="I74" s="27"/>
      <c r="J74" s="27"/>
      <c r="K74" s="27"/>
      <c r="L74" s="27"/>
      <c r="M74" s="27"/>
      <c r="N74" s="27"/>
    </row>
    <row r="75" spans="1:19" ht="15.75" customHeight="1" x14ac:dyDescent="0.25">
      <c r="A75" s="218" t="s">
        <v>82</v>
      </c>
      <c r="B75" s="218"/>
      <c r="C75" s="218"/>
      <c r="D75" s="217" t="str">
        <f ca="1">(IF(G81&gt;95%,"Nothing",IF(G81&gt;0%,"Cement, Aggregate, Steel, etc",IF(G81=0%,"Work not yet Started"))))</f>
        <v>Cement, Aggregate, Steel, etc</v>
      </c>
      <c r="E75" s="217"/>
      <c r="F75" s="217"/>
      <c r="G75" s="217"/>
      <c r="H75" s="217"/>
      <c r="J75" s="26"/>
      <c r="S75"/>
    </row>
    <row r="76" spans="1:19" ht="33.75" customHeight="1" thickBot="1" x14ac:dyDescent="0.3">
      <c r="A76" s="216" t="s">
        <v>115</v>
      </c>
      <c r="B76" s="216"/>
      <c r="C76" s="216"/>
      <c r="D76" s="217" t="str">
        <f ca="1">(IF(D75="Nothing","Yes",IF(D75="Cement, Aggregate, Steel, etc","Under Construction",IF(D75="Work not yet Started","Work not yet Started"))))</f>
        <v>Under Construction</v>
      </c>
      <c r="E76" s="217"/>
      <c r="F76" s="217" t="str">
        <f ca="1">(IF(D75="Nothing","Yes",IF(D75="Cement, Aggregate, Steel, etc","Under Construction",IF(D75="Work not yet Started","Work not yet Started"))))</f>
        <v>Under Construction</v>
      </c>
      <c r="G76" s="217"/>
      <c r="H76" s="217"/>
      <c r="S76"/>
    </row>
    <row r="77" spans="1:19" ht="15.75" customHeight="1" x14ac:dyDescent="0.25">
      <c r="A77" s="129" t="s">
        <v>137</v>
      </c>
      <c r="B77" s="130"/>
      <c r="C77" s="131" t="str">
        <f>D66</f>
        <v>A Wing = 1B + G + 1st to 14th Floor</v>
      </c>
      <c r="D77" s="132"/>
      <c r="E77" s="132"/>
      <c r="F77" s="132"/>
      <c r="G77" s="132"/>
      <c r="H77" s="133"/>
      <c r="I77" s="49" t="str">
        <f ca="1">IF(D90=100%,"All work Completed. Possession granted to the Building.",IF(D89=100%,"All work Completed, Waiting for OC",I78&amp;""&amp;I79&amp;""&amp;J78&amp;""&amp;J77&amp;" "&amp;J79))</f>
        <v>Excavation, Plinth, RCC Slab Completed, Brickwork upto 9 Floor, Internal Plaster upto 2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Brickwork upto 9 Floor, Internal Plaster upto 2 Floor</v>
      </c>
      <c r="S77"/>
    </row>
    <row r="78" spans="1:19" x14ac:dyDescent="0.25">
      <c r="A78" s="16" t="s">
        <v>139</v>
      </c>
      <c r="B78" s="47">
        <f>IF(AND(ISNUMBER(SEARCH("1B",C77))),1,IF(AND(ISNUMBER(SEARCH("2B",C77))),2,IF(AND(ISNUMBER(SEARCH("3B",C77))),3,IF(AND(ISNUMBER(SEARCH("4B",C77))),4,IF(ISNUMBER(SEARCH("5B",C77)),5,0)))))</f>
        <v>1</v>
      </c>
      <c r="C78" s="47" t="s">
        <v>68</v>
      </c>
      <c r="D78" s="47">
        <v>1</v>
      </c>
      <c r="E78" s="47" t="s">
        <v>67</v>
      </c>
      <c r="F78" s="47">
        <v>0</v>
      </c>
      <c r="G78" s="47" t="s">
        <v>76</v>
      </c>
      <c r="H78" s="17">
        <f ca="1">--TRIM(RIGHT(SUBSTITUTE(LEFT(C77,_xlfn.AGGREGATE(16,6,FIND({0,1,2,3,4,5,6,7,8,9},C77,ROW(INDIRECT("1:"&amp;LEN(C77)))),1))," ",REPT(" ",LEN(C77))),LEN(C77)))</f>
        <v>14</v>
      </c>
      <c r="I78" s="51" t="str">
        <f ca="1">IF(D81=100%,"Excavation","")&amp;IF(D82=100%,", Plinth","")&amp;IF(D83=100%,", RCC Slab","")&amp;IF(D84=100%,", Brickwork","")&amp;IF(D85=100%,", Internal Plaster","")&amp;IF(D86=100%,", External Plaster","")&amp;IF(D87=100%,", Flooring","")&amp;IF(D88=100%,", Painting","")&amp;IF(D89=100%,", Building common Amenities","")</f>
        <v>Excavation, Plinth, RCC Slab</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3" customHeight="1" x14ac:dyDescent="0.25">
      <c r="A79" s="221" t="s">
        <v>86</v>
      </c>
      <c r="B79" s="203"/>
      <c r="C79" s="214" t="str">
        <f ca="1">I77</f>
        <v>Excavation, Plinth, RCC Slab Completed, Brickwork upto 9 Floor, Internal Plaster upto 2 Floor Completed</v>
      </c>
      <c r="D79" s="214"/>
      <c r="E79" s="214"/>
      <c r="F79" s="214"/>
      <c r="G79" s="214"/>
      <c r="H79" s="215"/>
      <c r="I79" s="51" t="str">
        <f ca="1">IF(I78&lt;&gt;""," Completed","")</f>
        <v xml:space="preserve"> Completed</v>
      </c>
      <c r="J79" s="52" t="str">
        <f ca="1">IF(J77&lt;&gt;"","Completed","")</f>
        <v>Completed</v>
      </c>
      <c r="S79"/>
    </row>
    <row r="80" spans="1:19" ht="15.75" customHeight="1" x14ac:dyDescent="0.25">
      <c r="A80" s="134" t="s">
        <v>47</v>
      </c>
      <c r="B80" s="135"/>
      <c r="C80" s="43" t="s">
        <v>136</v>
      </c>
      <c r="D80" s="43" t="s">
        <v>79</v>
      </c>
      <c r="E80" s="135" t="s">
        <v>81</v>
      </c>
      <c r="F80" s="135"/>
      <c r="G80" s="135" t="s">
        <v>80</v>
      </c>
      <c r="H80" s="154"/>
      <c r="I80" s="13" t="s">
        <v>138</v>
      </c>
      <c r="J80" s="28">
        <f ca="1">H78*25%</f>
        <v>3.5</v>
      </c>
      <c r="S80"/>
    </row>
    <row r="81" spans="1:19" x14ac:dyDescent="0.25">
      <c r="A81" s="134" t="s">
        <v>125</v>
      </c>
      <c r="B81" s="135"/>
      <c r="C81" s="109">
        <f ca="1">J82</f>
        <v>14</v>
      </c>
      <c r="D81" s="19">
        <f ca="1">((100/H78)*C81)/100</f>
        <v>1</v>
      </c>
      <c r="E81" s="254">
        <f ca="1">(((C82/H78*10)+(40/(D78+F78+H78)*C83)+(7.5/(H78)*C84)+(7.5/(H78)*C85)+(10/H78*C86)+(10/H78*C87)+(5/H78*C88)+(5/H78*C89)+(5/H78*C90))/100)</f>
        <v>0.55892857142857144</v>
      </c>
      <c r="F81" s="270"/>
      <c r="G81" s="254">
        <f ca="1">((((C81/H78)*20)+((C82/H78)*25)+(30/(H78+F78+D78)*C83)+(5/H78*C84)+(5/H78*C85)+(5/H78*C86)+(5/H78*C87)+(0/H78*C88)+(0/H78*C89)+(5/H78*C90))/100)</f>
        <v>0.78928571428571415</v>
      </c>
      <c r="H81" s="255"/>
      <c r="I81" s="13" t="s">
        <v>97</v>
      </c>
      <c r="J81" s="29">
        <f ca="1">H78*50%</f>
        <v>7</v>
      </c>
    </row>
    <row r="82" spans="1:19" x14ac:dyDescent="0.25">
      <c r="A82" s="134" t="s">
        <v>48</v>
      </c>
      <c r="B82" s="135"/>
      <c r="C82" s="43">
        <f ca="1">J90</f>
        <v>14</v>
      </c>
      <c r="D82" s="19">
        <f ca="1">((100/H78)*C82)/100</f>
        <v>1</v>
      </c>
      <c r="E82" s="256"/>
      <c r="F82" s="271"/>
      <c r="G82" s="256"/>
      <c r="H82" s="257"/>
      <c r="I82" s="13" t="s">
        <v>98</v>
      </c>
      <c r="J82" s="29">
        <f ca="1">H78</f>
        <v>14</v>
      </c>
      <c r="L82" s="94"/>
      <c r="S82"/>
    </row>
    <row r="83" spans="1:19" ht="15.75" customHeight="1" x14ac:dyDescent="0.25">
      <c r="A83" s="134" t="s">
        <v>126</v>
      </c>
      <c r="B83" s="135"/>
      <c r="C83" s="43">
        <v>15</v>
      </c>
      <c r="D83" s="19">
        <f ca="1">((100/(D78+F78+H78))*C83)/100</f>
        <v>1</v>
      </c>
      <c r="E83" s="256"/>
      <c r="F83" s="271"/>
      <c r="G83" s="256"/>
      <c r="H83" s="257"/>
      <c r="I83" s="13" t="s">
        <v>99</v>
      </c>
      <c r="J83" s="30">
        <f ca="1">(IF(B78&gt;1,(H78/(B78+2)),H78/4))</f>
        <v>3.5</v>
      </c>
      <c r="S83"/>
    </row>
    <row r="84" spans="1:19" ht="15.75" customHeight="1" x14ac:dyDescent="0.25">
      <c r="A84" s="134" t="s">
        <v>133</v>
      </c>
      <c r="B84" s="135" t="s">
        <v>127</v>
      </c>
      <c r="C84" s="43">
        <v>9</v>
      </c>
      <c r="D84" s="19">
        <f ca="1">((100/H78)*C84)/100</f>
        <v>0.6428571428571429</v>
      </c>
      <c r="E84" s="256"/>
      <c r="F84" s="271"/>
      <c r="G84" s="256"/>
      <c r="H84" s="257"/>
      <c r="I84" s="13" t="s">
        <v>100</v>
      </c>
      <c r="J84" s="30">
        <f ca="1">(IF(B78&gt;1,(H78/(B78+2)+J83),H78/4+J83))</f>
        <v>7</v>
      </c>
    </row>
    <row r="85" spans="1:19" ht="15.75" customHeight="1" x14ac:dyDescent="0.25">
      <c r="A85" s="134" t="s">
        <v>134</v>
      </c>
      <c r="B85" s="135" t="s">
        <v>127</v>
      </c>
      <c r="C85" s="43">
        <v>2</v>
      </c>
      <c r="D85" s="19">
        <f ca="1">((100/H78)*C85)/100</f>
        <v>0.14285714285714288</v>
      </c>
      <c r="E85" s="256"/>
      <c r="F85" s="271"/>
      <c r="G85" s="256"/>
      <c r="H85" s="257"/>
      <c r="I85" s="13" t="s">
        <v>145</v>
      </c>
      <c r="J85" s="30">
        <f>(IF(B78&gt;1,(H78/(B78+2)+J84),0))</f>
        <v>0</v>
      </c>
    </row>
    <row r="86" spans="1:19" ht="15" customHeight="1" x14ac:dyDescent="0.25">
      <c r="A86" s="134" t="s">
        <v>132</v>
      </c>
      <c r="B86" s="135" t="s">
        <v>129</v>
      </c>
      <c r="C86" s="43">
        <v>0</v>
      </c>
      <c r="D86" s="19">
        <f ca="1">((100/(H78))*C86)/100</f>
        <v>0</v>
      </c>
      <c r="E86" s="256"/>
      <c r="F86" s="271"/>
      <c r="G86" s="256"/>
      <c r="H86" s="257"/>
      <c r="I86" s="13" t="s">
        <v>140</v>
      </c>
      <c r="J86" s="30">
        <f>(IF(B78&gt;2,(H78/(B78+2)+J85),0))</f>
        <v>0</v>
      </c>
    </row>
    <row r="87" spans="1:19" ht="15.75" customHeight="1" x14ac:dyDescent="0.25">
      <c r="A87" s="134" t="s">
        <v>128</v>
      </c>
      <c r="B87" s="135" t="s">
        <v>128</v>
      </c>
      <c r="C87" s="43">
        <v>0</v>
      </c>
      <c r="D87" s="19">
        <f ca="1">((100/H78)*C87)/100</f>
        <v>0</v>
      </c>
      <c r="E87" s="256"/>
      <c r="F87" s="271"/>
      <c r="G87" s="256"/>
      <c r="H87" s="257"/>
      <c r="I87" s="13" t="s">
        <v>141</v>
      </c>
      <c r="J87" s="31">
        <f>(IF(B78&gt;3,(H78/(B78+2)+J86),0))</f>
        <v>0</v>
      </c>
    </row>
    <row r="88" spans="1:19" ht="15.75" customHeight="1" x14ac:dyDescent="0.25">
      <c r="A88" s="134" t="s">
        <v>135</v>
      </c>
      <c r="B88" s="135"/>
      <c r="C88" s="43">
        <v>0</v>
      </c>
      <c r="D88" s="19">
        <f ca="1">((100/H78)*C88)/100</f>
        <v>0</v>
      </c>
      <c r="E88" s="256"/>
      <c r="F88" s="271"/>
      <c r="G88" s="256"/>
      <c r="H88" s="257"/>
      <c r="I88" s="13" t="s">
        <v>142</v>
      </c>
      <c r="J88" s="30">
        <f>(IF(B78&gt;4,(H78/(B78+2)+J87),0))</f>
        <v>0</v>
      </c>
    </row>
    <row r="89" spans="1:19" ht="15.75" customHeight="1" x14ac:dyDescent="0.25">
      <c r="A89" s="134" t="s">
        <v>130</v>
      </c>
      <c r="B89" s="135" t="s">
        <v>130</v>
      </c>
      <c r="C89" s="43">
        <v>0</v>
      </c>
      <c r="D89" s="19">
        <f ca="1">((100/(H78))*C89)/100</f>
        <v>0</v>
      </c>
      <c r="E89" s="256"/>
      <c r="F89" s="271"/>
      <c r="G89" s="256"/>
      <c r="H89" s="257"/>
      <c r="I89" s="13" t="s">
        <v>146</v>
      </c>
      <c r="J89" s="30">
        <f ca="1">(IF(B78=1,(H78/(B78+3)+J84),IF(B78=0,(H78/4+J84),IF(B78&gt;1,0))))</f>
        <v>10.5</v>
      </c>
    </row>
    <row r="90" spans="1:19" ht="16.5" thickBot="1" x14ac:dyDescent="0.3">
      <c r="A90" s="155" t="s">
        <v>131</v>
      </c>
      <c r="B90" s="156"/>
      <c r="C90" s="44">
        <v>0</v>
      </c>
      <c r="D90" s="20">
        <f ca="1">((100/(H78))*C90)/100</f>
        <v>0</v>
      </c>
      <c r="E90" s="258"/>
      <c r="F90" s="272"/>
      <c r="G90" s="258"/>
      <c r="H90" s="259"/>
      <c r="I90" s="15" t="s">
        <v>101</v>
      </c>
      <c r="J90" s="32">
        <f ca="1">(IF(B78&gt;1.5,(H78/(B78+2)+J84+MAX(0,J85-J84)+MAX(0,J86-J85)+MAX(0,J87-J86)+MAX(0,J88-J87)+MAX(0,J89-J88)),IF(B78=1,(H78/(B78+3)+J89),IF(B78=0,H78/4+J89))))</f>
        <v>14</v>
      </c>
    </row>
    <row r="91" spans="1:19" ht="15.75" customHeight="1" x14ac:dyDescent="0.25">
      <c r="A91" s="249" t="s">
        <v>137</v>
      </c>
      <c r="B91" s="250"/>
      <c r="C91" s="251" t="str">
        <f>D67</f>
        <v>B Wing = 1B + G + 1st to 14th Floor</v>
      </c>
      <c r="D91" s="252"/>
      <c r="E91" s="252"/>
      <c r="F91" s="252"/>
      <c r="G91" s="252"/>
      <c r="H91" s="253"/>
      <c r="I91" s="49" t="str">
        <f ca="1">IF(D104=100%,"All work Completed. Possession granted to the Building.",IF(D103=100%,"All work Completed, Waiting for OC",I92&amp;""&amp;I93&amp;""&amp;J92&amp;""&amp;J91&amp;" "&amp;J93))</f>
        <v xml:space="preserve">Work not yet Started. </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25">
      <c r="A92" s="16" t="s">
        <v>139</v>
      </c>
      <c r="B92" s="47">
        <f>IF(AND(ISNUMBER(SEARCH("1B",C91))),1,IF(AND(ISNUMBER(SEARCH("2B",C91))),2,IF(AND(ISNUMBER(SEARCH("3B",C91))),3,IF(AND(ISNUMBER(SEARCH("4B",C91))),4,IF(ISNUMBER(SEARCH("5B",C91)),5,0)))))</f>
        <v>1</v>
      </c>
      <c r="C92" s="47" t="s">
        <v>68</v>
      </c>
      <c r="D92" s="47">
        <v>1</v>
      </c>
      <c r="E92" s="47" t="s">
        <v>67</v>
      </c>
      <c r="F92" s="47">
        <v>0</v>
      </c>
      <c r="G92" s="48" t="s">
        <v>76</v>
      </c>
      <c r="H92" s="17">
        <f ca="1">--TRIM(RIGHT(SUBSTITUTE(LEFT(C91,_xlfn.AGGREGATE(16,6,FIND({0,1,2,3,4,5,6,7,8,9},C91,ROW(INDIRECT("1:"&amp;LEN(C91)))),1))," ",REPT(" ",LEN(C91))),LEN(C91)))</f>
        <v>14</v>
      </c>
      <c r="I92" s="51" t="str">
        <f ca="1">IF(D95=100%,"Excavation","")&amp;IF(D96=100%,", Plinth","")&amp;IF(D97=100%,", RCC Slab","")&amp;IF(D98=100%,", Brickwork","")&amp;IF(D99=100%,", Internal Plaster","")&amp;IF(D100=100%,", External Plaster","")&amp;IF(D101=100%,", Flooring","")&amp;IF(D102=100%,", Painting","")&amp;IF(D103=100%,", Building common Amenities","")</f>
        <v/>
      </c>
      <c r="J92" s="52" t="str">
        <f>(IF(C95=0,"Work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Work not yet Started.</v>
      </c>
      <c r="S92"/>
    </row>
    <row r="93" spans="1:19" x14ac:dyDescent="0.25">
      <c r="A93" s="221" t="s">
        <v>86</v>
      </c>
      <c r="B93" s="203"/>
      <c r="C93" s="214" t="str">
        <f ca="1">I91</f>
        <v xml:space="preserve">Work not yet Started. </v>
      </c>
      <c r="D93" s="214"/>
      <c r="E93" s="214"/>
      <c r="F93" s="214"/>
      <c r="G93" s="214"/>
      <c r="H93" s="215"/>
      <c r="I93" s="51" t="str">
        <f ca="1">IF(I92&lt;&gt;""," Completed","")</f>
        <v/>
      </c>
      <c r="J93" s="52" t="str">
        <f ca="1">IF(J91&lt;&gt;"","Completed","")</f>
        <v/>
      </c>
      <c r="S93"/>
    </row>
    <row r="94" spans="1:19" ht="15.75" customHeight="1" x14ac:dyDescent="0.25">
      <c r="A94" s="134" t="s">
        <v>47</v>
      </c>
      <c r="B94" s="135"/>
      <c r="C94" s="98" t="s">
        <v>136</v>
      </c>
      <c r="D94" s="98" t="s">
        <v>79</v>
      </c>
      <c r="E94" s="135" t="s">
        <v>81</v>
      </c>
      <c r="F94" s="135"/>
      <c r="G94" s="135" t="s">
        <v>80</v>
      </c>
      <c r="H94" s="154"/>
      <c r="I94" s="13" t="s">
        <v>138</v>
      </c>
      <c r="J94" s="28">
        <f ca="1">H92*25%</f>
        <v>3.5</v>
      </c>
      <c r="S94"/>
    </row>
    <row r="95" spans="1:19" x14ac:dyDescent="0.25">
      <c r="A95" s="134" t="s">
        <v>125</v>
      </c>
      <c r="B95" s="135"/>
      <c r="C95" s="109">
        <v>0</v>
      </c>
      <c r="D95" s="19">
        <f ca="1">((100/H92)*C95)/100</f>
        <v>0</v>
      </c>
      <c r="E95" s="254">
        <f ca="1">(((C96/H92*10)+(40/(D92+F92+H92)*C97)+(7.5/(H92)*C98)+(7.5/(H92)*C99)+(10/H92*C100)+(10/H92*C101)+(5/H92*C102)+(5/H92*C103)+(5/H92*C104))/100)</f>
        <v>0</v>
      </c>
      <c r="F95" s="270"/>
      <c r="G95" s="254">
        <f ca="1">((((C95/H92)*20)+((C96/H92)*25)+(30/(H92+F92+D92)*C97)+(5/H92*C98)+(5/H92*C99)+(5/H92*C100)+(5/H92*C101)+(0/H92*C102)+(0/H92*C103)+(5/H92*C104))/100)</f>
        <v>0</v>
      </c>
      <c r="H95" s="255"/>
      <c r="I95" s="13" t="s">
        <v>97</v>
      </c>
      <c r="J95" s="29">
        <f ca="1">H92*50%</f>
        <v>7</v>
      </c>
    </row>
    <row r="96" spans="1:19" x14ac:dyDescent="0.25">
      <c r="A96" s="134" t="s">
        <v>48</v>
      </c>
      <c r="B96" s="135"/>
      <c r="C96" s="98">
        <v>0</v>
      </c>
      <c r="D96" s="19">
        <f ca="1">((100/H92)*C96)/100</f>
        <v>0</v>
      </c>
      <c r="E96" s="256"/>
      <c r="F96" s="271"/>
      <c r="G96" s="256"/>
      <c r="H96" s="257"/>
      <c r="I96" s="13" t="s">
        <v>98</v>
      </c>
      <c r="J96" s="29">
        <f ca="1">H92</f>
        <v>14</v>
      </c>
      <c r="S96"/>
    </row>
    <row r="97" spans="1:19" ht="15.75" customHeight="1" x14ac:dyDescent="0.25">
      <c r="A97" s="134" t="s">
        <v>126</v>
      </c>
      <c r="B97" s="135"/>
      <c r="C97" s="98">
        <v>0</v>
      </c>
      <c r="D97" s="19">
        <f ca="1">((100/(D92+F92+H92))*C97)/100</f>
        <v>0</v>
      </c>
      <c r="E97" s="256"/>
      <c r="F97" s="271"/>
      <c r="G97" s="256"/>
      <c r="H97" s="257"/>
      <c r="I97" s="13" t="s">
        <v>99</v>
      </c>
      <c r="J97" s="30">
        <f ca="1">(IF(B92&gt;1,(H92/(B92+2)),H92/4))</f>
        <v>3.5</v>
      </c>
      <c r="S97"/>
    </row>
    <row r="98" spans="1:19" ht="15.75" customHeight="1" x14ac:dyDescent="0.25">
      <c r="A98" s="134" t="s">
        <v>133</v>
      </c>
      <c r="B98" s="135" t="s">
        <v>127</v>
      </c>
      <c r="C98" s="98">
        <v>0</v>
      </c>
      <c r="D98" s="19">
        <f ca="1">((100/H92)*C98)/100</f>
        <v>0</v>
      </c>
      <c r="E98" s="256"/>
      <c r="F98" s="271"/>
      <c r="G98" s="256"/>
      <c r="H98" s="257"/>
      <c r="I98" s="13" t="s">
        <v>100</v>
      </c>
      <c r="J98" s="30">
        <f ca="1">(IF(B92&gt;1,(H92/(B92+2)+J97),H92/4+J97))</f>
        <v>7</v>
      </c>
    </row>
    <row r="99" spans="1:19" ht="15.75" customHeight="1" x14ac:dyDescent="0.25">
      <c r="A99" s="134" t="s">
        <v>134</v>
      </c>
      <c r="B99" s="135" t="s">
        <v>127</v>
      </c>
      <c r="C99" s="98">
        <v>0</v>
      </c>
      <c r="D99" s="19">
        <f ca="1">((100/H92)*C99)/100</f>
        <v>0</v>
      </c>
      <c r="E99" s="256"/>
      <c r="F99" s="271"/>
      <c r="G99" s="256"/>
      <c r="H99" s="257"/>
      <c r="I99" s="13" t="s">
        <v>145</v>
      </c>
      <c r="J99" s="30">
        <f>(IF(B92&gt;1,(H92/(B92+2)+J98),0))</f>
        <v>0</v>
      </c>
    </row>
    <row r="100" spans="1:19" ht="15" customHeight="1" x14ac:dyDescent="0.25">
      <c r="A100" s="134" t="s">
        <v>132</v>
      </c>
      <c r="B100" s="135" t="s">
        <v>129</v>
      </c>
      <c r="C100" s="98">
        <v>0</v>
      </c>
      <c r="D100" s="19">
        <f ca="1">((100/(H92))*C100)/100</f>
        <v>0</v>
      </c>
      <c r="E100" s="256"/>
      <c r="F100" s="271"/>
      <c r="G100" s="256"/>
      <c r="H100" s="257"/>
      <c r="I100" s="13" t="s">
        <v>140</v>
      </c>
      <c r="J100" s="30">
        <f>(IF(B92&gt;2,(H92/(B92+2)+J99),0))</f>
        <v>0</v>
      </c>
    </row>
    <row r="101" spans="1:19" ht="15.75" customHeight="1" x14ac:dyDescent="0.25">
      <c r="A101" s="134" t="s">
        <v>128</v>
      </c>
      <c r="B101" s="135" t="s">
        <v>128</v>
      </c>
      <c r="C101" s="98">
        <v>0</v>
      </c>
      <c r="D101" s="19">
        <f ca="1">((100/H92)*C101)/100</f>
        <v>0</v>
      </c>
      <c r="E101" s="256"/>
      <c r="F101" s="271"/>
      <c r="G101" s="256"/>
      <c r="H101" s="257"/>
      <c r="I101" s="13" t="s">
        <v>141</v>
      </c>
      <c r="J101" s="31">
        <f>(IF(B92&gt;3,(H92/(B92+2)+J100),0))</f>
        <v>0</v>
      </c>
    </row>
    <row r="102" spans="1:19" ht="15.75" customHeight="1" x14ac:dyDescent="0.25">
      <c r="A102" s="134" t="s">
        <v>135</v>
      </c>
      <c r="B102" s="135"/>
      <c r="C102" s="98">
        <v>0</v>
      </c>
      <c r="D102" s="19">
        <f ca="1">((100/H92)*C102)/100</f>
        <v>0</v>
      </c>
      <c r="E102" s="256"/>
      <c r="F102" s="271"/>
      <c r="G102" s="256"/>
      <c r="H102" s="257"/>
      <c r="I102" s="13" t="s">
        <v>142</v>
      </c>
      <c r="J102" s="30">
        <f>(IF(B92&gt;4,(H92/(B92+2)+J101),0))</f>
        <v>0</v>
      </c>
    </row>
    <row r="103" spans="1:19" ht="15.75" customHeight="1" x14ac:dyDescent="0.25">
      <c r="A103" s="134" t="s">
        <v>130</v>
      </c>
      <c r="B103" s="135" t="s">
        <v>130</v>
      </c>
      <c r="C103" s="98">
        <v>0</v>
      </c>
      <c r="D103" s="19">
        <f ca="1">((100/(H92))*C103)/100</f>
        <v>0</v>
      </c>
      <c r="E103" s="256"/>
      <c r="F103" s="271"/>
      <c r="G103" s="256"/>
      <c r="H103" s="257"/>
      <c r="I103" s="13" t="s">
        <v>146</v>
      </c>
      <c r="J103" s="30">
        <f ca="1">(IF(B92=1,(H92/(B92+3)+J98),IF(B92=0,(H92/4+J98),IF(B92&gt;1,0))))</f>
        <v>10.5</v>
      </c>
    </row>
    <row r="104" spans="1:19" ht="16.5" thickBot="1" x14ac:dyDescent="0.3">
      <c r="A104" s="155" t="s">
        <v>131</v>
      </c>
      <c r="B104" s="156"/>
      <c r="C104" s="99">
        <v>0</v>
      </c>
      <c r="D104" s="20">
        <f ca="1">((100/(H92))*C104)/100</f>
        <v>0</v>
      </c>
      <c r="E104" s="258"/>
      <c r="F104" s="272"/>
      <c r="G104" s="258"/>
      <c r="H104" s="259"/>
      <c r="I104" s="15" t="s">
        <v>101</v>
      </c>
      <c r="J104" s="32">
        <f ca="1">(IF(B92&gt;1.5,(H92/(B92+2)+J98+MAX(0,J99-J98)+MAX(0,J100-J99)+MAX(0,J101-J100)+MAX(0,J102-J101)+MAX(0,J103-J102)),IF(B92=1,(H92/(B92+3)+J103),IF(B92=0,H92/4+J103))))</f>
        <v>14</v>
      </c>
    </row>
    <row r="105" spans="1:19" ht="15.75" customHeight="1" x14ac:dyDescent="0.25">
      <c r="A105" s="249" t="s">
        <v>137</v>
      </c>
      <c r="B105" s="250"/>
      <c r="C105" s="251" t="str">
        <f>D68</f>
        <v>C Wing = 1B + G + 1st to 14th Floor</v>
      </c>
      <c r="D105" s="252"/>
      <c r="E105" s="252"/>
      <c r="F105" s="252"/>
      <c r="G105" s="252"/>
      <c r="H105" s="253"/>
      <c r="I105" s="49" t="str">
        <f ca="1">IF(D118=100%,"All work Completed. Possession granted to the Building.",IF(D117=100%,"All work Completed, Waiting for OC",I106&amp;""&amp;I107&amp;""&amp;J106&amp;""&amp;J105&amp;" "&amp;J107))</f>
        <v>Excavation, Plinth Completed, RCC upto 1 Slab Completed</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RCC upto 1 Slab</v>
      </c>
      <c r="S105"/>
    </row>
    <row r="106" spans="1:19" x14ac:dyDescent="0.25">
      <c r="A106" s="16" t="s">
        <v>139</v>
      </c>
      <c r="B106" s="47">
        <f>IF(AND(ISNUMBER(SEARCH("1B",C105))),1,IF(AND(ISNUMBER(SEARCH("2B",C105))),2,IF(AND(ISNUMBER(SEARCH("3B",C105))),3,IF(AND(ISNUMBER(SEARCH("4B",C105))),4,IF(ISNUMBER(SEARCH("5B",C105)),5,0)))))</f>
        <v>1</v>
      </c>
      <c r="C106" s="47" t="s">
        <v>68</v>
      </c>
      <c r="D106" s="47">
        <v>1</v>
      </c>
      <c r="E106" s="47" t="s">
        <v>67</v>
      </c>
      <c r="F106" s="47">
        <v>0</v>
      </c>
      <c r="G106" s="48" t="s">
        <v>76</v>
      </c>
      <c r="H106" s="17">
        <f ca="1">--TRIM(RIGHT(SUBSTITUTE(LEFT(C105,_xlfn.AGGREGATE(16,6,FIND({0,1,2,3,4,5,6,7,8,9},C105,ROW(INDIRECT("1:"&amp;LEN(C105)))),1))," ",REPT(" ",LEN(C105))),LEN(C105)))</f>
        <v>14</v>
      </c>
      <c r="I106" s="51" t="str">
        <f ca="1">IF(D109=100%,"Excavation","")&amp;IF(D110=100%,", Plinth","")&amp;IF(D111=100%,", RCC Slab","")&amp;IF(D112=100%,", Brickwork","")&amp;IF(D113=100%,", Internal Plaster","")&amp;IF(D114=100%,", External Plaster","")&amp;IF(D115=100%,", Flooring","")&amp;IF(D116=100%,", Painting","")&amp;IF(D117=100%,", Building common Amenities","")</f>
        <v>Excavation, Plinth</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x14ac:dyDescent="0.25">
      <c r="A107" s="221" t="s">
        <v>86</v>
      </c>
      <c r="B107" s="203"/>
      <c r="C107" s="214" t="str">
        <f ca="1">I105</f>
        <v>Excavation, Plinth Completed, RCC upto 1 Slab Completed</v>
      </c>
      <c r="D107" s="214"/>
      <c r="E107" s="214"/>
      <c r="F107" s="214"/>
      <c r="G107" s="214"/>
      <c r="H107" s="215"/>
      <c r="I107" s="51" t="str">
        <f ca="1">IF(I106&lt;&gt;""," Completed","")</f>
        <v xml:space="preserve"> Completed</v>
      </c>
      <c r="J107" s="52" t="str">
        <f ca="1">IF(J105&lt;&gt;"","Completed","")</f>
        <v>Completed</v>
      </c>
      <c r="S107"/>
    </row>
    <row r="108" spans="1:19" ht="15.75" customHeight="1" x14ac:dyDescent="0.25">
      <c r="A108" s="134" t="s">
        <v>47</v>
      </c>
      <c r="B108" s="135"/>
      <c r="C108" s="43" t="s">
        <v>136</v>
      </c>
      <c r="D108" s="43" t="s">
        <v>79</v>
      </c>
      <c r="E108" s="135" t="s">
        <v>81</v>
      </c>
      <c r="F108" s="135"/>
      <c r="G108" s="135" t="s">
        <v>80</v>
      </c>
      <c r="H108" s="154"/>
      <c r="I108" s="13" t="s">
        <v>138</v>
      </c>
      <c r="J108" s="28">
        <f ca="1">H106*25%</f>
        <v>3.5</v>
      </c>
      <c r="S108"/>
    </row>
    <row r="109" spans="1:19" x14ac:dyDescent="0.25">
      <c r="A109" s="134" t="s">
        <v>125</v>
      </c>
      <c r="B109" s="135"/>
      <c r="C109" s="109">
        <f ca="1">J110</f>
        <v>14</v>
      </c>
      <c r="D109" s="19">
        <f ca="1">((100/H106)*C109)/100</f>
        <v>1</v>
      </c>
      <c r="E109" s="254">
        <f ca="1">(((C110/H106*10)+(40/(D106+F106+H106)*C111)+(7.5/(H106)*C112)+(7.5/(H106)*C113)+(10/H106*C114)+(10/H106*C115)+(5/H106*C116)+(5/H106*C117)+(5/H106*C118))/100)</f>
        <v>0.12666666666666665</v>
      </c>
      <c r="F109" s="270"/>
      <c r="G109" s="254">
        <f ca="1">((((C109/H106)*20)+((C110/H106)*25)+(30/(H106+F106+D106)*C111)+(5/H106*C112)+(5/H106*C113)+(5/H106*C114)+(5/H106*C115)+(0/H106*C116)+(0/H106*C117)+(5/H106*C118))/100)</f>
        <v>0.47</v>
      </c>
      <c r="H109" s="255"/>
      <c r="I109" s="13" t="s">
        <v>97</v>
      </c>
      <c r="J109" s="29">
        <f ca="1">H106*50%</f>
        <v>7</v>
      </c>
    </row>
    <row r="110" spans="1:19" x14ac:dyDescent="0.25">
      <c r="A110" s="134" t="s">
        <v>48</v>
      </c>
      <c r="B110" s="135"/>
      <c r="C110" s="43">
        <f ca="1">J118</f>
        <v>14</v>
      </c>
      <c r="D110" s="19">
        <f ca="1">((100/H106)*C110)/100</f>
        <v>1</v>
      </c>
      <c r="E110" s="256"/>
      <c r="F110" s="271"/>
      <c r="G110" s="256"/>
      <c r="H110" s="257"/>
      <c r="I110" s="13" t="s">
        <v>98</v>
      </c>
      <c r="J110" s="29">
        <f ca="1">H106</f>
        <v>14</v>
      </c>
      <c r="S110"/>
    </row>
    <row r="111" spans="1:19" ht="15.75" customHeight="1" x14ac:dyDescent="0.25">
      <c r="A111" s="134" t="s">
        <v>126</v>
      </c>
      <c r="B111" s="135"/>
      <c r="C111" s="43">
        <v>1</v>
      </c>
      <c r="D111" s="19">
        <f ca="1">((100/(D106+F106+H106))*C111)/100</f>
        <v>6.6666666666666666E-2</v>
      </c>
      <c r="E111" s="256"/>
      <c r="F111" s="271"/>
      <c r="G111" s="256"/>
      <c r="H111" s="257"/>
      <c r="I111" s="13" t="s">
        <v>99</v>
      </c>
      <c r="J111" s="30">
        <f ca="1">(IF(B106&gt;1,(H106/(B106+2)),H106/4))</f>
        <v>3.5</v>
      </c>
      <c r="S111"/>
    </row>
    <row r="112" spans="1:19" ht="15.75" customHeight="1" x14ac:dyDescent="0.25">
      <c r="A112" s="134" t="s">
        <v>133</v>
      </c>
      <c r="B112" s="135" t="s">
        <v>127</v>
      </c>
      <c r="C112" s="43">
        <v>0</v>
      </c>
      <c r="D112" s="19">
        <f ca="1">((100/H106)*C112)/100</f>
        <v>0</v>
      </c>
      <c r="E112" s="256"/>
      <c r="F112" s="271"/>
      <c r="G112" s="256"/>
      <c r="H112" s="257"/>
      <c r="I112" s="13" t="s">
        <v>100</v>
      </c>
      <c r="J112" s="30">
        <f ca="1">(IF(B106&gt;1,(H106/(B106+2)+J111),H106/4+J111))</f>
        <v>7</v>
      </c>
    </row>
    <row r="113" spans="1:19" ht="15.75" customHeight="1" x14ac:dyDescent="0.25">
      <c r="A113" s="134" t="s">
        <v>134</v>
      </c>
      <c r="B113" s="135" t="s">
        <v>127</v>
      </c>
      <c r="C113" s="43">
        <v>0</v>
      </c>
      <c r="D113" s="19">
        <f ca="1">((100/H106)*C113)/100</f>
        <v>0</v>
      </c>
      <c r="E113" s="256"/>
      <c r="F113" s="271"/>
      <c r="G113" s="256"/>
      <c r="H113" s="257"/>
      <c r="I113" s="13" t="s">
        <v>145</v>
      </c>
      <c r="J113" s="30">
        <f>(IF(B106&gt;1,(H106/(B106+2)+J112),0))</f>
        <v>0</v>
      </c>
    </row>
    <row r="114" spans="1:19" ht="15" customHeight="1" x14ac:dyDescent="0.25">
      <c r="A114" s="134" t="s">
        <v>132</v>
      </c>
      <c r="B114" s="135" t="s">
        <v>129</v>
      </c>
      <c r="C114" s="43">
        <v>0</v>
      </c>
      <c r="D114" s="19">
        <f ca="1">((100/(H106))*C114)/100</f>
        <v>0</v>
      </c>
      <c r="E114" s="256"/>
      <c r="F114" s="271"/>
      <c r="G114" s="256"/>
      <c r="H114" s="257"/>
      <c r="I114" s="13" t="s">
        <v>140</v>
      </c>
      <c r="J114" s="30">
        <f>(IF(B106&gt;2,(H106/(B106+2)+J113),0))</f>
        <v>0</v>
      </c>
    </row>
    <row r="115" spans="1:19" ht="15.75" customHeight="1" x14ac:dyDescent="0.25">
      <c r="A115" s="134" t="s">
        <v>128</v>
      </c>
      <c r="B115" s="135" t="s">
        <v>128</v>
      </c>
      <c r="C115" s="43">
        <v>0</v>
      </c>
      <c r="D115" s="19">
        <f ca="1">((100/H106)*C115)/100</f>
        <v>0</v>
      </c>
      <c r="E115" s="256"/>
      <c r="F115" s="271"/>
      <c r="G115" s="256"/>
      <c r="H115" s="257"/>
      <c r="I115" s="13" t="s">
        <v>141</v>
      </c>
      <c r="J115" s="31">
        <f>(IF(B106&gt;3,(H106/(B106+2)+J114),0))</f>
        <v>0</v>
      </c>
    </row>
    <row r="116" spans="1:19" ht="15.75" customHeight="1" x14ac:dyDescent="0.25">
      <c r="A116" s="134" t="s">
        <v>135</v>
      </c>
      <c r="B116" s="135"/>
      <c r="C116" s="43">
        <v>0</v>
      </c>
      <c r="D116" s="19">
        <f ca="1">((100/H106)*C116)/100</f>
        <v>0</v>
      </c>
      <c r="E116" s="256"/>
      <c r="F116" s="271"/>
      <c r="G116" s="256"/>
      <c r="H116" s="257"/>
      <c r="I116" s="13" t="s">
        <v>142</v>
      </c>
      <c r="J116" s="30">
        <f>(IF(B106&gt;4,(H106/(B106+2)+J115),0))</f>
        <v>0</v>
      </c>
    </row>
    <row r="117" spans="1:19" ht="15.75" customHeight="1" x14ac:dyDescent="0.25">
      <c r="A117" s="134" t="s">
        <v>130</v>
      </c>
      <c r="B117" s="135" t="s">
        <v>130</v>
      </c>
      <c r="C117" s="43">
        <v>0</v>
      </c>
      <c r="D117" s="19">
        <f ca="1">((100/(H106))*C117)/100</f>
        <v>0</v>
      </c>
      <c r="E117" s="256"/>
      <c r="F117" s="271"/>
      <c r="G117" s="256"/>
      <c r="H117" s="257"/>
      <c r="I117" s="13" t="s">
        <v>146</v>
      </c>
      <c r="J117" s="30">
        <f ca="1">(IF(B106=1,(H106/(B106+3)+J112),IF(B106=0,(H106/4+J112),IF(B106&gt;1,0))))</f>
        <v>10.5</v>
      </c>
    </row>
    <row r="118" spans="1:19" ht="16.5" thickBot="1" x14ac:dyDescent="0.3">
      <c r="A118" s="155" t="s">
        <v>131</v>
      </c>
      <c r="B118" s="156"/>
      <c r="C118" s="44">
        <v>0</v>
      </c>
      <c r="D118" s="20">
        <f ca="1">((100/(H106))*C118)/100</f>
        <v>0</v>
      </c>
      <c r="E118" s="258"/>
      <c r="F118" s="272"/>
      <c r="G118" s="258"/>
      <c r="H118" s="259"/>
      <c r="I118" s="15" t="s">
        <v>101</v>
      </c>
      <c r="J118" s="32">
        <f ca="1">(IF(B106&gt;1.5,(H106/(B106+2)+J112+MAX(0,J113-J112)+MAX(0,J114-J113)+MAX(0,J115-J114)+MAX(0,J116-J115)+MAX(0,J117-J116)),IF(B106=1,(H106/(B106+3)+J117),IF(B106=0,H106/4+J117))))</f>
        <v>14</v>
      </c>
    </row>
    <row r="119" spans="1:19" ht="15.75" customHeight="1" x14ac:dyDescent="0.25">
      <c r="A119" s="249" t="s">
        <v>137</v>
      </c>
      <c r="B119" s="250"/>
      <c r="C119" s="251" t="str">
        <f>D69</f>
        <v>D Wing = 1B + G + 1st to 14th Floor</v>
      </c>
      <c r="D119" s="252"/>
      <c r="E119" s="252"/>
      <c r="F119" s="252"/>
      <c r="G119" s="252"/>
      <c r="H119" s="253"/>
      <c r="I119" s="49" t="str">
        <f ca="1">IF(D132=100%,"All work Completed. Possession granted to the Building.",IF(D131=100%,"All work Completed, Waiting for OC",I120&amp;""&amp;I121&amp;""&amp;J120&amp;""&amp;J119&amp;" "&amp;J121))</f>
        <v>Excavation, Plinth Completed, RCC upto 7 Slab Completed</v>
      </c>
      <c r="J119" s="50"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RCC upto 7 Slab</v>
      </c>
      <c r="S119"/>
    </row>
    <row r="120" spans="1:19" x14ac:dyDescent="0.25">
      <c r="A120" s="16" t="s">
        <v>139</v>
      </c>
      <c r="B120" s="47">
        <f>IF(AND(ISNUMBER(SEARCH("1B",C119))),1,IF(AND(ISNUMBER(SEARCH("2B",C119))),2,IF(AND(ISNUMBER(SEARCH("3B",C119))),3,IF(AND(ISNUMBER(SEARCH("4B",C119))),4,IF(ISNUMBER(SEARCH("5B",C119)),5,0)))))</f>
        <v>1</v>
      </c>
      <c r="C120" s="47" t="s">
        <v>68</v>
      </c>
      <c r="D120" s="47">
        <v>1</v>
      </c>
      <c r="E120" s="47" t="s">
        <v>67</v>
      </c>
      <c r="F120" s="47">
        <v>0</v>
      </c>
      <c r="G120" s="48" t="s">
        <v>76</v>
      </c>
      <c r="H120" s="17">
        <f ca="1">--TRIM(RIGHT(SUBSTITUTE(LEFT(C119,_xlfn.AGGREGATE(16,6,FIND({0,1,2,3,4,5,6,7,8,9},C119,ROW(INDIRECT("1:"&amp;LEN(C119)))),1))," ",REPT(" ",LEN(C119))),LEN(C119)))</f>
        <v>14</v>
      </c>
      <c r="I120" s="51" t="str">
        <f ca="1">IF(D123=100%,"Excavation","")&amp;IF(D124=100%,", Plinth","")&amp;IF(D125=100%,", RCC Slab","")&amp;IF(D126=100%,", Brickwork","")&amp;IF(D127=100%,", Internal Plaster","")&amp;IF(D128=100%,", External Plaster","")&amp;IF(D129=100%,", Flooring","")&amp;IF(D130=100%,", Painting","")&amp;IF(D131=100%,", Building common Amenities","")</f>
        <v>Excavation, Plinth</v>
      </c>
      <c r="J120" s="52"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c>
      <c r="S120"/>
    </row>
    <row r="121" spans="1:19" x14ac:dyDescent="0.25">
      <c r="A121" s="221" t="s">
        <v>86</v>
      </c>
      <c r="B121" s="203"/>
      <c r="C121" s="214" t="str">
        <f ca="1">I119</f>
        <v>Excavation, Plinth Completed, RCC upto 7 Slab Completed</v>
      </c>
      <c r="D121" s="214"/>
      <c r="E121" s="214"/>
      <c r="F121" s="214"/>
      <c r="G121" s="214"/>
      <c r="H121" s="215"/>
      <c r="I121" s="51" t="str">
        <f ca="1">IF(I120&lt;&gt;""," Completed","")</f>
        <v xml:space="preserve"> Completed</v>
      </c>
      <c r="J121" s="52" t="str">
        <f ca="1">IF(J119&lt;&gt;"","Completed","")</f>
        <v>Completed</v>
      </c>
      <c r="S121"/>
    </row>
    <row r="122" spans="1:19" ht="15.75" customHeight="1" x14ac:dyDescent="0.25">
      <c r="A122" s="134" t="s">
        <v>47</v>
      </c>
      <c r="B122" s="135"/>
      <c r="C122" s="43" t="s">
        <v>136</v>
      </c>
      <c r="D122" s="43" t="s">
        <v>79</v>
      </c>
      <c r="E122" s="135" t="s">
        <v>81</v>
      </c>
      <c r="F122" s="135"/>
      <c r="G122" s="135" t="s">
        <v>80</v>
      </c>
      <c r="H122" s="154"/>
      <c r="I122" s="13" t="s">
        <v>138</v>
      </c>
      <c r="J122" s="28">
        <f ca="1">H120*25%</f>
        <v>3.5</v>
      </c>
      <c r="S122"/>
    </row>
    <row r="123" spans="1:19" x14ac:dyDescent="0.25">
      <c r="A123" s="134" t="s">
        <v>125</v>
      </c>
      <c r="B123" s="135"/>
      <c r="C123" s="109">
        <f ca="1">J124</f>
        <v>14</v>
      </c>
      <c r="D123" s="19">
        <f ca="1">((100/H120)*C123)/100</f>
        <v>1</v>
      </c>
      <c r="E123" s="254">
        <f ca="1">(((C124/H120*10)+(40/(D120+F120+H120)*C125)+(7.5/(H120)*C126)+(7.5/(H120)*C127)+(10/H120*C128)+(10/H120*C129)+(5/H120*C130)+(5/H120*C131)+(5/H120*C132))/100)</f>
        <v>0.28666666666666663</v>
      </c>
      <c r="F123" s="270"/>
      <c r="G123" s="254">
        <f ca="1">((((C123/H120)*20)+((C124/H120)*25)+(30/(H120+F120+D120)*C125)+(5/H120*C126)+(5/H120*C127)+(5/H120*C128)+(5/H120*C129)+(0/H120*C130)+(0/H120*C131)+(5/H120*C132))/100)</f>
        <v>0.59</v>
      </c>
      <c r="H123" s="255"/>
      <c r="I123" s="13" t="s">
        <v>97</v>
      </c>
      <c r="J123" s="29">
        <f ca="1">H120*50%</f>
        <v>7</v>
      </c>
    </row>
    <row r="124" spans="1:19" x14ac:dyDescent="0.25">
      <c r="A124" s="134" t="s">
        <v>48</v>
      </c>
      <c r="B124" s="135"/>
      <c r="C124" s="43">
        <f ca="1">J132</f>
        <v>14</v>
      </c>
      <c r="D124" s="19">
        <f ca="1">((100/H120)*C124)/100</f>
        <v>1</v>
      </c>
      <c r="E124" s="256"/>
      <c r="F124" s="271"/>
      <c r="G124" s="256"/>
      <c r="H124" s="257"/>
      <c r="I124" s="13" t="s">
        <v>98</v>
      </c>
      <c r="J124" s="29">
        <f ca="1">H120</f>
        <v>14</v>
      </c>
      <c r="S124"/>
    </row>
    <row r="125" spans="1:19" ht="15.75" customHeight="1" x14ac:dyDescent="0.25">
      <c r="A125" s="134" t="s">
        <v>126</v>
      </c>
      <c r="B125" s="135"/>
      <c r="C125" s="43">
        <v>7</v>
      </c>
      <c r="D125" s="19">
        <f ca="1">((100/(D120+F120+H120))*C125)/100</f>
        <v>0.46666666666666673</v>
      </c>
      <c r="E125" s="256"/>
      <c r="F125" s="271"/>
      <c r="G125" s="256"/>
      <c r="H125" s="257"/>
      <c r="I125" s="13" t="s">
        <v>99</v>
      </c>
      <c r="J125" s="30">
        <f ca="1">(IF(B120&gt;1,(H120/(B120+2)),H120/4))</f>
        <v>3.5</v>
      </c>
      <c r="S125"/>
    </row>
    <row r="126" spans="1:19" ht="15.75" customHeight="1" x14ac:dyDescent="0.25">
      <c r="A126" s="134" t="s">
        <v>133</v>
      </c>
      <c r="B126" s="135" t="s">
        <v>127</v>
      </c>
      <c r="C126" s="43">
        <v>0</v>
      </c>
      <c r="D126" s="19">
        <f ca="1">((100/H120)*C126)/100</f>
        <v>0</v>
      </c>
      <c r="E126" s="256"/>
      <c r="F126" s="271"/>
      <c r="G126" s="256"/>
      <c r="H126" s="257"/>
      <c r="I126" s="13" t="s">
        <v>100</v>
      </c>
      <c r="J126" s="30">
        <f ca="1">(IF(B120&gt;1,(H120/(B120+2)+J125),H120/4+J125))</f>
        <v>7</v>
      </c>
    </row>
    <row r="127" spans="1:19" ht="15.75" customHeight="1" x14ac:dyDescent="0.25">
      <c r="A127" s="134" t="s">
        <v>134</v>
      </c>
      <c r="B127" s="135" t="s">
        <v>127</v>
      </c>
      <c r="C127" s="43">
        <v>0</v>
      </c>
      <c r="D127" s="19">
        <f ca="1">((100/H120)*C127)/100</f>
        <v>0</v>
      </c>
      <c r="E127" s="256"/>
      <c r="F127" s="271"/>
      <c r="G127" s="256"/>
      <c r="H127" s="257"/>
      <c r="I127" s="13" t="s">
        <v>145</v>
      </c>
      <c r="J127" s="30">
        <f>(IF(B120&gt;1,(H120/(B120+2)+J126),0))</f>
        <v>0</v>
      </c>
    </row>
    <row r="128" spans="1:19" ht="15" customHeight="1" x14ac:dyDescent="0.25">
      <c r="A128" s="134" t="s">
        <v>132</v>
      </c>
      <c r="B128" s="135" t="s">
        <v>129</v>
      </c>
      <c r="C128" s="43">
        <v>0</v>
      </c>
      <c r="D128" s="19">
        <f ca="1">((100/(H120))*C128)/100</f>
        <v>0</v>
      </c>
      <c r="E128" s="256"/>
      <c r="F128" s="271"/>
      <c r="G128" s="256"/>
      <c r="H128" s="257"/>
      <c r="I128" s="13" t="s">
        <v>140</v>
      </c>
      <c r="J128" s="30">
        <f>(IF(B120&gt;2,(H120/(B120+2)+J127),0))</f>
        <v>0</v>
      </c>
    </row>
    <row r="129" spans="1:22" ht="15.75" customHeight="1" x14ac:dyDescent="0.25">
      <c r="A129" s="134" t="s">
        <v>128</v>
      </c>
      <c r="B129" s="135" t="s">
        <v>128</v>
      </c>
      <c r="C129" s="43">
        <v>0</v>
      </c>
      <c r="D129" s="19">
        <f ca="1">((100/H120)*C129)/100</f>
        <v>0</v>
      </c>
      <c r="E129" s="256"/>
      <c r="F129" s="271"/>
      <c r="G129" s="256"/>
      <c r="H129" s="257"/>
      <c r="I129" s="13" t="s">
        <v>141</v>
      </c>
      <c r="J129" s="31">
        <f>(IF(B120&gt;3,(H120/(B120+2)+J128),0))</f>
        <v>0</v>
      </c>
    </row>
    <row r="130" spans="1:22" ht="15.75" customHeight="1" x14ac:dyDescent="0.25">
      <c r="A130" s="134" t="s">
        <v>135</v>
      </c>
      <c r="B130" s="135"/>
      <c r="C130" s="43">
        <v>0</v>
      </c>
      <c r="D130" s="19">
        <f ca="1">((100/H120)*C130)/100</f>
        <v>0</v>
      </c>
      <c r="E130" s="256"/>
      <c r="F130" s="271"/>
      <c r="G130" s="256"/>
      <c r="H130" s="257"/>
      <c r="I130" s="13" t="s">
        <v>142</v>
      </c>
      <c r="J130" s="30">
        <f>(IF(B120&gt;4,(H120/(B120+2)+J129),0))</f>
        <v>0</v>
      </c>
    </row>
    <row r="131" spans="1:22" ht="15.75" customHeight="1" x14ac:dyDescent="0.25">
      <c r="A131" s="134" t="s">
        <v>130</v>
      </c>
      <c r="B131" s="135" t="s">
        <v>130</v>
      </c>
      <c r="C131" s="43">
        <v>0</v>
      </c>
      <c r="D131" s="19">
        <f ca="1">((100/(H120))*C131)/100</f>
        <v>0</v>
      </c>
      <c r="E131" s="256"/>
      <c r="F131" s="271"/>
      <c r="G131" s="256"/>
      <c r="H131" s="257"/>
      <c r="I131" s="13" t="s">
        <v>146</v>
      </c>
      <c r="J131" s="30">
        <f ca="1">(IF(B120=1,(H120/(B120+3)+J126),IF(B120=0,(H120/4+J126),IF(B120&gt;1,0))))</f>
        <v>10.5</v>
      </c>
    </row>
    <row r="132" spans="1:22" ht="16.5" thickBot="1" x14ac:dyDescent="0.3">
      <c r="A132" s="155" t="s">
        <v>131</v>
      </c>
      <c r="B132" s="156"/>
      <c r="C132" s="44">
        <v>0</v>
      </c>
      <c r="D132" s="20">
        <f ca="1">((100/(H120))*C132)/100</f>
        <v>0</v>
      </c>
      <c r="E132" s="258"/>
      <c r="F132" s="272"/>
      <c r="G132" s="258"/>
      <c r="H132" s="259"/>
      <c r="I132" s="15" t="s">
        <v>101</v>
      </c>
      <c r="J132" s="32">
        <f ca="1">(IF(B120&gt;1.5,(H120/(B120+2)+J126+MAX(0,J127-J126)+MAX(0,J128-J127)+MAX(0,J129-J128)+MAX(0,J130-J129)+MAX(0,J131-J130)),IF(B120=1,(H120/(B120+3)+J131),IF(B120=0,H120/4+J131))))</f>
        <v>14</v>
      </c>
    </row>
    <row r="133" spans="1:22" x14ac:dyDescent="0.25">
      <c r="A133" s="278" t="s">
        <v>157</v>
      </c>
      <c r="B133" s="278"/>
      <c r="C133" s="278"/>
      <c r="D133" s="278"/>
      <c r="E133" s="278"/>
      <c r="F133" s="188" t="s">
        <v>161</v>
      </c>
      <c r="G133" s="188"/>
      <c r="H133" s="188"/>
      <c r="R133" t="s">
        <v>253</v>
      </c>
      <c r="S133" t="s">
        <v>172</v>
      </c>
      <c r="T133" t="s">
        <v>180</v>
      </c>
      <c r="U133" t="s">
        <v>194</v>
      </c>
      <c r="V133" t="s">
        <v>189</v>
      </c>
    </row>
    <row r="134" spans="1:22" x14ac:dyDescent="0.25">
      <c r="A134" s="123" t="s">
        <v>159</v>
      </c>
      <c r="B134" s="123"/>
      <c r="C134" s="123"/>
      <c r="D134" s="123"/>
      <c r="E134" s="123"/>
      <c r="F134" s="160">
        <v>9500</v>
      </c>
      <c r="G134" s="160"/>
      <c r="H134" s="160"/>
      <c r="R134"/>
      <c r="S134">
        <v>800000</v>
      </c>
      <c r="T134">
        <v>150000</v>
      </c>
      <c r="U134">
        <v>100000</v>
      </c>
      <c r="V134">
        <v>100000</v>
      </c>
    </row>
    <row r="135" spans="1:22" x14ac:dyDescent="0.25">
      <c r="A135" s="123" t="s">
        <v>158</v>
      </c>
      <c r="B135" s="123"/>
      <c r="C135" s="123"/>
      <c r="D135" s="123"/>
      <c r="E135" s="123"/>
      <c r="F135" s="160">
        <v>22000</v>
      </c>
      <c r="G135" s="160"/>
      <c r="H135" s="160"/>
      <c r="R135"/>
      <c r="S135">
        <v>900000</v>
      </c>
      <c r="T135">
        <v>200000</v>
      </c>
      <c r="U135">
        <v>150000</v>
      </c>
      <c r="V135">
        <v>150000</v>
      </c>
    </row>
    <row r="136" spans="1:22" x14ac:dyDescent="0.25">
      <c r="A136" s="123" t="s">
        <v>160</v>
      </c>
      <c r="B136" s="123"/>
      <c r="C136" s="123"/>
      <c r="D136" s="123"/>
      <c r="E136" s="123"/>
      <c r="F136" s="160">
        <v>17000</v>
      </c>
      <c r="G136" s="160"/>
      <c r="H136" s="160"/>
      <c r="R136"/>
      <c r="S136">
        <v>1000000</v>
      </c>
      <c r="T136">
        <v>250000</v>
      </c>
      <c r="U136">
        <v>200000</v>
      </c>
      <c r="V136">
        <v>200000</v>
      </c>
    </row>
    <row r="137" spans="1:22" s="33" customFormat="1" hidden="1" x14ac:dyDescent="0.25">
      <c r="A137" s="123" t="s">
        <v>175</v>
      </c>
      <c r="B137" s="123"/>
      <c r="C137" s="123"/>
      <c r="D137" s="123"/>
      <c r="E137" s="123"/>
      <c r="F137" s="160"/>
      <c r="G137" s="160"/>
      <c r="H137" s="160"/>
      <c r="R137"/>
      <c r="S137">
        <v>1100000</v>
      </c>
      <c r="T137">
        <v>300000</v>
      </c>
      <c r="U137">
        <v>250000</v>
      </c>
      <c r="V137" s="23">
        <v>250000</v>
      </c>
    </row>
    <row r="138" spans="1:22" s="33" customFormat="1" hidden="1" x14ac:dyDescent="0.25">
      <c r="A138" s="123" t="s">
        <v>91</v>
      </c>
      <c r="B138" s="123"/>
      <c r="C138" s="123"/>
      <c r="D138" s="123"/>
      <c r="E138" s="123"/>
      <c r="F138" s="160"/>
      <c r="G138" s="160"/>
      <c r="H138" s="160"/>
      <c r="R138"/>
      <c r="S138">
        <v>1200000</v>
      </c>
      <c r="T138">
        <v>350000</v>
      </c>
      <c r="U138">
        <v>300000</v>
      </c>
      <c r="V138">
        <v>300000</v>
      </c>
    </row>
    <row r="139" spans="1:22" s="33" customFormat="1" hidden="1" x14ac:dyDescent="0.25">
      <c r="A139" s="123" t="s">
        <v>92</v>
      </c>
      <c r="B139" s="123"/>
      <c r="C139" s="123"/>
      <c r="D139" s="123"/>
      <c r="E139" s="123"/>
      <c r="F139" s="160"/>
      <c r="G139" s="160"/>
      <c r="H139" s="160"/>
      <c r="R139"/>
      <c r="S139">
        <v>1300000</v>
      </c>
      <c r="T139">
        <v>400000</v>
      </c>
      <c r="U139">
        <v>350000</v>
      </c>
      <c r="V139" s="23">
        <v>400000</v>
      </c>
    </row>
    <row r="140" spans="1:22" s="33" customFormat="1" hidden="1" x14ac:dyDescent="0.25">
      <c r="A140" s="123" t="s">
        <v>93</v>
      </c>
      <c r="B140" s="123"/>
      <c r="C140" s="123"/>
      <c r="D140" s="123"/>
      <c r="E140" s="123"/>
      <c r="F140" s="160"/>
      <c r="G140" s="160"/>
      <c r="H140" s="160"/>
      <c r="R140"/>
      <c r="S140">
        <v>1400000</v>
      </c>
      <c r="T140">
        <v>500000</v>
      </c>
      <c r="U140">
        <v>400000</v>
      </c>
      <c r="V140"/>
    </row>
    <row r="141" spans="1:22" s="33" customFormat="1" hidden="1" x14ac:dyDescent="0.25">
      <c r="A141" s="123" t="s">
        <v>94</v>
      </c>
      <c r="B141" s="123"/>
      <c r="C141" s="123"/>
      <c r="D141" s="123"/>
      <c r="E141" s="123"/>
      <c r="F141" s="160"/>
      <c r="G141" s="160"/>
      <c r="H141" s="160"/>
      <c r="R141"/>
      <c r="S141">
        <v>1500000</v>
      </c>
      <c r="T141">
        <v>600000</v>
      </c>
      <c r="U141">
        <v>500000</v>
      </c>
      <c r="V141" s="23"/>
    </row>
    <row r="142" spans="1:22" s="33" customFormat="1" hidden="1" x14ac:dyDescent="0.25">
      <c r="A142" s="123" t="s">
        <v>95</v>
      </c>
      <c r="B142" s="123"/>
      <c r="C142" s="123"/>
      <c r="D142" s="123"/>
      <c r="E142" s="123"/>
      <c r="F142" s="160"/>
      <c r="G142" s="160"/>
      <c r="H142" s="160"/>
      <c r="R142"/>
      <c r="S142">
        <v>1600000</v>
      </c>
      <c r="T142">
        <v>700000</v>
      </c>
      <c r="U142">
        <v>600000</v>
      </c>
      <c r="V142"/>
    </row>
    <row r="143" spans="1:22" s="33" customFormat="1" hidden="1" x14ac:dyDescent="0.25">
      <c r="A143" s="123" t="s">
        <v>96</v>
      </c>
      <c r="B143" s="123"/>
      <c r="C143" s="123"/>
      <c r="D143" s="123"/>
      <c r="E143" s="123"/>
      <c r="F143" s="160"/>
      <c r="G143" s="160"/>
      <c r="H143" s="160"/>
      <c r="R143"/>
      <c r="S143">
        <v>1700000</v>
      </c>
      <c r="T143">
        <v>800000</v>
      </c>
      <c r="U143"/>
      <c r="V143" s="23"/>
    </row>
    <row r="144" spans="1:22" x14ac:dyDescent="0.25">
      <c r="A144" s="123" t="s">
        <v>49</v>
      </c>
      <c r="B144" s="123"/>
      <c r="C144" s="123"/>
      <c r="D144" s="123"/>
      <c r="E144" s="123"/>
      <c r="F144" s="160">
        <v>500000</v>
      </c>
      <c r="G144" s="160"/>
      <c r="H144" s="160"/>
      <c r="R144"/>
      <c r="S144">
        <v>1800000</v>
      </c>
      <c r="T144">
        <v>900000</v>
      </c>
      <c r="U144"/>
    </row>
    <row r="145" spans="1:22" s="34" customFormat="1" x14ac:dyDescent="0.25">
      <c r="A145" s="197" t="s">
        <v>50</v>
      </c>
      <c r="B145" s="197"/>
      <c r="C145" s="197"/>
      <c r="D145" s="197"/>
      <c r="E145" s="197"/>
      <c r="F145" s="160">
        <f>F134*0.8</f>
        <v>7600</v>
      </c>
      <c r="G145" s="160"/>
      <c r="H145" s="160"/>
      <c r="R145" s="21"/>
      <c r="S145" s="21"/>
      <c r="T145">
        <v>1000000</v>
      </c>
      <c r="U145"/>
      <c r="V145" s="21"/>
    </row>
    <row r="146" spans="1:22" s="35" customFormat="1" ht="15.75" customHeight="1" x14ac:dyDescent="0.25">
      <c r="A146" s="196" t="s">
        <v>71</v>
      </c>
      <c r="B146" s="196"/>
      <c r="C146" s="196"/>
      <c r="D146" s="196"/>
      <c r="E146" s="196"/>
      <c r="F146" s="196"/>
      <c r="G146" s="196"/>
      <c r="H146" s="196"/>
      <c r="R146"/>
      <c r="S146" s="21"/>
      <c r="T146"/>
      <c r="U146"/>
      <c r="V146" s="21"/>
    </row>
    <row r="147" spans="1:22" s="35" customFormat="1" ht="15.75" customHeight="1" x14ac:dyDescent="0.25">
      <c r="A147" s="162" t="s">
        <v>51</v>
      </c>
      <c r="B147" s="162"/>
      <c r="C147" s="166" t="s">
        <v>74</v>
      </c>
      <c r="D147" s="166"/>
      <c r="E147" s="157" t="s">
        <v>52</v>
      </c>
      <c r="F147" s="157"/>
      <c r="G147" s="162" t="s">
        <v>53</v>
      </c>
      <c r="H147" s="162"/>
      <c r="R147"/>
      <c r="S147" s="21"/>
      <c r="T147"/>
      <c r="U147" s="21"/>
      <c r="V147" s="21"/>
    </row>
    <row r="148" spans="1:22" s="35" customFormat="1" x14ac:dyDescent="0.25">
      <c r="A148" s="279" t="s">
        <v>420</v>
      </c>
      <c r="B148" s="100" t="s">
        <v>422</v>
      </c>
      <c r="C148" s="177">
        <f>COUNT(D168:D182)</f>
        <v>15</v>
      </c>
      <c r="D148" s="178"/>
      <c r="E148" s="177">
        <f t="shared" ref="E148" si="0">SUM(F168:F182)</f>
        <v>9427.0143239999998</v>
      </c>
      <c r="F148" s="178"/>
      <c r="G148" s="177">
        <f t="shared" ref="G148" si="1">SUM(H168:H182)</f>
        <v>14611.8722022</v>
      </c>
      <c r="H148" s="178"/>
      <c r="R148"/>
      <c r="S148" s="21"/>
      <c r="T148"/>
      <c r="U148" s="21"/>
      <c r="V148" s="21"/>
    </row>
    <row r="149" spans="1:22" s="35" customFormat="1" x14ac:dyDescent="0.25">
      <c r="A149" s="280"/>
      <c r="B149" s="100" t="s">
        <v>430</v>
      </c>
      <c r="C149" s="177">
        <f>COUNT(D184:D197)</f>
        <v>14</v>
      </c>
      <c r="D149" s="178"/>
      <c r="E149" s="177">
        <f t="shared" ref="E149" si="2">SUM(F184:F197)</f>
        <v>8678.970143999999</v>
      </c>
      <c r="F149" s="178"/>
      <c r="G149" s="177">
        <f t="shared" ref="G149" si="3">SUM(H184:H197)</f>
        <v>13452.403723199999</v>
      </c>
      <c r="H149" s="178"/>
      <c r="R149"/>
      <c r="S149" s="21"/>
      <c r="T149"/>
      <c r="U149" s="21"/>
      <c r="V149" s="21"/>
    </row>
    <row r="150" spans="1:22" s="35" customFormat="1" x14ac:dyDescent="0.25">
      <c r="A150" s="279" t="s">
        <v>424</v>
      </c>
      <c r="B150" s="100" t="s">
        <v>422</v>
      </c>
      <c r="C150" s="177">
        <f>COUNT(D217:D231)</f>
        <v>15</v>
      </c>
      <c r="D150" s="178"/>
      <c r="E150" s="177">
        <f t="shared" ref="E150" si="4">SUM(F217:F231)</f>
        <v>7140.2993999999999</v>
      </c>
      <c r="F150" s="178"/>
      <c r="G150" s="177">
        <f t="shared" ref="G150" si="5">SUM(H217:H231)</f>
        <v>11067.46407</v>
      </c>
      <c r="H150" s="178"/>
      <c r="R150"/>
      <c r="S150" s="21"/>
      <c r="T150"/>
      <c r="U150" s="21"/>
      <c r="V150" s="21"/>
    </row>
    <row r="151" spans="1:22" s="35" customFormat="1" x14ac:dyDescent="0.25">
      <c r="A151" s="280"/>
      <c r="B151" s="100" t="s">
        <v>430</v>
      </c>
      <c r="C151" s="177">
        <f>COUNT(D233:D246)</f>
        <v>14</v>
      </c>
      <c r="D151" s="178"/>
      <c r="E151" s="177">
        <f t="shared" ref="E151" si="6">SUM(F233:F246)</f>
        <v>6043.1464080000005</v>
      </c>
      <c r="F151" s="178"/>
      <c r="G151" s="177">
        <f t="shared" ref="G151" si="7">SUM(H233:H246)</f>
        <v>9366.8769323999986</v>
      </c>
      <c r="H151" s="178"/>
      <c r="R151"/>
      <c r="S151" s="21"/>
      <c r="T151"/>
      <c r="U151" s="21"/>
      <c r="V151" s="21"/>
    </row>
    <row r="152" spans="1:22" s="35" customFormat="1" x14ac:dyDescent="0.25">
      <c r="A152" s="279" t="s">
        <v>423</v>
      </c>
      <c r="B152" s="100" t="s">
        <v>422</v>
      </c>
      <c r="C152" s="177">
        <f>COUNT(D201:D206)</f>
        <v>6</v>
      </c>
      <c r="D152" s="178"/>
      <c r="E152" s="177">
        <f t="shared" ref="E152" si="8">SUM(F201:F206)</f>
        <v>3250.9217520000002</v>
      </c>
      <c r="F152" s="178"/>
      <c r="G152" s="177">
        <f t="shared" ref="G152" si="9">SUM(H201:H206)</f>
        <v>5038.9287156</v>
      </c>
      <c r="H152" s="178"/>
      <c r="R152"/>
      <c r="S152" s="21"/>
      <c r="T152"/>
      <c r="U152" s="21"/>
      <c r="V152" s="21"/>
    </row>
    <row r="153" spans="1:22" s="35" customFormat="1" x14ac:dyDescent="0.25">
      <c r="A153" s="280"/>
      <c r="B153" s="100" t="s">
        <v>430</v>
      </c>
      <c r="C153" s="177">
        <f>COUNT(D208:D213)</f>
        <v>6</v>
      </c>
      <c r="D153" s="178"/>
      <c r="E153" s="177">
        <f t="shared" ref="E153" si="10">SUM(F208:F213)</f>
        <v>2648.040876</v>
      </c>
      <c r="F153" s="178"/>
      <c r="G153" s="177">
        <f t="shared" ref="G153" si="11">SUM(H208:H213)</f>
        <v>4104.4633578000003</v>
      </c>
      <c r="H153" s="178"/>
      <c r="R153"/>
      <c r="S153" s="21"/>
      <c r="T153"/>
      <c r="U153" s="21"/>
      <c r="V153" s="21"/>
    </row>
    <row r="154" spans="1:22" s="35" customFormat="1" x14ac:dyDescent="0.25">
      <c r="A154" s="196" t="s">
        <v>150</v>
      </c>
      <c r="B154" s="196"/>
      <c r="C154" s="275">
        <f>SUM(C148:D153)</f>
        <v>70</v>
      </c>
      <c r="D154" s="166"/>
      <c r="E154" s="275">
        <f t="shared" ref="E154" si="12">SUM(E148:F153)</f>
        <v>37188.392904</v>
      </c>
      <c r="F154" s="166"/>
      <c r="G154" s="275">
        <f t="shared" ref="G154" si="13">SUM(G148:H153)</f>
        <v>57642.0090012</v>
      </c>
      <c r="H154" s="166"/>
      <c r="R154"/>
      <c r="S154" s="21"/>
      <c r="T154"/>
      <c r="U154" s="21"/>
      <c r="V154" s="21"/>
    </row>
    <row r="155" spans="1:22" s="35" customFormat="1" x14ac:dyDescent="0.25">
      <c r="A155" s="196" t="s">
        <v>66</v>
      </c>
      <c r="B155" s="196"/>
      <c r="C155" s="196"/>
      <c r="D155" s="196"/>
      <c r="E155" s="196"/>
      <c r="F155" s="196"/>
      <c r="G155" s="196"/>
      <c r="H155" s="196"/>
      <c r="T155"/>
    </row>
    <row r="156" spans="1:22" s="35" customFormat="1" ht="15.75" customHeight="1" x14ac:dyDescent="0.25">
      <c r="A156" s="162" t="s">
        <v>51</v>
      </c>
      <c r="B156" s="162"/>
      <c r="C156" s="166" t="s">
        <v>74</v>
      </c>
      <c r="D156" s="166"/>
      <c r="E156" s="157" t="s">
        <v>52</v>
      </c>
      <c r="F156" s="157"/>
      <c r="G156" s="162" t="s">
        <v>53</v>
      </c>
      <c r="H156" s="162"/>
      <c r="T156"/>
    </row>
    <row r="157" spans="1:22" s="35" customFormat="1" x14ac:dyDescent="0.25">
      <c r="A157" s="199" t="s">
        <v>420</v>
      </c>
      <c r="B157" s="199"/>
      <c r="C157" s="178">
        <f>COUNT(D259:D266)*9+COUNT(D268:D275)*2+COUNT(D277:D284)</f>
        <v>96</v>
      </c>
      <c r="D157" s="178"/>
      <c r="E157" s="177">
        <f t="shared" ref="E157" si="14">SUM(F259:F266)*9+SUM(F268:F275)*2+SUM(F277:F284)</f>
        <v>73863.299951999987</v>
      </c>
      <c r="F157" s="177"/>
      <c r="G157" s="177">
        <f t="shared" ref="G157" si="15">SUM(H259:H266)*9+SUM(H268:H275)*2+SUM(H277:H284)</f>
        <v>112285.548648</v>
      </c>
      <c r="H157" s="177"/>
      <c r="K157" s="35">
        <v>36</v>
      </c>
      <c r="T157"/>
    </row>
    <row r="158" spans="1:22" s="35" customFormat="1" x14ac:dyDescent="0.25">
      <c r="A158" s="199" t="s">
        <v>423</v>
      </c>
      <c r="B158" s="199"/>
      <c r="C158" s="178">
        <f>COUNT(D292:D301)*8+COUNT(D303:D312)</f>
        <v>90</v>
      </c>
      <c r="D158" s="178"/>
      <c r="E158" s="177">
        <f t="shared" ref="E158" si="16">SUM(F292:F301)*8+SUM(F303:F312)</f>
        <v>37538.481240000001</v>
      </c>
      <c r="F158" s="177"/>
      <c r="G158" s="177">
        <f t="shared" ref="G158" si="17">SUM(H292:H301)*8+SUM(H303:H312)</f>
        <v>56307.721860000005</v>
      </c>
      <c r="H158" s="177"/>
      <c r="K158" s="35">
        <v>34</v>
      </c>
      <c r="T158"/>
    </row>
    <row r="159" spans="1:22" s="35" customFormat="1" ht="16.5" thickBot="1" x14ac:dyDescent="0.3">
      <c r="A159" s="273" t="s">
        <v>150</v>
      </c>
      <c r="B159" s="273"/>
      <c r="C159" s="179">
        <f>SUM(C157:D158)</f>
        <v>186</v>
      </c>
      <c r="D159" s="179"/>
      <c r="E159" s="274">
        <f t="shared" ref="E159" si="18">SUM(E157:F158)</f>
        <v>111401.78119199999</v>
      </c>
      <c r="F159" s="274"/>
      <c r="G159" s="274">
        <f t="shared" ref="G159" si="19">SUM(G157:H158)</f>
        <v>168593.27050799999</v>
      </c>
      <c r="H159" s="274"/>
      <c r="T159"/>
    </row>
    <row r="160" spans="1:22" s="35" customFormat="1" ht="16.5" thickBot="1" x14ac:dyDescent="0.3">
      <c r="A160" s="276" t="s">
        <v>166</v>
      </c>
      <c r="B160" s="277"/>
      <c r="C160" s="200">
        <f>C154+C159</f>
        <v>256</v>
      </c>
      <c r="D160" s="200"/>
      <c r="E160" s="260">
        <f>E154+E159</f>
        <v>148590.174096</v>
      </c>
      <c r="F160" s="260"/>
      <c r="G160" s="264">
        <f>G154+G159</f>
        <v>226235.27950919999</v>
      </c>
      <c r="H160" s="265"/>
      <c r="T160"/>
    </row>
    <row r="161" spans="1:20" s="34" customFormat="1" x14ac:dyDescent="0.25">
      <c r="A161" s="189" t="s">
        <v>354</v>
      </c>
      <c r="B161" s="189"/>
      <c r="C161" s="189"/>
      <c r="D161" s="189"/>
      <c r="E161" s="189"/>
      <c r="F161" s="189"/>
      <c r="G161" s="189"/>
      <c r="H161" s="189"/>
      <c r="T161" s="35"/>
    </row>
    <row r="162" spans="1:20" x14ac:dyDescent="0.25">
      <c r="A162" s="161" t="s">
        <v>174</v>
      </c>
      <c r="B162" s="161"/>
      <c r="C162" s="161"/>
      <c r="D162" s="161"/>
      <c r="E162" s="161"/>
      <c r="F162" s="161"/>
      <c r="G162" s="161"/>
      <c r="H162" s="161"/>
      <c r="T162" s="35"/>
    </row>
    <row r="163" spans="1:20" ht="47.25" customHeight="1" x14ac:dyDescent="0.25">
      <c r="A163" s="175" t="s">
        <v>448</v>
      </c>
      <c r="B163" s="175" t="s">
        <v>176</v>
      </c>
      <c r="C163" s="175" t="s">
        <v>54</v>
      </c>
      <c r="D163" s="175" t="s">
        <v>232</v>
      </c>
      <c r="E163" s="183" t="s">
        <v>156</v>
      </c>
      <c r="F163" s="175" t="s">
        <v>55</v>
      </c>
      <c r="G163" s="183" t="s">
        <v>56</v>
      </c>
      <c r="H163" s="107" t="s">
        <v>148</v>
      </c>
      <c r="T163" s="35"/>
    </row>
    <row r="164" spans="1:20" s="37" customFormat="1" x14ac:dyDescent="0.25">
      <c r="A164" s="176"/>
      <c r="B164" s="176"/>
      <c r="C164" s="176"/>
      <c r="D164" s="176"/>
      <c r="E164" s="184"/>
      <c r="F164" s="176"/>
      <c r="G164" s="184"/>
      <c r="H164" s="106">
        <v>0.55000000000000004</v>
      </c>
      <c r="T164" s="35"/>
    </row>
    <row r="165" spans="1:20" s="97" customFormat="1" x14ac:dyDescent="0.25">
      <c r="A165" s="117" t="s">
        <v>420</v>
      </c>
      <c r="B165" s="118"/>
      <c r="C165" s="118"/>
      <c r="D165" s="118"/>
      <c r="E165" s="118"/>
      <c r="F165" s="118"/>
      <c r="G165" s="118"/>
      <c r="H165" s="119"/>
      <c r="J165" s="36"/>
      <c r="T165" s="35"/>
    </row>
    <row r="166" spans="1:20" s="97" customFormat="1" x14ac:dyDescent="0.25">
      <c r="A166" s="117" t="s">
        <v>421</v>
      </c>
      <c r="B166" s="118"/>
      <c r="C166" s="118"/>
      <c r="D166" s="118"/>
      <c r="E166" s="118"/>
      <c r="F166" s="118"/>
      <c r="G166" s="118"/>
      <c r="H166" s="119"/>
      <c r="J166" s="36"/>
      <c r="T166" s="35"/>
    </row>
    <row r="167" spans="1:20" s="97" customFormat="1" x14ac:dyDescent="0.25">
      <c r="A167" s="117" t="s">
        <v>426</v>
      </c>
      <c r="B167" s="118"/>
      <c r="C167" s="118"/>
      <c r="D167" s="118"/>
      <c r="E167" s="118"/>
      <c r="F167" s="118"/>
      <c r="G167" s="118"/>
      <c r="H167" s="119"/>
      <c r="J167" s="36"/>
      <c r="T167" s="35"/>
    </row>
    <row r="168" spans="1:20" s="97" customFormat="1" ht="15.75" customHeight="1" x14ac:dyDescent="0.25">
      <c r="A168" s="114">
        <v>1</v>
      </c>
      <c r="B168" s="115"/>
      <c r="C168" s="96" t="s">
        <v>422</v>
      </c>
      <c r="D168" s="108">
        <f>(40.444)*(10.764)</f>
        <v>435.33921600000002</v>
      </c>
      <c r="E168" s="96">
        <v>0</v>
      </c>
      <c r="F168" s="96">
        <f t="shared" ref="F168:F182" si="20">D168+(IF(E168&lt;201,E168,IF(E168&lt;301,E168/2,E168/3)))</f>
        <v>435.33921600000002</v>
      </c>
      <c r="G168" s="96">
        <v>0</v>
      </c>
      <c r="H168" s="96">
        <f t="shared" ref="H168:H182" si="21">(F168+(IF(G168&lt;101,G168,IF(G168&lt;201,G168/2,IF(G168&lt;=301,G168/3,G168/4)))))*(($H$164)+1)</f>
        <v>674.7757848</v>
      </c>
      <c r="I168" s="36"/>
      <c r="L168" s="116"/>
      <c r="M168" s="116"/>
      <c r="N168" s="36"/>
      <c r="T168" s="35"/>
    </row>
    <row r="169" spans="1:20" s="97" customFormat="1" ht="15.75" customHeight="1" x14ac:dyDescent="0.25">
      <c r="A169" s="114">
        <f t="shared" ref="A169:A182" si="22">A168+1</f>
        <v>2</v>
      </c>
      <c r="B169" s="115"/>
      <c r="C169" s="96" t="s">
        <v>422</v>
      </c>
      <c r="D169" s="108">
        <f>(51.184)*(10.764)</f>
        <v>550.94457599999998</v>
      </c>
      <c r="E169" s="96">
        <v>0</v>
      </c>
      <c r="F169" s="96">
        <f t="shared" si="20"/>
        <v>550.94457599999998</v>
      </c>
      <c r="G169" s="96">
        <v>0</v>
      </c>
      <c r="H169" s="96">
        <f t="shared" si="21"/>
        <v>853.9640928</v>
      </c>
      <c r="I169" s="36"/>
      <c r="L169" s="116"/>
      <c r="M169" s="116"/>
      <c r="N169" s="36"/>
      <c r="T169" s="34"/>
    </row>
    <row r="170" spans="1:20" s="97" customFormat="1" ht="15.75" customHeight="1" x14ac:dyDescent="0.25">
      <c r="A170" s="114">
        <f t="shared" si="22"/>
        <v>3</v>
      </c>
      <c r="B170" s="115"/>
      <c r="C170" s="96" t="s">
        <v>422</v>
      </c>
      <c r="D170" s="108">
        <f>(51.647)*(10.764)</f>
        <v>555.9283079999999</v>
      </c>
      <c r="E170" s="96">
        <v>0</v>
      </c>
      <c r="F170" s="96">
        <f t="shared" si="20"/>
        <v>555.9283079999999</v>
      </c>
      <c r="G170" s="96">
        <v>0</v>
      </c>
      <c r="H170" s="96">
        <f t="shared" si="21"/>
        <v>861.68887739999991</v>
      </c>
      <c r="I170" s="36"/>
      <c r="K170" s="108">
        <f>10.764</f>
        <v>10.763999999999999</v>
      </c>
      <c r="L170" s="116"/>
      <c r="M170" s="116"/>
      <c r="N170" s="36"/>
      <c r="T170" s="21"/>
    </row>
    <row r="171" spans="1:20" s="97" customFormat="1" ht="15.75" customHeight="1" x14ac:dyDescent="0.25">
      <c r="A171" s="114">
        <f t="shared" si="22"/>
        <v>4</v>
      </c>
      <c r="B171" s="115"/>
      <c r="C171" s="96" t="s">
        <v>422</v>
      </c>
      <c r="D171" s="108">
        <f>(55.185)*(10.764)</f>
        <v>594.01134000000002</v>
      </c>
      <c r="E171" s="96">
        <v>0</v>
      </c>
      <c r="F171" s="96">
        <f t="shared" si="20"/>
        <v>594.01134000000002</v>
      </c>
      <c r="G171" s="96">
        <v>0</v>
      </c>
      <c r="H171" s="96">
        <f t="shared" si="21"/>
        <v>920.71757700000001</v>
      </c>
      <c r="I171" s="36">
        <f>3.9*14.15</f>
        <v>55.185000000000002</v>
      </c>
      <c r="L171" s="116"/>
      <c r="M171" s="116"/>
      <c r="N171" s="36"/>
      <c r="T171" s="21"/>
    </row>
    <row r="172" spans="1:20" s="97" customFormat="1" ht="15.75" customHeight="1" x14ac:dyDescent="0.25">
      <c r="A172" s="114">
        <f t="shared" si="22"/>
        <v>5</v>
      </c>
      <c r="B172" s="115"/>
      <c r="C172" s="96" t="s">
        <v>422</v>
      </c>
      <c r="D172" s="108">
        <f>(44.644)*(10.764)</f>
        <v>480.54801599999996</v>
      </c>
      <c r="E172" s="96">
        <v>0</v>
      </c>
      <c r="F172" s="96">
        <f t="shared" si="20"/>
        <v>480.54801599999996</v>
      </c>
      <c r="G172" s="96">
        <v>0</v>
      </c>
      <c r="H172" s="96">
        <f t="shared" si="21"/>
        <v>744.84942479999995</v>
      </c>
      <c r="L172" s="116"/>
      <c r="M172" s="116"/>
      <c r="N172" s="36"/>
      <c r="T172" s="34"/>
    </row>
    <row r="173" spans="1:20" s="97" customFormat="1" ht="15.75" customHeight="1" x14ac:dyDescent="0.25">
      <c r="A173" s="114">
        <f t="shared" si="22"/>
        <v>6</v>
      </c>
      <c r="B173" s="115"/>
      <c r="C173" s="96" t="s">
        <v>422</v>
      </c>
      <c r="D173" s="108">
        <f>(52.359)*(10.764)</f>
        <v>563.59227599999997</v>
      </c>
      <c r="E173" s="96">
        <v>0</v>
      </c>
      <c r="F173" s="96">
        <f t="shared" si="20"/>
        <v>563.59227599999997</v>
      </c>
      <c r="G173" s="96">
        <v>0</v>
      </c>
      <c r="H173" s="96">
        <f t="shared" si="21"/>
        <v>873.56802779999998</v>
      </c>
      <c r="I173" s="36">
        <f>4.4*11.9</f>
        <v>52.360000000000007</v>
      </c>
      <c r="L173" s="116"/>
      <c r="M173" s="116"/>
      <c r="N173" s="36"/>
      <c r="T173" s="21"/>
    </row>
    <row r="174" spans="1:20" s="97" customFormat="1" ht="15.75" customHeight="1" x14ac:dyDescent="0.25">
      <c r="A174" s="114">
        <f t="shared" si="22"/>
        <v>7</v>
      </c>
      <c r="B174" s="115"/>
      <c r="C174" s="96" t="s">
        <v>422</v>
      </c>
      <c r="D174" s="108">
        <f>(39.695)*(10.764)</f>
        <v>427.27697999999998</v>
      </c>
      <c r="E174" s="96">
        <v>0</v>
      </c>
      <c r="F174" s="96">
        <f t="shared" si="20"/>
        <v>427.27697999999998</v>
      </c>
      <c r="G174" s="96">
        <v>0</v>
      </c>
      <c r="H174" s="96">
        <f t="shared" si="21"/>
        <v>662.27931899999999</v>
      </c>
      <c r="I174" s="36"/>
      <c r="L174" s="116"/>
      <c r="M174" s="116"/>
      <c r="N174" s="36"/>
      <c r="T174" s="21"/>
    </row>
    <row r="175" spans="1:20" s="97" customFormat="1" ht="15.75" customHeight="1" x14ac:dyDescent="0.25">
      <c r="A175" s="114">
        <f t="shared" si="22"/>
        <v>8</v>
      </c>
      <c r="B175" s="115"/>
      <c r="C175" s="96" t="s">
        <v>422</v>
      </c>
      <c r="D175" s="108">
        <f>(57.8)*(10.764)</f>
        <v>622.15919999999994</v>
      </c>
      <c r="E175" s="96">
        <v>0</v>
      </c>
      <c r="F175" s="96">
        <f t="shared" si="20"/>
        <v>622.15919999999994</v>
      </c>
      <c r="G175" s="96">
        <v>0</v>
      </c>
      <c r="H175" s="96">
        <f t="shared" si="21"/>
        <v>964.3467599999999</v>
      </c>
      <c r="I175" s="36"/>
      <c r="L175" s="116"/>
      <c r="M175" s="116"/>
      <c r="N175" s="36"/>
      <c r="T175" s="34"/>
    </row>
    <row r="176" spans="1:20" s="97" customFormat="1" ht="15.75" customHeight="1" x14ac:dyDescent="0.25">
      <c r="A176" s="114">
        <f t="shared" si="22"/>
        <v>9</v>
      </c>
      <c r="B176" s="115"/>
      <c r="C176" s="96" t="s">
        <v>422</v>
      </c>
      <c r="D176" s="108">
        <f>(52.02)*(10.764)</f>
        <v>559.94327999999996</v>
      </c>
      <c r="E176" s="96">
        <v>0</v>
      </c>
      <c r="F176" s="96">
        <f t="shared" si="20"/>
        <v>559.94327999999996</v>
      </c>
      <c r="G176" s="96">
        <v>0</v>
      </c>
      <c r="H176" s="96">
        <f t="shared" si="21"/>
        <v>867.91208399999994</v>
      </c>
      <c r="I176" s="36"/>
      <c r="L176" s="116"/>
      <c r="M176" s="116"/>
      <c r="N176" s="36"/>
      <c r="T176" s="21"/>
    </row>
    <row r="177" spans="1:20" s="97" customFormat="1" ht="15.75" customHeight="1" x14ac:dyDescent="0.25">
      <c r="A177" s="114">
        <f t="shared" si="22"/>
        <v>10</v>
      </c>
      <c r="B177" s="115"/>
      <c r="C177" s="96" t="s">
        <v>422</v>
      </c>
      <c r="D177" s="108">
        <f>(52.742)*(10.764)</f>
        <v>567.71488799999997</v>
      </c>
      <c r="E177" s="96">
        <v>0</v>
      </c>
      <c r="F177" s="96">
        <f t="shared" si="20"/>
        <v>567.71488799999997</v>
      </c>
      <c r="G177" s="96">
        <v>0</v>
      </c>
      <c r="H177" s="96">
        <f t="shared" si="21"/>
        <v>879.95807639999998</v>
      </c>
      <c r="I177" s="36"/>
      <c r="L177" s="116"/>
      <c r="M177" s="116"/>
      <c r="N177" s="36"/>
      <c r="T177" s="21"/>
    </row>
    <row r="178" spans="1:20" s="97" customFormat="1" ht="15.75" customHeight="1" x14ac:dyDescent="0.25">
      <c r="A178" s="114">
        <f t="shared" si="22"/>
        <v>11</v>
      </c>
      <c r="B178" s="115"/>
      <c r="C178" s="96" t="s">
        <v>422</v>
      </c>
      <c r="D178" s="108">
        <f>(52.742)*(10.764)</f>
        <v>567.71488799999997</v>
      </c>
      <c r="E178" s="96">
        <v>0</v>
      </c>
      <c r="F178" s="96">
        <f t="shared" si="20"/>
        <v>567.71488799999997</v>
      </c>
      <c r="G178" s="96">
        <v>0</v>
      </c>
      <c r="H178" s="96">
        <f t="shared" si="21"/>
        <v>879.95807639999998</v>
      </c>
      <c r="I178" s="36"/>
      <c r="L178" s="116"/>
      <c r="M178" s="116"/>
      <c r="N178" s="36"/>
      <c r="T178" s="34"/>
    </row>
    <row r="179" spans="1:20" s="97" customFormat="1" ht="15.75" customHeight="1" x14ac:dyDescent="0.25">
      <c r="A179" s="114">
        <f t="shared" si="22"/>
        <v>12</v>
      </c>
      <c r="B179" s="115"/>
      <c r="C179" s="96" t="s">
        <v>422</v>
      </c>
      <c r="D179" s="108">
        <f>(46.961)*(10.764)</f>
        <v>505.48820399999994</v>
      </c>
      <c r="E179" s="96">
        <v>0</v>
      </c>
      <c r="F179" s="96">
        <f t="shared" si="20"/>
        <v>505.48820399999994</v>
      </c>
      <c r="G179" s="96">
        <v>0</v>
      </c>
      <c r="H179" s="96">
        <f t="shared" si="21"/>
        <v>783.50671619999991</v>
      </c>
      <c r="I179" s="36"/>
      <c r="L179" s="116"/>
      <c r="M179" s="116"/>
      <c r="N179" s="36"/>
      <c r="T179" s="21"/>
    </row>
    <row r="180" spans="1:20" s="97" customFormat="1" ht="15.75" customHeight="1" x14ac:dyDescent="0.25">
      <c r="A180" s="114">
        <f t="shared" si="22"/>
        <v>13</v>
      </c>
      <c r="B180" s="115"/>
      <c r="C180" s="96" t="s">
        <v>422</v>
      </c>
      <c r="D180" s="108">
        <f>(53.579)*(10.764)</f>
        <v>576.72435599999994</v>
      </c>
      <c r="E180" s="96">
        <v>0</v>
      </c>
      <c r="F180" s="96">
        <f t="shared" si="20"/>
        <v>576.72435599999994</v>
      </c>
      <c r="G180" s="96">
        <v>0</v>
      </c>
      <c r="H180" s="96">
        <f t="shared" si="21"/>
        <v>893.9227517999999</v>
      </c>
      <c r="I180" s="36"/>
      <c r="L180" s="116"/>
      <c r="M180" s="116"/>
      <c r="N180" s="36"/>
      <c r="T180" s="21"/>
    </row>
    <row r="181" spans="1:20" s="97" customFormat="1" ht="15.75" customHeight="1" x14ac:dyDescent="0.25">
      <c r="A181" s="114">
        <f t="shared" si="22"/>
        <v>14</v>
      </c>
      <c r="B181" s="115"/>
      <c r="C181" s="96" t="s">
        <v>422</v>
      </c>
      <c r="D181" s="108">
        <f>(90.057)*(10.764)</f>
        <v>969.37354799999991</v>
      </c>
      <c r="E181" s="96">
        <v>0</v>
      </c>
      <c r="F181" s="96">
        <f t="shared" si="20"/>
        <v>969.37354799999991</v>
      </c>
      <c r="G181" s="96">
        <v>0</v>
      </c>
      <c r="H181" s="96">
        <f t="shared" si="21"/>
        <v>1502.5289994</v>
      </c>
      <c r="I181" s="36"/>
      <c r="L181" s="116"/>
      <c r="M181" s="116"/>
      <c r="N181" s="36"/>
      <c r="T181" s="21"/>
    </row>
    <row r="182" spans="1:20" s="97" customFormat="1" ht="15.75" customHeight="1" x14ac:dyDescent="0.25">
      <c r="A182" s="114">
        <f t="shared" si="22"/>
        <v>15</v>
      </c>
      <c r="B182" s="115"/>
      <c r="C182" s="96" t="s">
        <v>422</v>
      </c>
      <c r="D182" s="108">
        <f>(134.732)*(10.764)</f>
        <v>1450.2552479999999</v>
      </c>
      <c r="E182" s="96">
        <v>0</v>
      </c>
      <c r="F182" s="96">
        <f t="shared" si="20"/>
        <v>1450.2552479999999</v>
      </c>
      <c r="G182" s="96">
        <v>0</v>
      </c>
      <c r="H182" s="96">
        <f t="shared" si="21"/>
        <v>2247.8956343999998</v>
      </c>
      <c r="I182" s="36"/>
      <c r="L182" s="116"/>
      <c r="M182" s="116"/>
      <c r="N182" s="36"/>
      <c r="T182" s="21"/>
    </row>
    <row r="183" spans="1:20" s="101" customFormat="1" x14ac:dyDescent="0.25">
      <c r="A183" s="117" t="s">
        <v>429</v>
      </c>
      <c r="B183" s="118"/>
      <c r="C183" s="118"/>
      <c r="D183" s="118"/>
      <c r="E183" s="118"/>
      <c r="F183" s="118"/>
      <c r="G183" s="118"/>
      <c r="H183" s="119"/>
      <c r="J183" s="36"/>
      <c r="T183" s="35"/>
    </row>
    <row r="184" spans="1:20" s="101" customFormat="1" ht="15.75" customHeight="1" x14ac:dyDescent="0.25">
      <c r="A184" s="114">
        <v>37</v>
      </c>
      <c r="B184" s="115"/>
      <c r="C184" s="102" t="s">
        <v>430</v>
      </c>
      <c r="D184" s="108">
        <f>(95.375)*(10.764)</f>
        <v>1026.6164999999999</v>
      </c>
      <c r="E184" s="102">
        <v>0</v>
      </c>
      <c r="F184" s="102">
        <f t="shared" ref="F184:F197" si="23">D184+(IF(E184&lt;201,E184,IF(E184&lt;301,E184/2,E184/3)))</f>
        <v>1026.6164999999999</v>
      </c>
      <c r="G184" s="102">
        <v>0</v>
      </c>
      <c r="H184" s="102">
        <f t="shared" ref="H184:H197" si="24">(F184+(IF(G184&lt;101,G184,IF(G184&lt;201,G184/2,IF(G184&lt;=301,G184/3,G184/4)))))*(($H$164)+1)</f>
        <v>1591.2555749999999</v>
      </c>
      <c r="I184" s="36"/>
      <c r="L184" s="116"/>
      <c r="M184" s="116"/>
      <c r="N184" s="36"/>
      <c r="T184" s="35"/>
    </row>
    <row r="185" spans="1:20" s="101" customFormat="1" ht="15.75" customHeight="1" x14ac:dyDescent="0.25">
      <c r="A185" s="114">
        <f t="shared" ref="A185:A197" si="25">A184+1</f>
        <v>38</v>
      </c>
      <c r="B185" s="115"/>
      <c r="C185" s="102" t="s">
        <v>430</v>
      </c>
      <c r="D185" s="108">
        <f>(46.352)*(10.764)</f>
        <v>498.93292799999995</v>
      </c>
      <c r="E185" s="102">
        <v>0</v>
      </c>
      <c r="F185" s="102">
        <f t="shared" si="23"/>
        <v>498.93292799999995</v>
      </c>
      <c r="G185" s="102">
        <v>0</v>
      </c>
      <c r="H185" s="102">
        <f t="shared" si="24"/>
        <v>773.34603839999988</v>
      </c>
      <c r="I185" s="36"/>
      <c r="L185" s="116"/>
      <c r="M185" s="116"/>
      <c r="N185" s="36"/>
      <c r="T185" s="34"/>
    </row>
    <row r="186" spans="1:20" s="101" customFormat="1" ht="15.75" customHeight="1" x14ac:dyDescent="0.25">
      <c r="A186" s="114">
        <f t="shared" si="25"/>
        <v>39</v>
      </c>
      <c r="B186" s="115"/>
      <c r="C186" s="102" t="s">
        <v>430</v>
      </c>
      <c r="D186" s="108">
        <f>(50.053)*(10.764)</f>
        <v>538.77049199999999</v>
      </c>
      <c r="E186" s="102">
        <v>0</v>
      </c>
      <c r="F186" s="102">
        <f t="shared" si="23"/>
        <v>538.77049199999999</v>
      </c>
      <c r="G186" s="102">
        <v>0</v>
      </c>
      <c r="H186" s="102">
        <f t="shared" si="24"/>
        <v>835.09426259999998</v>
      </c>
      <c r="I186" s="36">
        <f>3.9*12.65</f>
        <v>49.335000000000001</v>
      </c>
      <c r="L186" s="116"/>
      <c r="M186" s="116"/>
      <c r="N186" s="36"/>
      <c r="T186" s="21"/>
    </row>
    <row r="187" spans="1:20" s="101" customFormat="1" ht="15.75" customHeight="1" x14ac:dyDescent="0.25">
      <c r="A187" s="114">
        <f t="shared" si="25"/>
        <v>40</v>
      </c>
      <c r="B187" s="115"/>
      <c r="C187" s="102" t="s">
        <v>430</v>
      </c>
      <c r="D187" s="108">
        <f>(36.097)*(10.764)</f>
        <v>388.54810800000001</v>
      </c>
      <c r="E187" s="102">
        <v>0</v>
      </c>
      <c r="F187" s="102">
        <f t="shared" si="23"/>
        <v>388.54810800000001</v>
      </c>
      <c r="G187" s="102">
        <v>0</v>
      </c>
      <c r="H187" s="102">
        <f t="shared" si="24"/>
        <v>602.24956740000005</v>
      </c>
      <c r="I187" s="36">
        <f>3.45*10.4</f>
        <v>35.880000000000003</v>
      </c>
      <c r="L187" s="116"/>
      <c r="M187" s="116"/>
      <c r="N187" s="36"/>
      <c r="T187" s="21"/>
    </row>
    <row r="188" spans="1:20" s="101" customFormat="1" ht="15.75" customHeight="1" x14ac:dyDescent="0.25">
      <c r="A188" s="114">
        <f t="shared" si="25"/>
        <v>41</v>
      </c>
      <c r="B188" s="115"/>
      <c r="C188" s="102" t="s">
        <v>430</v>
      </c>
      <c r="D188" s="108">
        <f>(45.94)*(10.764)</f>
        <v>494.49815999999993</v>
      </c>
      <c r="E188" s="102">
        <v>0</v>
      </c>
      <c r="F188" s="102">
        <f t="shared" si="23"/>
        <v>494.49815999999993</v>
      </c>
      <c r="G188" s="102">
        <v>0</v>
      </c>
      <c r="H188" s="102">
        <f t="shared" si="24"/>
        <v>766.47214799999995</v>
      </c>
      <c r="L188" s="116"/>
      <c r="M188" s="116"/>
      <c r="N188" s="36"/>
      <c r="T188" s="34"/>
    </row>
    <row r="189" spans="1:20" s="101" customFormat="1" ht="15.75" customHeight="1" x14ac:dyDescent="0.25">
      <c r="A189" s="114">
        <f t="shared" si="25"/>
        <v>42</v>
      </c>
      <c r="B189" s="115"/>
      <c r="C189" s="102" t="s">
        <v>430</v>
      </c>
      <c r="D189" s="108">
        <f>(30.827)*(10.764)</f>
        <v>331.82182799999998</v>
      </c>
      <c r="E189" s="102">
        <v>0</v>
      </c>
      <c r="F189" s="102">
        <f t="shared" si="23"/>
        <v>331.82182799999998</v>
      </c>
      <c r="G189" s="102">
        <v>0</v>
      </c>
      <c r="H189" s="102">
        <f t="shared" si="24"/>
        <v>514.32383340000001</v>
      </c>
      <c r="I189" s="36"/>
      <c r="L189" s="116"/>
      <c r="M189" s="116"/>
      <c r="N189" s="36"/>
      <c r="T189" s="21"/>
    </row>
    <row r="190" spans="1:20" s="101" customFormat="1" ht="15.75" customHeight="1" x14ac:dyDescent="0.25">
      <c r="A190" s="114">
        <f t="shared" si="25"/>
        <v>43</v>
      </c>
      <c r="B190" s="115"/>
      <c r="C190" s="102" t="s">
        <v>430</v>
      </c>
      <c r="D190" s="108">
        <f>(52.022)*(10.764)</f>
        <v>559.96480799999995</v>
      </c>
      <c r="E190" s="102">
        <v>0</v>
      </c>
      <c r="F190" s="102">
        <f t="shared" si="23"/>
        <v>559.96480799999995</v>
      </c>
      <c r="G190" s="102">
        <v>0</v>
      </c>
      <c r="H190" s="102">
        <f t="shared" si="24"/>
        <v>867.94545239999991</v>
      </c>
      <c r="I190" s="36"/>
      <c r="L190" s="116"/>
      <c r="M190" s="116"/>
      <c r="N190" s="36"/>
      <c r="T190" s="21"/>
    </row>
    <row r="191" spans="1:20" s="101" customFormat="1" ht="15.75" customHeight="1" x14ac:dyDescent="0.25">
      <c r="A191" s="114">
        <f t="shared" si="25"/>
        <v>44</v>
      </c>
      <c r="B191" s="115"/>
      <c r="C191" s="102" t="s">
        <v>430</v>
      </c>
      <c r="D191" s="108">
        <f>(46.8)*(10.764)</f>
        <v>503.75519999999995</v>
      </c>
      <c r="E191" s="102">
        <v>0</v>
      </c>
      <c r="F191" s="102">
        <f t="shared" si="23"/>
        <v>503.75519999999995</v>
      </c>
      <c r="G191" s="102">
        <v>0</v>
      </c>
      <c r="H191" s="102">
        <f t="shared" si="24"/>
        <v>780.82055999999989</v>
      </c>
      <c r="I191" s="36"/>
      <c r="L191" s="116"/>
      <c r="M191" s="116"/>
      <c r="N191" s="36"/>
      <c r="T191" s="34"/>
    </row>
    <row r="192" spans="1:20" s="101" customFormat="1" ht="15.75" customHeight="1" x14ac:dyDescent="0.25">
      <c r="A192" s="114">
        <f t="shared" si="25"/>
        <v>45</v>
      </c>
      <c r="B192" s="115"/>
      <c r="C192" s="102" t="s">
        <v>430</v>
      </c>
      <c r="D192" s="108">
        <f>(47.448)*(10.764)</f>
        <v>510.73027199999996</v>
      </c>
      <c r="E192" s="102">
        <v>0</v>
      </c>
      <c r="F192" s="102">
        <f t="shared" si="23"/>
        <v>510.73027199999996</v>
      </c>
      <c r="G192" s="102">
        <v>0</v>
      </c>
      <c r="H192" s="102">
        <f t="shared" si="24"/>
        <v>791.63192159999994</v>
      </c>
      <c r="I192" s="36"/>
      <c r="L192" s="116"/>
      <c r="M192" s="116"/>
      <c r="N192" s="36"/>
      <c r="T192" s="21"/>
    </row>
    <row r="193" spans="1:20" s="101" customFormat="1" ht="15.75" customHeight="1" x14ac:dyDescent="0.25">
      <c r="A193" s="114">
        <f t="shared" si="25"/>
        <v>46</v>
      </c>
      <c r="B193" s="115"/>
      <c r="C193" s="102" t="s">
        <v>430</v>
      </c>
      <c r="D193" s="108">
        <f>(47.448)*(10.764)</f>
        <v>510.73027199999996</v>
      </c>
      <c r="E193" s="102">
        <v>0</v>
      </c>
      <c r="F193" s="102">
        <f t="shared" si="23"/>
        <v>510.73027199999996</v>
      </c>
      <c r="G193" s="102">
        <v>0</v>
      </c>
      <c r="H193" s="102">
        <f t="shared" si="24"/>
        <v>791.63192159999994</v>
      </c>
      <c r="I193" s="36"/>
      <c r="L193" s="116"/>
      <c r="M193" s="116"/>
      <c r="N193" s="36"/>
      <c r="T193" s="21"/>
    </row>
    <row r="194" spans="1:20" s="101" customFormat="1" ht="15.75" customHeight="1" x14ac:dyDescent="0.25">
      <c r="A194" s="114">
        <f t="shared" si="25"/>
        <v>47</v>
      </c>
      <c r="B194" s="115"/>
      <c r="C194" s="102" t="s">
        <v>430</v>
      </c>
      <c r="D194" s="108">
        <f>(42.268)*(10.764)</f>
        <v>454.97275199999996</v>
      </c>
      <c r="E194" s="102">
        <v>0</v>
      </c>
      <c r="F194" s="102">
        <f t="shared" si="23"/>
        <v>454.97275199999996</v>
      </c>
      <c r="G194" s="102">
        <v>0</v>
      </c>
      <c r="H194" s="102">
        <f t="shared" si="24"/>
        <v>705.2077655999999</v>
      </c>
      <c r="I194" s="36"/>
      <c r="L194" s="116"/>
      <c r="M194" s="116"/>
      <c r="N194" s="36"/>
      <c r="T194" s="34"/>
    </row>
    <row r="195" spans="1:20" s="101" customFormat="1" ht="15.75" customHeight="1" x14ac:dyDescent="0.25">
      <c r="A195" s="114">
        <f t="shared" si="25"/>
        <v>48</v>
      </c>
      <c r="B195" s="115"/>
      <c r="C195" s="102" t="s">
        <v>430</v>
      </c>
      <c r="D195" s="108">
        <f>(57.183)*(10.764)</f>
        <v>615.51781199999994</v>
      </c>
      <c r="E195" s="102">
        <v>0</v>
      </c>
      <c r="F195" s="102">
        <f t="shared" si="23"/>
        <v>615.51781199999994</v>
      </c>
      <c r="G195" s="102">
        <v>0</v>
      </c>
      <c r="H195" s="102">
        <f t="shared" si="24"/>
        <v>954.05260859999987</v>
      </c>
      <c r="I195" s="36"/>
      <c r="L195" s="116"/>
      <c r="M195" s="116"/>
      <c r="N195" s="36"/>
      <c r="T195" s="21"/>
    </row>
    <row r="196" spans="1:20" s="101" customFormat="1" ht="15.75" customHeight="1" x14ac:dyDescent="0.25">
      <c r="A196" s="114">
        <f t="shared" si="25"/>
        <v>49</v>
      </c>
      <c r="B196" s="115"/>
      <c r="C196" s="102" t="s">
        <v>430</v>
      </c>
      <c r="D196" s="108">
        <f>(80.817)*(10.764)</f>
        <v>869.91418799999985</v>
      </c>
      <c r="E196" s="102">
        <v>0</v>
      </c>
      <c r="F196" s="102">
        <f t="shared" si="23"/>
        <v>869.91418799999985</v>
      </c>
      <c r="G196" s="102">
        <v>0</v>
      </c>
      <c r="H196" s="102">
        <f t="shared" si="24"/>
        <v>1348.3669913999997</v>
      </c>
      <c r="I196" s="36"/>
      <c r="L196" s="116"/>
      <c r="M196" s="116"/>
      <c r="N196" s="36"/>
      <c r="T196" s="21"/>
    </row>
    <row r="197" spans="1:20" s="101" customFormat="1" ht="15.75" customHeight="1" x14ac:dyDescent="0.25">
      <c r="A197" s="114">
        <f t="shared" si="25"/>
        <v>50</v>
      </c>
      <c r="B197" s="115"/>
      <c r="C197" s="102" t="s">
        <v>430</v>
      </c>
      <c r="D197" s="108">
        <f>(127.666)*(10.764)</f>
        <v>1374.1968239999999</v>
      </c>
      <c r="E197" s="102">
        <v>0</v>
      </c>
      <c r="F197" s="102">
        <f t="shared" si="23"/>
        <v>1374.1968239999999</v>
      </c>
      <c r="G197" s="102">
        <v>0</v>
      </c>
      <c r="H197" s="102">
        <f t="shared" si="24"/>
        <v>2130.0050772</v>
      </c>
      <c r="I197" s="36"/>
      <c r="L197" s="116"/>
      <c r="M197" s="116"/>
      <c r="N197" s="36"/>
      <c r="T197" s="21"/>
    </row>
    <row r="198" spans="1:20" s="97" customFormat="1" x14ac:dyDescent="0.25">
      <c r="A198" s="117" t="s">
        <v>423</v>
      </c>
      <c r="B198" s="118"/>
      <c r="C198" s="118"/>
      <c r="D198" s="118"/>
      <c r="E198" s="118"/>
      <c r="F198" s="118"/>
      <c r="G198" s="118"/>
      <c r="H198" s="119"/>
      <c r="J198" s="36"/>
      <c r="T198" s="35"/>
    </row>
    <row r="199" spans="1:20" s="97" customFormat="1" x14ac:dyDescent="0.25">
      <c r="A199" s="117" t="s">
        <v>421</v>
      </c>
      <c r="B199" s="118"/>
      <c r="C199" s="118"/>
      <c r="D199" s="118"/>
      <c r="E199" s="118"/>
      <c r="F199" s="118"/>
      <c r="G199" s="118"/>
      <c r="H199" s="119"/>
      <c r="J199" s="36"/>
      <c r="T199" s="35"/>
    </row>
    <row r="200" spans="1:20" s="97" customFormat="1" x14ac:dyDescent="0.25">
      <c r="A200" s="117" t="s">
        <v>427</v>
      </c>
      <c r="B200" s="118"/>
      <c r="C200" s="118"/>
      <c r="D200" s="118"/>
      <c r="E200" s="118"/>
      <c r="F200" s="118"/>
      <c r="G200" s="118"/>
      <c r="H200" s="119"/>
      <c r="J200" s="36"/>
      <c r="T200" s="35"/>
    </row>
    <row r="201" spans="1:20" s="97" customFormat="1" ht="15.75" customHeight="1" x14ac:dyDescent="0.25">
      <c r="A201" s="114">
        <f>A182+1</f>
        <v>16</v>
      </c>
      <c r="B201" s="115"/>
      <c r="C201" s="96" t="s">
        <v>422</v>
      </c>
      <c r="D201" s="108">
        <f>(56.955)*(10.764)</f>
        <v>613.0636199999999</v>
      </c>
      <c r="E201" s="96">
        <v>0</v>
      </c>
      <c r="F201" s="96">
        <f t="shared" ref="F201:F206" si="26">D201+(IF(E201&lt;201,E201,IF(E201&lt;301,E201/2,E201/3)))</f>
        <v>613.0636199999999</v>
      </c>
      <c r="G201" s="96">
        <v>0</v>
      </c>
      <c r="H201" s="96">
        <f t="shared" ref="H201:H206" si="27">(F201+(IF(G201&lt;101,G201,IF(G201&lt;201,G201/2,IF(G201&lt;=301,G201/3,G201/4)))))*(($H$164)+1)</f>
        <v>950.24861099999987</v>
      </c>
      <c r="I201" s="36"/>
      <c r="L201" s="116"/>
      <c r="M201" s="116"/>
      <c r="N201" s="36"/>
      <c r="T201" s="35"/>
    </row>
    <row r="202" spans="1:20" s="97" customFormat="1" ht="15.75" customHeight="1" x14ac:dyDescent="0.25">
      <c r="A202" s="114">
        <f>A201+1</f>
        <v>17</v>
      </c>
      <c r="B202" s="115"/>
      <c r="C202" s="96" t="s">
        <v>422</v>
      </c>
      <c r="D202" s="108">
        <f>(44.075)*(10.764)</f>
        <v>474.42329999999998</v>
      </c>
      <c r="E202" s="96">
        <v>0</v>
      </c>
      <c r="F202" s="96">
        <f t="shared" si="26"/>
        <v>474.42329999999998</v>
      </c>
      <c r="G202" s="96">
        <v>0</v>
      </c>
      <c r="H202" s="96">
        <f t="shared" si="27"/>
        <v>735.35611500000005</v>
      </c>
      <c r="I202" s="36"/>
      <c r="L202" s="116"/>
      <c r="M202" s="116"/>
      <c r="N202" s="36"/>
      <c r="T202" s="34"/>
    </row>
    <row r="203" spans="1:20" s="97" customFormat="1" ht="15.75" customHeight="1" x14ac:dyDescent="0.25">
      <c r="A203" s="114">
        <f>A202+1</f>
        <v>18</v>
      </c>
      <c r="B203" s="115"/>
      <c r="C203" s="96" t="s">
        <v>422</v>
      </c>
      <c r="D203" s="108">
        <f>(48.743)*(10.764)</f>
        <v>524.66965200000004</v>
      </c>
      <c r="E203" s="96">
        <v>0</v>
      </c>
      <c r="F203" s="96">
        <f t="shared" si="26"/>
        <v>524.66965200000004</v>
      </c>
      <c r="G203" s="96">
        <v>0</v>
      </c>
      <c r="H203" s="96">
        <f t="shared" si="27"/>
        <v>813.23796060000006</v>
      </c>
      <c r="I203" s="36"/>
      <c r="L203" s="116"/>
      <c r="M203" s="116"/>
      <c r="N203" s="36"/>
      <c r="T203" s="21"/>
    </row>
    <row r="204" spans="1:20" s="97" customFormat="1" ht="15.75" customHeight="1" x14ac:dyDescent="0.25">
      <c r="A204" s="114">
        <f>A203+1</f>
        <v>19</v>
      </c>
      <c r="B204" s="115"/>
      <c r="C204" s="96" t="s">
        <v>422</v>
      </c>
      <c r="D204" s="108">
        <f>(45.583)*(10.764)</f>
        <v>490.65541199999996</v>
      </c>
      <c r="E204" s="96">
        <v>0</v>
      </c>
      <c r="F204" s="96">
        <f t="shared" si="26"/>
        <v>490.65541199999996</v>
      </c>
      <c r="G204" s="96">
        <v>0</v>
      </c>
      <c r="H204" s="96">
        <f t="shared" si="27"/>
        <v>760.51588859999993</v>
      </c>
      <c r="I204" s="36"/>
      <c r="L204" s="116"/>
      <c r="M204" s="116"/>
      <c r="N204" s="36"/>
      <c r="T204" s="21"/>
    </row>
    <row r="205" spans="1:20" s="97" customFormat="1" ht="15.75" customHeight="1" x14ac:dyDescent="0.25">
      <c r="A205" s="114">
        <f>A204+1</f>
        <v>20</v>
      </c>
      <c r="B205" s="115"/>
      <c r="C205" s="96" t="s">
        <v>422</v>
      </c>
      <c r="D205" s="108">
        <f>(43.35)*(10.764)</f>
        <v>466.61939999999998</v>
      </c>
      <c r="E205" s="96">
        <v>0</v>
      </c>
      <c r="F205" s="96">
        <f t="shared" si="26"/>
        <v>466.61939999999998</v>
      </c>
      <c r="G205" s="96">
        <v>0</v>
      </c>
      <c r="H205" s="96">
        <f t="shared" si="27"/>
        <v>723.26007000000004</v>
      </c>
      <c r="I205" s="36"/>
      <c r="L205" s="116"/>
      <c r="M205" s="116"/>
      <c r="N205" s="36"/>
      <c r="T205" s="34"/>
    </row>
    <row r="206" spans="1:20" s="97" customFormat="1" ht="15.75" customHeight="1" x14ac:dyDescent="0.25">
      <c r="A206" s="114">
        <f>A205+1</f>
        <v>21</v>
      </c>
      <c r="B206" s="115"/>
      <c r="C206" s="96" t="s">
        <v>422</v>
      </c>
      <c r="D206" s="108">
        <f>(63.312)*(10.764)</f>
        <v>681.49036799999999</v>
      </c>
      <c r="E206" s="96">
        <v>0</v>
      </c>
      <c r="F206" s="96">
        <f t="shared" si="26"/>
        <v>681.49036799999999</v>
      </c>
      <c r="G206" s="96">
        <v>0</v>
      </c>
      <c r="H206" s="96">
        <f t="shared" si="27"/>
        <v>1056.3100704000001</v>
      </c>
      <c r="I206" s="36"/>
      <c r="L206" s="116"/>
      <c r="M206" s="116"/>
      <c r="N206" s="36"/>
      <c r="T206" s="21"/>
    </row>
    <row r="207" spans="1:20" s="101" customFormat="1" x14ac:dyDescent="0.25">
      <c r="A207" s="117" t="s">
        <v>429</v>
      </c>
      <c r="B207" s="118"/>
      <c r="C207" s="118"/>
      <c r="D207" s="118"/>
      <c r="E207" s="118"/>
      <c r="F207" s="118"/>
      <c r="G207" s="118"/>
      <c r="H207" s="119"/>
      <c r="J207" s="36"/>
      <c r="T207" s="35"/>
    </row>
    <row r="208" spans="1:20" s="101" customFormat="1" ht="15.75" customHeight="1" x14ac:dyDescent="0.25">
      <c r="A208" s="114">
        <v>51</v>
      </c>
      <c r="B208" s="115"/>
      <c r="C208" s="102" t="s">
        <v>430</v>
      </c>
      <c r="D208" s="108">
        <f>(36.93)*(10.764)</f>
        <v>397.51451999999995</v>
      </c>
      <c r="E208" s="102">
        <v>0</v>
      </c>
      <c r="F208" s="102">
        <f t="shared" ref="F208:F213" si="28">D208+(IF(E208&lt;201,E208,IF(E208&lt;301,E208/2,E208/3)))</f>
        <v>397.51451999999995</v>
      </c>
      <c r="G208" s="102">
        <v>0</v>
      </c>
      <c r="H208" s="102">
        <f t="shared" ref="H208:H213" si="29">(F208+(IF(G208&lt;101,G208,IF(G208&lt;201,G208/2,IF(G208&lt;=301,G208/3,G208/4)))))*(($H$164)+1)</f>
        <v>616.14750599999991</v>
      </c>
      <c r="I208" s="36"/>
      <c r="L208" s="116"/>
      <c r="M208" s="116"/>
      <c r="N208" s="36"/>
      <c r="T208" s="35"/>
    </row>
    <row r="209" spans="1:20" s="101" customFormat="1" ht="15.75" customHeight="1" x14ac:dyDescent="0.25">
      <c r="A209" s="114">
        <f t="shared" ref="A209:A213" si="30">A208+1</f>
        <v>52</v>
      </c>
      <c r="B209" s="115"/>
      <c r="C209" s="102" t="s">
        <v>430</v>
      </c>
      <c r="D209" s="108">
        <f>(37.805)*(10.764)</f>
        <v>406.93302</v>
      </c>
      <c r="E209" s="102">
        <v>0</v>
      </c>
      <c r="F209" s="102">
        <f t="shared" si="28"/>
        <v>406.93302</v>
      </c>
      <c r="G209" s="102">
        <v>0</v>
      </c>
      <c r="H209" s="102">
        <f t="shared" si="29"/>
        <v>630.74618099999998</v>
      </c>
      <c r="I209" s="36"/>
      <c r="L209" s="116"/>
      <c r="M209" s="116"/>
      <c r="N209" s="36"/>
      <c r="T209" s="34"/>
    </row>
    <row r="210" spans="1:20" s="101" customFormat="1" ht="15.75" customHeight="1" x14ac:dyDescent="0.25">
      <c r="A210" s="114">
        <f t="shared" si="30"/>
        <v>53</v>
      </c>
      <c r="B210" s="115"/>
      <c r="C210" s="102" t="s">
        <v>430</v>
      </c>
      <c r="D210" s="108">
        <f>(40.28)*(10.764)</f>
        <v>433.57391999999999</v>
      </c>
      <c r="E210" s="102">
        <v>0</v>
      </c>
      <c r="F210" s="102">
        <f t="shared" si="28"/>
        <v>433.57391999999999</v>
      </c>
      <c r="G210" s="102">
        <v>0</v>
      </c>
      <c r="H210" s="102">
        <f t="shared" si="29"/>
        <v>672.03957600000001</v>
      </c>
      <c r="I210" s="36"/>
      <c r="L210" s="116"/>
      <c r="M210" s="116"/>
      <c r="N210" s="36"/>
      <c r="T210" s="21"/>
    </row>
    <row r="211" spans="1:20" s="101" customFormat="1" ht="15.75" customHeight="1" x14ac:dyDescent="0.25">
      <c r="A211" s="114">
        <f t="shared" si="30"/>
        <v>54</v>
      </c>
      <c r="B211" s="115"/>
      <c r="C211" s="102" t="s">
        <v>430</v>
      </c>
      <c r="D211" s="108">
        <f>(28.066)*(10.764)</f>
        <v>302.10242399999998</v>
      </c>
      <c r="E211" s="102">
        <v>0</v>
      </c>
      <c r="F211" s="102">
        <f t="shared" si="28"/>
        <v>302.10242399999998</v>
      </c>
      <c r="G211" s="102">
        <v>0</v>
      </c>
      <c r="H211" s="102">
        <f t="shared" si="29"/>
        <v>468.25875719999999</v>
      </c>
      <c r="I211" s="36"/>
      <c r="L211" s="116"/>
      <c r="M211" s="116"/>
      <c r="N211" s="36"/>
      <c r="T211" s="21"/>
    </row>
    <row r="212" spans="1:20" s="101" customFormat="1" ht="15.75" customHeight="1" x14ac:dyDescent="0.25">
      <c r="A212" s="114">
        <f t="shared" si="30"/>
        <v>55</v>
      </c>
      <c r="B212" s="115"/>
      <c r="C212" s="102" t="s">
        <v>430</v>
      </c>
      <c r="D212" s="108">
        <f>(42.585)*(10.764)</f>
        <v>458.38493999999997</v>
      </c>
      <c r="E212" s="102">
        <v>0</v>
      </c>
      <c r="F212" s="102">
        <f t="shared" si="28"/>
        <v>458.38493999999997</v>
      </c>
      <c r="G212" s="102">
        <v>0</v>
      </c>
      <c r="H212" s="102">
        <f t="shared" si="29"/>
        <v>710.49665700000003</v>
      </c>
      <c r="I212" s="101">
        <f>5.1*8.35</f>
        <v>42.584999999999994</v>
      </c>
      <c r="L212" s="116"/>
      <c r="M212" s="116"/>
      <c r="N212" s="36"/>
      <c r="T212" s="34"/>
    </row>
    <row r="213" spans="1:20" s="101" customFormat="1" ht="15.75" customHeight="1" x14ac:dyDescent="0.25">
      <c r="A213" s="114">
        <f t="shared" si="30"/>
        <v>56</v>
      </c>
      <c r="B213" s="115"/>
      <c r="C213" s="102" t="s">
        <v>430</v>
      </c>
      <c r="D213" s="108">
        <f>(60.343)*(10.764)</f>
        <v>649.53205200000002</v>
      </c>
      <c r="E213" s="102">
        <v>0</v>
      </c>
      <c r="F213" s="102">
        <f t="shared" si="28"/>
        <v>649.53205200000002</v>
      </c>
      <c r="G213" s="102">
        <v>0</v>
      </c>
      <c r="H213" s="102">
        <f t="shared" si="29"/>
        <v>1006.7746806</v>
      </c>
      <c r="I213" s="36"/>
      <c r="L213" s="116"/>
      <c r="M213" s="116"/>
      <c r="N213" s="36"/>
      <c r="T213" s="21"/>
    </row>
    <row r="214" spans="1:20" s="97" customFormat="1" x14ac:dyDescent="0.25">
      <c r="A214" s="117" t="s">
        <v>424</v>
      </c>
      <c r="B214" s="118"/>
      <c r="C214" s="118"/>
      <c r="D214" s="118"/>
      <c r="E214" s="118"/>
      <c r="F214" s="118"/>
      <c r="G214" s="118"/>
      <c r="H214" s="119"/>
      <c r="J214" s="36"/>
      <c r="T214" s="35"/>
    </row>
    <row r="215" spans="1:20" s="101" customFormat="1" x14ac:dyDescent="0.25">
      <c r="A215" s="117" t="s">
        <v>421</v>
      </c>
      <c r="B215" s="118"/>
      <c r="C215" s="118"/>
      <c r="D215" s="118"/>
      <c r="E215" s="118"/>
      <c r="F215" s="118"/>
      <c r="G215" s="118"/>
      <c r="H215" s="119"/>
      <c r="J215" s="36"/>
      <c r="T215" s="35"/>
    </row>
    <row r="216" spans="1:20" s="101" customFormat="1" x14ac:dyDescent="0.25">
      <c r="A216" s="117" t="s">
        <v>428</v>
      </c>
      <c r="B216" s="118"/>
      <c r="C216" s="118"/>
      <c r="D216" s="118"/>
      <c r="E216" s="118"/>
      <c r="F216" s="118"/>
      <c r="G216" s="118"/>
      <c r="H216" s="119"/>
      <c r="J216" s="36"/>
      <c r="T216" s="35"/>
    </row>
    <row r="217" spans="1:20" s="97" customFormat="1" ht="15.75" customHeight="1" x14ac:dyDescent="0.25">
      <c r="A217" s="120">
        <v>22</v>
      </c>
      <c r="B217" s="121"/>
      <c r="C217" s="96" t="s">
        <v>422</v>
      </c>
      <c r="D217" s="108">
        <f>(55.573)*(10.764)</f>
        <v>598.187772</v>
      </c>
      <c r="E217" s="96">
        <v>0</v>
      </c>
      <c r="F217" s="96">
        <f t="shared" ref="F217:F231" si="31">D217+(IF(E217&lt;201,E217,IF(E217&lt;301,E217/2,E217/3)))</f>
        <v>598.187772</v>
      </c>
      <c r="G217" s="96">
        <v>0</v>
      </c>
      <c r="H217" s="96">
        <f t="shared" ref="H217:H231" si="32">(F217+(IF(G217&lt;101,G217,IF(G217&lt;201,G217/2,IF(G217&lt;=301,G217/3,G217/4)))))*(($H$164)+1)</f>
        <v>927.19104660000005</v>
      </c>
      <c r="I217" s="36"/>
      <c r="L217" s="116"/>
      <c r="M217" s="116"/>
      <c r="N217" s="36"/>
      <c r="T217" s="21"/>
    </row>
    <row r="218" spans="1:20" s="97" customFormat="1" ht="15.75" customHeight="1" x14ac:dyDescent="0.25">
      <c r="A218" s="114">
        <f t="shared" ref="A218:A231" si="33">A217+1</f>
        <v>23</v>
      </c>
      <c r="B218" s="115"/>
      <c r="C218" s="96" t="s">
        <v>422</v>
      </c>
      <c r="D218" s="108">
        <f>(43.31)*(10.764)</f>
        <v>466.18883999999997</v>
      </c>
      <c r="E218" s="96">
        <v>0</v>
      </c>
      <c r="F218" s="96">
        <f t="shared" si="31"/>
        <v>466.18883999999997</v>
      </c>
      <c r="G218" s="96">
        <v>0</v>
      </c>
      <c r="H218" s="96">
        <f t="shared" si="32"/>
        <v>722.59270200000003</v>
      </c>
      <c r="I218" s="36"/>
      <c r="L218" s="116"/>
      <c r="M218" s="116"/>
      <c r="N218" s="36"/>
      <c r="T218" s="34"/>
    </row>
    <row r="219" spans="1:20" s="97" customFormat="1" ht="15.75" customHeight="1" x14ac:dyDescent="0.25">
      <c r="A219" s="114">
        <f t="shared" si="33"/>
        <v>24</v>
      </c>
      <c r="B219" s="115"/>
      <c r="C219" s="96" t="s">
        <v>422</v>
      </c>
      <c r="D219" s="108">
        <f>(31.785)*(10.764)</f>
        <v>342.13373999999999</v>
      </c>
      <c r="E219" s="96">
        <v>0</v>
      </c>
      <c r="F219" s="96">
        <f t="shared" si="31"/>
        <v>342.13373999999999</v>
      </c>
      <c r="G219" s="96">
        <v>0</v>
      </c>
      <c r="H219" s="96">
        <f t="shared" si="32"/>
        <v>530.30729699999995</v>
      </c>
      <c r="I219" s="36"/>
      <c r="L219" s="116"/>
      <c r="M219" s="116"/>
      <c r="N219" s="36"/>
      <c r="T219" s="21"/>
    </row>
    <row r="220" spans="1:20" s="97" customFormat="1" ht="15.75" customHeight="1" x14ac:dyDescent="0.25">
      <c r="A220" s="114">
        <f t="shared" si="33"/>
        <v>25</v>
      </c>
      <c r="B220" s="115"/>
      <c r="C220" s="96" t="s">
        <v>422</v>
      </c>
      <c r="D220" s="108">
        <f>(57.885)*(10.764)</f>
        <v>623.07413999999994</v>
      </c>
      <c r="E220" s="96">
        <v>0</v>
      </c>
      <c r="F220" s="96">
        <f t="shared" si="31"/>
        <v>623.07413999999994</v>
      </c>
      <c r="G220" s="96">
        <v>0</v>
      </c>
      <c r="H220" s="96">
        <f t="shared" si="32"/>
        <v>965.76491699999997</v>
      </c>
      <c r="I220" s="36"/>
      <c r="L220" s="116"/>
      <c r="M220" s="116"/>
      <c r="N220" s="36"/>
      <c r="T220" s="21"/>
    </row>
    <row r="221" spans="1:20" s="97" customFormat="1" ht="15.75" customHeight="1" x14ac:dyDescent="0.25">
      <c r="A221" s="114">
        <f t="shared" si="33"/>
        <v>26</v>
      </c>
      <c r="B221" s="115"/>
      <c r="C221" s="96" t="s">
        <v>422</v>
      </c>
      <c r="D221" s="108">
        <f>(47.67)*(10.764)</f>
        <v>513.11987999999997</v>
      </c>
      <c r="E221" s="96">
        <v>0</v>
      </c>
      <c r="F221" s="96">
        <f t="shared" si="31"/>
        <v>513.11987999999997</v>
      </c>
      <c r="G221" s="96">
        <v>0</v>
      </c>
      <c r="H221" s="96">
        <f t="shared" si="32"/>
        <v>795.33581400000003</v>
      </c>
      <c r="I221" s="36"/>
      <c r="L221" s="116"/>
      <c r="M221" s="116"/>
      <c r="N221" s="36"/>
      <c r="T221" s="34"/>
    </row>
    <row r="222" spans="1:20" s="97" customFormat="1" ht="15.75" customHeight="1" x14ac:dyDescent="0.25">
      <c r="A222" s="114">
        <f t="shared" si="33"/>
        <v>27</v>
      </c>
      <c r="B222" s="115"/>
      <c r="C222" s="96" t="s">
        <v>422</v>
      </c>
      <c r="D222" s="108">
        <f>(41.427)*(10.764)</f>
        <v>445.92022799999995</v>
      </c>
      <c r="E222" s="96">
        <v>0</v>
      </c>
      <c r="F222" s="96">
        <f t="shared" si="31"/>
        <v>445.92022799999995</v>
      </c>
      <c r="G222" s="96">
        <v>0</v>
      </c>
      <c r="H222" s="96">
        <f t="shared" si="32"/>
        <v>691.17635339999993</v>
      </c>
      <c r="I222" s="36"/>
      <c r="L222" s="116"/>
      <c r="M222" s="116"/>
      <c r="N222" s="36"/>
      <c r="T222" s="21"/>
    </row>
    <row r="223" spans="1:20" s="97" customFormat="1" ht="15.75" customHeight="1" x14ac:dyDescent="0.25">
      <c r="A223" s="114">
        <f t="shared" si="33"/>
        <v>28</v>
      </c>
      <c r="B223" s="115"/>
      <c r="C223" s="96" t="s">
        <v>422</v>
      </c>
      <c r="D223" s="108">
        <f>(41.427)*(10.764)</f>
        <v>445.92022799999995</v>
      </c>
      <c r="E223" s="96">
        <v>0</v>
      </c>
      <c r="F223" s="96">
        <f t="shared" si="31"/>
        <v>445.92022799999995</v>
      </c>
      <c r="G223" s="96">
        <v>0</v>
      </c>
      <c r="H223" s="96">
        <f t="shared" si="32"/>
        <v>691.17635339999993</v>
      </c>
      <c r="I223" s="36"/>
      <c r="L223" s="116"/>
      <c r="M223" s="116"/>
      <c r="N223" s="36"/>
      <c r="T223" s="21"/>
    </row>
    <row r="224" spans="1:20" s="97" customFormat="1" ht="15.75" customHeight="1" x14ac:dyDescent="0.25">
      <c r="A224" s="114">
        <f t="shared" si="33"/>
        <v>29</v>
      </c>
      <c r="B224" s="115"/>
      <c r="C224" s="96" t="s">
        <v>422</v>
      </c>
      <c r="D224" s="108">
        <f>(57.096)*(10.764)</f>
        <v>614.58134399999994</v>
      </c>
      <c r="E224" s="96">
        <v>0</v>
      </c>
      <c r="F224" s="96">
        <f t="shared" si="31"/>
        <v>614.58134399999994</v>
      </c>
      <c r="G224" s="96">
        <v>0</v>
      </c>
      <c r="H224" s="96">
        <f t="shared" si="32"/>
        <v>952.60108319999995</v>
      </c>
      <c r="I224" s="36"/>
      <c r="L224" s="116"/>
      <c r="M224" s="116"/>
      <c r="N224" s="36"/>
      <c r="T224" s="21"/>
    </row>
    <row r="225" spans="1:20" s="97" customFormat="1" ht="15.75" customHeight="1" x14ac:dyDescent="0.25">
      <c r="A225" s="114">
        <f t="shared" si="33"/>
        <v>30</v>
      </c>
      <c r="B225" s="115"/>
      <c r="C225" s="96" t="s">
        <v>422</v>
      </c>
      <c r="D225" s="108">
        <f>(39.375)*(10.764)</f>
        <v>423.83249999999998</v>
      </c>
      <c r="E225" s="96">
        <v>0</v>
      </c>
      <c r="F225" s="96">
        <f t="shared" si="31"/>
        <v>423.83249999999998</v>
      </c>
      <c r="G225" s="96">
        <v>0</v>
      </c>
      <c r="H225" s="96">
        <f t="shared" si="32"/>
        <v>656.94037500000002</v>
      </c>
      <c r="I225" s="36"/>
      <c r="L225" s="116"/>
      <c r="M225" s="116"/>
      <c r="N225" s="36"/>
      <c r="T225" s="21"/>
    </row>
    <row r="226" spans="1:20" s="97" customFormat="1" ht="15.75" customHeight="1" x14ac:dyDescent="0.25">
      <c r="A226" s="114">
        <f t="shared" si="33"/>
        <v>31</v>
      </c>
      <c r="B226" s="115"/>
      <c r="C226" s="96" t="s">
        <v>422</v>
      </c>
      <c r="D226" s="108">
        <f>(41.428)*(10.764)</f>
        <v>445.93099199999995</v>
      </c>
      <c r="E226" s="96">
        <v>0</v>
      </c>
      <c r="F226" s="96">
        <f t="shared" si="31"/>
        <v>445.93099199999995</v>
      </c>
      <c r="G226" s="96">
        <v>0</v>
      </c>
      <c r="H226" s="96">
        <f t="shared" si="32"/>
        <v>691.19303759999991</v>
      </c>
      <c r="I226" s="36"/>
      <c r="L226" s="116"/>
      <c r="M226" s="116"/>
      <c r="N226" s="36"/>
      <c r="T226" s="21"/>
    </row>
    <row r="227" spans="1:20" s="97" customFormat="1" ht="15.75" customHeight="1" x14ac:dyDescent="0.25">
      <c r="A227" s="114">
        <f t="shared" si="33"/>
        <v>32</v>
      </c>
      <c r="B227" s="115"/>
      <c r="C227" s="96" t="s">
        <v>422</v>
      </c>
      <c r="D227" s="108">
        <f>(44.832)*(10.764)</f>
        <v>482.57164799999998</v>
      </c>
      <c r="E227" s="96">
        <v>0</v>
      </c>
      <c r="F227" s="96">
        <f t="shared" si="31"/>
        <v>482.57164799999998</v>
      </c>
      <c r="G227" s="96">
        <v>0</v>
      </c>
      <c r="H227" s="96">
        <f t="shared" si="32"/>
        <v>747.98605439999994</v>
      </c>
      <c r="I227" s="36"/>
      <c r="L227" s="116"/>
      <c r="M227" s="116"/>
      <c r="N227" s="36"/>
      <c r="T227" s="34"/>
    </row>
    <row r="228" spans="1:20" s="97" customFormat="1" ht="15.75" customHeight="1" x14ac:dyDescent="0.25">
      <c r="A228" s="114">
        <f t="shared" si="33"/>
        <v>33</v>
      </c>
      <c r="B228" s="115"/>
      <c r="C228" s="96" t="s">
        <v>422</v>
      </c>
      <c r="D228" s="108">
        <f>(45.4)*(10.764)</f>
        <v>488.68559999999997</v>
      </c>
      <c r="E228" s="96">
        <v>0</v>
      </c>
      <c r="F228" s="96">
        <f t="shared" si="31"/>
        <v>488.68559999999997</v>
      </c>
      <c r="G228" s="96">
        <v>0</v>
      </c>
      <c r="H228" s="96">
        <f t="shared" si="32"/>
        <v>757.46267999999998</v>
      </c>
      <c r="I228" s="36"/>
      <c r="L228" s="116"/>
      <c r="M228" s="116"/>
      <c r="N228" s="36"/>
      <c r="T228" s="21"/>
    </row>
    <row r="229" spans="1:20" s="97" customFormat="1" ht="15.75" customHeight="1" x14ac:dyDescent="0.25">
      <c r="A229" s="114">
        <f t="shared" si="33"/>
        <v>34</v>
      </c>
      <c r="B229" s="115"/>
      <c r="C229" s="96" t="s">
        <v>422</v>
      </c>
      <c r="D229" s="108">
        <f>(37.455)*(10.764)</f>
        <v>403.16561999999993</v>
      </c>
      <c r="E229" s="96">
        <v>0</v>
      </c>
      <c r="F229" s="96">
        <f t="shared" si="31"/>
        <v>403.16561999999993</v>
      </c>
      <c r="G229" s="96">
        <v>0</v>
      </c>
      <c r="H229" s="96">
        <f t="shared" si="32"/>
        <v>624.90671099999986</v>
      </c>
      <c r="I229" s="36"/>
      <c r="L229" s="116"/>
      <c r="M229" s="116"/>
      <c r="N229" s="36"/>
      <c r="T229" s="21"/>
    </row>
    <row r="230" spans="1:20" s="97" customFormat="1" ht="15.75" customHeight="1" x14ac:dyDescent="0.25">
      <c r="A230" s="114">
        <f t="shared" si="33"/>
        <v>35</v>
      </c>
      <c r="B230" s="115"/>
      <c r="C230" s="96" t="s">
        <v>422</v>
      </c>
      <c r="D230" s="108">
        <f>(40.062)*(10.764)</f>
        <v>431.22736799999996</v>
      </c>
      <c r="E230" s="96">
        <v>0</v>
      </c>
      <c r="F230" s="96">
        <f t="shared" si="31"/>
        <v>431.22736799999996</v>
      </c>
      <c r="G230" s="96">
        <v>0</v>
      </c>
      <c r="H230" s="96">
        <f t="shared" si="32"/>
        <v>668.40242039999998</v>
      </c>
      <c r="I230" s="36"/>
      <c r="L230" s="116"/>
      <c r="M230" s="116"/>
      <c r="N230" s="36"/>
      <c r="T230" s="21"/>
    </row>
    <row r="231" spans="1:20" s="97" customFormat="1" ht="15.75" customHeight="1" x14ac:dyDescent="0.25">
      <c r="A231" s="114">
        <f t="shared" si="33"/>
        <v>36</v>
      </c>
      <c r="B231" s="115"/>
      <c r="C231" s="96" t="s">
        <v>422</v>
      </c>
      <c r="D231" s="108">
        <f>(38.625)*(10.764)</f>
        <v>415.7595</v>
      </c>
      <c r="E231" s="96">
        <v>0</v>
      </c>
      <c r="F231" s="96">
        <f t="shared" si="31"/>
        <v>415.7595</v>
      </c>
      <c r="G231" s="96">
        <v>0</v>
      </c>
      <c r="H231" s="96">
        <f t="shared" si="32"/>
        <v>644.42722500000002</v>
      </c>
      <c r="I231" s="36"/>
      <c r="L231" s="116"/>
      <c r="M231" s="116"/>
      <c r="N231" s="36"/>
      <c r="T231" s="21"/>
    </row>
    <row r="232" spans="1:20" s="101" customFormat="1" x14ac:dyDescent="0.25">
      <c r="A232" s="117" t="s">
        <v>429</v>
      </c>
      <c r="B232" s="118"/>
      <c r="C232" s="118"/>
      <c r="D232" s="118"/>
      <c r="E232" s="118"/>
      <c r="F232" s="118"/>
      <c r="G232" s="118"/>
      <c r="H232" s="119"/>
      <c r="J232" s="36"/>
      <c r="T232" s="35"/>
    </row>
    <row r="233" spans="1:20" s="101" customFormat="1" ht="15.75" customHeight="1" x14ac:dyDescent="0.25">
      <c r="A233" s="114">
        <v>57</v>
      </c>
      <c r="B233" s="115"/>
      <c r="C233" s="102" t="s">
        <v>430</v>
      </c>
      <c r="D233" s="108">
        <f>(48.134)*(10.764)</f>
        <v>518.11437599999999</v>
      </c>
      <c r="E233" s="102">
        <v>0</v>
      </c>
      <c r="F233" s="102">
        <f t="shared" ref="F233:F243" si="34">D233+(IF(E233&lt;201,E233,IF(E233&lt;301,E233/2,E233/3)))</f>
        <v>518.11437599999999</v>
      </c>
      <c r="G233" s="102">
        <v>0</v>
      </c>
      <c r="H233" s="102">
        <f t="shared" ref="H233:H243" si="35">(F233+(IF(G233&lt;101,G233,IF(G233&lt;201,G233/2,IF(G233&lt;=301,G233/3,G233/4)))))*(($H$164)+1)</f>
        <v>803.07728280000003</v>
      </c>
      <c r="I233" s="36"/>
      <c r="L233" s="116"/>
      <c r="M233" s="116"/>
      <c r="N233" s="36"/>
      <c r="T233" s="35"/>
    </row>
    <row r="234" spans="1:20" s="101" customFormat="1" ht="15.75" customHeight="1" x14ac:dyDescent="0.25">
      <c r="A234" s="114">
        <f t="shared" ref="A234:A243" si="36">A233+1</f>
        <v>58</v>
      </c>
      <c r="B234" s="115"/>
      <c r="C234" s="102" t="s">
        <v>430</v>
      </c>
      <c r="D234" s="108">
        <f>(28.775)*(10.764)</f>
        <v>309.73409999999996</v>
      </c>
      <c r="E234" s="102">
        <v>0</v>
      </c>
      <c r="F234" s="102">
        <f t="shared" si="34"/>
        <v>309.73409999999996</v>
      </c>
      <c r="G234" s="102">
        <v>0</v>
      </c>
      <c r="H234" s="102">
        <f t="shared" si="35"/>
        <v>480.08785499999993</v>
      </c>
      <c r="I234" s="36"/>
      <c r="L234" s="116"/>
      <c r="M234" s="116"/>
      <c r="N234" s="36"/>
      <c r="T234" s="34"/>
    </row>
    <row r="235" spans="1:20" s="101" customFormat="1" ht="15.75" customHeight="1" x14ac:dyDescent="0.25">
      <c r="A235" s="114">
        <f t="shared" si="36"/>
        <v>59</v>
      </c>
      <c r="B235" s="115"/>
      <c r="C235" s="102" t="s">
        <v>430</v>
      </c>
      <c r="D235" s="108">
        <f>(26.115)*(10.764)</f>
        <v>281.10185999999999</v>
      </c>
      <c r="E235" s="102">
        <v>0</v>
      </c>
      <c r="F235" s="102">
        <f t="shared" si="34"/>
        <v>281.10185999999999</v>
      </c>
      <c r="G235" s="102">
        <v>0</v>
      </c>
      <c r="H235" s="102">
        <f t="shared" si="35"/>
        <v>435.70788299999998</v>
      </c>
      <c r="I235" s="36"/>
      <c r="L235" s="116"/>
      <c r="M235" s="116"/>
      <c r="N235" s="36"/>
      <c r="T235" s="21"/>
    </row>
    <row r="236" spans="1:20" s="101" customFormat="1" ht="15.75" customHeight="1" x14ac:dyDescent="0.25">
      <c r="A236" s="114">
        <f t="shared" si="36"/>
        <v>60</v>
      </c>
      <c r="B236" s="115"/>
      <c r="C236" s="102" t="s">
        <v>430</v>
      </c>
      <c r="D236" s="108">
        <f>(34.095)*(10.764)</f>
        <v>366.99857999999995</v>
      </c>
      <c r="E236" s="102">
        <v>0</v>
      </c>
      <c r="F236" s="102">
        <f t="shared" si="34"/>
        <v>366.99857999999995</v>
      </c>
      <c r="G236" s="102">
        <v>0</v>
      </c>
      <c r="H236" s="102">
        <f t="shared" si="35"/>
        <v>568.8477989999999</v>
      </c>
      <c r="I236" s="36"/>
      <c r="L236" s="116"/>
      <c r="M236" s="116"/>
      <c r="N236" s="36"/>
      <c r="T236" s="21"/>
    </row>
    <row r="237" spans="1:20" s="101" customFormat="1" ht="15.75" customHeight="1" x14ac:dyDescent="0.25">
      <c r="A237" s="114">
        <f t="shared" si="36"/>
        <v>61</v>
      </c>
      <c r="B237" s="115"/>
      <c r="C237" s="102" t="s">
        <v>430</v>
      </c>
      <c r="D237" s="108">
        <f>(41.55)*(10.764)</f>
        <v>447.24419999999992</v>
      </c>
      <c r="E237" s="102">
        <v>0</v>
      </c>
      <c r="F237" s="102">
        <f t="shared" si="34"/>
        <v>447.24419999999992</v>
      </c>
      <c r="G237" s="102">
        <v>0</v>
      </c>
      <c r="H237" s="102">
        <f t="shared" si="35"/>
        <v>693.22850999999991</v>
      </c>
      <c r="L237" s="116"/>
      <c r="M237" s="116"/>
      <c r="N237" s="36"/>
      <c r="T237" s="34"/>
    </row>
    <row r="238" spans="1:20" s="101" customFormat="1" ht="15.75" customHeight="1" x14ac:dyDescent="0.25">
      <c r="A238" s="114">
        <f t="shared" si="36"/>
        <v>62</v>
      </c>
      <c r="B238" s="115"/>
      <c r="C238" s="102" t="s">
        <v>430</v>
      </c>
      <c r="D238" s="108">
        <f>(36.132)*(10.764)</f>
        <v>388.92484799999994</v>
      </c>
      <c r="E238" s="102">
        <v>0</v>
      </c>
      <c r="F238" s="102">
        <f t="shared" si="34"/>
        <v>388.92484799999994</v>
      </c>
      <c r="G238" s="102">
        <v>0</v>
      </c>
      <c r="H238" s="102">
        <f t="shared" si="35"/>
        <v>602.8335143999999</v>
      </c>
      <c r="I238" s="36"/>
      <c r="L238" s="116"/>
      <c r="M238" s="116"/>
      <c r="N238" s="36"/>
      <c r="T238" s="21"/>
    </row>
    <row r="239" spans="1:20" s="101" customFormat="1" ht="15.75" customHeight="1" x14ac:dyDescent="0.25">
      <c r="A239" s="114">
        <f t="shared" si="36"/>
        <v>63</v>
      </c>
      <c r="B239" s="115"/>
      <c r="C239" s="102" t="s">
        <v>430</v>
      </c>
      <c r="D239" s="108">
        <f>(36.132)*(10.764)</f>
        <v>388.92484799999994</v>
      </c>
      <c r="E239" s="102">
        <v>0</v>
      </c>
      <c r="F239" s="102">
        <f t="shared" si="34"/>
        <v>388.92484799999994</v>
      </c>
      <c r="G239" s="102">
        <v>0</v>
      </c>
      <c r="H239" s="102">
        <f t="shared" si="35"/>
        <v>602.8335143999999</v>
      </c>
      <c r="I239" s="36"/>
      <c r="L239" s="116"/>
      <c r="M239" s="116"/>
      <c r="N239" s="36"/>
      <c r="T239" s="21"/>
    </row>
    <row r="240" spans="1:20" s="101" customFormat="1" ht="15.75" customHeight="1" x14ac:dyDescent="0.25">
      <c r="A240" s="114">
        <f t="shared" si="36"/>
        <v>64</v>
      </c>
      <c r="B240" s="115"/>
      <c r="C240" s="102" t="s">
        <v>430</v>
      </c>
      <c r="D240" s="108">
        <f>(49.555)*(10.764)</f>
        <v>533.41001999999992</v>
      </c>
      <c r="E240" s="102">
        <v>0</v>
      </c>
      <c r="F240" s="102">
        <f t="shared" si="34"/>
        <v>533.41001999999992</v>
      </c>
      <c r="G240" s="102">
        <v>0</v>
      </c>
      <c r="H240" s="102">
        <f t="shared" si="35"/>
        <v>826.78553099999988</v>
      </c>
      <c r="I240" s="36"/>
      <c r="L240" s="116"/>
      <c r="M240" s="116"/>
      <c r="N240" s="36"/>
      <c r="T240" s="34"/>
    </row>
    <row r="241" spans="1:20" s="101" customFormat="1" ht="15.75" customHeight="1" x14ac:dyDescent="0.25">
      <c r="A241" s="114">
        <f t="shared" si="36"/>
        <v>65</v>
      </c>
      <c r="B241" s="115"/>
      <c r="C241" s="102" t="s">
        <v>430</v>
      </c>
      <c r="D241" s="108">
        <f>(34.169)*(10.764)</f>
        <v>367.79511599999995</v>
      </c>
      <c r="E241" s="102">
        <v>0</v>
      </c>
      <c r="F241" s="102">
        <f t="shared" si="34"/>
        <v>367.79511599999995</v>
      </c>
      <c r="G241" s="102">
        <v>0</v>
      </c>
      <c r="H241" s="102">
        <f t="shared" si="35"/>
        <v>570.08242979999989</v>
      </c>
      <c r="I241" s="36">
        <f>3.469*9.85</f>
        <v>34.169649999999997</v>
      </c>
      <c r="L241" s="116"/>
      <c r="M241" s="116"/>
      <c r="N241" s="36"/>
      <c r="T241" s="21"/>
    </row>
    <row r="242" spans="1:20" s="101" customFormat="1" ht="15.75" customHeight="1" x14ac:dyDescent="0.25">
      <c r="A242" s="114">
        <f t="shared" si="36"/>
        <v>66</v>
      </c>
      <c r="B242" s="115"/>
      <c r="C242" s="102" t="s">
        <v>430</v>
      </c>
      <c r="D242" s="108">
        <f>(36.133)*(10.764)</f>
        <v>388.93561199999999</v>
      </c>
      <c r="E242" s="102">
        <v>0</v>
      </c>
      <c r="F242" s="102">
        <f t="shared" si="34"/>
        <v>388.93561199999999</v>
      </c>
      <c r="G242" s="102">
        <v>0</v>
      </c>
      <c r="H242" s="102">
        <f t="shared" si="35"/>
        <v>602.8501986</v>
      </c>
      <c r="I242" s="36"/>
      <c r="L242" s="116"/>
      <c r="M242" s="116"/>
      <c r="N242" s="36"/>
      <c r="T242" s="21"/>
    </row>
    <row r="243" spans="1:20" s="101" customFormat="1" ht="15.75" customHeight="1" x14ac:dyDescent="0.25">
      <c r="A243" s="114">
        <f t="shared" si="36"/>
        <v>67</v>
      </c>
      <c r="B243" s="115"/>
      <c r="C243" s="102" t="s">
        <v>430</v>
      </c>
      <c r="D243" s="108">
        <f>(39.087)*(10.764)</f>
        <v>420.73246799999998</v>
      </c>
      <c r="E243" s="102">
        <v>0</v>
      </c>
      <c r="F243" s="102">
        <f t="shared" si="34"/>
        <v>420.73246799999998</v>
      </c>
      <c r="G243" s="102">
        <v>0</v>
      </c>
      <c r="H243" s="102">
        <f t="shared" si="35"/>
        <v>652.13532539999994</v>
      </c>
      <c r="I243" s="36"/>
      <c r="L243" s="116"/>
      <c r="M243" s="116"/>
      <c r="N243" s="36"/>
      <c r="T243" s="34"/>
    </row>
    <row r="244" spans="1:20" s="101" customFormat="1" ht="15.75" customHeight="1" x14ac:dyDescent="0.25">
      <c r="A244" s="114">
        <f t="shared" ref="A244" si="37">A243+1</f>
        <v>68</v>
      </c>
      <c r="B244" s="115"/>
      <c r="C244" s="102" t="s">
        <v>430</v>
      </c>
      <c r="D244" s="108">
        <f>(39.58)*(10.764)</f>
        <v>426.03911999999997</v>
      </c>
      <c r="E244" s="102">
        <v>0</v>
      </c>
      <c r="F244" s="102">
        <f t="shared" ref="F244:F246" si="38">D244+(IF(E244&lt;201,E244,IF(E244&lt;301,E244/2,E244/3)))</f>
        <v>426.03911999999997</v>
      </c>
      <c r="G244" s="102">
        <v>0</v>
      </c>
      <c r="H244" s="102">
        <f t="shared" ref="H244:H246" si="39">(F244+(IF(G244&lt;101,G244,IF(G244&lt;201,G244/2,IF(G244&lt;=301,G244/3,G244/4)))))*(($H$164)+1)</f>
        <v>660.360636</v>
      </c>
      <c r="I244" s="36"/>
      <c r="L244" s="116"/>
      <c r="M244" s="116"/>
      <c r="N244" s="36"/>
      <c r="T244" s="21"/>
    </row>
    <row r="245" spans="1:20" s="101" customFormat="1" ht="15.75" customHeight="1" x14ac:dyDescent="0.25">
      <c r="A245" s="114">
        <f t="shared" ref="A245:A246" si="40">A244+1</f>
        <v>69</v>
      </c>
      <c r="B245" s="115"/>
      <c r="C245" s="102" t="s">
        <v>430</v>
      </c>
      <c r="D245" s="108">
        <f>(32.685)*(10.764)</f>
        <v>351.82134000000002</v>
      </c>
      <c r="E245" s="102">
        <v>0</v>
      </c>
      <c r="F245" s="102">
        <f t="shared" si="38"/>
        <v>351.82134000000002</v>
      </c>
      <c r="G245" s="102">
        <v>0</v>
      </c>
      <c r="H245" s="102">
        <f t="shared" si="39"/>
        <v>545.32307700000001</v>
      </c>
      <c r="I245" s="36">
        <f>3.3*9.86</f>
        <v>32.537999999999997</v>
      </c>
      <c r="L245" s="116"/>
      <c r="M245" s="116"/>
      <c r="N245" s="36"/>
      <c r="T245" s="21"/>
    </row>
    <row r="246" spans="1:20" s="101" customFormat="1" ht="15.75" customHeight="1" x14ac:dyDescent="0.25">
      <c r="A246" s="114">
        <f t="shared" si="40"/>
        <v>70</v>
      </c>
      <c r="B246" s="115"/>
      <c r="C246" s="102" t="s">
        <v>430</v>
      </c>
      <c r="D246" s="108">
        <f>(79.28)*(10.764)</f>
        <v>853.36991999999998</v>
      </c>
      <c r="E246" s="102">
        <v>0</v>
      </c>
      <c r="F246" s="102">
        <f t="shared" si="38"/>
        <v>853.36991999999998</v>
      </c>
      <c r="G246" s="102">
        <v>0</v>
      </c>
      <c r="H246" s="102">
        <f t="shared" si="39"/>
        <v>1322.7233759999999</v>
      </c>
      <c r="I246" s="36"/>
      <c r="L246" s="116"/>
      <c r="M246" s="116"/>
      <c r="N246" s="36"/>
      <c r="T246" s="34"/>
    </row>
    <row r="247" spans="1:20" s="101" customFormat="1" x14ac:dyDescent="0.25">
      <c r="A247" s="198" t="s">
        <v>439</v>
      </c>
      <c r="B247" s="198"/>
      <c r="C247" s="198"/>
      <c r="D247" s="198"/>
      <c r="E247" s="198"/>
      <c r="F247" s="198"/>
      <c r="G247" s="198"/>
      <c r="H247" s="198"/>
      <c r="I247" s="36"/>
      <c r="L247" s="116"/>
      <c r="M247" s="116"/>
    </row>
    <row r="248" spans="1:20" s="37" customFormat="1" hidden="1" x14ac:dyDescent="0.25">
      <c r="A248" s="117" t="s">
        <v>116</v>
      </c>
      <c r="B248" s="118"/>
      <c r="C248" s="118"/>
      <c r="D248" s="118"/>
      <c r="E248" s="118"/>
      <c r="F248" s="118"/>
      <c r="G248" s="118"/>
      <c r="H248" s="119"/>
      <c r="J248" s="36"/>
      <c r="T248" s="35"/>
    </row>
    <row r="249" spans="1:20" s="37" customFormat="1" ht="15.75" hidden="1" customHeight="1" x14ac:dyDescent="0.25">
      <c r="A249" s="114">
        <v>1</v>
      </c>
      <c r="B249" s="115"/>
      <c r="C249" s="42"/>
      <c r="D249" s="42">
        <v>0</v>
      </c>
      <c r="E249" s="42">
        <v>0</v>
      </c>
      <c r="F249" s="42">
        <f>D249+(IF(E249&lt;201,E249,IF(E249&lt;301,E249/2,E249/3)))</f>
        <v>0</v>
      </c>
      <c r="G249" s="42">
        <v>0</v>
      </c>
      <c r="H249" s="42">
        <f>(F249+(IF(G249&lt;101,G249,IF(G249&lt;201,G249/2,IF(G249&lt;=301,G249/3,G249/4)))))*(($H$164)+1)</f>
        <v>0</v>
      </c>
      <c r="I249" s="36"/>
      <c r="L249" s="116"/>
      <c r="M249" s="116"/>
      <c r="N249" s="36"/>
      <c r="T249" s="35"/>
    </row>
    <row r="250" spans="1:20" s="37" customFormat="1" ht="15.75" hidden="1" customHeight="1" x14ac:dyDescent="0.25">
      <c r="A250" s="114">
        <f>A249+1</f>
        <v>2</v>
      </c>
      <c r="B250" s="115"/>
      <c r="C250" s="42"/>
      <c r="D250" s="42"/>
      <c r="E250" s="42">
        <v>0</v>
      </c>
      <c r="F250" s="42">
        <f>D250+(IF(E250&lt;201,E250,IF(E250&lt;301,E250/2,E250/3)))</f>
        <v>0</v>
      </c>
      <c r="G250" s="42">
        <v>0</v>
      </c>
      <c r="H250" s="42">
        <f>(F250+(IF(G250&lt;101,G250,IF(G250&lt;201,G250/2,IF(G250&lt;=301,G250/3,G250/4)))))*(($H$164)+1)</f>
        <v>0</v>
      </c>
      <c r="I250" s="36"/>
      <c r="L250" s="116"/>
      <c r="M250" s="116"/>
      <c r="N250" s="36"/>
      <c r="T250" s="34"/>
    </row>
    <row r="251" spans="1:20" s="37" customFormat="1" ht="15.75" hidden="1" customHeight="1" x14ac:dyDescent="0.25">
      <c r="A251" s="114">
        <f>A250+1</f>
        <v>3</v>
      </c>
      <c r="B251" s="115"/>
      <c r="C251" s="42"/>
      <c r="D251" s="42"/>
      <c r="E251" s="42">
        <v>0</v>
      </c>
      <c r="F251" s="42">
        <f>D251+(IF(E251&lt;201,E251,IF(E251&lt;301,E251/2,E251/3)))</f>
        <v>0</v>
      </c>
      <c r="G251" s="42">
        <v>0</v>
      </c>
      <c r="H251" s="42">
        <f>(F251+(IF(G251&lt;101,G251,IF(G251&lt;201,G251/2,IF(G251&lt;=301,G251/3,G251/4)))))*(($H$164)+1)</f>
        <v>0</v>
      </c>
      <c r="I251" s="36"/>
      <c r="L251" s="116"/>
      <c r="M251" s="116"/>
      <c r="N251" s="36"/>
      <c r="T251" s="21"/>
    </row>
    <row r="252" spans="1:20" s="37" customFormat="1" ht="15.75" hidden="1" customHeight="1" x14ac:dyDescent="0.25">
      <c r="A252" s="114">
        <f>A251+1</f>
        <v>4</v>
      </c>
      <c r="B252" s="115"/>
      <c r="C252" s="42"/>
      <c r="D252" s="42"/>
      <c r="E252" s="42">
        <v>0</v>
      </c>
      <c r="F252" s="42">
        <f>D252+(IF(E252&lt;201,E252,IF(E252&lt;301,E252/2,E252/3)))</f>
        <v>0</v>
      </c>
      <c r="G252" s="42">
        <v>0</v>
      </c>
      <c r="H252" s="42">
        <f>(F252+(IF(G252&lt;101,G252,IF(G252&lt;201,G252/2,IF(G252&lt;=301,G252/3,G252/4)))))*(($H$164)+1)</f>
        <v>0</v>
      </c>
      <c r="I252" s="36"/>
      <c r="L252" s="116"/>
      <c r="M252" s="116"/>
      <c r="N252" s="36"/>
      <c r="T252" s="21"/>
    </row>
    <row r="253" spans="1:20" s="37" customFormat="1" x14ac:dyDescent="0.25">
      <c r="A253" s="114"/>
      <c r="B253" s="171"/>
      <c r="C253" s="171"/>
      <c r="D253" s="171"/>
      <c r="E253" s="171"/>
      <c r="F253" s="171"/>
      <c r="G253" s="171"/>
      <c r="H253" s="115"/>
      <c r="I253" s="36"/>
      <c r="N253" s="36"/>
    </row>
    <row r="254" spans="1:20" ht="47.25" customHeight="1" x14ac:dyDescent="0.25">
      <c r="A254" s="190" t="s">
        <v>118</v>
      </c>
      <c r="B254" s="175" t="s">
        <v>177</v>
      </c>
      <c r="C254" s="175" t="s">
        <v>54</v>
      </c>
      <c r="D254" s="175" t="s">
        <v>375</v>
      </c>
      <c r="E254" s="175" t="s">
        <v>443</v>
      </c>
      <c r="F254" s="192" t="s">
        <v>55</v>
      </c>
      <c r="G254" s="262" t="s">
        <v>56</v>
      </c>
      <c r="H254" s="63" t="s">
        <v>148</v>
      </c>
      <c r="I254" s="36"/>
      <c r="T254" s="37"/>
    </row>
    <row r="255" spans="1:20" s="37" customFormat="1" x14ac:dyDescent="0.25">
      <c r="A255" s="191"/>
      <c r="B255" s="176"/>
      <c r="C255" s="176"/>
      <c r="D255" s="176"/>
      <c r="E255" s="176"/>
      <c r="F255" s="193"/>
      <c r="G255" s="263"/>
      <c r="H255" s="106">
        <v>0.5</v>
      </c>
      <c r="I255" s="36"/>
    </row>
    <row r="256" spans="1:20" s="101" customFormat="1" x14ac:dyDescent="0.25">
      <c r="A256" s="117" t="s">
        <v>420</v>
      </c>
      <c r="B256" s="118"/>
      <c r="C256" s="118"/>
      <c r="D256" s="118"/>
      <c r="E256" s="118"/>
      <c r="F256" s="118"/>
      <c r="G256" s="118"/>
      <c r="H256" s="119"/>
      <c r="J256" s="36"/>
      <c r="T256" s="35"/>
    </row>
    <row r="257" spans="1:13" s="101" customFormat="1" x14ac:dyDescent="0.25">
      <c r="A257" s="198" t="s">
        <v>431</v>
      </c>
      <c r="B257" s="198"/>
      <c r="C257" s="198"/>
      <c r="D257" s="198"/>
      <c r="E257" s="198"/>
      <c r="F257" s="198"/>
      <c r="G257" s="198"/>
      <c r="H257" s="198"/>
      <c r="I257" s="36"/>
      <c r="L257" s="116"/>
      <c r="M257" s="116"/>
    </row>
    <row r="258" spans="1:13" s="101" customFormat="1" ht="15.75" customHeight="1" x14ac:dyDescent="0.25">
      <c r="A258" s="117" t="s">
        <v>432</v>
      </c>
      <c r="B258" s="118"/>
      <c r="C258" s="118"/>
      <c r="D258" s="118"/>
      <c r="E258" s="118"/>
      <c r="F258" s="118"/>
      <c r="G258" s="118"/>
      <c r="H258" s="119"/>
      <c r="I258" s="36"/>
    </row>
    <row r="259" spans="1:13" s="101" customFormat="1" ht="15.75" customHeight="1" x14ac:dyDescent="0.25">
      <c r="A259" s="114"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10^ROW(INDIRECT("1:"&amp;LEN((LEFT(A258,SUM(LEN(A258)-LEN(SUBSTITUTE(A258,{"0","1","2"},""))))))))/10))*100+1&amp;""&amp;" ,..,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",LEN(A258))),LEN(A258)))))))/10))*100+1</f>
        <v>301 ,.., 1201</v>
      </c>
      <c r="B259" s="115"/>
      <c r="C259" s="102" t="s">
        <v>433</v>
      </c>
      <c r="D259" s="108">
        <f>(57.34)*(10.764)</f>
        <v>617.20776000000001</v>
      </c>
      <c r="E259" s="108">
        <f>(9.288)*(10.764)</f>
        <v>99.976032000000004</v>
      </c>
      <c r="F259" s="102">
        <f t="shared" ref="F259:F266" si="41">D259+E259</f>
        <v>717.18379200000004</v>
      </c>
      <c r="G259" s="102">
        <v>0</v>
      </c>
      <c r="H259" s="102">
        <f t="shared" ref="H259:H266" si="42">F259*(($H$255)+1)+(IF(G259&lt;101,G259,IF(G259&lt;201,G259/2,IF(G259&lt;=301,G259/3,G259/4))))</f>
        <v>1075.7756880000002</v>
      </c>
      <c r="I259" s="36"/>
    </row>
    <row r="260" spans="1:13" s="101" customFormat="1" ht="15.75" customHeight="1" x14ac:dyDescent="0.25">
      <c r="A260" s="114"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302 ,.., 1202</v>
      </c>
      <c r="B260" s="115"/>
      <c r="C260" s="102" t="s">
        <v>433</v>
      </c>
      <c r="D260" s="108">
        <f>(57.34)*(10.764)</f>
        <v>617.20776000000001</v>
      </c>
      <c r="E260" s="108">
        <f>(7.112)*(10.764)</f>
        <v>76.553567999999999</v>
      </c>
      <c r="F260" s="102">
        <f t="shared" si="41"/>
        <v>693.76132800000005</v>
      </c>
      <c r="G260" s="102">
        <v>0</v>
      </c>
      <c r="H260" s="102">
        <f t="shared" si="42"/>
        <v>1040.6419920000001</v>
      </c>
      <c r="I260" s="36">
        <f>3*4.8+1.5*3.2+2.1*3.65+2.9*3.65+3.65*3.2+1.2*2.1*2+0.9*2.5</f>
        <v>56.419999999999995</v>
      </c>
    </row>
    <row r="261" spans="1:13" s="101" customFormat="1" ht="15.75" customHeight="1" x14ac:dyDescent="0.25">
      <c r="A261" s="114"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303 ,.., 1203</v>
      </c>
      <c r="B261" s="115"/>
      <c r="C261" s="102" t="s">
        <v>433</v>
      </c>
      <c r="D261" s="108">
        <f>(57.34)*(10.764)</f>
        <v>617.20776000000001</v>
      </c>
      <c r="E261" s="108">
        <f>(7.112)*(10.764)</f>
        <v>76.553567999999999</v>
      </c>
      <c r="F261" s="102">
        <f t="shared" si="41"/>
        <v>693.76132800000005</v>
      </c>
      <c r="G261" s="102">
        <v>0</v>
      </c>
      <c r="H261" s="102">
        <f t="shared" si="42"/>
        <v>1040.6419920000001</v>
      </c>
      <c r="I261" s="36"/>
    </row>
    <row r="262" spans="1:13" s="101" customFormat="1" ht="15.75" customHeight="1" x14ac:dyDescent="0.25">
      <c r="A262" s="114"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304 ,.., 1204</v>
      </c>
      <c r="B262" s="115"/>
      <c r="C262" s="102" t="s">
        <v>433</v>
      </c>
      <c r="D262" s="108">
        <f>(57.34)*(10.764)</f>
        <v>617.20776000000001</v>
      </c>
      <c r="E262" s="108">
        <f>(9.288)*(10.764)</f>
        <v>99.976032000000004</v>
      </c>
      <c r="F262" s="102">
        <f t="shared" si="41"/>
        <v>717.18379200000004</v>
      </c>
      <c r="G262" s="102">
        <v>0</v>
      </c>
      <c r="H262" s="102">
        <f t="shared" si="42"/>
        <v>1075.7756880000002</v>
      </c>
      <c r="I262" s="36"/>
      <c r="J262" s="101">
        <f>3.025*1.5+3.65+0.9*1</f>
        <v>9.0875000000000004</v>
      </c>
    </row>
    <row r="263" spans="1:13" s="101" customFormat="1" ht="15.75" customHeight="1" x14ac:dyDescent="0.25">
      <c r="A263" s="114"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305 ,.., 1205</v>
      </c>
      <c r="B263" s="115"/>
      <c r="C263" s="102" t="s">
        <v>434</v>
      </c>
      <c r="D263" s="108">
        <f>(81.745)*(10.764)</f>
        <v>879.90318000000002</v>
      </c>
      <c r="E263" s="108">
        <f>(7.75)*(10.764)</f>
        <v>83.420999999999992</v>
      </c>
      <c r="F263" s="102">
        <f t="shared" si="41"/>
        <v>963.32418000000007</v>
      </c>
      <c r="G263" s="102">
        <v>0</v>
      </c>
      <c r="H263" s="102">
        <f t="shared" si="42"/>
        <v>1444.9862700000001</v>
      </c>
      <c r="I263" s="36">
        <f>3.2*5+1.75*3.35+3*3.7+1.35*2.4+1.35*1.3+4.55*1.2+2.1*3.35+3*3.35+3.65*3.35+1.2*2.1*2+2.55*0.9</f>
        <v>80.065000000000026</v>
      </c>
      <c r="J263" s="101">
        <f>2.8*1+3.3*1.5</f>
        <v>7.7499999999999991</v>
      </c>
    </row>
    <row r="264" spans="1:13" s="101" customFormat="1" ht="15.75" customHeight="1" x14ac:dyDescent="0.25">
      <c r="A264" s="114"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306 ,.., 1206</v>
      </c>
      <c r="B264" s="115"/>
      <c r="C264" s="102" t="s">
        <v>433</v>
      </c>
      <c r="D264" s="108">
        <f>(57.34)*(10.764)</f>
        <v>617.20776000000001</v>
      </c>
      <c r="E264" s="108">
        <f>(7.112)*(10.764)</f>
        <v>76.553567999999999</v>
      </c>
      <c r="F264" s="102">
        <f t="shared" si="41"/>
        <v>693.76132800000005</v>
      </c>
      <c r="G264" s="102">
        <v>0</v>
      </c>
      <c r="H264" s="102">
        <f t="shared" si="42"/>
        <v>1040.6419920000001</v>
      </c>
      <c r="I264" s="36"/>
    </row>
    <row r="265" spans="1:13" s="101" customFormat="1" ht="15.75" customHeight="1" x14ac:dyDescent="0.25">
      <c r="A265" s="114"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307 ,.., 1207</v>
      </c>
      <c r="B265" s="115"/>
      <c r="C265" s="102" t="s">
        <v>433</v>
      </c>
      <c r="D265" s="108">
        <f>(57.34)*(10.764)</f>
        <v>617.20776000000001</v>
      </c>
      <c r="E265" s="108">
        <f>(7.112)*(10.764)</f>
        <v>76.553567999999999</v>
      </c>
      <c r="F265" s="102">
        <f t="shared" si="41"/>
        <v>693.76132800000005</v>
      </c>
      <c r="G265" s="102">
        <v>0</v>
      </c>
      <c r="H265" s="102">
        <f t="shared" si="42"/>
        <v>1040.6419920000001</v>
      </c>
      <c r="I265" s="36"/>
    </row>
    <row r="266" spans="1:13" s="101" customFormat="1" ht="15.75" customHeight="1" x14ac:dyDescent="0.25">
      <c r="A266" s="114"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10^ROW(INDIRECT("1:"&amp;LEN((LEFT(A265,SUM(LEN(A265)-LEN(SUBSTITUTE(A265,{"0","1","2"},""))))))))/10))*1+1&amp;""&amp;" ,..,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",LEN(A265))),LEN(A265)))))))/10))*1+1</f>
        <v>308 ,.., 1208</v>
      </c>
      <c r="B266" s="115"/>
      <c r="C266" s="102" t="s">
        <v>434</v>
      </c>
      <c r="D266" s="108">
        <f>(81.745)*(10.764)</f>
        <v>879.90318000000002</v>
      </c>
      <c r="E266" s="108">
        <f>(9.535)*(10.764)</f>
        <v>102.63473999999999</v>
      </c>
      <c r="F266" s="102">
        <f t="shared" si="41"/>
        <v>982.53791999999999</v>
      </c>
      <c r="G266" s="102">
        <v>0</v>
      </c>
      <c r="H266" s="102">
        <f t="shared" si="42"/>
        <v>1473.8068800000001</v>
      </c>
      <c r="I266" s="36"/>
    </row>
    <row r="267" spans="1:13" s="101" customFormat="1" x14ac:dyDescent="0.25">
      <c r="A267" s="117" t="s">
        <v>435</v>
      </c>
      <c r="B267" s="118"/>
      <c r="C267" s="118"/>
      <c r="D267" s="118"/>
      <c r="E267" s="118"/>
      <c r="F267" s="118"/>
      <c r="G267" s="118"/>
      <c r="H267" s="119"/>
      <c r="I267" s="36"/>
    </row>
    <row r="268" spans="1:13" s="101" customFormat="1" ht="15.75" customHeight="1" x14ac:dyDescent="0.25">
      <c r="A268" s="114"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10^ROW(INDIRECT("1:"&amp;LEN((LEFT(A267,SUM(LEN(A267)-LEN(SUBSTITUTE(A267,{"0","1","2"},""))))))))/10))*100+1&amp;""&amp;" &amp;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",LEN(A267))),LEN(A267)))))))/10))*100+1</f>
        <v>801 &amp; 1301</v>
      </c>
      <c r="B268" s="115"/>
      <c r="C268" s="102" t="s">
        <v>433</v>
      </c>
      <c r="D268" s="108">
        <f>(57.34)*(10.764)</f>
        <v>617.20776000000001</v>
      </c>
      <c r="E268" s="108">
        <f>(9.288)*(10.764)</f>
        <v>99.976032000000004</v>
      </c>
      <c r="F268" s="102">
        <f t="shared" ref="F268:F275" si="43">D268+E268</f>
        <v>717.18379200000004</v>
      </c>
      <c r="G268" s="102">
        <v>0</v>
      </c>
      <c r="H268" s="102">
        <f t="shared" ref="H268:H275" si="44">F268*(($H$255)+1)+(IF(G268&lt;101,G268,IF(G268&lt;201,G268/2,IF(G268&lt;=301,G268/3,G268/4))))</f>
        <v>1075.7756880000002</v>
      </c>
      <c r="I268" s="36"/>
      <c r="J268" s="101">
        <f>9500*H268</f>
        <v>10219869.036000002</v>
      </c>
    </row>
    <row r="269" spans="1:13" s="101" customFormat="1" ht="15.75" customHeight="1" x14ac:dyDescent="0.25">
      <c r="A269" s="114"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&amp;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802 &amp; 1302</v>
      </c>
      <c r="B269" s="115"/>
      <c r="C269" s="102" t="s">
        <v>433</v>
      </c>
      <c r="D269" s="108">
        <f>(57.34)*(10.764)</f>
        <v>617.20776000000001</v>
      </c>
      <c r="E269" s="108">
        <f>(7.112)*(10.764)</f>
        <v>76.553567999999999</v>
      </c>
      <c r="F269" s="102">
        <f t="shared" si="43"/>
        <v>693.76132800000005</v>
      </c>
      <c r="G269" s="102">
        <v>0</v>
      </c>
      <c r="H269" s="102">
        <f t="shared" si="44"/>
        <v>1040.6419920000001</v>
      </c>
      <c r="I269" s="36"/>
      <c r="J269" s="103">
        <f t="shared" ref="J269:J275" si="45">9500*H269</f>
        <v>9886098.9240000006</v>
      </c>
    </row>
    <row r="270" spans="1:13" s="101" customFormat="1" ht="15.75" customHeight="1" x14ac:dyDescent="0.25">
      <c r="A270" s="114"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&amp;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803 &amp; 1303</v>
      </c>
      <c r="B270" s="115"/>
      <c r="C270" s="102" t="s">
        <v>433</v>
      </c>
      <c r="D270" s="108">
        <f>(57.34)*(10.764)</f>
        <v>617.20776000000001</v>
      </c>
      <c r="E270" s="108">
        <f>(7.112)*(10.764)</f>
        <v>76.553567999999999</v>
      </c>
      <c r="F270" s="102">
        <f t="shared" si="43"/>
        <v>693.76132800000005</v>
      </c>
      <c r="G270" s="102">
        <v>0</v>
      </c>
      <c r="H270" s="102">
        <f t="shared" si="44"/>
        <v>1040.6419920000001</v>
      </c>
      <c r="I270" s="36"/>
      <c r="J270" s="103">
        <f t="shared" si="45"/>
        <v>9886098.9240000006</v>
      </c>
    </row>
    <row r="271" spans="1:13" s="101" customFormat="1" ht="15.75" customHeight="1" x14ac:dyDescent="0.25">
      <c r="A271" s="114"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&amp;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804 &amp; 1304</v>
      </c>
      <c r="B271" s="115"/>
      <c r="C271" s="102" t="s">
        <v>433</v>
      </c>
      <c r="D271" s="108">
        <f>(57.34)*(10.764)</f>
        <v>617.20776000000001</v>
      </c>
      <c r="E271" s="108">
        <f>(9.288)*(10.764)</f>
        <v>99.976032000000004</v>
      </c>
      <c r="F271" s="102">
        <f t="shared" si="43"/>
        <v>717.18379200000004</v>
      </c>
      <c r="G271" s="102">
        <v>0</v>
      </c>
      <c r="H271" s="102">
        <f t="shared" si="44"/>
        <v>1075.7756880000002</v>
      </c>
      <c r="I271" s="36"/>
      <c r="J271" s="103">
        <f t="shared" si="45"/>
        <v>10219869.036000002</v>
      </c>
    </row>
    <row r="272" spans="1:13" s="101" customFormat="1" ht="15.75" customHeight="1" x14ac:dyDescent="0.25">
      <c r="A272" s="114"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&amp;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805 &amp; 1305</v>
      </c>
      <c r="B272" s="115"/>
      <c r="C272" s="102" t="s">
        <v>434</v>
      </c>
      <c r="D272" s="108">
        <f>(81.745)*(10.764)</f>
        <v>879.90318000000002</v>
      </c>
      <c r="E272" s="108">
        <f>(7.75)*(10.764)</f>
        <v>83.420999999999992</v>
      </c>
      <c r="F272" s="102">
        <f t="shared" si="43"/>
        <v>963.32418000000007</v>
      </c>
      <c r="G272" s="102">
        <v>0</v>
      </c>
      <c r="H272" s="102">
        <f t="shared" si="44"/>
        <v>1444.9862700000001</v>
      </c>
      <c r="I272" s="36"/>
      <c r="J272" s="103">
        <f t="shared" si="45"/>
        <v>13727369.565000001</v>
      </c>
    </row>
    <row r="273" spans="1:20" s="101" customFormat="1" ht="15.75" customHeight="1" x14ac:dyDescent="0.25">
      <c r="A273" s="114"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&amp;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806 &amp; 1306</v>
      </c>
      <c r="B273" s="115"/>
      <c r="C273" s="102" t="s">
        <v>433</v>
      </c>
      <c r="D273" s="108">
        <f>(57.34)*(10.764)</f>
        <v>617.20776000000001</v>
      </c>
      <c r="E273" s="108">
        <f>(7.112)*(10.764)</f>
        <v>76.553567999999999</v>
      </c>
      <c r="F273" s="102">
        <f t="shared" si="43"/>
        <v>693.76132800000005</v>
      </c>
      <c r="G273" s="102">
        <v>0</v>
      </c>
      <c r="H273" s="102">
        <f t="shared" si="44"/>
        <v>1040.6419920000001</v>
      </c>
      <c r="I273" s="36"/>
      <c r="J273" s="103">
        <f t="shared" si="45"/>
        <v>9886098.9240000006</v>
      </c>
    </row>
    <row r="274" spans="1:20" s="101" customFormat="1" ht="15.75" customHeight="1" x14ac:dyDescent="0.25">
      <c r="A274" s="114"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&amp;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807 &amp; 1307</v>
      </c>
      <c r="B274" s="115"/>
      <c r="C274" s="102" t="s">
        <v>433</v>
      </c>
      <c r="D274" s="108">
        <f>(57.34)*(10.764)</f>
        <v>617.20776000000001</v>
      </c>
      <c r="E274" s="108">
        <f>(7.112)*(10.764)</f>
        <v>76.553567999999999</v>
      </c>
      <c r="F274" s="102">
        <f t="shared" si="43"/>
        <v>693.76132800000005</v>
      </c>
      <c r="G274" s="102">
        <v>0</v>
      </c>
      <c r="H274" s="102">
        <f t="shared" si="44"/>
        <v>1040.6419920000001</v>
      </c>
      <c r="I274" s="36"/>
      <c r="J274" s="103">
        <f t="shared" si="45"/>
        <v>9886098.9240000006</v>
      </c>
    </row>
    <row r="275" spans="1:20" s="101" customFormat="1" ht="15.75" customHeight="1" x14ac:dyDescent="0.25">
      <c r="A275" s="114"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&amp;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808 &amp; 1308</v>
      </c>
      <c r="B275" s="115"/>
      <c r="C275" s="102" t="s">
        <v>434</v>
      </c>
      <c r="D275" s="108">
        <f>(81.745)*(10.764)</f>
        <v>879.90318000000002</v>
      </c>
      <c r="E275" s="108">
        <f>(9.535)*(10.764)</f>
        <v>102.63473999999999</v>
      </c>
      <c r="F275" s="102">
        <f t="shared" si="43"/>
        <v>982.53791999999999</v>
      </c>
      <c r="G275" s="102">
        <v>0</v>
      </c>
      <c r="H275" s="102">
        <f t="shared" si="44"/>
        <v>1473.8068800000001</v>
      </c>
      <c r="I275" s="36"/>
      <c r="J275" s="103">
        <f t="shared" si="45"/>
        <v>14001165.360000001</v>
      </c>
    </row>
    <row r="276" spans="1:20" s="101" customFormat="1" x14ac:dyDescent="0.25">
      <c r="A276" s="198" t="s">
        <v>436</v>
      </c>
      <c r="B276" s="198"/>
      <c r="C276" s="198"/>
      <c r="D276" s="198"/>
      <c r="E276" s="198"/>
      <c r="F276" s="198"/>
      <c r="G276" s="198"/>
      <c r="H276" s="198"/>
      <c r="I276" s="36"/>
      <c r="L276" s="116"/>
      <c r="M276" s="116"/>
    </row>
    <row r="277" spans="1:20" s="101" customFormat="1" ht="57.75" customHeight="1" x14ac:dyDescent="0.25">
      <c r="A277" s="174">
        <f>LEFT(A276,SUM(LEN(A276)-LEN(SUBSTITUTE(A276,{"0","1","2","3","4","5","6","7","8","9"},""))))*100+1</f>
        <v>1401</v>
      </c>
      <c r="B277" s="174"/>
      <c r="C277" s="102" t="s">
        <v>437</v>
      </c>
      <c r="D277" s="108">
        <f>(57.34)*(10.764)</f>
        <v>617.20776000000001</v>
      </c>
      <c r="E277" s="108">
        <f>(9.288)*(10.764)</f>
        <v>99.976032000000004</v>
      </c>
      <c r="F277" s="102">
        <f t="shared" ref="F277:F284" si="46">D277+E277</f>
        <v>717.18379200000004</v>
      </c>
      <c r="G277" s="110">
        <f>(3*6.3+5.15*3.8+2.5*4.2+0.9*1.9+1.6*0.9+3.2*3.6)*(10.764)</f>
        <v>685.02095999999995</v>
      </c>
      <c r="H277" s="102">
        <f t="shared" ref="H277:H284" si="47">F277*(($H$255)+1)+(IF(G277&lt;101,G277,IF(G277&lt;201,G277/2,IF(G277&lt;=301,G277/3,G277/4))))</f>
        <v>1247.0309280000001</v>
      </c>
      <c r="I277" s="36"/>
      <c r="N277" s="36"/>
    </row>
    <row r="278" spans="1:20" s="101" customFormat="1" ht="57" customHeight="1" x14ac:dyDescent="0.25">
      <c r="A278" s="174">
        <f t="shared" ref="A278:A284" si="48">A277+1</f>
        <v>1402</v>
      </c>
      <c r="B278" s="174"/>
      <c r="C278" s="102" t="s">
        <v>437</v>
      </c>
      <c r="D278" s="108">
        <f>(57.34)*(10.764)</f>
        <v>617.20776000000001</v>
      </c>
      <c r="E278" s="108">
        <f>(7.112)*(10.764)</f>
        <v>76.553567999999999</v>
      </c>
      <c r="F278" s="102">
        <f t="shared" si="46"/>
        <v>693.76132800000005</v>
      </c>
      <c r="G278" s="110">
        <f>(3*6.3+5.15*3.8+2.5*4.2+0.9*1.6+3.2*3.6)*(10.764)</f>
        <v>666.61451999999997</v>
      </c>
      <c r="H278" s="102">
        <f t="shared" si="47"/>
        <v>1207.2956220000001</v>
      </c>
      <c r="I278" s="36"/>
      <c r="N278" s="36"/>
    </row>
    <row r="279" spans="1:20" s="101" customFormat="1" ht="54.75" customHeight="1" x14ac:dyDescent="0.25">
      <c r="A279" s="174">
        <f t="shared" si="48"/>
        <v>1403</v>
      </c>
      <c r="B279" s="174"/>
      <c r="C279" s="102" t="s">
        <v>437</v>
      </c>
      <c r="D279" s="108">
        <f>(57.34)*(10.764)</f>
        <v>617.20776000000001</v>
      </c>
      <c r="E279" s="108">
        <f>(7.112)*(10.764)</f>
        <v>76.553567999999999</v>
      </c>
      <c r="F279" s="102">
        <f t="shared" si="46"/>
        <v>693.76132800000005</v>
      </c>
      <c r="G279" s="110">
        <f>(3*6.3+5.15*3.8+2.5*4.2+0.9*1.6+3.2*3.6)*(10.764)</f>
        <v>666.61451999999997</v>
      </c>
      <c r="H279" s="102">
        <f t="shared" si="47"/>
        <v>1207.2956220000001</v>
      </c>
      <c r="I279" s="36"/>
      <c r="N279" s="36"/>
    </row>
    <row r="280" spans="1:20" s="101" customFormat="1" ht="54.75" customHeight="1" x14ac:dyDescent="0.25">
      <c r="A280" s="174">
        <f t="shared" si="48"/>
        <v>1404</v>
      </c>
      <c r="B280" s="174"/>
      <c r="C280" s="102" t="s">
        <v>437</v>
      </c>
      <c r="D280" s="108">
        <f>(57.34)*(10.764)</f>
        <v>617.20776000000001</v>
      </c>
      <c r="E280" s="108">
        <f>(9.288)*(10.764)</f>
        <v>99.976032000000004</v>
      </c>
      <c r="F280" s="102">
        <f t="shared" si="46"/>
        <v>717.18379200000004</v>
      </c>
      <c r="G280" s="110">
        <f>(3*6.3+5.15*3.8+2.5*4.2+0.9*1.9+1.6*0.9+3.2*3.6)*(10.764)</f>
        <v>685.02095999999995</v>
      </c>
      <c r="H280" s="102">
        <f t="shared" si="47"/>
        <v>1247.0309280000001</v>
      </c>
      <c r="I280" s="36"/>
      <c r="N280" s="36"/>
    </row>
    <row r="281" spans="1:20" s="101" customFormat="1" ht="55.5" customHeight="1" x14ac:dyDescent="0.25">
      <c r="A281" s="174">
        <f t="shared" si="48"/>
        <v>1405</v>
      </c>
      <c r="B281" s="174"/>
      <c r="C281" s="102" t="s">
        <v>438</v>
      </c>
      <c r="D281" s="108">
        <f>(81.745)*(10.764)</f>
        <v>879.90318000000002</v>
      </c>
      <c r="E281" s="108">
        <f>(7.75)*(10.764)</f>
        <v>83.420999999999992</v>
      </c>
      <c r="F281" s="102">
        <f t="shared" si="46"/>
        <v>963.32418000000007</v>
      </c>
      <c r="G281" s="110">
        <f>(2.8*4.4+5.3*2.45+4.4*3.4+3.2*6.5+4.4*5+0.4+1.7*2+0.8*2.4)*(10.764)</f>
        <v>955.6817400000001</v>
      </c>
      <c r="H281" s="102">
        <f t="shared" si="47"/>
        <v>1683.9067050000001</v>
      </c>
      <c r="I281" s="36"/>
      <c r="N281" s="36"/>
    </row>
    <row r="282" spans="1:20" s="101" customFormat="1" ht="53.25" customHeight="1" x14ac:dyDescent="0.25">
      <c r="A282" s="174">
        <f t="shared" si="48"/>
        <v>1406</v>
      </c>
      <c r="B282" s="174"/>
      <c r="C282" s="102" t="s">
        <v>437</v>
      </c>
      <c r="D282" s="108">
        <f>(57.34)*(10.764)</f>
        <v>617.20776000000001</v>
      </c>
      <c r="E282" s="108">
        <f>(7.112)*(10.764)</f>
        <v>76.553567999999999</v>
      </c>
      <c r="F282" s="102">
        <f t="shared" si="46"/>
        <v>693.76132800000005</v>
      </c>
      <c r="G282" s="110">
        <f>(3*6.3+5.15*3.8+2.5*4.2+0.9*1.6+3.2*3.6)*(10.764)</f>
        <v>666.61451999999997</v>
      </c>
      <c r="H282" s="102">
        <f t="shared" si="47"/>
        <v>1207.2956220000001</v>
      </c>
      <c r="I282" s="36"/>
      <c r="N282" s="36"/>
    </row>
    <row r="283" spans="1:20" s="101" customFormat="1" ht="53.25" customHeight="1" x14ac:dyDescent="0.25">
      <c r="A283" s="174">
        <f t="shared" si="48"/>
        <v>1407</v>
      </c>
      <c r="B283" s="174"/>
      <c r="C283" s="102" t="s">
        <v>437</v>
      </c>
      <c r="D283" s="108">
        <f>(57.34)*(10.764)</f>
        <v>617.20776000000001</v>
      </c>
      <c r="E283" s="108">
        <f>(7.112)*(10.764)</f>
        <v>76.553567999999999</v>
      </c>
      <c r="F283" s="102">
        <f t="shared" si="46"/>
        <v>693.76132800000005</v>
      </c>
      <c r="G283" s="110">
        <f>(3*6.3+5.15*3.8+2.5*4.2+0.9*1.9+1.2*0.9+3.2*3.6)*(10.764)</f>
        <v>681.14591999999993</v>
      </c>
      <c r="H283" s="102">
        <f t="shared" si="47"/>
        <v>1210.9284720000001</v>
      </c>
      <c r="I283" s="36"/>
      <c r="N283" s="36"/>
    </row>
    <row r="284" spans="1:20" s="101" customFormat="1" ht="56.25" customHeight="1" x14ac:dyDescent="0.25">
      <c r="A284" s="174">
        <f t="shared" si="48"/>
        <v>1408</v>
      </c>
      <c r="B284" s="174"/>
      <c r="C284" s="102" t="s">
        <v>438</v>
      </c>
      <c r="D284" s="108">
        <f>(81.745)*(10.764)</f>
        <v>879.90318000000002</v>
      </c>
      <c r="E284" s="108">
        <f>(9.535)*(10.764)</f>
        <v>102.63473999999999</v>
      </c>
      <c r="F284" s="102">
        <f t="shared" si="46"/>
        <v>982.53791999999999</v>
      </c>
      <c r="G284" s="110">
        <f>(2.8*4.4+5.3*2.45+4.4*3.4+3.2*6.5+4.4*5+0.4+1.7*2+0.8*2.4)*(10.764)</f>
        <v>955.6817400000001</v>
      </c>
      <c r="H284" s="102">
        <f t="shared" si="47"/>
        <v>1712.7273150000001</v>
      </c>
      <c r="I284" s="36"/>
      <c r="N284" s="36"/>
    </row>
    <row r="285" spans="1:20" s="101" customFormat="1" x14ac:dyDescent="0.25">
      <c r="A285" s="117" t="s">
        <v>444</v>
      </c>
      <c r="B285" s="118"/>
      <c r="C285" s="118"/>
      <c r="D285" s="118"/>
      <c r="E285" s="118"/>
      <c r="F285" s="118"/>
      <c r="G285" s="118"/>
      <c r="H285" s="119"/>
      <c r="J285" s="36"/>
      <c r="T285" s="35"/>
    </row>
    <row r="286" spans="1:20" s="101" customFormat="1" x14ac:dyDescent="0.25">
      <c r="A286" s="117" t="s">
        <v>445</v>
      </c>
      <c r="B286" s="118"/>
      <c r="C286" s="118"/>
      <c r="D286" s="118"/>
      <c r="E286" s="118"/>
      <c r="F286" s="118"/>
      <c r="G286" s="118"/>
      <c r="H286" s="119"/>
      <c r="J286" s="36"/>
      <c r="T286" s="35"/>
    </row>
    <row r="287" spans="1:20" s="101" customFormat="1" x14ac:dyDescent="0.25">
      <c r="A287" s="117" t="s">
        <v>446</v>
      </c>
      <c r="B287" s="118"/>
      <c r="C287" s="118"/>
      <c r="D287" s="118"/>
      <c r="E287" s="118"/>
      <c r="F287" s="118"/>
      <c r="G287" s="118"/>
      <c r="H287" s="119"/>
      <c r="J287" s="36"/>
    </row>
    <row r="288" spans="1:20" s="101" customFormat="1" x14ac:dyDescent="0.25">
      <c r="A288" s="117" t="s">
        <v>447</v>
      </c>
      <c r="B288" s="118"/>
      <c r="C288" s="118"/>
      <c r="D288" s="118"/>
      <c r="E288" s="118"/>
      <c r="F288" s="118"/>
      <c r="G288" s="118"/>
      <c r="H288" s="119"/>
      <c r="J288" s="36"/>
      <c r="T288" s="35"/>
    </row>
    <row r="289" spans="1:20" s="101" customFormat="1" x14ac:dyDescent="0.25">
      <c r="A289" s="117" t="s">
        <v>423</v>
      </c>
      <c r="B289" s="118"/>
      <c r="C289" s="118"/>
      <c r="D289" s="118"/>
      <c r="E289" s="118"/>
      <c r="F289" s="118"/>
      <c r="G289" s="118"/>
      <c r="H289" s="119"/>
      <c r="J289" s="36"/>
      <c r="T289" s="35"/>
    </row>
    <row r="290" spans="1:20" s="101" customFormat="1" x14ac:dyDescent="0.25">
      <c r="A290" s="198" t="s">
        <v>439</v>
      </c>
      <c r="B290" s="198"/>
      <c r="C290" s="198"/>
      <c r="D290" s="198"/>
      <c r="E290" s="198"/>
      <c r="F290" s="198"/>
      <c r="G290" s="198"/>
      <c r="H290" s="198"/>
      <c r="I290" s="36"/>
      <c r="L290" s="116"/>
      <c r="M290" s="116"/>
    </row>
    <row r="291" spans="1:20" s="101" customFormat="1" ht="15.75" customHeight="1" x14ac:dyDescent="0.25">
      <c r="A291" s="117" t="s">
        <v>440</v>
      </c>
      <c r="B291" s="118"/>
      <c r="C291" s="118"/>
      <c r="D291" s="118"/>
      <c r="E291" s="118"/>
      <c r="F291" s="118"/>
      <c r="G291" s="118"/>
      <c r="H291" s="119"/>
      <c r="I291" s="36"/>
    </row>
    <row r="292" spans="1:20" s="101" customFormat="1" ht="15.75" customHeight="1" x14ac:dyDescent="0.25">
      <c r="A292" s="114"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10^ROW(INDIRECT("1:"&amp;LEN((LEFT(A291,SUM(LEN(A291)-LEN(SUBSTITUTE(A291,{"0","1","2"},""))))))))/10))*100+1&amp;""&amp;" ,..,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",LEN(A291))),LEN(A291)))))))/10))*100+1</f>
        <v>301 ,.., 1101</v>
      </c>
      <c r="B292" s="115"/>
      <c r="C292" s="102" t="s">
        <v>441</v>
      </c>
      <c r="D292" s="108">
        <f>(36.17)*(10.764)</f>
        <v>389.33388000000002</v>
      </c>
      <c r="E292" s="108">
        <f>(3.2)*(10.764)</f>
        <v>34.444800000000001</v>
      </c>
      <c r="F292" s="102">
        <f t="shared" ref="F292:F301" si="49">D292+E292</f>
        <v>423.77868000000001</v>
      </c>
      <c r="G292" s="102">
        <v>0</v>
      </c>
      <c r="H292" s="102">
        <f t="shared" ref="H292:H301" si="50">F292*(($H$255)+1)+(IF(G292&lt;101,G292,IF(G292&lt;201,G292/2,IF(G292&lt;=301,G292/3,G292/4))))</f>
        <v>635.66802000000007</v>
      </c>
      <c r="I292" s="105">
        <f>2.85*5+2.1*2.4+2.9*3.4+1.2*2+1.8*1.2+0.9*2.2</f>
        <v>35.689999999999991</v>
      </c>
    </row>
    <row r="293" spans="1:20" s="101" customFormat="1" ht="15.75" customHeight="1" x14ac:dyDescent="0.25">
      <c r="A293" s="114"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10^ROW(INDIRECT("1:"&amp;LEN((LEFT(A292,SUM(LEN(A292)-LEN(SUBSTITUTE(A292,{"0","1","2"},""))))))))/10))*1+1&amp;""&amp;" ,..,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",LEN(A292))),LEN(A292)))))))/10))*1+1</f>
        <v>302 ,.., 1102</v>
      </c>
      <c r="B293" s="115"/>
      <c r="C293" s="102" t="s">
        <v>441</v>
      </c>
      <c r="D293" s="108">
        <f>(36.17)*(10.764)</f>
        <v>389.33388000000002</v>
      </c>
      <c r="E293" s="108">
        <f>(3.2)*(10.764)</f>
        <v>34.444800000000001</v>
      </c>
      <c r="F293" s="102">
        <f t="shared" si="49"/>
        <v>423.77868000000001</v>
      </c>
      <c r="G293" s="102">
        <v>0</v>
      </c>
      <c r="H293" s="102">
        <f t="shared" si="50"/>
        <v>635.66802000000007</v>
      </c>
      <c r="I293" s="36"/>
    </row>
    <row r="294" spans="1:20" s="101" customFormat="1" ht="15.75" customHeight="1" x14ac:dyDescent="0.25">
      <c r="A294" s="114"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303 ,.., 1103</v>
      </c>
      <c r="B294" s="115"/>
      <c r="C294" s="102" t="s">
        <v>441</v>
      </c>
      <c r="D294" s="108">
        <f>(36.11)*(10.764)</f>
        <v>388.68803999999994</v>
      </c>
      <c r="E294" s="108">
        <f>(3.2)*(10.764)</f>
        <v>34.444800000000001</v>
      </c>
      <c r="F294" s="102">
        <f t="shared" si="49"/>
        <v>423.13283999999993</v>
      </c>
      <c r="G294" s="102">
        <v>0</v>
      </c>
      <c r="H294" s="102">
        <f t="shared" si="50"/>
        <v>634.69925999999987</v>
      </c>
      <c r="I294" s="36"/>
    </row>
    <row r="295" spans="1:20" s="101" customFormat="1" ht="15.75" customHeight="1" x14ac:dyDescent="0.25">
      <c r="A295" s="114"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304 ,.., 1104</v>
      </c>
      <c r="B295" s="115"/>
      <c r="C295" s="102" t="s">
        <v>441</v>
      </c>
      <c r="D295" s="108">
        <f>(34.67)*(10.764)</f>
        <v>373.18788000000001</v>
      </c>
      <c r="E295" s="108">
        <f>(3.2)*(10.764)</f>
        <v>34.444800000000001</v>
      </c>
      <c r="F295" s="102">
        <f t="shared" si="49"/>
        <v>407.63267999999999</v>
      </c>
      <c r="G295" s="102">
        <v>0</v>
      </c>
      <c r="H295" s="102">
        <f t="shared" si="50"/>
        <v>611.44902000000002</v>
      </c>
      <c r="I295" s="36"/>
    </row>
    <row r="296" spans="1:20" s="101" customFormat="1" ht="15.75" customHeight="1" x14ac:dyDescent="0.25">
      <c r="A296" s="114"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305 ,.., 1105</v>
      </c>
      <c r="B296" s="115"/>
      <c r="C296" s="102" t="s">
        <v>441</v>
      </c>
      <c r="D296" s="108">
        <f>(34.67)*(10.764)</f>
        <v>373.18788000000001</v>
      </c>
      <c r="E296" s="108">
        <f>(3.125)*(10.764)</f>
        <v>33.637499999999996</v>
      </c>
      <c r="F296" s="102">
        <f t="shared" si="49"/>
        <v>406.82538</v>
      </c>
      <c r="G296" s="102">
        <v>0</v>
      </c>
      <c r="H296" s="102">
        <f t="shared" si="50"/>
        <v>610.23806999999999</v>
      </c>
      <c r="I296" s="36"/>
    </row>
    <row r="297" spans="1:20" s="101" customFormat="1" ht="15.75" customHeight="1" x14ac:dyDescent="0.25">
      <c r="A297" s="114"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10^ROW(INDIRECT("1:"&amp;LEN((LEFT(A296,SUM(LEN(A296)-LEN(SUBSTITUTE(A296,{"0","1","2"},""))))))))/10))*1+1&amp;""&amp;" ,..,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",LEN(A296))),LEN(A296)))))))/10))*1+1</f>
        <v>306 ,.., 1106</v>
      </c>
      <c r="B297" s="115"/>
      <c r="C297" s="102" t="s">
        <v>441</v>
      </c>
      <c r="D297" s="108">
        <f>(34.67)*(10.764)</f>
        <v>373.18788000000001</v>
      </c>
      <c r="E297" s="108">
        <f>(3.125)*(10.764)</f>
        <v>33.637499999999996</v>
      </c>
      <c r="F297" s="102">
        <f t="shared" si="49"/>
        <v>406.82538</v>
      </c>
      <c r="G297" s="102">
        <v>0</v>
      </c>
      <c r="H297" s="102">
        <f t="shared" si="50"/>
        <v>610.23806999999999</v>
      </c>
      <c r="I297" s="36"/>
    </row>
    <row r="298" spans="1:20" s="101" customFormat="1" ht="15.75" customHeight="1" x14ac:dyDescent="0.25">
      <c r="A298" s="114"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10^ROW(INDIRECT("1:"&amp;LEN((LEFT(A297,SUM(LEN(A297)-LEN(SUBSTITUTE(A297,{"0","1","2"},""))))))))/10))*1+1&amp;""&amp;" ,..,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",LEN(A297))),LEN(A297)))))))/10))*1+1</f>
        <v>307 ,.., 1107</v>
      </c>
      <c r="B298" s="115"/>
      <c r="C298" s="102" t="s">
        <v>441</v>
      </c>
      <c r="D298" s="108">
        <f>(34.67)*(10.764)</f>
        <v>373.18788000000001</v>
      </c>
      <c r="E298" s="108">
        <f>(3.2)*(10.764)</f>
        <v>34.444800000000001</v>
      </c>
      <c r="F298" s="102">
        <f t="shared" si="49"/>
        <v>407.63267999999999</v>
      </c>
      <c r="G298" s="102">
        <v>0</v>
      </c>
      <c r="H298" s="102">
        <f t="shared" si="50"/>
        <v>611.44902000000002</v>
      </c>
      <c r="I298" s="105">
        <f>2.85*5+2.1*2.4+2.9*3.4+1.2*0.9+1.2*1.65+0.9*2.2</f>
        <v>34.189999999999991</v>
      </c>
    </row>
    <row r="299" spans="1:20" s="101" customFormat="1" ht="15.75" customHeight="1" x14ac:dyDescent="0.25">
      <c r="A299" s="114"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10^ROW(INDIRECT("1:"&amp;LEN((LEFT(A298,SUM(LEN(A298)-LEN(SUBSTITUTE(A298,{"0","1","2"},""))))))))/10))*1+1&amp;""&amp;" ,..,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",LEN(A298))),LEN(A298)))))))/10))*1+1</f>
        <v>308 ,.., 1108</v>
      </c>
      <c r="B299" s="115"/>
      <c r="C299" s="102" t="s">
        <v>441</v>
      </c>
      <c r="D299" s="108">
        <f>(36.17)*(10.764)</f>
        <v>389.33388000000002</v>
      </c>
      <c r="E299" s="108">
        <f>(3.2)*(10.764)</f>
        <v>34.444800000000001</v>
      </c>
      <c r="F299" s="102">
        <f t="shared" si="49"/>
        <v>423.77868000000001</v>
      </c>
      <c r="G299" s="102">
        <v>0</v>
      </c>
      <c r="H299" s="102">
        <f t="shared" si="50"/>
        <v>635.66802000000007</v>
      </c>
      <c r="I299" s="36"/>
    </row>
    <row r="300" spans="1:20" s="101" customFormat="1" ht="15.75" customHeight="1" x14ac:dyDescent="0.25">
      <c r="A300" s="114" t="str">
        <f ca="1">(SUMPRODUCT(MID(0&amp;(LEFT(A299,SUM(LEN(A299)-LEN(SUBSTITUTE(A299,{"0","1","2"},""))))), LARGE(INDEX(ISNUMBER(--MID((LEFT(A299,SUM(LEN(A299)-LEN(SUBSTITUTE(A299,{"0","1","2"},""))))), ROW(INDIRECT("1:"&amp;LEN((LEFT(A299,SUM(LEN(A299)-LEN(SUBSTITUTE(A299,{"0","1","2"},"")))))))), 1)) * ROW(INDIRECT("1:"&amp;LEN((LEFT(A299,SUM(LEN(A299)-LEN(SUBSTITUTE(A299,{"0","1","2"},"")))))))), 0), ROW(INDIRECT("1:"&amp;LEN((LEFT(A299,SUM(LEN(A299)-LEN(SUBSTITUTE(A299,{"0","1","2"},"")))))))))+1, 1) * 10^ROW(INDIRECT("1:"&amp;LEN((LEFT(A299,SUM(LEN(A299)-LEN(SUBSTITUTE(A299,{"0","1","2"},""))))))))/10))*1+1&amp;""&amp;" ,.., "&amp;""&amp;(SUMPRODUCT(MID(0&amp;(--TRIM(RIGHT(SUBSTITUTE(LEFT(A299,_xlfn.AGGREGATE(16,6,FIND({0,1,2,3,4,5,6,7,8,9},A299,ROW(INDIRECT("1:"&amp;LEN(A299)))),1))," ",REPT(" ",LEN(A299))),LEN(A299)))), LARGE(INDEX(ISNUMBER(--MID((--TRIM(RIGHT(SUBSTITUTE(LEFT(A299,_xlfn.AGGREGATE(16,6,FIND({0,1,2,3,4,5,6,7,8,9},A299,ROW(INDIRECT("1:"&amp;LEN(A299)))),1))," ",REPT(" ",LEN(A299))),LEN(A299)))), ROW(INDIRECT("1:"&amp;LEN((--TRIM(RIGHT(SUBSTITUTE(LEFT(A299,_xlfn.AGGREGATE(16,6,FIND({0,1,2,3,4,5,6,7,8,9},A299,ROW(INDIRECT("1:"&amp;LEN(A299)))),1))," ",REPT(" ",LEN(A299))),LEN(A299))))))), 1)) * ROW(INDIRECT("1:"&amp;LEN((--TRIM(RIGHT(SUBSTITUTE(LEFT(A299,_xlfn.AGGREGATE(16,6,FIND({0,1,2,3,4,5,6,7,8,9},A299,ROW(INDIRECT("1:"&amp;LEN(A299)))),1))," ",REPT(" ",LEN(A299))),LEN(A299))))))), 0), ROW(INDIRECT("1:"&amp;LEN((--TRIM(RIGHT(SUBSTITUTE(LEFT(A299,_xlfn.AGGREGATE(16,6,FIND({0,1,2,3,4,5,6,7,8,9},A299,ROW(INDIRECT("1:"&amp;LEN(A299)))),1))," ",REPT(" ",LEN(A299))),LEN(A299))))))))+1, 1) * 10^ROW(INDIRECT("1:"&amp;LEN((--TRIM(RIGHT(SUBSTITUTE(LEFT(A299,_xlfn.AGGREGATE(16,6,FIND({0,1,2,3,4,5,6,7,8,9},A299,ROW(INDIRECT("1:"&amp;LEN(A299)))),1))," ",REPT(" ",LEN(A299))),LEN(A299)))))))/10))*1+1</f>
        <v>309 ,.., 1109</v>
      </c>
      <c r="B300" s="115"/>
      <c r="C300" s="102" t="s">
        <v>441</v>
      </c>
      <c r="D300" s="108">
        <f>(36.17)*(10.764)</f>
        <v>389.33388000000002</v>
      </c>
      <c r="E300" s="108">
        <f>(3.2)*(10.764)</f>
        <v>34.444800000000001</v>
      </c>
      <c r="F300" s="102">
        <f t="shared" si="49"/>
        <v>423.77868000000001</v>
      </c>
      <c r="G300" s="102">
        <v>0</v>
      </c>
      <c r="H300" s="102">
        <f t="shared" si="50"/>
        <v>635.66802000000007</v>
      </c>
      <c r="I300" s="36"/>
    </row>
    <row r="301" spans="1:20" s="101" customFormat="1" ht="15.75" customHeight="1" x14ac:dyDescent="0.25">
      <c r="A301" s="114"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10^ROW(INDIRECT("1:"&amp;LEN((LEFT(A300,SUM(LEN(A300)-LEN(SUBSTITUTE(A300,{"0","1","2"},""))))))))/10))*1+1&amp;""&amp;" ,..,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",LEN(A300))),LEN(A300)))))))/10))*1+1</f>
        <v>310 ,.., 1110</v>
      </c>
      <c r="B301" s="115"/>
      <c r="C301" s="102" t="s">
        <v>441</v>
      </c>
      <c r="D301" s="108">
        <f>(36.17)*(10.764)</f>
        <v>389.33388000000002</v>
      </c>
      <c r="E301" s="108">
        <f>(3.2)*(10.764)</f>
        <v>34.444800000000001</v>
      </c>
      <c r="F301" s="102">
        <f t="shared" si="49"/>
        <v>423.77868000000001</v>
      </c>
      <c r="G301" s="102">
        <v>0</v>
      </c>
      <c r="H301" s="102">
        <f t="shared" si="50"/>
        <v>635.66802000000007</v>
      </c>
      <c r="I301" s="36"/>
    </row>
    <row r="302" spans="1:20" s="101" customFormat="1" x14ac:dyDescent="0.25">
      <c r="A302" s="198" t="s">
        <v>442</v>
      </c>
      <c r="B302" s="198"/>
      <c r="C302" s="198"/>
      <c r="D302" s="198"/>
      <c r="E302" s="198"/>
      <c r="F302" s="198"/>
      <c r="G302" s="198"/>
      <c r="H302" s="198"/>
      <c r="I302" s="36"/>
      <c r="L302" s="116"/>
      <c r="M302" s="116"/>
    </row>
    <row r="303" spans="1:20" s="101" customFormat="1" x14ac:dyDescent="0.25">
      <c r="A303" s="174">
        <f>LEFT(A302,SUM(LEN(A302)-LEN(SUBSTITUTE(A302,{"0","1","2","3","4","5","6","7","8","9"},""))))*100+1</f>
        <v>801</v>
      </c>
      <c r="B303" s="174"/>
      <c r="C303" s="102" t="s">
        <v>441</v>
      </c>
      <c r="D303" s="108">
        <f>(36.17)*(10.764)</f>
        <v>389.33388000000002</v>
      </c>
      <c r="E303" s="108">
        <f>(3.2)*(10.764)</f>
        <v>34.444800000000001</v>
      </c>
      <c r="F303" s="102">
        <f t="shared" ref="F303:F312" si="51">D303+E303</f>
        <v>423.77868000000001</v>
      </c>
      <c r="G303" s="102">
        <v>0</v>
      </c>
      <c r="H303" s="102">
        <f t="shared" ref="H303:H312" si="52">F303*(($H$255)+1)+(IF(G303&lt;101,G303,IF(G303&lt;201,G303/2,IF(G303&lt;=301,G303/3,G303/4))))</f>
        <v>635.66802000000007</v>
      </c>
      <c r="I303" s="36"/>
      <c r="J303" s="101">
        <f>9500*H303</f>
        <v>6038846.1900000004</v>
      </c>
      <c r="N303" s="36"/>
    </row>
    <row r="304" spans="1:20" s="101" customFormat="1" x14ac:dyDescent="0.25">
      <c r="A304" s="174">
        <f t="shared" ref="A304:A312" si="53">A303+1</f>
        <v>802</v>
      </c>
      <c r="B304" s="174"/>
      <c r="C304" s="102" t="s">
        <v>441</v>
      </c>
      <c r="D304" s="108">
        <f>(36.17)*(10.764)</f>
        <v>389.33388000000002</v>
      </c>
      <c r="E304" s="108">
        <f>(3.2)*(10.764)</f>
        <v>34.444800000000001</v>
      </c>
      <c r="F304" s="102">
        <f t="shared" si="51"/>
        <v>423.77868000000001</v>
      </c>
      <c r="G304" s="102">
        <v>0</v>
      </c>
      <c r="H304" s="102">
        <f t="shared" si="52"/>
        <v>635.66802000000007</v>
      </c>
      <c r="I304" s="36"/>
      <c r="J304" s="103">
        <f t="shared" ref="J304:J341" si="54">9500*H304</f>
        <v>6038846.1900000004</v>
      </c>
      <c r="N304" s="36"/>
    </row>
    <row r="305" spans="1:20" s="101" customFormat="1" x14ac:dyDescent="0.25">
      <c r="A305" s="174">
        <f t="shared" si="53"/>
        <v>803</v>
      </c>
      <c r="B305" s="174"/>
      <c r="C305" s="102" t="s">
        <v>441</v>
      </c>
      <c r="D305" s="108">
        <f>(36.11)*(10.764)</f>
        <v>388.68803999999994</v>
      </c>
      <c r="E305" s="108">
        <f>(3.2)*(10.764)</f>
        <v>34.444800000000001</v>
      </c>
      <c r="F305" s="102">
        <f t="shared" si="51"/>
        <v>423.13283999999993</v>
      </c>
      <c r="G305" s="102">
        <v>0</v>
      </c>
      <c r="H305" s="102">
        <f t="shared" si="52"/>
        <v>634.69925999999987</v>
      </c>
      <c r="I305" s="36"/>
      <c r="J305" s="103">
        <f t="shared" si="54"/>
        <v>6029642.9699999988</v>
      </c>
      <c r="N305" s="36"/>
    </row>
    <row r="306" spans="1:20" s="101" customFormat="1" x14ac:dyDescent="0.25">
      <c r="A306" s="174">
        <f t="shared" si="53"/>
        <v>804</v>
      </c>
      <c r="B306" s="174"/>
      <c r="C306" s="102" t="s">
        <v>441</v>
      </c>
      <c r="D306" s="108">
        <f>(34.67)*(10.764)</f>
        <v>373.18788000000001</v>
      </c>
      <c r="E306" s="108">
        <f>(3.2)*(10.764)</f>
        <v>34.444800000000001</v>
      </c>
      <c r="F306" s="102">
        <f t="shared" si="51"/>
        <v>407.63267999999999</v>
      </c>
      <c r="G306" s="102">
        <v>0</v>
      </c>
      <c r="H306" s="102">
        <f t="shared" si="52"/>
        <v>611.44902000000002</v>
      </c>
      <c r="I306" s="36"/>
      <c r="J306" s="103">
        <f t="shared" si="54"/>
        <v>5808765.6900000004</v>
      </c>
      <c r="N306" s="36"/>
    </row>
    <row r="307" spans="1:20" s="101" customFormat="1" x14ac:dyDescent="0.25">
      <c r="A307" s="174">
        <f t="shared" si="53"/>
        <v>805</v>
      </c>
      <c r="B307" s="174"/>
      <c r="C307" s="102" t="s">
        <v>441</v>
      </c>
      <c r="D307" s="108">
        <f>(34.67)*(10.764)</f>
        <v>373.18788000000001</v>
      </c>
      <c r="E307" s="108">
        <f>(3.125)*(10.764)</f>
        <v>33.637499999999996</v>
      </c>
      <c r="F307" s="102">
        <f t="shared" si="51"/>
        <v>406.82538</v>
      </c>
      <c r="G307" s="102">
        <v>0</v>
      </c>
      <c r="H307" s="102">
        <f t="shared" si="52"/>
        <v>610.23806999999999</v>
      </c>
      <c r="I307" s="36"/>
      <c r="J307" s="103">
        <f t="shared" si="54"/>
        <v>5797261.665</v>
      </c>
      <c r="N307" s="36"/>
    </row>
    <row r="308" spans="1:20" s="101" customFormat="1" x14ac:dyDescent="0.25">
      <c r="A308" s="174">
        <f t="shared" si="53"/>
        <v>806</v>
      </c>
      <c r="B308" s="174"/>
      <c r="C308" s="102" t="s">
        <v>441</v>
      </c>
      <c r="D308" s="108">
        <f>(34.67)*(10.764)</f>
        <v>373.18788000000001</v>
      </c>
      <c r="E308" s="108">
        <f>(3.125)*(10.764)</f>
        <v>33.637499999999996</v>
      </c>
      <c r="F308" s="102">
        <f t="shared" si="51"/>
        <v>406.82538</v>
      </c>
      <c r="G308" s="102">
        <v>0</v>
      </c>
      <c r="H308" s="102">
        <f t="shared" si="52"/>
        <v>610.23806999999999</v>
      </c>
      <c r="I308" s="36"/>
      <c r="J308" s="103">
        <f t="shared" si="54"/>
        <v>5797261.665</v>
      </c>
      <c r="N308" s="36"/>
    </row>
    <row r="309" spans="1:20" s="101" customFormat="1" x14ac:dyDescent="0.25">
      <c r="A309" s="174">
        <f t="shared" si="53"/>
        <v>807</v>
      </c>
      <c r="B309" s="174"/>
      <c r="C309" s="102" t="s">
        <v>441</v>
      </c>
      <c r="D309" s="108">
        <f>(34.67)*(10.764)</f>
        <v>373.18788000000001</v>
      </c>
      <c r="E309" s="108">
        <f>(3.2)*(10.764)</f>
        <v>34.444800000000001</v>
      </c>
      <c r="F309" s="102">
        <f t="shared" si="51"/>
        <v>407.63267999999999</v>
      </c>
      <c r="G309" s="102">
        <v>0</v>
      </c>
      <c r="H309" s="102">
        <f t="shared" si="52"/>
        <v>611.44902000000002</v>
      </c>
      <c r="I309" s="36"/>
      <c r="J309" s="103">
        <f t="shared" si="54"/>
        <v>5808765.6900000004</v>
      </c>
      <c r="N309" s="36"/>
    </row>
    <row r="310" spans="1:20" s="101" customFormat="1" x14ac:dyDescent="0.25">
      <c r="A310" s="174">
        <f t="shared" si="53"/>
        <v>808</v>
      </c>
      <c r="B310" s="174"/>
      <c r="C310" s="102" t="s">
        <v>441</v>
      </c>
      <c r="D310" s="108">
        <f>(36.17)*(10.764)</f>
        <v>389.33388000000002</v>
      </c>
      <c r="E310" s="108">
        <f>(3.2)*(10.764)</f>
        <v>34.444800000000001</v>
      </c>
      <c r="F310" s="102">
        <f t="shared" si="51"/>
        <v>423.77868000000001</v>
      </c>
      <c r="G310" s="102">
        <v>0</v>
      </c>
      <c r="H310" s="102">
        <f t="shared" si="52"/>
        <v>635.66802000000007</v>
      </c>
      <c r="I310" s="36"/>
      <c r="J310" s="103">
        <f t="shared" si="54"/>
        <v>6038846.1900000004</v>
      </c>
      <c r="N310" s="36"/>
    </row>
    <row r="311" spans="1:20" s="101" customFormat="1" x14ac:dyDescent="0.25">
      <c r="A311" s="174">
        <f t="shared" si="53"/>
        <v>809</v>
      </c>
      <c r="B311" s="174"/>
      <c r="C311" s="102" t="s">
        <v>441</v>
      </c>
      <c r="D311" s="108">
        <f>(36.17)*(10.764)</f>
        <v>389.33388000000002</v>
      </c>
      <c r="E311" s="108">
        <f>(3.2)*(10.764)</f>
        <v>34.444800000000001</v>
      </c>
      <c r="F311" s="102">
        <f t="shared" si="51"/>
        <v>423.77868000000001</v>
      </c>
      <c r="G311" s="102">
        <v>0</v>
      </c>
      <c r="H311" s="102">
        <f t="shared" si="52"/>
        <v>635.66802000000007</v>
      </c>
      <c r="I311" s="36"/>
      <c r="J311" s="103">
        <f t="shared" si="54"/>
        <v>6038846.1900000004</v>
      </c>
      <c r="N311" s="36"/>
    </row>
    <row r="312" spans="1:20" s="101" customFormat="1" x14ac:dyDescent="0.25">
      <c r="A312" s="174">
        <f t="shared" si="53"/>
        <v>810</v>
      </c>
      <c r="B312" s="174"/>
      <c r="C312" s="102" t="s">
        <v>441</v>
      </c>
      <c r="D312" s="108">
        <f>(36.17)*(10.764)</f>
        <v>389.33388000000002</v>
      </c>
      <c r="E312" s="108">
        <f>(3.2)*(10.764)</f>
        <v>34.444800000000001</v>
      </c>
      <c r="F312" s="102">
        <f t="shared" si="51"/>
        <v>423.77868000000001</v>
      </c>
      <c r="G312" s="102">
        <v>0</v>
      </c>
      <c r="H312" s="102">
        <f t="shared" si="52"/>
        <v>635.66802000000007</v>
      </c>
      <c r="I312" s="36"/>
      <c r="J312" s="103">
        <f t="shared" si="54"/>
        <v>6038846.1900000004</v>
      </c>
      <c r="N312" s="36"/>
    </row>
    <row r="313" spans="1:20" s="37" customFormat="1" hidden="1" x14ac:dyDescent="0.25">
      <c r="A313" s="117" t="s">
        <v>116</v>
      </c>
      <c r="B313" s="118"/>
      <c r="C313" s="118"/>
      <c r="D313" s="118"/>
      <c r="E313" s="118"/>
      <c r="F313" s="118"/>
      <c r="G313" s="118"/>
      <c r="H313" s="119"/>
      <c r="J313" s="103">
        <f t="shared" si="54"/>
        <v>0</v>
      </c>
    </row>
    <row r="314" spans="1:20" s="37" customFormat="1" ht="15.75" hidden="1" customHeight="1" x14ac:dyDescent="0.25">
      <c r="A314" s="114">
        <v>1</v>
      </c>
      <c r="B314" s="115"/>
      <c r="C314" s="42"/>
      <c r="D314" s="42"/>
      <c r="E314" s="42">
        <v>0</v>
      </c>
      <c r="F314" s="42">
        <f>D314+E314</f>
        <v>0</v>
      </c>
      <c r="G314" s="42">
        <v>0</v>
      </c>
      <c r="H314" s="42">
        <f>F314*(($H$255)+1)+(IF(G314&lt;101,G314,IF(G314&lt;201,G314/2,IF(G314&lt;=301,G314/3,G314/4))))</f>
        <v>0</v>
      </c>
      <c r="I314" s="36"/>
      <c r="J314" s="103">
        <f t="shared" si="54"/>
        <v>0</v>
      </c>
      <c r="L314" s="116"/>
      <c r="M314" s="116"/>
      <c r="N314" s="36"/>
    </row>
    <row r="315" spans="1:20" s="37" customFormat="1" ht="15.75" hidden="1" customHeight="1" x14ac:dyDescent="0.25">
      <c r="A315" s="114">
        <f>A314+1</f>
        <v>2</v>
      </c>
      <c r="B315" s="115"/>
      <c r="C315" s="42"/>
      <c r="D315" s="42"/>
      <c r="E315" s="42">
        <v>0</v>
      </c>
      <c r="F315" s="42">
        <f>D315+E315</f>
        <v>0</v>
      </c>
      <c r="G315" s="42">
        <v>0</v>
      </c>
      <c r="H315" s="42">
        <f>F315*(($H$255)+1)+(IF(G315&lt;101,G315,IF(G315&lt;201,G315/2,IF(G315&lt;=301,G315/3,G315/4))))</f>
        <v>0</v>
      </c>
      <c r="I315" s="36"/>
      <c r="J315" s="103">
        <f t="shared" si="54"/>
        <v>0</v>
      </c>
      <c r="L315" s="116"/>
      <c r="M315" s="116"/>
      <c r="N315" s="36"/>
    </row>
    <row r="316" spans="1:20" s="37" customFormat="1" ht="15.75" hidden="1" customHeight="1" x14ac:dyDescent="0.25">
      <c r="A316" s="114">
        <f>A315+1</f>
        <v>3</v>
      </c>
      <c r="B316" s="115"/>
      <c r="C316" s="42"/>
      <c r="D316" s="42"/>
      <c r="E316" s="42">
        <v>0</v>
      </c>
      <c r="F316" s="42">
        <f>D316+E316</f>
        <v>0</v>
      </c>
      <c r="G316" s="42">
        <v>0</v>
      </c>
      <c r="H316" s="42">
        <f>F316*(($H$255)+1)+(IF(G316&lt;101,G316,IF(G316&lt;201,G316/2,IF(G316&lt;=301,G316/3,G316/4))))</f>
        <v>0</v>
      </c>
      <c r="I316" s="36"/>
      <c r="J316" s="103">
        <f t="shared" si="54"/>
        <v>0</v>
      </c>
      <c r="L316" s="116"/>
      <c r="M316" s="116"/>
      <c r="N316" s="36"/>
    </row>
    <row r="317" spans="1:20" s="37" customFormat="1" ht="15.75" hidden="1" customHeight="1" x14ac:dyDescent="0.25">
      <c r="A317" s="114">
        <f>A316+1</f>
        <v>4</v>
      </c>
      <c r="B317" s="115"/>
      <c r="C317" s="42"/>
      <c r="D317" s="42"/>
      <c r="E317" s="42">
        <v>0</v>
      </c>
      <c r="F317" s="42">
        <f>D317+E317</f>
        <v>0</v>
      </c>
      <c r="G317" s="42">
        <v>0</v>
      </c>
      <c r="H317" s="42">
        <f>F317*(($H$255)+1)+(IF(G317&lt;101,G317,IF(G317&lt;201,G317/2,IF(G317&lt;=301,G317/3,G317/4))))</f>
        <v>0</v>
      </c>
      <c r="I317" s="36"/>
      <c r="J317" s="103">
        <f t="shared" si="54"/>
        <v>0</v>
      </c>
      <c r="L317" s="116"/>
      <c r="M317" s="116"/>
      <c r="N317" s="36"/>
      <c r="T317" s="21"/>
    </row>
    <row r="318" spans="1:20" s="37" customFormat="1" hidden="1" x14ac:dyDescent="0.25">
      <c r="A318" s="198" t="s">
        <v>117</v>
      </c>
      <c r="B318" s="198"/>
      <c r="C318" s="198"/>
      <c r="D318" s="198"/>
      <c r="E318" s="198"/>
      <c r="F318" s="198"/>
      <c r="G318" s="198"/>
      <c r="H318" s="198"/>
      <c r="I318" s="36"/>
      <c r="J318" s="103">
        <f t="shared" si="54"/>
        <v>0</v>
      </c>
      <c r="L318" s="116"/>
      <c r="M318" s="116"/>
    </row>
    <row r="319" spans="1:20" s="37" customFormat="1" hidden="1" x14ac:dyDescent="0.25">
      <c r="A319" s="174">
        <f>LEFT(A318,SUM(LEN(A318)-LEN(SUBSTITUTE(A318,{"0","1","2","3","4","5","6","7","8","9"},""))))*100+1</f>
        <v>201</v>
      </c>
      <c r="B319" s="174"/>
      <c r="C319" s="42"/>
      <c r="D319" s="42"/>
      <c r="E319" s="42">
        <v>0</v>
      </c>
      <c r="F319" s="42">
        <f>D319+E319</f>
        <v>0</v>
      </c>
      <c r="G319" s="42">
        <v>0</v>
      </c>
      <c r="H319" s="42">
        <f>F319*(($H$255)+1)+(IF(G319&lt;101,G319,IF(G319&lt;201,G319/2,IF(G319&lt;=301,G319/3,G319/4))))</f>
        <v>0</v>
      </c>
      <c r="I319" s="36"/>
      <c r="J319" s="103">
        <f t="shared" si="54"/>
        <v>0</v>
      </c>
      <c r="N319" s="36"/>
    </row>
    <row r="320" spans="1:20" s="37" customFormat="1" hidden="1" x14ac:dyDescent="0.25">
      <c r="A320" s="174">
        <f>A319+1</f>
        <v>202</v>
      </c>
      <c r="B320" s="174"/>
      <c r="C320" s="42"/>
      <c r="D320" s="42"/>
      <c r="E320" s="42">
        <v>0</v>
      </c>
      <c r="F320" s="42">
        <f>D320+E320</f>
        <v>0</v>
      </c>
      <c r="G320" s="42">
        <v>0</v>
      </c>
      <c r="H320" s="42">
        <f>F320*(($H$255)+1)+(IF(G320&lt;101,G320,IF(G320&lt;201,G320/2,IF(G320&lt;=301,G320/3,G320/4))))</f>
        <v>0</v>
      </c>
      <c r="I320" s="36"/>
      <c r="J320" s="103">
        <f t="shared" si="54"/>
        <v>0</v>
      </c>
      <c r="N320" s="36"/>
    </row>
    <row r="321" spans="1:14" s="37" customFormat="1" hidden="1" x14ac:dyDescent="0.25">
      <c r="A321" s="174">
        <f>A320+1</f>
        <v>203</v>
      </c>
      <c r="B321" s="174"/>
      <c r="C321" s="42"/>
      <c r="D321" s="42"/>
      <c r="E321" s="42">
        <v>0</v>
      </c>
      <c r="F321" s="42">
        <f>D321+E321</f>
        <v>0</v>
      </c>
      <c r="G321" s="42">
        <v>0</v>
      </c>
      <c r="H321" s="42">
        <f>F321*(($H$255)+1)+(IF(G321&lt;101,G321,IF(G321&lt;201,G321/2,IF(G321&lt;=301,G321/3,G321/4))))</f>
        <v>0</v>
      </c>
      <c r="I321" s="36"/>
      <c r="J321" s="103">
        <f t="shared" si="54"/>
        <v>0</v>
      </c>
      <c r="N321" s="36"/>
    </row>
    <row r="322" spans="1:14" s="37" customFormat="1" hidden="1" x14ac:dyDescent="0.25">
      <c r="A322" s="174">
        <f>A321+1</f>
        <v>204</v>
      </c>
      <c r="B322" s="174"/>
      <c r="C322" s="42"/>
      <c r="D322" s="42"/>
      <c r="E322" s="42">
        <v>0</v>
      </c>
      <c r="F322" s="42">
        <f>D322+E322</f>
        <v>0</v>
      </c>
      <c r="G322" s="42">
        <v>0</v>
      </c>
      <c r="H322" s="42">
        <f>F322*(($H$255)+1)+(IF(G322&lt;101,G322,IF(G322&lt;201,G322/2,IF(G322&lt;=301,G322/3,G322/4))))</f>
        <v>0</v>
      </c>
      <c r="I322" s="36"/>
      <c r="J322" s="103">
        <f t="shared" si="54"/>
        <v>0</v>
      </c>
      <c r="N322" s="36"/>
    </row>
    <row r="323" spans="1:14" s="37" customFormat="1" hidden="1" x14ac:dyDescent="0.25">
      <c r="A323" s="174">
        <f>A322+1</f>
        <v>205</v>
      </c>
      <c r="B323" s="174"/>
      <c r="C323" s="42"/>
      <c r="D323" s="42"/>
      <c r="E323" s="42">
        <v>0</v>
      </c>
      <c r="F323" s="42">
        <f>D323+E323</f>
        <v>0</v>
      </c>
      <c r="G323" s="42">
        <v>0</v>
      </c>
      <c r="H323" s="42">
        <f>F323*(($H$255)+1)+(IF(G323&lt;101,G323,IF(G323&lt;201,G323/2,IF(G323&lt;=301,G323/3,G323/4))))</f>
        <v>0</v>
      </c>
      <c r="I323" s="36"/>
      <c r="J323" s="103">
        <f t="shared" si="54"/>
        <v>0</v>
      </c>
      <c r="N323" s="36"/>
    </row>
    <row r="324" spans="1:14" s="37" customFormat="1" ht="15.75" hidden="1" customHeight="1" x14ac:dyDescent="0.25">
      <c r="A324" s="117" t="s">
        <v>149</v>
      </c>
      <c r="B324" s="118"/>
      <c r="C324" s="118"/>
      <c r="D324" s="118"/>
      <c r="E324" s="118"/>
      <c r="F324" s="118"/>
      <c r="G324" s="118"/>
      <c r="H324" s="119"/>
      <c r="I324" s="36"/>
      <c r="J324" s="103">
        <f t="shared" si="54"/>
        <v>0</v>
      </c>
    </row>
    <row r="325" spans="1:14" s="37" customFormat="1" ht="15.75" hidden="1" customHeight="1" x14ac:dyDescent="0.25">
      <c r="A325" s="114" t="str">
        <f ca="1">(SUMPRODUCT(MID(0&amp;(LEFT(A324,SUM(LEN(A324)-LEN(SUBSTITUTE(A324,{"0","1","2"},""))))), LARGE(INDEX(ISNUMBER(--MID((LEFT(A324,SUM(LEN(A324)-LEN(SUBSTITUTE(A324,{"0","1","2"},""))))), ROW(INDIRECT("1:"&amp;LEN((LEFT(A324,SUM(LEN(A324)-LEN(SUBSTITUTE(A324,{"0","1","2"},"")))))))), 1)) * ROW(INDIRECT("1:"&amp;LEN((LEFT(A324,SUM(LEN(A324)-LEN(SUBSTITUTE(A324,{"0","1","2"},"")))))))), 0), ROW(INDIRECT("1:"&amp;LEN((LEFT(A324,SUM(LEN(A324)-LEN(SUBSTITUTE(A324,{"0","1","2"},"")))))))))+1, 1) * 10^ROW(INDIRECT("1:"&amp;LEN((LEFT(A324,SUM(LEN(A324)-LEN(SUBSTITUTE(A324,{"0","1","2"},""))))))))/10))*100+1&amp;""&amp;" ,.., "&amp;""&amp;(SUMPRODUCT(MID(0&amp;(--TRIM(RIGHT(SUBSTITUTE(LEFT(A324,_xlfn.AGGREGATE(16,6,FIND({0,1,2,3,4,5,6,7,8,9},A324,ROW(INDIRECT("1:"&amp;LEN(A324)))),1))," ",REPT(" ",LEN(A324))),LEN(A324)))), LARGE(INDEX(ISNUMBER(--MID((--TRIM(RIGHT(SUBSTITUTE(LEFT(A324,_xlfn.AGGREGATE(16,6,FIND({0,1,2,3,4,5,6,7,8,9},A324,ROW(INDIRECT("1:"&amp;LEN(A324)))),1))," ",REPT(" ",LEN(A324))),LEN(A324)))), ROW(INDIRECT("1:"&amp;LEN((--TRIM(RIGHT(SUBSTITUTE(LEFT(A324,_xlfn.AGGREGATE(16,6,FIND({0,1,2,3,4,5,6,7,8,9},A324,ROW(INDIRECT("1:"&amp;LEN(A324)))),1))," ",REPT(" ",LEN(A324))),LEN(A324))))))), 1)) * ROW(INDIRECT("1:"&amp;LEN((--TRIM(RIGHT(SUBSTITUTE(LEFT(A324,_xlfn.AGGREGATE(16,6,FIND({0,1,2,3,4,5,6,7,8,9},A324,ROW(INDIRECT("1:"&amp;LEN(A324)))),1))," ",REPT(" ",LEN(A324))),LEN(A324))))))), 0), ROW(INDIRECT("1:"&amp;LEN((--TRIM(RIGHT(SUBSTITUTE(LEFT(A324,_xlfn.AGGREGATE(16,6,FIND({0,1,2,3,4,5,6,7,8,9},A324,ROW(INDIRECT("1:"&amp;LEN(A324)))),1))," ",REPT(" ",LEN(A324))),LEN(A324))))))))+1, 1) * 10^ROW(INDIRECT("1:"&amp;LEN((--TRIM(RIGHT(SUBSTITUTE(LEFT(A324,_xlfn.AGGREGATE(16,6,FIND({0,1,2,3,4,5,6,7,8,9},A324,ROW(INDIRECT("1:"&amp;LEN(A324)))),1))," ",REPT(" ",LEN(A324))),LEN(A324)))))))/10))*100+1</f>
        <v>301 ,.., 1501</v>
      </c>
      <c r="B325" s="115"/>
      <c r="C325" s="42"/>
      <c r="D325" s="42"/>
      <c r="E325" s="42">
        <v>0</v>
      </c>
      <c r="F325" s="42">
        <f>D325+E325</f>
        <v>0</v>
      </c>
      <c r="G325" s="42">
        <v>0</v>
      </c>
      <c r="H325" s="42">
        <f>F325*(($H$255)+1)+(IF(G325&lt;101,G325,IF(G325&lt;201,G325/2,IF(G325&lt;=301,G325/3,G325/4))))</f>
        <v>0</v>
      </c>
      <c r="I325" s="36"/>
      <c r="J325" s="103">
        <f t="shared" si="54"/>
        <v>0</v>
      </c>
    </row>
    <row r="326" spans="1:14" s="37" customFormat="1" ht="15.75" hidden="1" customHeight="1" x14ac:dyDescent="0.25">
      <c r="A326" s="114" t="str">
        <f ca="1">(SUMPRODUCT(MID(0&amp;(LEFT(A325,SUM(LEN(A325)-LEN(SUBSTITUTE(A325,{"0","1","2"},""))))), LARGE(INDEX(ISNUMBER(--MID((LEFT(A325,SUM(LEN(A325)-LEN(SUBSTITUTE(A325,{"0","1","2"},""))))), ROW(INDIRECT("1:"&amp;LEN((LEFT(A325,SUM(LEN(A325)-LEN(SUBSTITUTE(A325,{"0","1","2"},"")))))))), 1)) * ROW(INDIRECT("1:"&amp;LEN((LEFT(A325,SUM(LEN(A325)-LEN(SUBSTITUTE(A325,{"0","1","2"},"")))))))), 0), ROW(INDIRECT("1:"&amp;LEN((LEFT(A325,SUM(LEN(A325)-LEN(SUBSTITUTE(A325,{"0","1","2"},"")))))))))+1, 1) * 10^ROW(INDIRECT("1:"&amp;LEN((LEFT(A325,SUM(LEN(A325)-LEN(SUBSTITUTE(A325,{"0","1","2"},""))))))))/10))*1+1&amp;""&amp;" ,.., "&amp;""&amp;(SUMPRODUCT(MID(0&amp;(--TRIM(RIGHT(SUBSTITUTE(LEFT(A325,_xlfn.AGGREGATE(16,6,FIND({0,1,2,3,4,5,6,7,8,9},A325,ROW(INDIRECT("1:"&amp;LEN(A325)))),1))," ",REPT(" ",LEN(A325))),LEN(A325)))), LARGE(INDEX(ISNUMBER(--MID((--TRIM(RIGHT(SUBSTITUTE(LEFT(A325,_xlfn.AGGREGATE(16,6,FIND({0,1,2,3,4,5,6,7,8,9},A325,ROW(INDIRECT("1:"&amp;LEN(A325)))),1))," ",REPT(" ",LEN(A325))),LEN(A325)))), ROW(INDIRECT("1:"&amp;LEN((--TRIM(RIGHT(SUBSTITUTE(LEFT(A325,_xlfn.AGGREGATE(16,6,FIND({0,1,2,3,4,5,6,7,8,9},A325,ROW(INDIRECT("1:"&amp;LEN(A325)))),1))," ",REPT(" ",LEN(A325))),LEN(A325))))))), 1)) * ROW(INDIRECT("1:"&amp;LEN((--TRIM(RIGHT(SUBSTITUTE(LEFT(A325,_xlfn.AGGREGATE(16,6,FIND({0,1,2,3,4,5,6,7,8,9},A325,ROW(INDIRECT("1:"&amp;LEN(A325)))),1))," ",REPT(" ",LEN(A325))),LEN(A325))))))), 0), ROW(INDIRECT("1:"&amp;LEN((--TRIM(RIGHT(SUBSTITUTE(LEFT(A325,_xlfn.AGGREGATE(16,6,FIND({0,1,2,3,4,5,6,7,8,9},A325,ROW(INDIRECT("1:"&amp;LEN(A325)))),1))," ",REPT(" ",LEN(A325))),LEN(A325))))))))+1, 1) * 10^ROW(INDIRECT("1:"&amp;LEN((--TRIM(RIGHT(SUBSTITUTE(LEFT(A325,_xlfn.AGGREGATE(16,6,FIND({0,1,2,3,4,5,6,7,8,9},A325,ROW(INDIRECT("1:"&amp;LEN(A325)))),1))," ",REPT(" ",LEN(A325))),LEN(A325)))))))/10))*1+1</f>
        <v>302 ,.., 1502</v>
      </c>
      <c r="B326" s="115"/>
      <c r="C326" s="42"/>
      <c r="D326" s="42"/>
      <c r="E326" s="42">
        <v>0</v>
      </c>
      <c r="F326" s="42">
        <f>D326+E326</f>
        <v>0</v>
      </c>
      <c r="G326" s="42">
        <v>0</v>
      </c>
      <c r="H326" s="42">
        <f>F326*(($H$255)+1)+(IF(G326&lt;101,G326,IF(G326&lt;201,G326/2,IF(G326&lt;=301,G326/3,G326/4))))</f>
        <v>0</v>
      </c>
      <c r="I326" s="36"/>
      <c r="J326" s="103">
        <f t="shared" si="54"/>
        <v>0</v>
      </c>
    </row>
    <row r="327" spans="1:14" s="37" customFormat="1" ht="15.75" hidden="1" customHeight="1" x14ac:dyDescent="0.25">
      <c r="A327" s="114" t="str">
        <f ca="1">(SUMPRODUCT(MID(0&amp;(LEFT(A326,SUM(LEN(A326)-LEN(SUBSTITUTE(A326,{"0","1","2"},""))))), LARGE(INDEX(ISNUMBER(--MID((LEFT(A326,SUM(LEN(A326)-LEN(SUBSTITUTE(A326,{"0","1","2"},""))))), ROW(INDIRECT("1:"&amp;LEN((LEFT(A326,SUM(LEN(A326)-LEN(SUBSTITUTE(A326,{"0","1","2"},"")))))))), 1)) * ROW(INDIRECT("1:"&amp;LEN((LEFT(A326,SUM(LEN(A326)-LEN(SUBSTITUTE(A326,{"0","1","2"},"")))))))), 0), ROW(INDIRECT("1:"&amp;LEN((LEFT(A326,SUM(LEN(A326)-LEN(SUBSTITUTE(A326,{"0","1","2"},"")))))))))+1, 1) * 10^ROW(INDIRECT("1:"&amp;LEN((LEFT(A326,SUM(LEN(A326)-LEN(SUBSTITUTE(A326,{"0","1","2"},""))))))))/10))*1+1&amp;""&amp;" ,.., "&amp;""&amp;(SUMPRODUCT(MID(0&amp;(--TRIM(RIGHT(SUBSTITUTE(LEFT(A326,_xlfn.AGGREGATE(16,6,FIND({0,1,2,3,4,5,6,7,8,9},A326,ROW(INDIRECT("1:"&amp;LEN(A326)))),1))," ",REPT(" ",LEN(A326))),LEN(A326)))), LARGE(INDEX(ISNUMBER(--MID((--TRIM(RIGHT(SUBSTITUTE(LEFT(A326,_xlfn.AGGREGATE(16,6,FIND({0,1,2,3,4,5,6,7,8,9},A326,ROW(INDIRECT("1:"&amp;LEN(A326)))),1))," ",REPT(" ",LEN(A326))),LEN(A326)))), ROW(INDIRECT("1:"&amp;LEN((--TRIM(RIGHT(SUBSTITUTE(LEFT(A326,_xlfn.AGGREGATE(16,6,FIND({0,1,2,3,4,5,6,7,8,9},A326,ROW(INDIRECT("1:"&amp;LEN(A326)))),1))," ",REPT(" ",LEN(A326))),LEN(A326))))))), 1)) * ROW(INDIRECT("1:"&amp;LEN((--TRIM(RIGHT(SUBSTITUTE(LEFT(A326,_xlfn.AGGREGATE(16,6,FIND({0,1,2,3,4,5,6,7,8,9},A326,ROW(INDIRECT("1:"&amp;LEN(A326)))),1))," ",REPT(" ",LEN(A326))),LEN(A326))))))), 0), ROW(INDIRECT("1:"&amp;LEN((--TRIM(RIGHT(SUBSTITUTE(LEFT(A326,_xlfn.AGGREGATE(16,6,FIND({0,1,2,3,4,5,6,7,8,9},A326,ROW(INDIRECT("1:"&amp;LEN(A326)))),1))," ",REPT(" ",LEN(A326))),LEN(A326))))))))+1, 1) * 10^ROW(INDIRECT("1:"&amp;LEN((--TRIM(RIGHT(SUBSTITUTE(LEFT(A326,_xlfn.AGGREGATE(16,6,FIND({0,1,2,3,4,5,6,7,8,9},A326,ROW(INDIRECT("1:"&amp;LEN(A326)))),1))," ",REPT(" ",LEN(A326))),LEN(A326)))))))/10))*1+1</f>
        <v>303 ,.., 1503</v>
      </c>
      <c r="B327" s="115"/>
      <c r="C327" s="42"/>
      <c r="D327" s="42"/>
      <c r="E327" s="42">
        <v>0</v>
      </c>
      <c r="F327" s="42">
        <f>D327+E327</f>
        <v>0</v>
      </c>
      <c r="G327" s="42">
        <v>0</v>
      </c>
      <c r="H327" s="42">
        <f>F327*(($H$255)+1)+(IF(G327&lt;101,G327,IF(G327&lt;201,G327/2,IF(G327&lt;=301,G327/3,G327/4))))</f>
        <v>0</v>
      </c>
      <c r="I327" s="36"/>
      <c r="J327" s="103">
        <f t="shared" si="54"/>
        <v>0</v>
      </c>
    </row>
    <row r="328" spans="1:14" s="37" customFormat="1" ht="15.75" hidden="1" customHeight="1" x14ac:dyDescent="0.25">
      <c r="A328" s="114" t="str">
        <f ca="1">(SUMPRODUCT(MID(0&amp;(LEFT(A327,SUM(LEN(A327)-LEN(SUBSTITUTE(A327,{"0","1","2"},""))))), LARGE(INDEX(ISNUMBER(--MID((LEFT(A327,SUM(LEN(A327)-LEN(SUBSTITUTE(A327,{"0","1","2"},""))))), ROW(INDIRECT("1:"&amp;LEN((LEFT(A327,SUM(LEN(A327)-LEN(SUBSTITUTE(A327,{"0","1","2"},"")))))))), 1)) * ROW(INDIRECT("1:"&amp;LEN((LEFT(A327,SUM(LEN(A327)-LEN(SUBSTITUTE(A327,{"0","1","2"},"")))))))), 0), ROW(INDIRECT("1:"&amp;LEN((LEFT(A327,SUM(LEN(A327)-LEN(SUBSTITUTE(A327,{"0","1","2"},"")))))))))+1, 1) * 10^ROW(INDIRECT("1:"&amp;LEN((LEFT(A327,SUM(LEN(A327)-LEN(SUBSTITUTE(A327,{"0","1","2"},""))))))))/10))*1+1&amp;""&amp;" ,.., "&amp;""&amp;(SUMPRODUCT(MID(0&amp;(--TRIM(RIGHT(SUBSTITUTE(LEFT(A327,_xlfn.AGGREGATE(16,6,FIND({0,1,2,3,4,5,6,7,8,9},A327,ROW(INDIRECT("1:"&amp;LEN(A327)))),1))," ",REPT(" ",LEN(A327))),LEN(A327)))), LARGE(INDEX(ISNUMBER(--MID((--TRIM(RIGHT(SUBSTITUTE(LEFT(A327,_xlfn.AGGREGATE(16,6,FIND({0,1,2,3,4,5,6,7,8,9},A327,ROW(INDIRECT("1:"&amp;LEN(A327)))),1))," ",REPT(" ",LEN(A327))),LEN(A327)))), ROW(INDIRECT("1:"&amp;LEN((--TRIM(RIGHT(SUBSTITUTE(LEFT(A327,_xlfn.AGGREGATE(16,6,FIND({0,1,2,3,4,5,6,7,8,9},A327,ROW(INDIRECT("1:"&amp;LEN(A327)))),1))," ",REPT(" ",LEN(A327))),LEN(A327))))))), 1)) * ROW(INDIRECT("1:"&amp;LEN((--TRIM(RIGHT(SUBSTITUTE(LEFT(A327,_xlfn.AGGREGATE(16,6,FIND({0,1,2,3,4,5,6,7,8,9},A327,ROW(INDIRECT("1:"&amp;LEN(A327)))),1))," ",REPT(" ",LEN(A327))),LEN(A327))))))), 0), ROW(INDIRECT("1:"&amp;LEN((--TRIM(RIGHT(SUBSTITUTE(LEFT(A327,_xlfn.AGGREGATE(16,6,FIND({0,1,2,3,4,5,6,7,8,9},A327,ROW(INDIRECT("1:"&amp;LEN(A327)))),1))," ",REPT(" ",LEN(A327))),LEN(A327))))))))+1, 1) * 10^ROW(INDIRECT("1:"&amp;LEN((--TRIM(RIGHT(SUBSTITUTE(LEFT(A327,_xlfn.AGGREGATE(16,6,FIND({0,1,2,3,4,5,6,7,8,9},A327,ROW(INDIRECT("1:"&amp;LEN(A327)))),1))," ",REPT(" ",LEN(A327))),LEN(A327)))))))/10))*1+1</f>
        <v>304 ,.., 1504</v>
      </c>
      <c r="B328" s="115"/>
      <c r="C328" s="42"/>
      <c r="D328" s="42"/>
      <c r="E328" s="42">
        <v>0</v>
      </c>
      <c r="F328" s="42">
        <f>D328+E328</f>
        <v>0</v>
      </c>
      <c r="G328" s="42">
        <v>0</v>
      </c>
      <c r="H328" s="42">
        <f>F328*(($H$255)+1)+(IF(G328&lt;101,G328,IF(G328&lt;201,G328/2,IF(G328&lt;=301,G328/3,G328/4))))</f>
        <v>0</v>
      </c>
      <c r="I328" s="36"/>
      <c r="J328" s="103">
        <f t="shared" si="54"/>
        <v>0</v>
      </c>
    </row>
    <row r="329" spans="1:14" s="37" customFormat="1" ht="15.75" hidden="1" customHeight="1" x14ac:dyDescent="0.25">
      <c r="A329" s="114" t="str">
        <f ca="1">(SUMPRODUCT(MID(0&amp;(LEFT(A328,SUM(LEN(A328)-LEN(SUBSTITUTE(A328,{"0","1","2"},""))))), LARGE(INDEX(ISNUMBER(--MID((LEFT(A328,SUM(LEN(A328)-LEN(SUBSTITUTE(A328,{"0","1","2"},""))))), ROW(INDIRECT("1:"&amp;LEN((LEFT(A328,SUM(LEN(A328)-LEN(SUBSTITUTE(A328,{"0","1","2"},"")))))))), 1)) * ROW(INDIRECT("1:"&amp;LEN((LEFT(A328,SUM(LEN(A328)-LEN(SUBSTITUTE(A328,{"0","1","2"},"")))))))), 0), ROW(INDIRECT("1:"&amp;LEN((LEFT(A328,SUM(LEN(A328)-LEN(SUBSTITUTE(A328,{"0","1","2"},"")))))))))+1, 1) * 10^ROW(INDIRECT("1:"&amp;LEN((LEFT(A328,SUM(LEN(A328)-LEN(SUBSTITUTE(A328,{"0","1","2"},""))))))))/10))*1+1&amp;""&amp;" ,.., "&amp;""&amp;(SUMPRODUCT(MID(0&amp;(--TRIM(RIGHT(SUBSTITUTE(LEFT(A328,_xlfn.AGGREGATE(16,6,FIND({0,1,2,3,4,5,6,7,8,9},A328,ROW(INDIRECT("1:"&amp;LEN(A328)))),1))," ",REPT(" ",LEN(A328))),LEN(A328)))), LARGE(INDEX(ISNUMBER(--MID((--TRIM(RIGHT(SUBSTITUTE(LEFT(A328,_xlfn.AGGREGATE(16,6,FIND({0,1,2,3,4,5,6,7,8,9},A328,ROW(INDIRECT("1:"&amp;LEN(A328)))),1))," ",REPT(" ",LEN(A328))),LEN(A328)))), ROW(INDIRECT("1:"&amp;LEN((--TRIM(RIGHT(SUBSTITUTE(LEFT(A328,_xlfn.AGGREGATE(16,6,FIND({0,1,2,3,4,5,6,7,8,9},A328,ROW(INDIRECT("1:"&amp;LEN(A328)))),1))," ",REPT(" ",LEN(A328))),LEN(A328))))))), 1)) * ROW(INDIRECT("1:"&amp;LEN((--TRIM(RIGHT(SUBSTITUTE(LEFT(A328,_xlfn.AGGREGATE(16,6,FIND({0,1,2,3,4,5,6,7,8,9},A328,ROW(INDIRECT("1:"&amp;LEN(A328)))),1))," ",REPT(" ",LEN(A328))),LEN(A328))))))), 0), ROW(INDIRECT("1:"&amp;LEN((--TRIM(RIGHT(SUBSTITUTE(LEFT(A328,_xlfn.AGGREGATE(16,6,FIND({0,1,2,3,4,5,6,7,8,9},A328,ROW(INDIRECT("1:"&amp;LEN(A328)))),1))," ",REPT(" ",LEN(A328))),LEN(A328))))))))+1, 1) * 10^ROW(INDIRECT("1:"&amp;LEN((--TRIM(RIGHT(SUBSTITUTE(LEFT(A328,_xlfn.AGGREGATE(16,6,FIND({0,1,2,3,4,5,6,7,8,9},A328,ROW(INDIRECT("1:"&amp;LEN(A328)))),1))," ",REPT(" ",LEN(A328))),LEN(A328)))))))/10))*1+1</f>
        <v>305 ,.., 1505</v>
      </c>
      <c r="B329" s="115"/>
      <c r="C329" s="42"/>
      <c r="D329" s="42"/>
      <c r="E329" s="42">
        <v>0</v>
      </c>
      <c r="F329" s="42">
        <f>D329+E329</f>
        <v>0</v>
      </c>
      <c r="G329" s="42">
        <v>0</v>
      </c>
      <c r="H329" s="42">
        <f>F329*(($H$255)+1)+(IF(G329&lt;101,G329,IF(G329&lt;201,G329/2,IF(G329&lt;=301,G329/3,G329/4))))</f>
        <v>0</v>
      </c>
      <c r="I329" s="36"/>
      <c r="J329" s="103">
        <f t="shared" si="54"/>
        <v>0</v>
      </c>
    </row>
    <row r="330" spans="1:14" s="37" customFormat="1" hidden="1" x14ac:dyDescent="0.25">
      <c r="A330" s="117" t="s">
        <v>143</v>
      </c>
      <c r="B330" s="118"/>
      <c r="C330" s="118"/>
      <c r="D330" s="118"/>
      <c r="E330" s="118"/>
      <c r="F330" s="118"/>
      <c r="G330" s="118"/>
      <c r="H330" s="119"/>
      <c r="I330" s="36"/>
      <c r="J330" s="103">
        <f t="shared" si="54"/>
        <v>0</v>
      </c>
    </row>
    <row r="331" spans="1:14" s="37" customFormat="1" ht="15.75" hidden="1" customHeight="1" x14ac:dyDescent="0.25">
      <c r="A331" s="114" t="str">
        <f ca="1">(SUMPRODUCT(MID(0&amp;(LEFT(A330,SUM(LEN(A330)-LEN(SUBSTITUTE(A330,{"0","1","2"},""))))), LARGE(INDEX(ISNUMBER(--MID((LEFT(A330,SUM(LEN(A330)-LEN(SUBSTITUTE(A330,{"0","1","2"},""))))), ROW(INDIRECT("1:"&amp;LEN((LEFT(A330,SUM(LEN(A330)-LEN(SUBSTITUTE(A330,{"0","1","2"},"")))))))), 1)) * ROW(INDIRECT("1:"&amp;LEN((LEFT(A330,SUM(LEN(A330)-LEN(SUBSTITUTE(A330,{"0","1","2"},"")))))))), 0), ROW(INDIRECT("1:"&amp;LEN((LEFT(A330,SUM(LEN(A330)-LEN(SUBSTITUTE(A330,{"0","1","2"},"")))))))))+1, 1) * 10^ROW(INDIRECT("1:"&amp;LEN((LEFT(A330,SUM(LEN(A330)-LEN(SUBSTITUTE(A330,{"0","1","2"},""))))))))/10))*100+1&amp;""&amp;" to "&amp;""&amp;(SUMPRODUCT(MID(0&amp;(--TRIM(RIGHT(SUBSTITUTE(LEFT(A330,_xlfn.AGGREGATE(16,6,FIND({0,1,2,3,4,5,6,7,8,9},A330,ROW(INDIRECT("1:"&amp;LEN(A330)))),1))," ",REPT(" ",LEN(A330))),LEN(A330)))), LARGE(INDEX(ISNUMBER(--MID((--TRIM(RIGHT(SUBSTITUTE(LEFT(A330,_xlfn.AGGREGATE(16,6,FIND({0,1,2,3,4,5,6,7,8,9},A330,ROW(INDIRECT("1:"&amp;LEN(A330)))),1))," ",REPT(" ",LEN(A330))),LEN(A330)))), ROW(INDIRECT("1:"&amp;LEN((--TRIM(RIGHT(SUBSTITUTE(LEFT(A330,_xlfn.AGGREGATE(16,6,FIND({0,1,2,3,4,5,6,7,8,9},A330,ROW(INDIRECT("1:"&amp;LEN(A330)))),1))," ",REPT(" ",LEN(A330))),LEN(A330))))))), 1)) * ROW(INDIRECT("1:"&amp;LEN((--TRIM(RIGHT(SUBSTITUTE(LEFT(A330,_xlfn.AGGREGATE(16,6,FIND({0,1,2,3,4,5,6,7,8,9},A330,ROW(INDIRECT("1:"&amp;LEN(A330)))),1))," ",REPT(" ",LEN(A330))),LEN(A330))))))), 0), ROW(INDIRECT("1:"&amp;LEN((--TRIM(RIGHT(SUBSTITUTE(LEFT(A330,_xlfn.AGGREGATE(16,6,FIND({0,1,2,3,4,5,6,7,8,9},A330,ROW(INDIRECT("1:"&amp;LEN(A330)))),1))," ",REPT(" ",LEN(A330))),LEN(A330))))))))+1, 1) * 10^ROW(INDIRECT("1:"&amp;LEN((--TRIM(RIGHT(SUBSTITUTE(LEFT(A330,_xlfn.AGGREGATE(16,6,FIND({0,1,2,3,4,5,6,7,8,9},A330,ROW(INDIRECT("1:"&amp;LEN(A330)))),1))," ",REPT(" ",LEN(A330))),LEN(A330)))))))/10))*100+1</f>
        <v>201 to 501</v>
      </c>
      <c r="B331" s="115"/>
      <c r="C331" s="42"/>
      <c r="D331" s="42"/>
      <c r="E331" s="42">
        <v>0</v>
      </c>
      <c r="F331" s="42">
        <f>D331+E331</f>
        <v>0</v>
      </c>
      <c r="G331" s="42">
        <v>0</v>
      </c>
      <c r="H331" s="42">
        <f>F331*(($H$255)+1)+(IF(G331&lt;101,G331,IF(G331&lt;201,G331/2,IF(G331&lt;=301,G331/3,G331/4))))</f>
        <v>0</v>
      </c>
      <c r="I331" s="36"/>
      <c r="J331" s="103">
        <f t="shared" si="54"/>
        <v>0</v>
      </c>
    </row>
    <row r="332" spans="1:14" s="37" customFormat="1" ht="15.75" hidden="1" customHeight="1" x14ac:dyDescent="0.25">
      <c r="A332" s="114" t="str">
        <f ca="1">(SUMPRODUCT(MID(0&amp;(LEFT(A331,SUM(LEN(A331)-LEN(SUBSTITUTE(A331,{"0","1","2"},""))))), LARGE(INDEX(ISNUMBER(--MID((LEFT(A331,SUM(LEN(A331)-LEN(SUBSTITUTE(A331,{"0","1","2"},""))))), ROW(INDIRECT("1:"&amp;LEN((LEFT(A331,SUM(LEN(A331)-LEN(SUBSTITUTE(A331,{"0","1","2"},"")))))))), 1)) * ROW(INDIRECT("1:"&amp;LEN((LEFT(A331,SUM(LEN(A331)-LEN(SUBSTITUTE(A331,{"0","1","2"},"")))))))), 0), ROW(INDIRECT("1:"&amp;LEN((LEFT(A331,SUM(LEN(A331)-LEN(SUBSTITUTE(A331,{"0","1","2"},"")))))))))+1, 1) * 10^ROW(INDIRECT("1:"&amp;LEN((LEFT(A331,SUM(LEN(A331)-LEN(SUBSTITUTE(A331,{"0","1","2"},""))))))))/10))*1+1&amp;""&amp;" to "&amp;""&amp;(SUMPRODUCT(MID(0&amp;(--TRIM(RIGHT(SUBSTITUTE(LEFT(A331,_xlfn.AGGREGATE(16,6,FIND({0,1,2,3,4,5,6,7,8,9},A331,ROW(INDIRECT("1:"&amp;LEN(A331)))),1))," ",REPT(" ",LEN(A331))),LEN(A331)))), LARGE(INDEX(ISNUMBER(--MID((--TRIM(RIGHT(SUBSTITUTE(LEFT(A331,_xlfn.AGGREGATE(16,6,FIND({0,1,2,3,4,5,6,7,8,9},A331,ROW(INDIRECT("1:"&amp;LEN(A331)))),1))," ",REPT(" ",LEN(A331))),LEN(A331)))), ROW(INDIRECT("1:"&amp;LEN((--TRIM(RIGHT(SUBSTITUTE(LEFT(A331,_xlfn.AGGREGATE(16,6,FIND({0,1,2,3,4,5,6,7,8,9},A331,ROW(INDIRECT("1:"&amp;LEN(A331)))),1))," ",REPT(" ",LEN(A331))),LEN(A331))))))), 1)) * ROW(INDIRECT("1:"&amp;LEN((--TRIM(RIGHT(SUBSTITUTE(LEFT(A331,_xlfn.AGGREGATE(16,6,FIND({0,1,2,3,4,5,6,7,8,9},A331,ROW(INDIRECT("1:"&amp;LEN(A331)))),1))," ",REPT(" ",LEN(A331))),LEN(A331))))))), 0), ROW(INDIRECT("1:"&amp;LEN((--TRIM(RIGHT(SUBSTITUTE(LEFT(A331,_xlfn.AGGREGATE(16,6,FIND({0,1,2,3,4,5,6,7,8,9},A331,ROW(INDIRECT("1:"&amp;LEN(A331)))),1))," ",REPT(" ",LEN(A331))),LEN(A331))))))))+1, 1) * 10^ROW(INDIRECT("1:"&amp;LEN((--TRIM(RIGHT(SUBSTITUTE(LEFT(A331,_xlfn.AGGREGATE(16,6,FIND({0,1,2,3,4,5,6,7,8,9},A331,ROW(INDIRECT("1:"&amp;LEN(A331)))),1))," ",REPT(" ",LEN(A331))),LEN(A331)))))))/10))*1+1</f>
        <v>202 to 502</v>
      </c>
      <c r="B332" s="115"/>
      <c r="C332" s="42"/>
      <c r="D332" s="42"/>
      <c r="E332" s="42">
        <v>0</v>
      </c>
      <c r="F332" s="42">
        <f>D332+E332</f>
        <v>0</v>
      </c>
      <c r="G332" s="42">
        <v>0</v>
      </c>
      <c r="H332" s="42">
        <f>F332*(($H$255)+1)+(IF(G332&lt;101,G332,IF(G332&lt;201,G332/2,IF(G332&lt;=301,G332/3,G332/4))))</f>
        <v>0</v>
      </c>
      <c r="I332" s="36"/>
      <c r="J332" s="103">
        <f t="shared" si="54"/>
        <v>0</v>
      </c>
    </row>
    <row r="333" spans="1:14" s="37" customFormat="1" ht="15.75" hidden="1" customHeight="1" x14ac:dyDescent="0.25">
      <c r="A333" s="114" t="str">
        <f ca="1">(SUMPRODUCT(MID(0&amp;(LEFT(A332,SUM(LEN(A332)-LEN(SUBSTITUTE(A332,{"0","1","2"},""))))), LARGE(INDEX(ISNUMBER(--MID((LEFT(A332,SUM(LEN(A332)-LEN(SUBSTITUTE(A332,{"0","1","2"},""))))), ROW(INDIRECT("1:"&amp;LEN((LEFT(A332,SUM(LEN(A332)-LEN(SUBSTITUTE(A332,{"0","1","2"},"")))))))), 1)) * ROW(INDIRECT("1:"&amp;LEN((LEFT(A332,SUM(LEN(A332)-LEN(SUBSTITUTE(A332,{"0","1","2"},"")))))))), 0), ROW(INDIRECT("1:"&amp;LEN((LEFT(A332,SUM(LEN(A332)-LEN(SUBSTITUTE(A332,{"0","1","2"},"")))))))))+1, 1) * 10^ROW(INDIRECT("1:"&amp;LEN((LEFT(A332,SUM(LEN(A332)-LEN(SUBSTITUTE(A332,{"0","1","2"},""))))))))/10))*1+1&amp;""&amp;" to "&amp;""&amp;(SUMPRODUCT(MID(0&amp;(--TRIM(RIGHT(SUBSTITUTE(LEFT(A332,_xlfn.AGGREGATE(16,6,FIND({0,1,2,3,4,5,6,7,8,9},A332,ROW(INDIRECT("1:"&amp;LEN(A332)))),1))," ",REPT(" ",LEN(A332))),LEN(A332)))), LARGE(INDEX(ISNUMBER(--MID((--TRIM(RIGHT(SUBSTITUTE(LEFT(A332,_xlfn.AGGREGATE(16,6,FIND({0,1,2,3,4,5,6,7,8,9},A332,ROW(INDIRECT("1:"&amp;LEN(A332)))),1))," ",REPT(" ",LEN(A332))),LEN(A332)))), ROW(INDIRECT("1:"&amp;LEN((--TRIM(RIGHT(SUBSTITUTE(LEFT(A332,_xlfn.AGGREGATE(16,6,FIND({0,1,2,3,4,5,6,7,8,9},A332,ROW(INDIRECT("1:"&amp;LEN(A332)))),1))," ",REPT(" ",LEN(A332))),LEN(A332))))))), 1)) * ROW(INDIRECT("1:"&amp;LEN((--TRIM(RIGHT(SUBSTITUTE(LEFT(A332,_xlfn.AGGREGATE(16,6,FIND({0,1,2,3,4,5,6,7,8,9},A332,ROW(INDIRECT("1:"&amp;LEN(A332)))),1))," ",REPT(" ",LEN(A332))),LEN(A332))))))), 0), ROW(INDIRECT("1:"&amp;LEN((--TRIM(RIGHT(SUBSTITUTE(LEFT(A332,_xlfn.AGGREGATE(16,6,FIND({0,1,2,3,4,5,6,7,8,9},A332,ROW(INDIRECT("1:"&amp;LEN(A332)))),1))," ",REPT(" ",LEN(A332))),LEN(A332))))))))+1, 1) * 10^ROW(INDIRECT("1:"&amp;LEN((--TRIM(RIGHT(SUBSTITUTE(LEFT(A332,_xlfn.AGGREGATE(16,6,FIND({0,1,2,3,4,5,6,7,8,9},A332,ROW(INDIRECT("1:"&amp;LEN(A332)))),1))," ",REPT(" ",LEN(A332))),LEN(A332)))))))/10))*1+1</f>
        <v>203 to 503</v>
      </c>
      <c r="B333" s="115"/>
      <c r="C333" s="42"/>
      <c r="D333" s="42"/>
      <c r="E333" s="42">
        <v>0</v>
      </c>
      <c r="F333" s="42">
        <f>D333+E333</f>
        <v>0</v>
      </c>
      <c r="G333" s="42">
        <v>0</v>
      </c>
      <c r="H333" s="42">
        <f>F333*(($H$255)+1)+(IF(G333&lt;101,G333,IF(G333&lt;201,G333/2,IF(G333&lt;=301,G333/3,G333/4))))</f>
        <v>0</v>
      </c>
      <c r="I333" s="36"/>
      <c r="J333" s="103">
        <f t="shared" si="54"/>
        <v>0</v>
      </c>
    </row>
    <row r="334" spans="1:14" s="37" customFormat="1" ht="15.75" hidden="1" customHeight="1" x14ac:dyDescent="0.25">
      <c r="A334" s="114" t="str">
        <f ca="1">(SUMPRODUCT(MID(0&amp;(LEFT(A333,SUM(LEN(A333)-LEN(SUBSTITUTE(A333,{"0","1","2"},""))))), LARGE(INDEX(ISNUMBER(--MID((LEFT(A333,SUM(LEN(A333)-LEN(SUBSTITUTE(A333,{"0","1","2"},""))))), ROW(INDIRECT("1:"&amp;LEN((LEFT(A333,SUM(LEN(A333)-LEN(SUBSTITUTE(A333,{"0","1","2"},"")))))))), 1)) * ROW(INDIRECT("1:"&amp;LEN((LEFT(A333,SUM(LEN(A333)-LEN(SUBSTITUTE(A333,{"0","1","2"},"")))))))), 0), ROW(INDIRECT("1:"&amp;LEN((LEFT(A333,SUM(LEN(A333)-LEN(SUBSTITUTE(A333,{"0","1","2"},"")))))))))+1, 1) * 10^ROW(INDIRECT("1:"&amp;LEN((LEFT(A333,SUM(LEN(A333)-LEN(SUBSTITUTE(A333,{"0","1","2"},""))))))))/10))*1+1&amp;""&amp;" to "&amp;""&amp;(SUMPRODUCT(MID(0&amp;(--TRIM(RIGHT(SUBSTITUTE(LEFT(A333,_xlfn.AGGREGATE(16,6,FIND({0,1,2,3,4,5,6,7,8,9},A333,ROW(INDIRECT("1:"&amp;LEN(A333)))),1))," ",REPT(" ",LEN(A333))),LEN(A333)))), LARGE(INDEX(ISNUMBER(--MID((--TRIM(RIGHT(SUBSTITUTE(LEFT(A333,_xlfn.AGGREGATE(16,6,FIND({0,1,2,3,4,5,6,7,8,9},A333,ROW(INDIRECT("1:"&amp;LEN(A333)))),1))," ",REPT(" ",LEN(A333))),LEN(A333)))), ROW(INDIRECT("1:"&amp;LEN((--TRIM(RIGHT(SUBSTITUTE(LEFT(A333,_xlfn.AGGREGATE(16,6,FIND({0,1,2,3,4,5,6,7,8,9},A333,ROW(INDIRECT("1:"&amp;LEN(A333)))),1))," ",REPT(" ",LEN(A333))),LEN(A333))))))), 1)) * ROW(INDIRECT("1:"&amp;LEN((--TRIM(RIGHT(SUBSTITUTE(LEFT(A333,_xlfn.AGGREGATE(16,6,FIND({0,1,2,3,4,5,6,7,8,9},A333,ROW(INDIRECT("1:"&amp;LEN(A333)))),1))," ",REPT(" ",LEN(A333))),LEN(A333))))))), 0), ROW(INDIRECT("1:"&amp;LEN((--TRIM(RIGHT(SUBSTITUTE(LEFT(A333,_xlfn.AGGREGATE(16,6,FIND({0,1,2,3,4,5,6,7,8,9},A333,ROW(INDIRECT("1:"&amp;LEN(A333)))),1))," ",REPT(" ",LEN(A333))),LEN(A333))))))))+1, 1) * 10^ROW(INDIRECT("1:"&amp;LEN((--TRIM(RIGHT(SUBSTITUTE(LEFT(A333,_xlfn.AGGREGATE(16,6,FIND({0,1,2,3,4,5,6,7,8,9},A333,ROW(INDIRECT("1:"&amp;LEN(A333)))),1))," ",REPT(" ",LEN(A333))),LEN(A333)))))))/10))*1+1</f>
        <v>204 to 504</v>
      </c>
      <c r="B334" s="115"/>
      <c r="C334" s="42"/>
      <c r="D334" s="42"/>
      <c r="E334" s="42">
        <v>0</v>
      </c>
      <c r="F334" s="42">
        <f>D334+E334</f>
        <v>0</v>
      </c>
      <c r="G334" s="42">
        <v>0</v>
      </c>
      <c r="H334" s="42">
        <f>F334*(($H$255)+1)+(IF(G334&lt;101,G334,IF(G334&lt;201,G334/2,IF(G334&lt;=301,G334/3,G334/4))))</f>
        <v>0</v>
      </c>
      <c r="I334" s="36"/>
      <c r="J334" s="103">
        <f t="shared" si="54"/>
        <v>0</v>
      </c>
    </row>
    <row r="335" spans="1:14" s="37" customFormat="1" ht="15.75" hidden="1" customHeight="1" x14ac:dyDescent="0.25">
      <c r="A335" s="114" t="str">
        <f ca="1">(SUMPRODUCT(MID(0&amp;(LEFT(A334,SUM(LEN(A334)-LEN(SUBSTITUTE(A334,{"0","1","2"},""))))), LARGE(INDEX(ISNUMBER(--MID((LEFT(A334,SUM(LEN(A334)-LEN(SUBSTITUTE(A334,{"0","1","2"},""))))), ROW(INDIRECT("1:"&amp;LEN((LEFT(A334,SUM(LEN(A334)-LEN(SUBSTITUTE(A334,{"0","1","2"},"")))))))), 1)) * ROW(INDIRECT("1:"&amp;LEN((LEFT(A334,SUM(LEN(A334)-LEN(SUBSTITUTE(A334,{"0","1","2"},"")))))))), 0), ROW(INDIRECT("1:"&amp;LEN((LEFT(A334,SUM(LEN(A334)-LEN(SUBSTITUTE(A334,{"0","1","2"},"")))))))))+1, 1) * 10^ROW(INDIRECT("1:"&amp;LEN((LEFT(A334,SUM(LEN(A334)-LEN(SUBSTITUTE(A334,{"0","1","2"},""))))))))/10))*1+1&amp;""&amp;" to "&amp;""&amp;(SUMPRODUCT(MID(0&amp;(--TRIM(RIGHT(SUBSTITUTE(LEFT(A334,_xlfn.AGGREGATE(16,6,FIND({0,1,2,3,4,5,6,7,8,9},A334,ROW(INDIRECT("1:"&amp;LEN(A334)))),1))," ",REPT(" ",LEN(A334))),LEN(A334)))), LARGE(INDEX(ISNUMBER(--MID((--TRIM(RIGHT(SUBSTITUTE(LEFT(A334,_xlfn.AGGREGATE(16,6,FIND({0,1,2,3,4,5,6,7,8,9},A334,ROW(INDIRECT("1:"&amp;LEN(A334)))),1))," ",REPT(" ",LEN(A334))),LEN(A334)))), ROW(INDIRECT("1:"&amp;LEN((--TRIM(RIGHT(SUBSTITUTE(LEFT(A334,_xlfn.AGGREGATE(16,6,FIND({0,1,2,3,4,5,6,7,8,9},A334,ROW(INDIRECT("1:"&amp;LEN(A334)))),1))," ",REPT(" ",LEN(A334))),LEN(A334))))))), 1)) * ROW(INDIRECT("1:"&amp;LEN((--TRIM(RIGHT(SUBSTITUTE(LEFT(A334,_xlfn.AGGREGATE(16,6,FIND({0,1,2,3,4,5,6,7,8,9},A334,ROW(INDIRECT("1:"&amp;LEN(A334)))),1))," ",REPT(" ",LEN(A334))),LEN(A334))))))), 0), ROW(INDIRECT("1:"&amp;LEN((--TRIM(RIGHT(SUBSTITUTE(LEFT(A334,_xlfn.AGGREGATE(16,6,FIND({0,1,2,3,4,5,6,7,8,9},A334,ROW(INDIRECT("1:"&amp;LEN(A334)))),1))," ",REPT(" ",LEN(A334))),LEN(A334))))))))+1, 1) * 10^ROW(INDIRECT("1:"&amp;LEN((--TRIM(RIGHT(SUBSTITUTE(LEFT(A334,_xlfn.AGGREGATE(16,6,FIND({0,1,2,3,4,5,6,7,8,9},A334,ROW(INDIRECT("1:"&amp;LEN(A334)))),1))," ",REPT(" ",LEN(A334))),LEN(A334)))))))/10))*1+1</f>
        <v>205 to 505</v>
      </c>
      <c r="B335" s="115"/>
      <c r="C335" s="42"/>
      <c r="D335" s="42"/>
      <c r="E335" s="42">
        <v>0</v>
      </c>
      <c r="F335" s="42">
        <f>D335+E335</f>
        <v>0</v>
      </c>
      <c r="G335" s="42">
        <v>0</v>
      </c>
      <c r="H335" s="42">
        <f>F335*(($H$255)+1)+(IF(G335&lt;101,G335,IF(G335&lt;201,G335/2,IF(G335&lt;=301,G335/3,G335/4))))</f>
        <v>0</v>
      </c>
      <c r="I335" s="36"/>
      <c r="J335" s="103">
        <f t="shared" si="54"/>
        <v>0</v>
      </c>
    </row>
    <row r="336" spans="1:14" s="37" customFormat="1" hidden="1" x14ac:dyDescent="0.25">
      <c r="A336" s="117" t="s">
        <v>144</v>
      </c>
      <c r="B336" s="118"/>
      <c r="C336" s="118"/>
      <c r="D336" s="118"/>
      <c r="E336" s="118"/>
      <c r="F336" s="118"/>
      <c r="G336" s="118"/>
      <c r="H336" s="119"/>
      <c r="I336" s="36"/>
      <c r="J336" s="103">
        <f t="shared" si="54"/>
        <v>0</v>
      </c>
    </row>
    <row r="337" spans="1:20" s="37" customFormat="1" ht="15.75" hidden="1" customHeight="1" x14ac:dyDescent="0.25">
      <c r="A337" s="114" t="str">
        <f ca="1">(SUMPRODUCT(MID(0&amp;(LEFT(A336,SUM(LEN(A336)-LEN(SUBSTITUTE(A336,{"0","1","2"},""))))), LARGE(INDEX(ISNUMBER(--MID((LEFT(A336,SUM(LEN(A336)-LEN(SUBSTITUTE(A336,{"0","1","2"},""))))), ROW(INDIRECT("1:"&amp;LEN((LEFT(A336,SUM(LEN(A336)-LEN(SUBSTITUTE(A336,{"0","1","2"},"")))))))), 1)) * ROW(INDIRECT("1:"&amp;LEN((LEFT(A336,SUM(LEN(A336)-LEN(SUBSTITUTE(A336,{"0","1","2"},"")))))))), 0), ROW(INDIRECT("1:"&amp;LEN((LEFT(A336,SUM(LEN(A336)-LEN(SUBSTITUTE(A336,{"0","1","2"},"")))))))))+1, 1) * 10^ROW(INDIRECT("1:"&amp;LEN((LEFT(A336,SUM(LEN(A336)-LEN(SUBSTITUTE(A336,{"0","1","2"},""))))))))/10))*100+1&amp;""&amp;" &amp; "&amp;""&amp;(SUMPRODUCT(MID(0&amp;(--TRIM(RIGHT(SUBSTITUTE(LEFT(A336,_xlfn.AGGREGATE(16,6,FIND({0,1,2,3,4,5,6,7,8,9},A336,ROW(INDIRECT("1:"&amp;LEN(A336)))),1))," ",REPT(" ",LEN(A336))),LEN(A336)))), LARGE(INDEX(ISNUMBER(--MID((--TRIM(RIGHT(SUBSTITUTE(LEFT(A336,_xlfn.AGGREGATE(16,6,FIND({0,1,2,3,4,5,6,7,8,9},A336,ROW(INDIRECT("1:"&amp;LEN(A336)))),1))," ",REPT(" ",LEN(A336))),LEN(A336)))), ROW(INDIRECT("1:"&amp;LEN((--TRIM(RIGHT(SUBSTITUTE(LEFT(A336,_xlfn.AGGREGATE(16,6,FIND({0,1,2,3,4,5,6,7,8,9},A336,ROW(INDIRECT("1:"&amp;LEN(A336)))),1))," ",REPT(" ",LEN(A336))),LEN(A336))))))), 1)) * ROW(INDIRECT("1:"&amp;LEN((--TRIM(RIGHT(SUBSTITUTE(LEFT(A336,_xlfn.AGGREGATE(16,6,FIND({0,1,2,3,4,5,6,7,8,9},A336,ROW(INDIRECT("1:"&amp;LEN(A336)))),1))," ",REPT(" ",LEN(A336))),LEN(A336))))))), 0), ROW(INDIRECT("1:"&amp;LEN((--TRIM(RIGHT(SUBSTITUTE(LEFT(A336,_xlfn.AGGREGATE(16,6,FIND({0,1,2,3,4,5,6,7,8,9},A336,ROW(INDIRECT("1:"&amp;LEN(A336)))),1))," ",REPT(" ",LEN(A336))),LEN(A336))))))))+1, 1) * 10^ROW(INDIRECT("1:"&amp;LEN((--TRIM(RIGHT(SUBSTITUTE(LEFT(A336,_xlfn.AGGREGATE(16,6,FIND({0,1,2,3,4,5,6,7,8,9},A336,ROW(INDIRECT("1:"&amp;LEN(A336)))),1))," ",REPT(" ",LEN(A336))),LEN(A336)))))))/10))*100+1</f>
        <v>201 &amp; 501</v>
      </c>
      <c r="B337" s="115"/>
      <c r="C337" s="42"/>
      <c r="D337" s="42"/>
      <c r="E337" s="42">
        <v>0</v>
      </c>
      <c r="F337" s="42">
        <f>D337+E337</f>
        <v>0</v>
      </c>
      <c r="G337" s="42">
        <v>0</v>
      </c>
      <c r="H337" s="42">
        <f>F337*(($H$255)+1)+(IF(G337&lt;101,G337,IF(G337&lt;201,G337/2,IF(G337&lt;=301,G337/3,G337/4))))</f>
        <v>0</v>
      </c>
      <c r="I337" s="36"/>
      <c r="J337" s="103">
        <f t="shared" si="54"/>
        <v>0</v>
      </c>
    </row>
    <row r="338" spans="1:20" s="37" customFormat="1" ht="15.75" hidden="1" customHeight="1" x14ac:dyDescent="0.25">
      <c r="A338" s="114" t="str">
        <f ca="1">(SUMPRODUCT(MID(0&amp;(LEFT(A337,SUM(LEN(A337)-LEN(SUBSTITUTE(A337,{"0","1","2"},""))))), LARGE(INDEX(ISNUMBER(--MID((LEFT(A337,SUM(LEN(A337)-LEN(SUBSTITUTE(A337,{"0","1","2"},""))))), ROW(INDIRECT("1:"&amp;LEN((LEFT(A337,SUM(LEN(A337)-LEN(SUBSTITUTE(A337,{"0","1","2"},"")))))))), 1)) * ROW(INDIRECT("1:"&amp;LEN((LEFT(A337,SUM(LEN(A337)-LEN(SUBSTITUTE(A337,{"0","1","2"},"")))))))), 0), ROW(INDIRECT("1:"&amp;LEN((LEFT(A337,SUM(LEN(A337)-LEN(SUBSTITUTE(A337,{"0","1","2"},"")))))))))+1, 1) * 10^ROW(INDIRECT("1:"&amp;LEN((LEFT(A337,SUM(LEN(A337)-LEN(SUBSTITUTE(A337,{"0","1","2"},""))))))))/10))*1+1&amp;""&amp;" &amp; "&amp;""&amp;(SUMPRODUCT(MID(0&amp;(--TRIM(RIGHT(SUBSTITUTE(LEFT(A337,_xlfn.AGGREGATE(16,6,FIND({0,1,2,3,4,5,6,7,8,9},A337,ROW(INDIRECT("1:"&amp;LEN(A337)))),1))," ",REPT(" ",LEN(A337))),LEN(A337)))), LARGE(INDEX(ISNUMBER(--MID((--TRIM(RIGHT(SUBSTITUTE(LEFT(A337,_xlfn.AGGREGATE(16,6,FIND({0,1,2,3,4,5,6,7,8,9},A337,ROW(INDIRECT("1:"&amp;LEN(A337)))),1))," ",REPT(" ",LEN(A337))),LEN(A337)))), ROW(INDIRECT("1:"&amp;LEN((--TRIM(RIGHT(SUBSTITUTE(LEFT(A337,_xlfn.AGGREGATE(16,6,FIND({0,1,2,3,4,5,6,7,8,9},A337,ROW(INDIRECT("1:"&amp;LEN(A337)))),1))," ",REPT(" ",LEN(A337))),LEN(A337))))))), 1)) * ROW(INDIRECT("1:"&amp;LEN((--TRIM(RIGHT(SUBSTITUTE(LEFT(A337,_xlfn.AGGREGATE(16,6,FIND({0,1,2,3,4,5,6,7,8,9},A337,ROW(INDIRECT("1:"&amp;LEN(A337)))),1))," ",REPT(" ",LEN(A337))),LEN(A337))))))), 0), ROW(INDIRECT("1:"&amp;LEN((--TRIM(RIGHT(SUBSTITUTE(LEFT(A337,_xlfn.AGGREGATE(16,6,FIND({0,1,2,3,4,5,6,7,8,9},A337,ROW(INDIRECT("1:"&amp;LEN(A337)))),1))," ",REPT(" ",LEN(A337))),LEN(A337))))))))+1, 1) * 10^ROW(INDIRECT("1:"&amp;LEN((--TRIM(RIGHT(SUBSTITUTE(LEFT(A337,_xlfn.AGGREGATE(16,6,FIND({0,1,2,3,4,5,6,7,8,9},A337,ROW(INDIRECT("1:"&amp;LEN(A337)))),1))," ",REPT(" ",LEN(A337))),LEN(A337)))))))/10))*1+1</f>
        <v>202 &amp; 502</v>
      </c>
      <c r="B338" s="115"/>
      <c r="C338" s="42"/>
      <c r="D338" s="42"/>
      <c r="E338" s="42">
        <v>0</v>
      </c>
      <c r="F338" s="42">
        <f>D338+E338</f>
        <v>0</v>
      </c>
      <c r="G338" s="42">
        <v>0</v>
      </c>
      <c r="H338" s="42">
        <f>F338*(($H$255)+1)+(IF(G338&lt;101,G338,IF(G338&lt;201,G338/2,IF(G338&lt;=301,G338/3,G338/4))))</f>
        <v>0</v>
      </c>
      <c r="I338" s="36"/>
      <c r="J338" s="103">
        <f t="shared" si="54"/>
        <v>0</v>
      </c>
    </row>
    <row r="339" spans="1:20" s="37" customFormat="1" ht="15.75" hidden="1" customHeight="1" x14ac:dyDescent="0.25">
      <c r="A339" s="114" t="str">
        <f ca="1">(SUMPRODUCT(MID(0&amp;(LEFT(A338,SUM(LEN(A338)-LEN(SUBSTITUTE(A338,{"0","1","2"},""))))), LARGE(INDEX(ISNUMBER(--MID((LEFT(A338,SUM(LEN(A338)-LEN(SUBSTITUTE(A338,{"0","1","2"},""))))), ROW(INDIRECT("1:"&amp;LEN((LEFT(A338,SUM(LEN(A338)-LEN(SUBSTITUTE(A338,{"0","1","2"},"")))))))), 1)) * ROW(INDIRECT("1:"&amp;LEN((LEFT(A338,SUM(LEN(A338)-LEN(SUBSTITUTE(A338,{"0","1","2"},"")))))))), 0), ROW(INDIRECT("1:"&amp;LEN((LEFT(A338,SUM(LEN(A338)-LEN(SUBSTITUTE(A338,{"0","1","2"},"")))))))))+1, 1) * 10^ROW(INDIRECT("1:"&amp;LEN((LEFT(A338,SUM(LEN(A338)-LEN(SUBSTITUTE(A338,{"0","1","2"},""))))))))/10))*1+1&amp;""&amp;" &amp; "&amp;""&amp;(SUMPRODUCT(MID(0&amp;(--TRIM(RIGHT(SUBSTITUTE(LEFT(A338,_xlfn.AGGREGATE(16,6,FIND({0,1,2,3,4,5,6,7,8,9},A338,ROW(INDIRECT("1:"&amp;LEN(A338)))),1))," ",REPT(" ",LEN(A338))),LEN(A338)))), LARGE(INDEX(ISNUMBER(--MID((--TRIM(RIGHT(SUBSTITUTE(LEFT(A338,_xlfn.AGGREGATE(16,6,FIND({0,1,2,3,4,5,6,7,8,9},A338,ROW(INDIRECT("1:"&amp;LEN(A338)))),1))," ",REPT(" ",LEN(A338))),LEN(A338)))), ROW(INDIRECT("1:"&amp;LEN((--TRIM(RIGHT(SUBSTITUTE(LEFT(A338,_xlfn.AGGREGATE(16,6,FIND({0,1,2,3,4,5,6,7,8,9},A338,ROW(INDIRECT("1:"&amp;LEN(A338)))),1))," ",REPT(" ",LEN(A338))),LEN(A338))))))), 1)) * ROW(INDIRECT("1:"&amp;LEN((--TRIM(RIGHT(SUBSTITUTE(LEFT(A338,_xlfn.AGGREGATE(16,6,FIND({0,1,2,3,4,5,6,7,8,9},A338,ROW(INDIRECT("1:"&amp;LEN(A338)))),1))," ",REPT(" ",LEN(A338))),LEN(A338))))))), 0), ROW(INDIRECT("1:"&amp;LEN((--TRIM(RIGHT(SUBSTITUTE(LEFT(A338,_xlfn.AGGREGATE(16,6,FIND({0,1,2,3,4,5,6,7,8,9},A338,ROW(INDIRECT("1:"&amp;LEN(A338)))),1))," ",REPT(" ",LEN(A338))),LEN(A338))))))))+1, 1) * 10^ROW(INDIRECT("1:"&amp;LEN((--TRIM(RIGHT(SUBSTITUTE(LEFT(A338,_xlfn.AGGREGATE(16,6,FIND({0,1,2,3,4,5,6,7,8,9},A338,ROW(INDIRECT("1:"&amp;LEN(A338)))),1))," ",REPT(" ",LEN(A338))),LEN(A338)))))))/10))*1+1</f>
        <v>203 &amp; 503</v>
      </c>
      <c r="B339" s="115"/>
      <c r="C339" s="42"/>
      <c r="D339" s="42"/>
      <c r="E339" s="42">
        <v>0</v>
      </c>
      <c r="F339" s="42">
        <f>D339+E339</f>
        <v>0</v>
      </c>
      <c r="G339" s="42">
        <v>0</v>
      </c>
      <c r="H339" s="42">
        <f>F339*(($H$255)+1)+(IF(G339&lt;101,G339,IF(G339&lt;201,G339/2,IF(G339&lt;=301,G339/3,G339/4))))</f>
        <v>0</v>
      </c>
      <c r="I339" s="36"/>
      <c r="J339" s="103">
        <f t="shared" si="54"/>
        <v>0</v>
      </c>
    </row>
    <row r="340" spans="1:20" s="37" customFormat="1" ht="15.75" hidden="1" customHeight="1" x14ac:dyDescent="0.25">
      <c r="A340" s="114" t="str">
        <f ca="1">(SUMPRODUCT(MID(0&amp;(LEFT(A339,SUM(LEN(A339)-LEN(SUBSTITUTE(A339,{"0","1","2"},""))))), LARGE(INDEX(ISNUMBER(--MID((LEFT(A339,SUM(LEN(A339)-LEN(SUBSTITUTE(A339,{"0","1","2"},""))))), ROW(INDIRECT("1:"&amp;LEN((LEFT(A339,SUM(LEN(A339)-LEN(SUBSTITUTE(A339,{"0","1","2"},"")))))))), 1)) * ROW(INDIRECT("1:"&amp;LEN((LEFT(A339,SUM(LEN(A339)-LEN(SUBSTITUTE(A339,{"0","1","2"},"")))))))), 0), ROW(INDIRECT("1:"&amp;LEN((LEFT(A339,SUM(LEN(A339)-LEN(SUBSTITUTE(A339,{"0","1","2"},"")))))))))+1, 1) * 10^ROW(INDIRECT("1:"&amp;LEN((LEFT(A339,SUM(LEN(A339)-LEN(SUBSTITUTE(A339,{"0","1","2"},""))))))))/10))*1+1&amp;""&amp;" &amp; "&amp;""&amp;(SUMPRODUCT(MID(0&amp;(--TRIM(RIGHT(SUBSTITUTE(LEFT(A339,_xlfn.AGGREGATE(16,6,FIND({0,1,2,3,4,5,6,7,8,9},A339,ROW(INDIRECT("1:"&amp;LEN(A339)))),1))," ",REPT(" ",LEN(A339))),LEN(A339)))), LARGE(INDEX(ISNUMBER(--MID((--TRIM(RIGHT(SUBSTITUTE(LEFT(A339,_xlfn.AGGREGATE(16,6,FIND({0,1,2,3,4,5,6,7,8,9},A339,ROW(INDIRECT("1:"&amp;LEN(A339)))),1))," ",REPT(" ",LEN(A339))),LEN(A339)))), ROW(INDIRECT("1:"&amp;LEN((--TRIM(RIGHT(SUBSTITUTE(LEFT(A339,_xlfn.AGGREGATE(16,6,FIND({0,1,2,3,4,5,6,7,8,9},A339,ROW(INDIRECT("1:"&amp;LEN(A339)))),1))," ",REPT(" ",LEN(A339))),LEN(A339))))))), 1)) * ROW(INDIRECT("1:"&amp;LEN((--TRIM(RIGHT(SUBSTITUTE(LEFT(A339,_xlfn.AGGREGATE(16,6,FIND({0,1,2,3,4,5,6,7,8,9},A339,ROW(INDIRECT("1:"&amp;LEN(A339)))),1))," ",REPT(" ",LEN(A339))),LEN(A339))))))), 0), ROW(INDIRECT("1:"&amp;LEN((--TRIM(RIGHT(SUBSTITUTE(LEFT(A339,_xlfn.AGGREGATE(16,6,FIND({0,1,2,3,4,5,6,7,8,9},A339,ROW(INDIRECT("1:"&amp;LEN(A339)))),1))," ",REPT(" ",LEN(A339))),LEN(A339))))))))+1, 1) * 10^ROW(INDIRECT("1:"&amp;LEN((--TRIM(RIGHT(SUBSTITUTE(LEFT(A339,_xlfn.AGGREGATE(16,6,FIND({0,1,2,3,4,5,6,7,8,9},A339,ROW(INDIRECT("1:"&amp;LEN(A339)))),1))," ",REPT(" ",LEN(A339))),LEN(A339)))))))/10))*1+1</f>
        <v>204 &amp; 504</v>
      </c>
      <c r="B340" s="115"/>
      <c r="C340" s="42"/>
      <c r="D340" s="42"/>
      <c r="E340" s="42">
        <v>0</v>
      </c>
      <c r="F340" s="42">
        <f>D340+E340</f>
        <v>0</v>
      </c>
      <c r="G340" s="42">
        <v>0</v>
      </c>
      <c r="H340" s="42">
        <f>F340*(($H$255)+1)+(IF(G340&lt;101,G340,IF(G340&lt;201,G340/2,IF(G340&lt;=301,G340/3,G340/4))))</f>
        <v>0</v>
      </c>
      <c r="I340" s="36"/>
      <c r="J340" s="103">
        <f t="shared" si="54"/>
        <v>0</v>
      </c>
    </row>
    <row r="341" spans="1:20" s="37" customFormat="1" ht="15.75" hidden="1" customHeight="1" x14ac:dyDescent="0.25">
      <c r="A341" s="114" t="str">
        <f ca="1">(SUMPRODUCT(MID(0&amp;(LEFT(A340,SUM(LEN(A340)-LEN(SUBSTITUTE(A340,{"0","1","2"},""))))), LARGE(INDEX(ISNUMBER(--MID((LEFT(A340,SUM(LEN(A340)-LEN(SUBSTITUTE(A340,{"0","1","2"},""))))), ROW(INDIRECT("1:"&amp;LEN((LEFT(A340,SUM(LEN(A340)-LEN(SUBSTITUTE(A340,{"0","1","2"},"")))))))), 1)) * ROW(INDIRECT("1:"&amp;LEN((LEFT(A340,SUM(LEN(A340)-LEN(SUBSTITUTE(A340,{"0","1","2"},"")))))))), 0), ROW(INDIRECT("1:"&amp;LEN((LEFT(A340,SUM(LEN(A340)-LEN(SUBSTITUTE(A340,{"0","1","2"},"")))))))))+1, 1) * 10^ROW(INDIRECT("1:"&amp;LEN((LEFT(A340,SUM(LEN(A340)-LEN(SUBSTITUTE(A340,{"0","1","2"},""))))))))/10))*1+1&amp;""&amp;" &amp; "&amp;""&amp;(SUMPRODUCT(MID(0&amp;(--TRIM(RIGHT(SUBSTITUTE(LEFT(A340,_xlfn.AGGREGATE(16,6,FIND({0,1,2,3,4,5,6,7,8,9},A340,ROW(INDIRECT("1:"&amp;LEN(A340)))),1))," ",REPT(" ",LEN(A340))),LEN(A340)))), LARGE(INDEX(ISNUMBER(--MID((--TRIM(RIGHT(SUBSTITUTE(LEFT(A340,_xlfn.AGGREGATE(16,6,FIND({0,1,2,3,4,5,6,7,8,9},A340,ROW(INDIRECT("1:"&amp;LEN(A340)))),1))," ",REPT(" ",LEN(A340))),LEN(A340)))), ROW(INDIRECT("1:"&amp;LEN((--TRIM(RIGHT(SUBSTITUTE(LEFT(A340,_xlfn.AGGREGATE(16,6,FIND({0,1,2,3,4,5,6,7,8,9},A340,ROW(INDIRECT("1:"&amp;LEN(A340)))),1))," ",REPT(" ",LEN(A340))),LEN(A340))))))), 1)) * ROW(INDIRECT("1:"&amp;LEN((--TRIM(RIGHT(SUBSTITUTE(LEFT(A340,_xlfn.AGGREGATE(16,6,FIND({0,1,2,3,4,5,6,7,8,9},A340,ROW(INDIRECT("1:"&amp;LEN(A340)))),1))," ",REPT(" ",LEN(A340))),LEN(A340))))))), 0), ROW(INDIRECT("1:"&amp;LEN((--TRIM(RIGHT(SUBSTITUTE(LEFT(A340,_xlfn.AGGREGATE(16,6,FIND({0,1,2,3,4,5,6,7,8,9},A340,ROW(INDIRECT("1:"&amp;LEN(A340)))),1))," ",REPT(" ",LEN(A340))),LEN(A340))))))))+1, 1) * 10^ROW(INDIRECT("1:"&amp;LEN((--TRIM(RIGHT(SUBSTITUTE(LEFT(A340,_xlfn.AGGREGATE(16,6,FIND({0,1,2,3,4,5,6,7,8,9},A340,ROW(INDIRECT("1:"&amp;LEN(A340)))),1))," ",REPT(" ",LEN(A340))),LEN(A340)))))))/10))*1+1</f>
        <v>205 &amp; 505</v>
      </c>
      <c r="B341" s="115"/>
      <c r="C341" s="42"/>
      <c r="D341" s="42"/>
      <c r="E341" s="42">
        <v>0</v>
      </c>
      <c r="F341" s="42">
        <f>D341+E341</f>
        <v>0</v>
      </c>
      <c r="G341" s="42">
        <v>0</v>
      </c>
      <c r="H341" s="42">
        <f>F341*(($H$255)+1)+(IF(G341&lt;101,G341,IF(G341&lt;201,G341/2,IF(G341&lt;=301,G341/3,G341/4))))</f>
        <v>0</v>
      </c>
      <c r="I341" s="36"/>
      <c r="J341" s="103">
        <f t="shared" si="54"/>
        <v>0</v>
      </c>
    </row>
    <row r="342" spans="1:20" s="35" customFormat="1" x14ac:dyDescent="0.25">
      <c r="A342" s="172" t="s">
        <v>64</v>
      </c>
      <c r="B342" s="172"/>
      <c r="C342" s="172"/>
      <c r="D342" s="172"/>
      <c r="E342" s="172"/>
      <c r="F342" s="172"/>
      <c r="G342" s="172"/>
      <c r="H342" s="172"/>
      <c r="T342" s="37"/>
    </row>
    <row r="343" spans="1:20" s="35" customFormat="1" ht="36" customHeight="1" x14ac:dyDescent="0.25">
      <c r="A343" s="46" t="s">
        <v>153</v>
      </c>
      <c r="B343" s="111" t="s">
        <v>450</v>
      </c>
      <c r="C343" s="112"/>
      <c r="D343" s="112"/>
      <c r="E343" s="112"/>
      <c r="F343" s="112"/>
      <c r="G343" s="112"/>
      <c r="H343" s="113"/>
      <c r="T343" s="37"/>
    </row>
    <row r="344" spans="1:20" s="35" customFormat="1" x14ac:dyDescent="0.25">
      <c r="A344" s="46" t="s">
        <v>153</v>
      </c>
      <c r="B344" s="111" t="str">
        <f>(IF(H254="Saleable area Loading :","We have considered Saleable area of Flats as per our Calculation.","We considered Saleable area of Flat as per Builder area Sheet."))</f>
        <v>We have considered Saleable area of Flats as per our Calculation.</v>
      </c>
      <c r="C344" s="112"/>
      <c r="D344" s="112"/>
      <c r="E344" s="112"/>
      <c r="F344" s="112"/>
      <c r="G344" s="112"/>
      <c r="H344" s="113"/>
      <c r="T344" s="37"/>
    </row>
    <row r="345" spans="1:20" s="35" customFormat="1" x14ac:dyDescent="0.25">
      <c r="A345" s="46" t="s">
        <v>153</v>
      </c>
      <c r="B345" s="111" t="str">
        <f>(IF(H163="Saleable area Loading :","We have considered Saleable area of Commercial as per our Calculation.","We considered Saleable area of Commercial as per Builder area Sheet."))</f>
        <v>We have considered Saleable area of Commercial as per our Calculation.</v>
      </c>
      <c r="C345" s="112"/>
      <c r="D345" s="112"/>
      <c r="E345" s="112"/>
      <c r="F345" s="112"/>
      <c r="G345" s="112"/>
      <c r="H345" s="113"/>
      <c r="T345" s="37"/>
    </row>
    <row r="346" spans="1:20" s="35" customFormat="1" x14ac:dyDescent="0.25">
      <c r="A346" s="46" t="s">
        <v>153</v>
      </c>
      <c r="B346" s="185" t="s">
        <v>120</v>
      </c>
      <c r="C346" s="186"/>
      <c r="D346" s="186"/>
      <c r="E346" s="186"/>
      <c r="F346" s="186"/>
      <c r="G346" s="186"/>
      <c r="H346" s="187"/>
      <c r="T346" s="37"/>
    </row>
    <row r="347" spans="1:20" s="35" customFormat="1" x14ac:dyDescent="0.25">
      <c r="A347" s="46" t="s">
        <v>153</v>
      </c>
      <c r="B347" s="111" t="s">
        <v>451</v>
      </c>
      <c r="C347" s="112"/>
      <c r="D347" s="112"/>
      <c r="E347" s="112"/>
      <c r="F347" s="112"/>
      <c r="G347" s="112"/>
      <c r="H347" s="113"/>
      <c r="T347" s="37"/>
    </row>
    <row r="348" spans="1:20" s="35" customFormat="1" x14ac:dyDescent="0.25">
      <c r="A348" s="46" t="s">
        <v>153</v>
      </c>
      <c r="B348" s="185" t="s">
        <v>152</v>
      </c>
      <c r="C348" s="186"/>
      <c r="D348" s="186"/>
      <c r="E348" s="186"/>
      <c r="F348" s="186"/>
      <c r="G348" s="186"/>
      <c r="H348" s="187"/>
    </row>
    <row r="349" spans="1:20" s="35" customFormat="1" x14ac:dyDescent="0.25">
      <c r="A349" s="46" t="s">
        <v>153</v>
      </c>
      <c r="B349" s="185" t="s">
        <v>121</v>
      </c>
      <c r="C349" s="186"/>
      <c r="D349" s="186"/>
      <c r="E349" s="186"/>
      <c r="F349" s="186"/>
      <c r="G349" s="186"/>
      <c r="H349" s="187"/>
    </row>
    <row r="350" spans="1:20" s="35" customFormat="1" ht="32.25" customHeight="1" x14ac:dyDescent="0.25">
      <c r="A350" s="46" t="s">
        <v>153</v>
      </c>
      <c r="B350" s="111" t="s">
        <v>154</v>
      </c>
      <c r="C350" s="112"/>
      <c r="D350" s="112"/>
      <c r="E350" s="112"/>
      <c r="F350" s="112"/>
      <c r="G350" s="112"/>
      <c r="H350" s="113"/>
    </row>
    <row r="351" spans="1:20" s="35" customFormat="1" x14ac:dyDescent="0.25">
      <c r="A351" s="46" t="s">
        <v>153</v>
      </c>
      <c r="B351" s="185" t="s">
        <v>122</v>
      </c>
      <c r="C351" s="186"/>
      <c r="D351" s="186"/>
      <c r="E351" s="186"/>
      <c r="F351" s="186"/>
      <c r="G351" s="186"/>
      <c r="H351" s="187"/>
    </row>
    <row r="352" spans="1:20" s="35" customFormat="1" ht="32.25" hidden="1" customHeight="1" x14ac:dyDescent="0.25">
      <c r="A352" s="46" t="s">
        <v>153</v>
      </c>
      <c r="B352" s="180" t="s">
        <v>178</v>
      </c>
      <c r="C352" s="181"/>
      <c r="D352" s="181"/>
      <c r="E352" s="181"/>
      <c r="F352" s="181"/>
      <c r="G352" s="181"/>
      <c r="H352" s="182"/>
    </row>
    <row r="353" spans="1:20" s="35" customFormat="1" x14ac:dyDescent="0.25">
      <c r="A353" s="100" t="s">
        <v>153</v>
      </c>
      <c r="B353" s="111" t="s">
        <v>458</v>
      </c>
      <c r="C353" s="112"/>
      <c r="D353" s="112"/>
      <c r="E353" s="112"/>
      <c r="F353" s="112"/>
      <c r="G353" s="112"/>
      <c r="H353" s="113"/>
    </row>
    <row r="354" spans="1:20" s="35" customFormat="1" ht="63" hidden="1" customHeight="1" x14ac:dyDescent="0.25">
      <c r="A354" s="104" t="s">
        <v>153</v>
      </c>
      <c r="B354" s="111" t="s">
        <v>455</v>
      </c>
      <c r="C354" s="112"/>
      <c r="D354" s="112"/>
      <c r="E354" s="112"/>
      <c r="F354" s="112"/>
      <c r="G354" s="112"/>
      <c r="H354" s="113"/>
    </row>
    <row r="355" spans="1:20" s="35" customFormat="1" x14ac:dyDescent="0.25">
      <c r="A355" s="46" t="s">
        <v>153</v>
      </c>
      <c r="B355" s="111" t="s">
        <v>452</v>
      </c>
      <c r="C355" s="112"/>
      <c r="D355" s="112"/>
      <c r="E355" s="112"/>
      <c r="F355" s="112"/>
      <c r="G355" s="112"/>
      <c r="H355" s="113"/>
    </row>
    <row r="356" spans="1:20" s="35" customFormat="1" hidden="1" x14ac:dyDescent="0.25">
      <c r="A356" s="46" t="s">
        <v>153</v>
      </c>
      <c r="B356" s="180" t="s">
        <v>349</v>
      </c>
      <c r="C356" s="181"/>
      <c r="D356" s="181"/>
      <c r="E356" s="181"/>
      <c r="F356" s="181"/>
      <c r="G356" s="181"/>
      <c r="H356" s="182"/>
    </row>
    <row r="357" spans="1:20" s="35" customFormat="1" hidden="1" x14ac:dyDescent="0.25">
      <c r="A357" s="46" t="s">
        <v>153</v>
      </c>
      <c r="B357" s="180" t="str">
        <f ca="1">IF(G52&gt;EDATE(E3,-48),"NO REMARK FOR CC","REMARK FOR CC")</f>
        <v>NO REMARK FOR CC</v>
      </c>
      <c r="C357" s="181"/>
      <c r="D357" s="181"/>
      <c r="E357" s="181"/>
      <c r="F357" s="181"/>
      <c r="G357" s="181"/>
      <c r="H357" s="182"/>
    </row>
    <row r="358" spans="1:20" s="35" customFormat="1" ht="81.75" hidden="1" customHeight="1" x14ac:dyDescent="0.25">
      <c r="A358" s="46" t="s">
        <v>153</v>
      </c>
      <c r="B358" s="180" t="s">
        <v>350</v>
      </c>
      <c r="C358" s="181"/>
      <c r="D358" s="181"/>
      <c r="E358" s="181"/>
      <c r="F358" s="181"/>
      <c r="G358" s="181"/>
      <c r="H358" s="182"/>
    </row>
    <row r="359" spans="1:20" x14ac:dyDescent="0.25">
      <c r="A359" s="128" t="s">
        <v>57</v>
      </c>
      <c r="B359" s="128"/>
      <c r="C359" s="128"/>
      <c r="D359" s="128"/>
      <c r="E359" s="128"/>
      <c r="F359" s="128"/>
      <c r="G359" s="128"/>
      <c r="H359" s="128"/>
      <c r="T359" s="35"/>
    </row>
    <row r="360" spans="1:20" x14ac:dyDescent="0.25">
      <c r="A360" s="123" t="s">
        <v>58</v>
      </c>
      <c r="B360" s="123"/>
      <c r="C360" s="123"/>
      <c r="D360" s="123"/>
      <c r="E360" s="123"/>
      <c r="F360" s="123"/>
      <c r="G360" s="123"/>
      <c r="H360" s="123"/>
      <c r="T360" s="35"/>
    </row>
    <row r="361" spans="1:20" ht="15.75" customHeight="1" x14ac:dyDescent="0.25">
      <c r="A361" s="173" t="s">
        <v>59</v>
      </c>
      <c r="B361" s="173"/>
      <c r="C361" s="173"/>
      <c r="D361" s="173"/>
      <c r="E361" s="173"/>
      <c r="F361" s="173"/>
      <c r="G361" s="173"/>
      <c r="H361" s="173"/>
      <c r="T361" s="35"/>
    </row>
    <row r="362" spans="1:20" x14ac:dyDescent="0.25">
      <c r="A362" s="123" t="s">
        <v>60</v>
      </c>
      <c r="B362" s="123"/>
      <c r="C362" s="123"/>
      <c r="D362" s="123"/>
      <c r="E362" s="123"/>
      <c r="F362" s="123"/>
      <c r="G362" s="123"/>
      <c r="H362" s="123"/>
      <c r="T362" s="35"/>
    </row>
    <row r="363" spans="1:20" x14ac:dyDescent="0.25">
      <c r="A363" s="123" t="s">
        <v>61</v>
      </c>
      <c r="B363" s="123"/>
      <c r="C363" s="123"/>
      <c r="D363" s="123"/>
      <c r="E363" s="123"/>
      <c r="F363" s="123"/>
      <c r="G363" s="123"/>
      <c r="H363" s="123"/>
      <c r="T363" s="35"/>
    </row>
    <row r="364" spans="1:20" x14ac:dyDescent="0.25">
      <c r="A364" s="123" t="s">
        <v>123</v>
      </c>
      <c r="B364" s="123"/>
      <c r="C364" s="123"/>
      <c r="D364" s="123"/>
      <c r="E364" s="123"/>
      <c r="F364" s="123"/>
      <c r="G364" s="123"/>
      <c r="H364" s="123"/>
      <c r="T364" s="35"/>
    </row>
    <row r="365" spans="1:20" ht="33.950000000000003" customHeight="1" x14ac:dyDescent="0.25">
      <c r="A365" s="167" t="s">
        <v>124</v>
      </c>
      <c r="B365" s="167"/>
      <c r="C365" s="167"/>
      <c r="D365" s="167"/>
      <c r="E365" s="167"/>
      <c r="F365" s="167"/>
      <c r="G365" s="167"/>
      <c r="H365" s="167"/>
    </row>
    <row r="366" spans="1:20" x14ac:dyDescent="0.25">
      <c r="A366" s="195" t="s">
        <v>73</v>
      </c>
      <c r="B366" s="195"/>
      <c r="C366" s="195" t="s">
        <v>454</v>
      </c>
      <c r="D366" s="195"/>
      <c r="E366" s="195" t="s">
        <v>103</v>
      </c>
      <c r="F366" s="195"/>
      <c r="G366" s="195" t="s">
        <v>453</v>
      </c>
      <c r="H366" s="195"/>
    </row>
    <row r="367" spans="1:20" x14ac:dyDescent="0.25">
      <c r="A367" s="194" t="s">
        <v>75</v>
      </c>
      <c r="B367" s="194"/>
      <c r="C367" s="194"/>
      <c r="D367" s="194"/>
      <c r="E367" s="194"/>
      <c r="F367" s="194"/>
      <c r="G367" s="194"/>
      <c r="H367" s="194"/>
    </row>
    <row r="368" spans="1:20" x14ac:dyDescent="0.25">
      <c r="A368" s="194"/>
      <c r="B368" s="194"/>
      <c r="C368" s="194"/>
      <c r="D368" s="194"/>
      <c r="E368" s="194"/>
      <c r="F368" s="194"/>
      <c r="G368" s="194"/>
      <c r="H368" s="194"/>
    </row>
    <row r="369" spans="1:8" x14ac:dyDescent="0.25">
      <c r="A369" s="194"/>
      <c r="B369" s="194"/>
      <c r="C369" s="194"/>
      <c r="D369" s="194"/>
      <c r="E369" s="194"/>
      <c r="F369" s="194"/>
      <c r="G369" s="194"/>
      <c r="H369" s="194"/>
    </row>
    <row r="370" spans="1:8" ht="6" customHeight="1" x14ac:dyDescent="0.25">
      <c r="A370" s="194"/>
      <c r="B370" s="194"/>
      <c r="C370" s="194"/>
      <c r="D370" s="194"/>
      <c r="E370" s="194"/>
      <c r="F370" s="194"/>
      <c r="G370" s="194"/>
      <c r="H370" s="194"/>
    </row>
    <row r="371" spans="1:8" x14ac:dyDescent="0.25">
      <c r="A371" s="38" t="s">
        <v>62</v>
      </c>
      <c r="B371" s="39"/>
      <c r="C371" s="39"/>
      <c r="D371" s="38" t="str">
        <f>E9</f>
        <v>Jewel of Panvel Phase I</v>
      </c>
      <c r="F371" s="39"/>
      <c r="G371" s="39"/>
      <c r="H371" s="39"/>
    </row>
    <row r="372" spans="1:8" x14ac:dyDescent="0.25">
      <c r="A372" s="39"/>
      <c r="B372" s="39"/>
      <c r="C372" s="39"/>
      <c r="D372" s="39"/>
      <c r="E372" s="39"/>
      <c r="F372" s="39"/>
      <c r="G372" s="39"/>
      <c r="H372" s="39"/>
    </row>
    <row r="373" spans="1:8" x14ac:dyDescent="0.25">
      <c r="A373" s="39"/>
      <c r="B373" s="39"/>
      <c r="C373" s="39"/>
      <c r="D373" s="39"/>
      <c r="E373" s="39"/>
      <c r="F373" s="39"/>
      <c r="G373" s="39"/>
      <c r="H373" s="39"/>
    </row>
    <row r="374" spans="1:8" ht="15" customHeight="1" x14ac:dyDescent="0.25"/>
    <row r="415" spans="1:1" x14ac:dyDescent="0.25">
      <c r="A415" s="41" t="s">
        <v>164</v>
      </c>
    </row>
    <row r="459" spans="1:1" x14ac:dyDescent="0.25">
      <c r="A459" s="41" t="s">
        <v>63</v>
      </c>
    </row>
  </sheetData>
  <mergeCells count="614">
    <mergeCell ref="A152:A153"/>
    <mergeCell ref="B353:H353"/>
    <mergeCell ref="A91:B91"/>
    <mergeCell ref="C91:H91"/>
    <mergeCell ref="A93:B93"/>
    <mergeCell ref="C93:H93"/>
    <mergeCell ref="A94:B94"/>
    <mergeCell ref="E94:F94"/>
    <mergeCell ref="G94:H94"/>
    <mergeCell ref="A95:B95"/>
    <mergeCell ref="E95:F104"/>
    <mergeCell ref="G95:H104"/>
    <mergeCell ref="A96:B96"/>
    <mergeCell ref="A97:B97"/>
    <mergeCell ref="A98:B98"/>
    <mergeCell ref="A99:B99"/>
    <mergeCell ref="A100:B100"/>
    <mergeCell ref="A101:B101"/>
    <mergeCell ref="A102:B102"/>
    <mergeCell ref="A103:B103"/>
    <mergeCell ref="A104:B104"/>
    <mergeCell ref="C150:D150"/>
    <mergeCell ref="E150:F150"/>
    <mergeCell ref="G150:H150"/>
    <mergeCell ref="C151:D151"/>
    <mergeCell ref="E151:F151"/>
    <mergeCell ref="G151:H151"/>
    <mergeCell ref="C148:D148"/>
    <mergeCell ref="E148:F148"/>
    <mergeCell ref="G148:H148"/>
    <mergeCell ref="C149:D149"/>
    <mergeCell ref="E149:F149"/>
    <mergeCell ref="G149:H149"/>
    <mergeCell ref="A148:A149"/>
    <mergeCell ref="A150:A151"/>
    <mergeCell ref="A305:B305"/>
    <mergeCell ref="A306:B306"/>
    <mergeCell ref="A307:B307"/>
    <mergeCell ref="A308:B308"/>
    <mergeCell ref="A309:B309"/>
    <mergeCell ref="A310:B310"/>
    <mergeCell ref="A311:B311"/>
    <mergeCell ref="A268:B268"/>
    <mergeCell ref="A269:B269"/>
    <mergeCell ref="A270:B270"/>
    <mergeCell ref="A271:B271"/>
    <mergeCell ref="A272:B272"/>
    <mergeCell ref="A273:B273"/>
    <mergeCell ref="A274:B274"/>
    <mergeCell ref="A275:B275"/>
    <mergeCell ref="A259:B259"/>
    <mergeCell ref="A260:B260"/>
    <mergeCell ref="A261:B261"/>
    <mergeCell ref="A262:B262"/>
    <mergeCell ref="A263:B263"/>
    <mergeCell ref="A264:B264"/>
    <mergeCell ref="A265:B265"/>
    <mergeCell ref="A312:B312"/>
    <mergeCell ref="A285:H285"/>
    <mergeCell ref="A286:H286"/>
    <mergeCell ref="A287:H287"/>
    <mergeCell ref="A288:H288"/>
    <mergeCell ref="A297:B297"/>
    <mergeCell ref="A298:B298"/>
    <mergeCell ref="A299:B299"/>
    <mergeCell ref="A300:B300"/>
    <mergeCell ref="A301:B301"/>
    <mergeCell ref="A302:H302"/>
    <mergeCell ref="L302:M302"/>
    <mergeCell ref="A303:B303"/>
    <mergeCell ref="A304:B304"/>
    <mergeCell ref="A290:H290"/>
    <mergeCell ref="L290:M290"/>
    <mergeCell ref="A289:H289"/>
    <mergeCell ref="A291:H291"/>
    <mergeCell ref="A292:B292"/>
    <mergeCell ref="A293:B293"/>
    <mergeCell ref="A294:B294"/>
    <mergeCell ref="A295:B295"/>
    <mergeCell ref="A296:B296"/>
    <mergeCell ref="L276:M276"/>
    <mergeCell ref="A277:B277"/>
    <mergeCell ref="A278:B278"/>
    <mergeCell ref="A279:B279"/>
    <mergeCell ref="A280:B280"/>
    <mergeCell ref="A281:B281"/>
    <mergeCell ref="A282:B282"/>
    <mergeCell ref="A283:B283"/>
    <mergeCell ref="A284:B284"/>
    <mergeCell ref="A276:H276"/>
    <mergeCell ref="A242:B242"/>
    <mergeCell ref="L242:M242"/>
    <mergeCell ref="A243:B243"/>
    <mergeCell ref="L243:M243"/>
    <mergeCell ref="A266:B266"/>
    <mergeCell ref="A267:H267"/>
    <mergeCell ref="A244:B244"/>
    <mergeCell ref="L244:M244"/>
    <mergeCell ref="A245:B245"/>
    <mergeCell ref="L245:M245"/>
    <mergeCell ref="A246:B246"/>
    <mergeCell ref="L246:M246"/>
    <mergeCell ref="A257:H257"/>
    <mergeCell ref="L257:M257"/>
    <mergeCell ref="A258:H258"/>
    <mergeCell ref="A247:H247"/>
    <mergeCell ref="L247:M247"/>
    <mergeCell ref="A256:H256"/>
    <mergeCell ref="A237:B237"/>
    <mergeCell ref="L237:M237"/>
    <mergeCell ref="A238:B238"/>
    <mergeCell ref="L238:M238"/>
    <mergeCell ref="A239:B239"/>
    <mergeCell ref="L239:M239"/>
    <mergeCell ref="A240:B240"/>
    <mergeCell ref="L240:M240"/>
    <mergeCell ref="A241:B241"/>
    <mergeCell ref="L241:M241"/>
    <mergeCell ref="A206:B206"/>
    <mergeCell ref="L206:M206"/>
    <mergeCell ref="L191:M191"/>
    <mergeCell ref="A192:B192"/>
    <mergeCell ref="L234:M234"/>
    <mergeCell ref="A235:B235"/>
    <mergeCell ref="L235:M235"/>
    <mergeCell ref="A236:B236"/>
    <mergeCell ref="L236:M236"/>
    <mergeCell ref="L233:M233"/>
    <mergeCell ref="A234:B234"/>
    <mergeCell ref="A325:B325"/>
    <mergeCell ref="B358:H358"/>
    <mergeCell ref="A132:B132"/>
    <mergeCell ref="C163:C164"/>
    <mergeCell ref="B254:B255"/>
    <mergeCell ref="B345:H345"/>
    <mergeCell ref="A249:B249"/>
    <mergeCell ref="L318:M318"/>
    <mergeCell ref="A323:B323"/>
    <mergeCell ref="A320:B320"/>
    <mergeCell ref="A321:B321"/>
    <mergeCell ref="A331:B331"/>
    <mergeCell ref="L317:M317"/>
    <mergeCell ref="L314:M314"/>
    <mergeCell ref="A315:B315"/>
    <mergeCell ref="L315:M315"/>
    <mergeCell ref="A316:B316"/>
    <mergeCell ref="L316:M316"/>
    <mergeCell ref="A329:B329"/>
    <mergeCell ref="A317:B317"/>
    <mergeCell ref="A215:H215"/>
    <mergeCell ref="A183:H183"/>
    <mergeCell ref="A108:B108"/>
    <mergeCell ref="E108:F108"/>
    <mergeCell ref="E109:F118"/>
    <mergeCell ref="A119:B119"/>
    <mergeCell ref="C119:H119"/>
    <mergeCell ref="A121:B121"/>
    <mergeCell ref="C121:H121"/>
    <mergeCell ref="A122:B122"/>
    <mergeCell ref="E122:F122"/>
    <mergeCell ref="G122:H122"/>
    <mergeCell ref="A117:B117"/>
    <mergeCell ref="A116:B116"/>
    <mergeCell ref="B349:H349"/>
    <mergeCell ref="A123:B123"/>
    <mergeCell ref="E123:F132"/>
    <mergeCell ref="G123:H132"/>
    <mergeCell ref="A124:B124"/>
    <mergeCell ref="A125:B125"/>
    <mergeCell ref="A126:B126"/>
    <mergeCell ref="A128:B128"/>
    <mergeCell ref="A216:H216"/>
    <mergeCell ref="A131:B131"/>
    <mergeCell ref="A160:B160"/>
    <mergeCell ref="A136:E136"/>
    <mergeCell ref="A133:E133"/>
    <mergeCell ref="F137:H137"/>
    <mergeCell ref="A137:E137"/>
    <mergeCell ref="A130:B130"/>
    <mergeCell ref="G158:H158"/>
    <mergeCell ref="A165:H165"/>
    <mergeCell ref="A166:H166"/>
    <mergeCell ref="A167:H167"/>
    <mergeCell ref="A168:B168"/>
    <mergeCell ref="A170:B170"/>
    <mergeCell ref="A175:B175"/>
    <mergeCell ref="C57:H57"/>
    <mergeCell ref="A48:H48"/>
    <mergeCell ref="A83:B83"/>
    <mergeCell ref="E81:F90"/>
    <mergeCell ref="G81:H90"/>
    <mergeCell ref="B355:H355"/>
    <mergeCell ref="A138:E138"/>
    <mergeCell ref="A159:B159"/>
    <mergeCell ref="E159:F159"/>
    <mergeCell ref="A143:E143"/>
    <mergeCell ref="G159:H159"/>
    <mergeCell ref="C153:D153"/>
    <mergeCell ref="E153:F153"/>
    <mergeCell ref="G153:H153"/>
    <mergeCell ref="A154:B154"/>
    <mergeCell ref="C154:D154"/>
    <mergeCell ref="E154:F154"/>
    <mergeCell ref="G154:H154"/>
    <mergeCell ref="A158:B158"/>
    <mergeCell ref="C158:D158"/>
    <mergeCell ref="E158:F158"/>
    <mergeCell ref="A114:B114"/>
    <mergeCell ref="G108:H108"/>
    <mergeCell ref="B351:H351"/>
    <mergeCell ref="F135:H135"/>
    <mergeCell ref="A135:E135"/>
    <mergeCell ref="E160:F160"/>
    <mergeCell ref="A129:B129"/>
    <mergeCell ref="A40:B40"/>
    <mergeCell ref="C40:H40"/>
    <mergeCell ref="F163:F164"/>
    <mergeCell ref="C152:D152"/>
    <mergeCell ref="E152:F152"/>
    <mergeCell ref="B163:B164"/>
    <mergeCell ref="A163:A164"/>
    <mergeCell ref="G160:H160"/>
    <mergeCell ref="A127:B127"/>
    <mergeCell ref="A107:B107"/>
    <mergeCell ref="C53:H53"/>
    <mergeCell ref="A63:C63"/>
    <mergeCell ref="A70:C70"/>
    <mergeCell ref="A71:C71"/>
    <mergeCell ref="D70:H70"/>
    <mergeCell ref="A64:C64"/>
    <mergeCell ref="A80:B80"/>
    <mergeCell ref="D71:H71"/>
    <mergeCell ref="E46:H46"/>
    <mergeCell ref="E47:H47"/>
    <mergeCell ref="A47:D47"/>
    <mergeCell ref="A44:D44"/>
    <mergeCell ref="E44:H44"/>
    <mergeCell ref="E45:H45"/>
    <mergeCell ref="A38:H38"/>
    <mergeCell ref="L252:M252"/>
    <mergeCell ref="L251:M251"/>
    <mergeCell ref="L250:M250"/>
    <mergeCell ref="L249:M249"/>
    <mergeCell ref="A88:B88"/>
    <mergeCell ref="C157:D157"/>
    <mergeCell ref="E157:F157"/>
    <mergeCell ref="G157:H157"/>
    <mergeCell ref="A134:E134"/>
    <mergeCell ref="A105:B105"/>
    <mergeCell ref="C105:H105"/>
    <mergeCell ref="A248:H248"/>
    <mergeCell ref="E163:E164"/>
    <mergeCell ref="A109:B109"/>
    <mergeCell ref="C107:H107"/>
    <mergeCell ref="A110:B110"/>
    <mergeCell ref="A111:B111"/>
    <mergeCell ref="G109:H118"/>
    <mergeCell ref="A112:B112"/>
    <mergeCell ref="A79:B79"/>
    <mergeCell ref="D68:H68"/>
    <mergeCell ref="D65:H65"/>
    <mergeCell ref="A65:C65"/>
    <mergeCell ref="A45:D45"/>
    <mergeCell ref="A49:B49"/>
    <mergeCell ref="C49:H49"/>
    <mergeCell ref="A66:C69"/>
    <mergeCell ref="D66:H66"/>
    <mergeCell ref="D67:H67"/>
    <mergeCell ref="G52:H52"/>
    <mergeCell ref="C51:E51"/>
    <mergeCell ref="C50:E50"/>
    <mergeCell ref="G50:H50"/>
    <mergeCell ref="A51:B51"/>
    <mergeCell ref="G56:H56"/>
    <mergeCell ref="G58:H58"/>
    <mergeCell ref="G51:H51"/>
    <mergeCell ref="C55:H55"/>
    <mergeCell ref="A52:B53"/>
    <mergeCell ref="C54:E54"/>
    <mergeCell ref="C52:E52"/>
    <mergeCell ref="C56:E56"/>
    <mergeCell ref="G54:H54"/>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C36:E3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67:H370"/>
    <mergeCell ref="A366:B366"/>
    <mergeCell ref="E366:F366"/>
    <mergeCell ref="C366:D366"/>
    <mergeCell ref="G366:H366"/>
    <mergeCell ref="A146:H146"/>
    <mergeCell ref="A144:E144"/>
    <mergeCell ref="F144:H144"/>
    <mergeCell ref="A145:E145"/>
    <mergeCell ref="F145:H145"/>
    <mergeCell ref="A318:H318"/>
    <mergeCell ref="A157:B157"/>
    <mergeCell ref="A327:B327"/>
    <mergeCell ref="A362:H362"/>
    <mergeCell ref="A155:H155"/>
    <mergeCell ref="A365:H365"/>
    <mergeCell ref="A363:H363"/>
    <mergeCell ref="A359:H359"/>
    <mergeCell ref="G156:H156"/>
    <mergeCell ref="B348:H348"/>
    <mergeCell ref="A333:B333"/>
    <mergeCell ref="A322:B322"/>
    <mergeCell ref="C160:D160"/>
    <mergeCell ref="B352:H352"/>
    <mergeCell ref="A252:B252"/>
    <mergeCell ref="A251:B251"/>
    <mergeCell ref="F139:H139"/>
    <mergeCell ref="A141:E141"/>
    <mergeCell ref="A334:B334"/>
    <mergeCell ref="A335:B335"/>
    <mergeCell ref="A330:H330"/>
    <mergeCell ref="A324:H324"/>
    <mergeCell ref="A339:B339"/>
    <mergeCell ref="A336:H336"/>
    <mergeCell ref="A161:H161"/>
    <mergeCell ref="A254:A255"/>
    <mergeCell ref="F254:F255"/>
    <mergeCell ref="D163:D164"/>
    <mergeCell ref="C254:C255"/>
    <mergeCell ref="G254:G255"/>
    <mergeCell ref="A180:B180"/>
    <mergeCell ref="A203:B203"/>
    <mergeCell ref="A232:H232"/>
    <mergeCell ref="A233:B233"/>
    <mergeCell ref="A207:H207"/>
    <mergeCell ref="A208:B208"/>
    <mergeCell ref="A209:B209"/>
    <mergeCell ref="A210:B210"/>
    <mergeCell ref="A364:H364"/>
    <mergeCell ref="A361:H361"/>
    <mergeCell ref="A319:B319"/>
    <mergeCell ref="A156:B156"/>
    <mergeCell ref="D254:D255"/>
    <mergeCell ref="E254:E255"/>
    <mergeCell ref="A113:B113"/>
    <mergeCell ref="A115:B115"/>
    <mergeCell ref="F134:H134"/>
    <mergeCell ref="G152:H152"/>
    <mergeCell ref="A118:B118"/>
    <mergeCell ref="F140:H140"/>
    <mergeCell ref="C147:D147"/>
    <mergeCell ref="C159:D159"/>
    <mergeCell ref="A313:H313"/>
    <mergeCell ref="A328:B328"/>
    <mergeCell ref="B347:H347"/>
    <mergeCell ref="A337:B337"/>
    <mergeCell ref="A338:B338"/>
    <mergeCell ref="A341:B341"/>
    <mergeCell ref="B357:H357"/>
    <mergeCell ref="B356:H356"/>
    <mergeCell ref="F136:H136"/>
    <mergeCell ref="A140:E140"/>
    <mergeCell ref="A360:H360"/>
    <mergeCell ref="A139:E139"/>
    <mergeCell ref="A87:B87"/>
    <mergeCell ref="I15:P15"/>
    <mergeCell ref="F143:H143"/>
    <mergeCell ref="F141:H141"/>
    <mergeCell ref="A326:B326"/>
    <mergeCell ref="A162:H162"/>
    <mergeCell ref="G147:H147"/>
    <mergeCell ref="A142:E142"/>
    <mergeCell ref="A250:B250"/>
    <mergeCell ref="A61:B61"/>
    <mergeCell ref="C61:E61"/>
    <mergeCell ref="D63:H63"/>
    <mergeCell ref="F142:H142"/>
    <mergeCell ref="E147:F147"/>
    <mergeCell ref="A147:B147"/>
    <mergeCell ref="C156:D156"/>
    <mergeCell ref="D74:H74"/>
    <mergeCell ref="D64:H64"/>
    <mergeCell ref="G61:H61"/>
    <mergeCell ref="A54:B55"/>
    <mergeCell ref="A253:H253"/>
    <mergeCell ref="A342:H342"/>
    <mergeCell ref="L168:M168"/>
    <mergeCell ref="A169:B169"/>
    <mergeCell ref="L169:M169"/>
    <mergeCell ref="A86:B86"/>
    <mergeCell ref="A50:B50"/>
    <mergeCell ref="D69:H69"/>
    <mergeCell ref="A58:B60"/>
    <mergeCell ref="C60:H60"/>
    <mergeCell ref="C58:E59"/>
    <mergeCell ref="A81:B81"/>
    <mergeCell ref="G80:H80"/>
    <mergeCell ref="A89:B89"/>
    <mergeCell ref="A90:B90"/>
    <mergeCell ref="A85:B85"/>
    <mergeCell ref="A84:B84"/>
    <mergeCell ref="E80:F80"/>
    <mergeCell ref="A82:B82"/>
    <mergeCell ref="E156:F156"/>
    <mergeCell ref="G163:G164"/>
    <mergeCell ref="F133:H133"/>
    <mergeCell ref="F138:H138"/>
    <mergeCell ref="A72:C72"/>
    <mergeCell ref="D72:H72"/>
    <mergeCell ref="C79:H79"/>
    <mergeCell ref="E43:H43"/>
    <mergeCell ref="A43:D43"/>
    <mergeCell ref="A36:B36"/>
    <mergeCell ref="C37:E37"/>
    <mergeCell ref="A37:B37"/>
    <mergeCell ref="A42:D42"/>
    <mergeCell ref="A62:H62"/>
    <mergeCell ref="A77:B77"/>
    <mergeCell ref="C77:H77"/>
    <mergeCell ref="A73:C73"/>
    <mergeCell ref="D73:H73"/>
    <mergeCell ref="A76:C76"/>
    <mergeCell ref="D76:H76"/>
    <mergeCell ref="A75:C75"/>
    <mergeCell ref="G59:H59"/>
    <mergeCell ref="A74:C74"/>
    <mergeCell ref="D75:H75"/>
    <mergeCell ref="F37:H37"/>
    <mergeCell ref="A39:B39"/>
    <mergeCell ref="C39:H39"/>
    <mergeCell ref="A56:B57"/>
    <mergeCell ref="E42:H42"/>
    <mergeCell ref="A41:H41"/>
    <mergeCell ref="A46:D46"/>
    <mergeCell ref="L170:M170"/>
    <mergeCell ref="A171:B171"/>
    <mergeCell ref="L171:M171"/>
    <mergeCell ref="A172:B172"/>
    <mergeCell ref="L172:M172"/>
    <mergeCell ref="A173:B173"/>
    <mergeCell ref="L173:M173"/>
    <mergeCell ref="A174:B174"/>
    <mergeCell ref="L174:M174"/>
    <mergeCell ref="L175:M175"/>
    <mergeCell ref="A176:B176"/>
    <mergeCell ref="L176:M176"/>
    <mergeCell ref="A177:B177"/>
    <mergeCell ref="L177:M177"/>
    <mergeCell ref="A178:B178"/>
    <mergeCell ref="L178:M178"/>
    <mergeCell ref="A179:B179"/>
    <mergeCell ref="L179:M179"/>
    <mergeCell ref="L180:M180"/>
    <mergeCell ref="A181:B181"/>
    <mergeCell ref="L181:M181"/>
    <mergeCell ref="A182:B182"/>
    <mergeCell ref="L182:M182"/>
    <mergeCell ref="A201:B201"/>
    <mergeCell ref="L201:M201"/>
    <mergeCell ref="A202:B202"/>
    <mergeCell ref="L202:M202"/>
    <mergeCell ref="A184:B184"/>
    <mergeCell ref="L184:M184"/>
    <mergeCell ref="A185:B185"/>
    <mergeCell ref="L185:M185"/>
    <mergeCell ref="A186:B186"/>
    <mergeCell ref="L186:M186"/>
    <mergeCell ref="A187:B187"/>
    <mergeCell ref="L187:M187"/>
    <mergeCell ref="A188:B188"/>
    <mergeCell ref="L188:M188"/>
    <mergeCell ref="A189:B189"/>
    <mergeCell ref="L189:M189"/>
    <mergeCell ref="A190:B190"/>
    <mergeCell ref="L190:M190"/>
    <mergeCell ref="A191:B191"/>
    <mergeCell ref="L192:M192"/>
    <mergeCell ref="A193:B193"/>
    <mergeCell ref="L193:M193"/>
    <mergeCell ref="A194:B194"/>
    <mergeCell ref="L194:M194"/>
    <mergeCell ref="A195:B195"/>
    <mergeCell ref="L195:M195"/>
    <mergeCell ref="A196:B196"/>
    <mergeCell ref="L196:M196"/>
    <mergeCell ref="A197:B197"/>
    <mergeCell ref="L197:M197"/>
    <mergeCell ref="A200:H200"/>
    <mergeCell ref="A198:H198"/>
    <mergeCell ref="A199:H199"/>
    <mergeCell ref="A214:H214"/>
    <mergeCell ref="A217:B217"/>
    <mergeCell ref="L217:M217"/>
    <mergeCell ref="A218:B218"/>
    <mergeCell ref="L218:M218"/>
    <mergeCell ref="L208:M208"/>
    <mergeCell ref="L209:M209"/>
    <mergeCell ref="L210:M210"/>
    <mergeCell ref="A211:B211"/>
    <mergeCell ref="L211:M211"/>
    <mergeCell ref="A212:B212"/>
    <mergeCell ref="L212:M212"/>
    <mergeCell ref="A213:B213"/>
    <mergeCell ref="L213:M213"/>
    <mergeCell ref="L203:M203"/>
    <mergeCell ref="A204:B204"/>
    <mergeCell ref="L204:M204"/>
    <mergeCell ref="A205:B205"/>
    <mergeCell ref="L205:M205"/>
    <mergeCell ref="A219:B219"/>
    <mergeCell ref="L219:M219"/>
    <mergeCell ref="A220:B220"/>
    <mergeCell ref="L220:M220"/>
    <mergeCell ref="A221:B221"/>
    <mergeCell ref="L221:M221"/>
    <mergeCell ref="A222:B222"/>
    <mergeCell ref="L222:M222"/>
    <mergeCell ref="A223:B223"/>
    <mergeCell ref="L223:M223"/>
    <mergeCell ref="B354:H354"/>
    <mergeCell ref="A224:B224"/>
    <mergeCell ref="L224:M224"/>
    <mergeCell ref="A225:B225"/>
    <mergeCell ref="L225:M225"/>
    <mergeCell ref="A231:B231"/>
    <mergeCell ref="L231:M231"/>
    <mergeCell ref="A226:B226"/>
    <mergeCell ref="L226:M226"/>
    <mergeCell ref="A227:B227"/>
    <mergeCell ref="L227:M227"/>
    <mergeCell ref="A228:B228"/>
    <mergeCell ref="L228:M228"/>
    <mergeCell ref="A229:B229"/>
    <mergeCell ref="L229:M229"/>
    <mergeCell ref="A230:B230"/>
    <mergeCell ref="L230:M230"/>
    <mergeCell ref="B350:H350"/>
    <mergeCell ref="A332:B332"/>
    <mergeCell ref="A340:B340"/>
    <mergeCell ref="B343:H343"/>
    <mergeCell ref="B344:H344"/>
    <mergeCell ref="B346:H346"/>
    <mergeCell ref="A314:B314"/>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3:E164">
      <formula1>"Attached Loft area,Attached Otla area,Attached Mezzanine area"</formula1>
    </dataValidation>
    <dataValidation type="list" allowBlank="1" showInputMessage="1" showErrorMessage="1" sqref="G366:H366">
      <formula1>"Kunal Kadam,Pranita Mhatre,Shruti Fule,Pooja Kawale,Gaurav Panchal,Shruti Tathare, Dipti Gothawade,Saurav Panse, Sachin Sawant"</formula1>
    </dataValidation>
    <dataValidation type="list" allowBlank="1" showInputMessage="1" showErrorMessage="1" sqref="F133:H133">
      <formula1>"On Saleable Area,On Builtup Area,On Carpet Area,On Plot Area"</formula1>
    </dataValidation>
    <dataValidation type="list" allowBlank="1" showInputMessage="1" showErrorMessage="1" sqref="F144:H144">
      <formula1>OFFSET($S$133,1,MATCH($G20,$S$133:$W$133,0)-1,15,1)</formula1>
    </dataValidation>
    <dataValidation type="list" allowBlank="1" showInputMessage="1" showErrorMessage="1" sqref="B163:B164">
      <formula1>"Shop No. (Sale Plan),Sale / Rehab,Sale / Mhada"</formula1>
    </dataValidation>
    <dataValidation type="list" allowBlank="1" showInputMessage="1" showErrorMessage="1" sqref="B254:B25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54:E255">
      <formula1>"Fungible area,Balcony Area,Chajja Area,Cornice Area,AP Area,WS Area"</formula1>
    </dataValidation>
    <dataValidation type="list" allowBlank="1" showInputMessage="1" showErrorMessage="1" sqref="H164 H25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63 H254">
      <formula1>"Saleable area Loading :,Builder Saleable Area"</formula1>
    </dataValidation>
    <dataValidation type="list" allowBlank="1" showInputMessage="1" showErrorMessage="1" sqref="D163:D164">
      <formula1>"Carpet area,RERA Carpet area"</formula1>
    </dataValidation>
    <dataValidation type="list" allowBlank="1" showInputMessage="1" showErrorMessage="1" sqref="D254:D255">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7" manualBreakCount="7">
    <brk id="76" max="7" man="1"/>
    <brk id="104" max="7" man="1"/>
    <brk id="145" max="7" man="1"/>
    <brk id="275" max="7" man="1"/>
    <brk id="370" max="16383" man="1"/>
    <brk id="414" max="16383" man="1"/>
    <brk id="45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1" t="s">
        <v>104</v>
      </c>
      <c r="C3" s="281"/>
      <c r="D3" s="281"/>
      <c r="E3" s="281"/>
      <c r="F3" s="281"/>
      <c r="G3" s="281"/>
      <c r="H3" s="281"/>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179</v>
      </c>
      <c r="E4" s="54" t="s">
        <v>189</v>
      </c>
      <c r="F4" s="54" t="s">
        <v>172</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169</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169</v>
      </c>
    </row>
    <row r="33" spans="3:11" x14ac:dyDescent="0.25">
      <c r="J33">
        <v>1</v>
      </c>
      <c r="K33">
        <v>2</v>
      </c>
    </row>
    <row r="34" spans="3:11" x14ac:dyDescent="0.25">
      <c r="C34" s="55" t="s">
        <v>236</v>
      </c>
      <c r="D34" s="54" t="s">
        <v>234</v>
      </c>
      <c r="E34" s="54" t="s">
        <v>239</v>
      </c>
      <c r="F34" s="54" t="s">
        <v>237</v>
      </c>
      <c r="G34" s="54" t="s">
        <v>238</v>
      </c>
      <c r="H34" s="54" t="s">
        <v>240</v>
      </c>
      <c r="J34" t="s">
        <v>194</v>
      </c>
      <c r="K34" t="s">
        <v>210</v>
      </c>
    </row>
    <row r="35" spans="3:11" x14ac:dyDescent="0.25">
      <c r="C35" s="53" t="s">
        <v>235</v>
      </c>
      <c r="D35" s="54" t="s">
        <v>170</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179</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194</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189</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43" zoomScale="115" zoomScaleNormal="115" workbookViewId="0">
      <selection activeCell="C48" sqref="C48"/>
    </sheetView>
  </sheetViews>
  <sheetFormatPr defaultRowHeight="15" x14ac:dyDescent="0.25"/>
  <cols>
    <col min="2" max="2" width="3" bestFit="1" customWidth="1"/>
    <col min="3" max="3" width="155.28515625" customWidth="1"/>
  </cols>
  <sheetData>
    <row r="2" spans="2:3" ht="15" customHeight="1" x14ac:dyDescent="0.25">
      <c r="B2" s="56">
        <v>1</v>
      </c>
      <c r="C2" s="58" t="s">
        <v>283</v>
      </c>
    </row>
    <row r="3" spans="2:3" x14ac:dyDescent="0.25">
      <c r="B3" s="56">
        <v>2</v>
      </c>
      <c r="C3" s="57" t="s">
        <v>284</v>
      </c>
    </row>
    <row r="4" spans="2:3" x14ac:dyDescent="0.25">
      <c r="B4" s="56">
        <v>3</v>
      </c>
      <c r="C4" s="56" t="s">
        <v>285</v>
      </c>
    </row>
    <row r="5" spans="2:3" x14ac:dyDescent="0.25">
      <c r="B5" s="56">
        <v>4</v>
      </c>
      <c r="C5" s="57" t="s">
        <v>286</v>
      </c>
    </row>
    <row r="6" spans="2:3" x14ac:dyDescent="0.25">
      <c r="B6" s="56">
        <v>5</v>
      </c>
      <c r="C6" s="56" t="s">
        <v>287</v>
      </c>
    </row>
    <row r="7" spans="2:3" ht="30" x14ac:dyDescent="0.25">
      <c r="B7" s="56">
        <v>6</v>
      </c>
      <c r="C7" s="57" t="s">
        <v>288</v>
      </c>
    </row>
    <row r="8" spans="2:3" ht="75" x14ac:dyDescent="0.25">
      <c r="B8" s="56">
        <v>7</v>
      </c>
      <c r="C8" s="57" t="s">
        <v>289</v>
      </c>
    </row>
    <row r="9" spans="2:3" x14ac:dyDescent="0.25">
      <c r="B9" s="56">
        <v>8</v>
      </c>
      <c r="C9" s="56" t="s">
        <v>290</v>
      </c>
    </row>
    <row r="10" spans="2:3" x14ac:dyDescent="0.25">
      <c r="B10" s="56">
        <v>9</v>
      </c>
      <c r="C10" s="56" t="s">
        <v>291</v>
      </c>
    </row>
    <row r="11" spans="2:3" x14ac:dyDescent="0.25">
      <c r="B11" s="56">
        <v>10</v>
      </c>
      <c r="C11" s="56" t="s">
        <v>292</v>
      </c>
    </row>
    <row r="12" spans="2:3" x14ac:dyDescent="0.25">
      <c r="B12" s="56">
        <v>11</v>
      </c>
      <c r="C12" s="56" t="s">
        <v>293</v>
      </c>
    </row>
    <row r="13" spans="2:3" x14ac:dyDescent="0.25">
      <c r="B13" s="56">
        <v>12</v>
      </c>
      <c r="C13" s="56" t="s">
        <v>294</v>
      </c>
    </row>
    <row r="14" spans="2:3" x14ac:dyDescent="0.25">
      <c r="B14" s="56">
        <v>13</v>
      </c>
      <c r="C14" s="56" t="s">
        <v>295</v>
      </c>
    </row>
    <row r="15" spans="2:3" x14ac:dyDescent="0.25">
      <c r="B15" s="56">
        <v>14</v>
      </c>
      <c r="C15" s="56" t="s">
        <v>285</v>
      </c>
    </row>
    <row r="16" spans="2:3" x14ac:dyDescent="0.25">
      <c r="B16" s="56">
        <v>15</v>
      </c>
      <c r="C16" s="56" t="s">
        <v>297</v>
      </c>
    </row>
    <row r="17" spans="2:3" x14ac:dyDescent="0.25">
      <c r="B17" s="76">
        <v>16</v>
      </c>
      <c r="C17" s="62" t="s">
        <v>298</v>
      </c>
    </row>
    <row r="18" spans="2:3" x14ac:dyDescent="0.25">
      <c r="B18" s="61">
        <v>17</v>
      </c>
      <c r="C18" s="62" t="s">
        <v>299</v>
      </c>
    </row>
    <row r="19" spans="2:3" x14ac:dyDescent="0.25">
      <c r="B19" s="60">
        <v>18</v>
      </c>
      <c r="C19" s="56" t="s">
        <v>300</v>
      </c>
    </row>
    <row r="20" spans="2:3" x14ac:dyDescent="0.25">
      <c r="B20" s="61">
        <v>19</v>
      </c>
      <c r="C20" s="56" t="s">
        <v>336</v>
      </c>
    </row>
    <row r="21" spans="2:3" x14ac:dyDescent="0.25">
      <c r="B21" s="56">
        <v>20</v>
      </c>
      <c r="C21" s="56" t="s">
        <v>301</v>
      </c>
    </row>
    <row r="22" spans="2:3" x14ac:dyDescent="0.25">
      <c r="B22" s="61">
        <v>21</v>
      </c>
      <c r="C22" s="56" t="s">
        <v>300</v>
      </c>
    </row>
    <row r="23" spans="2:3" s="71" customFormat="1" ht="29.25" customHeight="1" x14ac:dyDescent="0.25">
      <c r="B23" s="70">
        <v>22</v>
      </c>
      <c r="C23" s="58" t="s">
        <v>328</v>
      </c>
    </row>
    <row r="24" spans="2:3" s="71" customFormat="1" ht="30.75" customHeight="1" x14ac:dyDescent="0.25">
      <c r="B24" s="72">
        <v>23</v>
      </c>
      <c r="C24" s="58" t="s">
        <v>329</v>
      </c>
    </row>
    <row r="25" spans="2:3" x14ac:dyDescent="0.25">
      <c r="B25" s="56">
        <v>24</v>
      </c>
      <c r="C25" s="56" t="s">
        <v>332</v>
      </c>
    </row>
    <row r="26" spans="2:3" x14ac:dyDescent="0.25">
      <c r="B26" s="61">
        <v>25</v>
      </c>
      <c r="C26" s="56" t="s">
        <v>330</v>
      </c>
    </row>
    <row r="27" spans="2:3" x14ac:dyDescent="0.25">
      <c r="B27" s="72">
        <v>26</v>
      </c>
      <c r="C27" s="56" t="s">
        <v>331</v>
      </c>
    </row>
    <row r="28" spans="2:3" x14ac:dyDescent="0.25">
      <c r="B28" s="61">
        <v>27</v>
      </c>
      <c r="C28" s="56" t="s">
        <v>333</v>
      </c>
    </row>
    <row r="29" spans="2:3" ht="60" x14ac:dyDescent="0.25">
      <c r="B29" s="75">
        <v>28</v>
      </c>
      <c r="C29" s="57" t="s">
        <v>334</v>
      </c>
    </row>
    <row r="30" spans="2:3" x14ac:dyDescent="0.25">
      <c r="B30" s="72">
        <v>29</v>
      </c>
      <c r="C30" s="56" t="s">
        <v>335</v>
      </c>
    </row>
    <row r="31" spans="2:3" ht="30" x14ac:dyDescent="0.25">
      <c r="B31" s="72">
        <v>30</v>
      </c>
      <c r="C31" s="57" t="s">
        <v>337</v>
      </c>
    </row>
    <row r="32" spans="2:3" x14ac:dyDescent="0.25">
      <c r="B32" s="72">
        <v>31</v>
      </c>
      <c r="C32" s="56" t="s">
        <v>338</v>
      </c>
    </row>
    <row r="33" spans="2:4" x14ac:dyDescent="0.25">
      <c r="B33" s="72">
        <v>32</v>
      </c>
      <c r="C33" s="56" t="s">
        <v>339</v>
      </c>
    </row>
    <row r="34" spans="2:4" ht="36.75" customHeight="1" x14ac:dyDescent="0.25">
      <c r="B34" s="72">
        <v>33</v>
      </c>
      <c r="C34" s="62" t="s">
        <v>340</v>
      </c>
    </row>
    <row r="35" spans="2:4" x14ac:dyDescent="0.25">
      <c r="B35" s="70">
        <v>34</v>
      </c>
      <c r="C35" s="56" t="s">
        <v>348</v>
      </c>
    </row>
    <row r="36" spans="2:4" ht="60" x14ac:dyDescent="0.25">
      <c r="B36" s="70">
        <v>35</v>
      </c>
      <c r="C36" s="57" t="s">
        <v>350</v>
      </c>
    </row>
    <row r="37" spans="2:4" x14ac:dyDescent="0.25">
      <c r="B37" s="56">
        <v>36</v>
      </c>
      <c r="C37" s="57" t="s">
        <v>361</v>
      </c>
    </row>
    <row r="38" spans="2:4" x14ac:dyDescent="0.25">
      <c r="B38" s="56">
        <f t="shared" ref="B38:B44" si="0">B37+1</f>
        <v>37</v>
      </c>
      <c r="C38" s="56" t="s">
        <v>357</v>
      </c>
    </row>
    <row r="39" spans="2:4" x14ac:dyDescent="0.25">
      <c r="B39" s="56">
        <f t="shared" si="0"/>
        <v>38</v>
      </c>
      <c r="C39" s="56" t="s">
        <v>358</v>
      </c>
    </row>
    <row r="40" spans="2:4" x14ac:dyDescent="0.25">
      <c r="B40" s="56">
        <f t="shared" si="0"/>
        <v>39</v>
      </c>
      <c r="C40" s="56" t="s">
        <v>359</v>
      </c>
    </row>
    <row r="41" spans="2:4" x14ac:dyDescent="0.25">
      <c r="B41" s="56">
        <f t="shared" si="0"/>
        <v>40</v>
      </c>
      <c r="C41" s="56" t="s">
        <v>360</v>
      </c>
    </row>
    <row r="42" spans="2:4" ht="30.75" thickBot="1" x14ac:dyDescent="0.3">
      <c r="B42" s="79">
        <f t="shared" si="0"/>
        <v>41</v>
      </c>
      <c r="C42" s="80" t="s">
        <v>362</v>
      </c>
    </row>
    <row r="43" spans="2:4" ht="30" x14ac:dyDescent="0.25">
      <c r="B43" s="83">
        <f t="shared" si="0"/>
        <v>42</v>
      </c>
      <c r="C43" s="88" t="s">
        <v>367</v>
      </c>
      <c r="D43" t="s">
        <v>368</v>
      </c>
    </row>
    <row r="44" spans="2:4" ht="15.75" thickBot="1" x14ac:dyDescent="0.3">
      <c r="B44" s="85">
        <f t="shared" si="0"/>
        <v>43</v>
      </c>
      <c r="C44" s="87" t="s">
        <v>363</v>
      </c>
    </row>
    <row r="45" spans="2:4" ht="15.75" thickBot="1" x14ac:dyDescent="0.3">
      <c r="B45" s="81">
        <f t="shared" ref="B45:B54" si="1">B44+1</f>
        <v>44</v>
      </c>
      <c r="C45" s="82" t="s">
        <v>364</v>
      </c>
    </row>
    <row r="46" spans="2:4" ht="30" x14ac:dyDescent="0.25">
      <c r="B46" s="83">
        <f t="shared" si="1"/>
        <v>45</v>
      </c>
      <c r="C46" s="84" t="s">
        <v>365</v>
      </c>
    </row>
    <row r="47" spans="2:4" ht="15.75" thickBot="1" x14ac:dyDescent="0.3">
      <c r="B47" s="85">
        <f t="shared" si="1"/>
        <v>46</v>
      </c>
      <c r="C47" s="86" t="s">
        <v>366</v>
      </c>
    </row>
    <row r="48" spans="2:4" x14ac:dyDescent="0.25">
      <c r="B48" s="89">
        <f t="shared" si="1"/>
        <v>47</v>
      </c>
      <c r="C48" s="90" t="s">
        <v>369</v>
      </c>
    </row>
    <row r="49" spans="2:6" x14ac:dyDescent="0.25">
      <c r="B49" s="89">
        <f t="shared" si="1"/>
        <v>48</v>
      </c>
      <c r="C49" s="90" t="s">
        <v>370</v>
      </c>
    </row>
    <row r="50" spans="2:6" x14ac:dyDescent="0.25">
      <c r="B50" s="89">
        <f t="shared" si="1"/>
        <v>49</v>
      </c>
      <c r="C50" s="90" t="s">
        <v>372</v>
      </c>
      <c r="D50" t="s">
        <v>371</v>
      </c>
    </row>
    <row r="51" spans="2:6" ht="30" x14ac:dyDescent="0.25">
      <c r="B51" s="91">
        <f t="shared" si="1"/>
        <v>50</v>
      </c>
      <c r="C51" s="92" t="s">
        <v>373</v>
      </c>
    </row>
    <row r="52" spans="2:6" x14ac:dyDescent="0.25">
      <c r="B52" s="91">
        <f t="shared" si="1"/>
        <v>51</v>
      </c>
      <c r="C52" s="93" t="s">
        <v>376</v>
      </c>
      <c r="D52" t="s">
        <v>377</v>
      </c>
    </row>
    <row r="53" spans="2:6" x14ac:dyDescent="0.25">
      <c r="B53" s="91">
        <f t="shared" si="1"/>
        <v>52</v>
      </c>
      <c r="C53" s="93" t="s">
        <v>379</v>
      </c>
      <c r="D53" t="s">
        <v>380</v>
      </c>
    </row>
    <row r="54" spans="2:6" ht="45" x14ac:dyDescent="0.25">
      <c r="B54" s="91">
        <f t="shared" si="1"/>
        <v>53</v>
      </c>
      <c r="C54" s="62" t="s">
        <v>384</v>
      </c>
      <c r="D54" t="s">
        <v>383</v>
      </c>
    </row>
    <row r="55" spans="2:6" ht="30" x14ac:dyDescent="0.25">
      <c r="B55">
        <v>54</v>
      </c>
      <c r="C55" s="95" t="s">
        <v>385</v>
      </c>
      <c r="D55" s="282" t="s">
        <v>386</v>
      </c>
      <c r="E55" s="283"/>
      <c r="F55" s="283"/>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4" t="s">
        <v>302</v>
      </c>
      <c r="C2" s="284"/>
      <c r="D2" s="284"/>
    </row>
    <row r="3" spans="1:12" x14ac:dyDescent="0.25">
      <c r="D3" s="65"/>
      <c r="E3" s="65"/>
      <c r="F3" s="65"/>
      <c r="G3" s="65"/>
      <c r="H3" s="65"/>
      <c r="I3" s="65"/>
    </row>
    <row r="4" spans="1:12" x14ac:dyDescent="0.25">
      <c r="A4" s="64" t="s">
        <v>65</v>
      </c>
      <c r="B4" s="66" t="s">
        <v>303</v>
      </c>
      <c r="C4" s="285" t="s">
        <v>304</v>
      </c>
      <c r="D4" s="285"/>
      <c r="E4" s="285"/>
      <c r="F4" s="66"/>
      <c r="G4" s="286" t="s">
        <v>305</v>
      </c>
      <c r="H4" s="286"/>
      <c r="I4" s="286"/>
      <c r="J4" s="287" t="s">
        <v>306</v>
      </c>
      <c r="K4" s="287"/>
      <c r="L4" s="287"/>
    </row>
    <row r="5" spans="1:12" x14ac:dyDescent="0.25">
      <c r="A5" s="64"/>
      <c r="B5" s="66"/>
      <c r="C5" s="66" t="s">
        <v>307</v>
      </c>
      <c r="D5" s="66" t="s">
        <v>308</v>
      </c>
      <c r="E5" s="66" t="s">
        <v>309</v>
      </c>
      <c r="F5" s="66"/>
      <c r="G5" s="66" t="s">
        <v>307</v>
      </c>
      <c r="H5" s="66" t="s">
        <v>308</v>
      </c>
      <c r="I5" s="66" t="s">
        <v>309</v>
      </c>
      <c r="J5" s="66" t="s">
        <v>307</v>
      </c>
      <c r="K5" s="66" t="s">
        <v>308</v>
      </c>
      <c r="L5" s="66" t="s">
        <v>309</v>
      </c>
    </row>
    <row r="6" spans="1:12" x14ac:dyDescent="0.25">
      <c r="B6" s="54" t="s">
        <v>310</v>
      </c>
      <c r="C6" s="54"/>
      <c r="D6" s="54"/>
      <c r="E6" s="54">
        <f>C6*D6</f>
        <v>0</v>
      </c>
      <c r="F6" s="54" t="s">
        <v>327</v>
      </c>
      <c r="G6" s="54"/>
      <c r="H6" s="54"/>
      <c r="I6" s="54">
        <f>G6*H6</f>
        <v>0</v>
      </c>
      <c r="J6" s="54"/>
      <c r="K6" s="54"/>
      <c r="L6" s="54">
        <f>J6*K6</f>
        <v>0</v>
      </c>
    </row>
    <row r="7" spans="1:12" x14ac:dyDescent="0.25">
      <c r="B7" s="54"/>
      <c r="C7" s="54"/>
      <c r="D7" s="54"/>
      <c r="E7" s="54">
        <f t="shared" ref="E7:E41" si="0">C7*D7</f>
        <v>0</v>
      </c>
      <c r="F7" s="54" t="s">
        <v>327</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311</v>
      </c>
      <c r="G9" s="54"/>
      <c r="H9" s="54"/>
      <c r="I9" s="54">
        <f t="shared" si="1"/>
        <v>0</v>
      </c>
      <c r="J9" s="54"/>
      <c r="K9" s="54"/>
      <c r="L9" s="54">
        <f t="shared" si="2"/>
        <v>0</v>
      </c>
    </row>
    <row r="10" spans="1:12" x14ac:dyDescent="0.25">
      <c r="B10" s="54" t="s">
        <v>312</v>
      </c>
      <c r="C10" s="54"/>
      <c r="D10" s="54"/>
      <c r="E10" s="54">
        <f t="shared" si="0"/>
        <v>0</v>
      </c>
      <c r="F10" s="54" t="s">
        <v>311</v>
      </c>
      <c r="G10" s="54"/>
      <c r="H10" s="54"/>
      <c r="I10" s="54">
        <f t="shared" si="1"/>
        <v>0</v>
      </c>
      <c r="J10" s="54"/>
      <c r="K10" s="54"/>
      <c r="L10" s="54">
        <f t="shared" si="2"/>
        <v>0</v>
      </c>
    </row>
    <row r="11" spans="1:12" x14ac:dyDescent="0.25">
      <c r="B11" s="54"/>
      <c r="C11" s="54"/>
      <c r="D11" s="54"/>
      <c r="E11" s="54">
        <f t="shared" si="0"/>
        <v>0</v>
      </c>
      <c r="F11" s="54" t="s">
        <v>313</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314</v>
      </c>
      <c r="C14" s="54"/>
      <c r="D14" s="54"/>
      <c r="E14" s="54">
        <f t="shared" si="0"/>
        <v>0</v>
      </c>
      <c r="F14" s="54" t="s">
        <v>311</v>
      </c>
      <c r="G14" s="54"/>
      <c r="H14" s="54"/>
      <c r="I14" s="54">
        <f t="shared" si="1"/>
        <v>0</v>
      </c>
      <c r="J14" s="54"/>
      <c r="K14" s="54"/>
      <c r="L14" s="54">
        <f t="shared" si="2"/>
        <v>0</v>
      </c>
    </row>
    <row r="15" spans="1:12" x14ac:dyDescent="0.25">
      <c r="B15" s="54"/>
      <c r="C15" s="54"/>
      <c r="D15" s="54"/>
      <c r="E15" s="54">
        <f t="shared" si="0"/>
        <v>0</v>
      </c>
      <c r="F15" s="54" t="s">
        <v>313</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315</v>
      </c>
      <c r="C18" s="54"/>
      <c r="D18" s="54"/>
      <c r="E18" s="54">
        <f t="shared" si="0"/>
        <v>0</v>
      </c>
      <c r="F18" s="54" t="s">
        <v>311</v>
      </c>
      <c r="G18" s="54"/>
      <c r="H18" s="54"/>
      <c r="I18" s="54">
        <f t="shared" si="1"/>
        <v>0</v>
      </c>
      <c r="J18" s="54"/>
      <c r="K18" s="54"/>
      <c r="L18" s="54">
        <f t="shared" si="2"/>
        <v>0</v>
      </c>
    </row>
    <row r="19" spans="2:12" x14ac:dyDescent="0.25">
      <c r="B19" s="54"/>
      <c r="C19" s="54"/>
      <c r="D19" s="54"/>
      <c r="E19" s="54">
        <f t="shared" si="0"/>
        <v>0</v>
      </c>
      <c r="F19" s="54" t="s">
        <v>313</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316</v>
      </c>
      <c r="C21" s="54"/>
      <c r="D21" s="54"/>
      <c r="E21" s="54">
        <f t="shared" si="0"/>
        <v>0</v>
      </c>
      <c r="F21" s="54" t="s">
        <v>311</v>
      </c>
      <c r="G21" s="54"/>
      <c r="H21" s="54"/>
      <c r="I21" s="54">
        <f t="shared" si="1"/>
        <v>0</v>
      </c>
      <c r="J21" s="54"/>
      <c r="K21" s="54"/>
      <c r="L21" s="54">
        <f t="shared" si="2"/>
        <v>0</v>
      </c>
    </row>
    <row r="22" spans="2:12" x14ac:dyDescent="0.25">
      <c r="B22" s="54"/>
      <c r="C22" s="54"/>
      <c r="D22" s="54"/>
      <c r="E22" s="54">
        <f t="shared" si="0"/>
        <v>0</v>
      </c>
      <c r="F22" s="54" t="s">
        <v>313</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317</v>
      </c>
      <c r="C24" s="54"/>
      <c r="D24" s="54"/>
      <c r="E24" s="54">
        <f t="shared" si="0"/>
        <v>0</v>
      </c>
      <c r="F24" s="54" t="s">
        <v>318</v>
      </c>
      <c r="G24" s="54"/>
      <c r="H24" s="54"/>
      <c r="I24" s="54">
        <f t="shared" si="1"/>
        <v>0</v>
      </c>
      <c r="J24" s="54"/>
      <c r="K24" s="54"/>
      <c r="L24" s="54">
        <f t="shared" si="2"/>
        <v>0</v>
      </c>
    </row>
    <row r="25" spans="2:12" x14ac:dyDescent="0.25">
      <c r="B25" s="54"/>
      <c r="C25" s="54"/>
      <c r="D25" s="54"/>
      <c r="E25" s="54">
        <f>C25*D25</f>
        <v>0</v>
      </c>
      <c r="F25" s="54" t="s">
        <v>318</v>
      </c>
      <c r="G25" s="54"/>
      <c r="H25" s="54"/>
      <c r="I25" s="54">
        <f>G25*H25</f>
        <v>0</v>
      </c>
      <c r="J25" s="54"/>
      <c r="K25" s="54"/>
      <c r="L25" s="54">
        <f>J25*K25</f>
        <v>0</v>
      </c>
    </row>
    <row r="26" spans="2:12" x14ac:dyDescent="0.25">
      <c r="B26" s="54"/>
      <c r="C26" s="54"/>
      <c r="D26" s="54"/>
      <c r="E26" s="54">
        <f>C26*D26</f>
        <v>0</v>
      </c>
      <c r="F26" s="54" t="s">
        <v>318</v>
      </c>
      <c r="G26" s="54"/>
      <c r="H26" s="54"/>
      <c r="I26" s="54">
        <f>G26*H26</f>
        <v>0</v>
      </c>
      <c r="J26" s="54"/>
      <c r="K26" s="54"/>
      <c r="L26" s="54">
        <f>J26*K26</f>
        <v>0</v>
      </c>
    </row>
    <row r="27" spans="2:12" x14ac:dyDescent="0.25">
      <c r="B27" s="54"/>
      <c r="C27" s="54"/>
      <c r="D27" s="54"/>
      <c r="E27" s="54">
        <f>C27*D27</f>
        <v>0</v>
      </c>
      <c r="F27" s="54" t="s">
        <v>318</v>
      </c>
      <c r="G27" s="54"/>
      <c r="H27" s="54"/>
      <c r="I27" s="54">
        <f>G27*H27</f>
        <v>0</v>
      </c>
      <c r="J27" s="54"/>
      <c r="K27" s="54"/>
      <c r="L27" s="54">
        <f>J27*K27</f>
        <v>0</v>
      </c>
    </row>
    <row r="28" spans="2:12" x14ac:dyDescent="0.25">
      <c r="B28" s="54" t="s">
        <v>319</v>
      </c>
      <c r="C28" s="54"/>
      <c r="D28" s="54"/>
      <c r="E28" s="54">
        <f t="shared" si="0"/>
        <v>0</v>
      </c>
      <c r="F28" s="54" t="s">
        <v>318</v>
      </c>
      <c r="G28" s="54"/>
      <c r="H28" s="54"/>
      <c r="I28" s="54">
        <f t="shared" si="1"/>
        <v>0</v>
      </c>
      <c r="J28" s="54"/>
      <c r="K28" s="54"/>
      <c r="L28" s="54">
        <f t="shared" si="2"/>
        <v>0</v>
      </c>
    </row>
    <row r="29" spans="2:12" x14ac:dyDescent="0.25">
      <c r="B29" s="54" t="s">
        <v>320</v>
      </c>
      <c r="C29" s="54"/>
      <c r="D29" s="54"/>
      <c r="E29" s="54">
        <f t="shared" si="0"/>
        <v>0</v>
      </c>
      <c r="F29" s="54" t="s">
        <v>318</v>
      </c>
      <c r="G29" s="54"/>
      <c r="H29" s="54"/>
      <c r="I29" s="54">
        <f t="shared" si="1"/>
        <v>0</v>
      </c>
      <c r="J29" s="54"/>
      <c r="K29" s="54"/>
      <c r="L29" s="54">
        <f t="shared" si="2"/>
        <v>0</v>
      </c>
    </row>
    <row r="30" spans="2:12" x14ac:dyDescent="0.25">
      <c r="B30" s="54" t="s">
        <v>324</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321</v>
      </c>
      <c r="C33" s="54"/>
      <c r="D33" s="54"/>
      <c r="E33" s="54">
        <f t="shared" si="0"/>
        <v>0</v>
      </c>
      <c r="F33" s="54"/>
      <c r="G33" s="54"/>
      <c r="H33" s="54"/>
      <c r="I33" s="54">
        <f t="shared" si="1"/>
        <v>0</v>
      </c>
      <c r="J33" s="54"/>
      <c r="K33" s="54"/>
      <c r="L33" s="54">
        <f t="shared" si="2"/>
        <v>0</v>
      </c>
    </row>
    <row r="34" spans="2:12" x14ac:dyDescent="0.25">
      <c r="B34" s="54" t="s">
        <v>325</v>
      </c>
      <c r="C34" s="54"/>
      <c r="D34" s="54"/>
      <c r="E34" s="54">
        <f t="shared" si="0"/>
        <v>0</v>
      </c>
      <c r="F34" s="54"/>
      <c r="G34" s="54"/>
      <c r="H34" s="54"/>
      <c r="I34" s="54">
        <f t="shared" si="1"/>
        <v>0</v>
      </c>
      <c r="J34" s="54"/>
      <c r="K34" s="54"/>
      <c r="L34" s="54">
        <f t="shared" si="2"/>
        <v>0</v>
      </c>
    </row>
    <row r="35" spans="2:12" x14ac:dyDescent="0.25">
      <c r="B35" s="54" t="s">
        <v>322</v>
      </c>
      <c r="C35" s="54"/>
      <c r="D35" s="54"/>
      <c r="E35" s="54">
        <f t="shared" si="0"/>
        <v>0</v>
      </c>
      <c r="F35" s="54"/>
      <c r="G35" s="54"/>
      <c r="H35" s="54"/>
      <c r="I35" s="54">
        <f t="shared" si="1"/>
        <v>0</v>
      </c>
      <c r="J35" s="54"/>
      <c r="K35" s="54"/>
      <c r="L35" s="54">
        <f t="shared" si="2"/>
        <v>0</v>
      </c>
    </row>
    <row r="36" spans="2:12" x14ac:dyDescent="0.25">
      <c r="B36" s="54" t="s">
        <v>323</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326</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150</v>
      </c>
      <c r="C42" s="54"/>
      <c r="D42" s="54">
        <f>E42*10.764</f>
        <v>0</v>
      </c>
      <c r="E42" s="69">
        <f>SUM(E6:E41)</f>
        <v>0</v>
      </c>
      <c r="F42" s="54"/>
      <c r="G42" s="54"/>
      <c r="H42" s="54">
        <f>I42*10.764</f>
        <v>0</v>
      </c>
      <c r="I42" s="68">
        <f>SUM(I6:I41)</f>
        <v>0</v>
      </c>
      <c r="J42" s="54"/>
      <c r="K42" s="54">
        <f>L42*10.764</f>
        <v>0</v>
      </c>
      <c r="L42" s="67">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A3" sqref="A3:XFD16"/>
    </sheetView>
  </sheetViews>
  <sheetFormatPr defaultRowHeight="15" x14ac:dyDescent="0.25"/>
  <cols>
    <col min="1" max="8" width="11.5703125" customWidth="1"/>
    <col min="9" max="10" width="21.28515625" customWidth="1"/>
  </cols>
  <sheetData>
    <row r="2" spans="1:10" ht="15.75" thickBot="1" x14ac:dyDescent="0.3">
      <c r="A2" s="288" t="s">
        <v>389</v>
      </c>
      <c r="B2" s="288"/>
      <c r="C2" s="288"/>
      <c r="D2" s="288"/>
      <c r="E2" s="288"/>
      <c r="F2" s="288"/>
      <c r="G2" s="288"/>
      <c r="H2" s="288"/>
    </row>
    <row r="3" spans="1:10" ht="15.75" x14ac:dyDescent="0.25">
      <c r="A3" s="249" t="s">
        <v>137</v>
      </c>
      <c r="B3" s="250"/>
      <c r="C3" s="251" t="s">
        <v>388</v>
      </c>
      <c r="D3" s="252"/>
      <c r="E3" s="252"/>
      <c r="F3" s="252"/>
      <c r="G3" s="252"/>
      <c r="H3" s="253"/>
      <c r="I3" s="49" t="str">
        <f ca="1">IF(D16=100%,"All work Completed. Possession granted to the Building.",IF(D15=100%,"All work Completed, Waiting for OC",I4&amp;""&amp;I5&amp;""&amp;J4&amp;""&amp;J3&amp;" "&amp;J5))</f>
        <v xml:space="preserve">Excavation, Plinth, RCC Slab, Brickwork Completed </v>
      </c>
      <c r="J3" s="50"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75" x14ac:dyDescent="0.25">
      <c r="A4" s="16" t="s">
        <v>139</v>
      </c>
      <c r="B4" s="47">
        <f>IF(AND(ISNUMBER(SEARCH("1B",C3))),1,IF(AND(ISNUMBER(SEARCH("2B",C3))),2,IF(AND(ISNUMBER(SEARCH("3B",C3))),3,IF(AND(ISNUMBER(SEARCH("4B",C3))),4,IF(ISNUMBER(SEARCH("5B",C3)),5,0)))))</f>
        <v>0</v>
      </c>
      <c r="C4" s="47" t="s">
        <v>68</v>
      </c>
      <c r="D4" s="47">
        <v>1</v>
      </c>
      <c r="E4" s="47" t="s">
        <v>67</v>
      </c>
      <c r="F4" s="14">
        <v>0</v>
      </c>
      <c r="G4" s="48" t="s">
        <v>76</v>
      </c>
      <c r="H4" s="17">
        <f ca="1">--TRIM(RIGHT(SUBSTITUTE(LEFT(C3,_xlfn.AGGREGATE(16,6,FIND({0,1,2,3,4,5,6,7,8,9},C3,ROW(INDIRECT("1:"&amp;LEN(C3)))),1))," ",REPT(" ",LEN(C3))),LEN(C3)))</f>
        <v>20</v>
      </c>
      <c r="I4" s="51" t="str">
        <f ca="1">IF(D7=100%,"Excavation","")&amp;IF(D8=100%,", Plinth","")&amp;IF(D9=100%,", RCC Slab","")&amp;IF(D10=100%,", Brickwork","")&amp;IF(D11=100%,", Internal Plaster","")&amp;IF(D12=100%,", External Plaster","")&amp;IF(D13=100%,", Flooring","")&amp;IF(D14=100%,", Painting","")&amp;IF(D15=100%,", Building common Amenities","")</f>
        <v>Excavation, Plinth, RCC Slab, Brickwork</v>
      </c>
      <c r="J4" s="52"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75" x14ac:dyDescent="0.25">
      <c r="A5" s="221" t="s">
        <v>86</v>
      </c>
      <c r="B5" s="203"/>
      <c r="C5" s="214" t="str">
        <f ca="1">I3</f>
        <v xml:space="preserve">Excavation, Plinth, RCC Slab, Brickwork Completed </v>
      </c>
      <c r="D5" s="214"/>
      <c r="E5" s="214"/>
      <c r="F5" s="214"/>
      <c r="G5" s="214"/>
      <c r="H5" s="215"/>
      <c r="I5" s="51" t="str">
        <f ca="1">IF(I4&lt;&gt;""," Completed","")</f>
        <v xml:space="preserve"> Completed</v>
      </c>
      <c r="J5" s="52" t="str">
        <f ca="1">IF(J3&lt;&gt;"","Completed","")</f>
        <v/>
      </c>
    </row>
    <row r="6" spans="1:10" ht="31.5" x14ac:dyDescent="0.25">
      <c r="A6" s="134" t="s">
        <v>47</v>
      </c>
      <c r="B6" s="135"/>
      <c r="C6" s="43" t="s">
        <v>136</v>
      </c>
      <c r="D6" s="43" t="s">
        <v>79</v>
      </c>
      <c r="E6" s="135" t="s">
        <v>81</v>
      </c>
      <c r="F6" s="135"/>
      <c r="G6" s="135" t="s">
        <v>80</v>
      </c>
      <c r="H6" s="154"/>
      <c r="I6" s="13" t="s">
        <v>138</v>
      </c>
      <c r="J6" s="28">
        <f ca="1">H4*25%</f>
        <v>5</v>
      </c>
    </row>
    <row r="7" spans="1:10" ht="15.75" x14ac:dyDescent="0.25">
      <c r="A7" s="134" t="s">
        <v>125</v>
      </c>
      <c r="B7" s="135"/>
      <c r="C7" s="59">
        <f ca="1">J8</f>
        <v>20</v>
      </c>
      <c r="D7" s="19">
        <f ca="1">((100/H4)*C7)/100</f>
        <v>1</v>
      </c>
      <c r="E7" s="254">
        <f ca="1">(((C8/H4*20)+(30/(D4+F4+H4)*C9)+(15/(H4)*C10)+(5/(H4)*C11)+(5/H4*C12)+(10/H4*C13)+(5/H4*C14)+(5/H4*C15)+(5/H4*C16))/100)</f>
        <v>0.65</v>
      </c>
      <c r="F7" s="270"/>
      <c r="G7" s="254">
        <f ca="1">((((C7/H4)*10)+((C8/H4)*30)+(25/(H4+F4+D4)*C9)+(15/H4*C10)+(5/H4*C11)+(5/H4*C12)+(5/H4*C13)+(0/H4*C14)+(0/H4*C15)+(5/H4*C16))/100)</f>
        <v>0.8</v>
      </c>
      <c r="H7" s="255"/>
      <c r="I7" s="13" t="s">
        <v>97</v>
      </c>
      <c r="J7" s="29">
        <f ca="1">H4*50%</f>
        <v>10</v>
      </c>
    </row>
    <row r="8" spans="1:10" ht="15.75" x14ac:dyDescent="0.25">
      <c r="A8" s="134" t="s">
        <v>48</v>
      </c>
      <c r="B8" s="135"/>
      <c r="C8" s="43">
        <v>20</v>
      </c>
      <c r="D8" s="19">
        <f ca="1">((100/H4)*C8)/100</f>
        <v>1</v>
      </c>
      <c r="E8" s="256"/>
      <c r="F8" s="271"/>
      <c r="G8" s="256"/>
      <c r="H8" s="257"/>
      <c r="I8" s="13" t="s">
        <v>98</v>
      </c>
      <c r="J8" s="29">
        <f ca="1">H4</f>
        <v>20</v>
      </c>
    </row>
    <row r="9" spans="1:10" ht="15.75" x14ac:dyDescent="0.25">
      <c r="A9" s="134" t="s">
        <v>126</v>
      </c>
      <c r="B9" s="135"/>
      <c r="C9" s="43">
        <v>21</v>
      </c>
      <c r="D9" s="19">
        <f ca="1">((100/(D4+F4+H4))*C9)/100</f>
        <v>1</v>
      </c>
      <c r="E9" s="256"/>
      <c r="F9" s="271"/>
      <c r="G9" s="256"/>
      <c r="H9" s="257"/>
      <c r="I9" s="13" t="s">
        <v>99</v>
      </c>
      <c r="J9" s="30">
        <f ca="1">(IF(B4&gt;1,(H4/(B4+2)),H4/4))</f>
        <v>5</v>
      </c>
    </row>
    <row r="10" spans="1:10" ht="15.75" x14ac:dyDescent="0.25">
      <c r="A10" s="134" t="s">
        <v>133</v>
      </c>
      <c r="B10" s="135" t="s">
        <v>127</v>
      </c>
      <c r="C10" s="43">
        <v>20</v>
      </c>
      <c r="D10" s="19">
        <f ca="1">((100/H4)*C10)/100</f>
        <v>1</v>
      </c>
      <c r="E10" s="256"/>
      <c r="F10" s="271"/>
      <c r="G10" s="256"/>
      <c r="H10" s="257"/>
      <c r="I10" s="13" t="s">
        <v>100</v>
      </c>
      <c r="J10" s="30">
        <f ca="1">(IF(B4&gt;1,(H4/(B4+2)+J9),H4/4+J9))</f>
        <v>10</v>
      </c>
    </row>
    <row r="11" spans="1:10" ht="15.75" x14ac:dyDescent="0.25">
      <c r="A11" s="134" t="s">
        <v>134</v>
      </c>
      <c r="B11" s="135" t="s">
        <v>127</v>
      </c>
      <c r="C11" s="43">
        <v>0</v>
      </c>
      <c r="D11" s="19">
        <f ca="1">((100/H4)*C11)/100</f>
        <v>0</v>
      </c>
      <c r="E11" s="256"/>
      <c r="F11" s="271"/>
      <c r="G11" s="256"/>
      <c r="H11" s="257"/>
      <c r="I11" s="13" t="s">
        <v>145</v>
      </c>
      <c r="J11" s="30">
        <f>(IF(B4&gt;1,(H4/(B4+2)+J10),0))</f>
        <v>0</v>
      </c>
    </row>
    <row r="12" spans="1:10" ht="15.75" x14ac:dyDescent="0.25">
      <c r="A12" s="134" t="s">
        <v>132</v>
      </c>
      <c r="B12" s="135" t="s">
        <v>129</v>
      </c>
      <c r="C12" s="43">
        <v>0</v>
      </c>
      <c r="D12" s="19">
        <f ca="1">((100/(H4))*C12)/100</f>
        <v>0</v>
      </c>
      <c r="E12" s="256"/>
      <c r="F12" s="271"/>
      <c r="G12" s="256"/>
      <c r="H12" s="257"/>
      <c r="I12" s="13" t="s">
        <v>140</v>
      </c>
      <c r="J12" s="30">
        <f>(IF(B4&gt;2,(H4/(B4+2)+J11),0))</f>
        <v>0</v>
      </c>
    </row>
    <row r="13" spans="1:10" ht="15.75" x14ac:dyDescent="0.25">
      <c r="A13" s="134" t="s">
        <v>128</v>
      </c>
      <c r="B13" s="135" t="s">
        <v>128</v>
      </c>
      <c r="C13" s="43">
        <v>0</v>
      </c>
      <c r="D13" s="19">
        <f ca="1">((100/H4)*C13)/100</f>
        <v>0</v>
      </c>
      <c r="E13" s="256"/>
      <c r="F13" s="271"/>
      <c r="G13" s="256"/>
      <c r="H13" s="257"/>
      <c r="I13" s="13" t="s">
        <v>141</v>
      </c>
      <c r="J13" s="31">
        <f>(IF(B4&gt;3,(H4/(B4+2)+J12),0))</f>
        <v>0</v>
      </c>
    </row>
    <row r="14" spans="1:10" ht="15.75" x14ac:dyDescent="0.25">
      <c r="A14" s="134" t="s">
        <v>135</v>
      </c>
      <c r="B14" s="135"/>
      <c r="C14" s="43">
        <v>0</v>
      </c>
      <c r="D14" s="19">
        <f ca="1">((100/H4)*C14)/100</f>
        <v>0</v>
      </c>
      <c r="E14" s="256"/>
      <c r="F14" s="271"/>
      <c r="G14" s="256"/>
      <c r="H14" s="257"/>
      <c r="I14" s="13" t="s">
        <v>142</v>
      </c>
      <c r="J14" s="30">
        <f>(IF(B4&gt;4,(H4/(B4+2)+J13),0))</f>
        <v>0</v>
      </c>
    </row>
    <row r="15" spans="1:10" ht="15.75" x14ac:dyDescent="0.25">
      <c r="A15" s="134" t="s">
        <v>130</v>
      </c>
      <c r="B15" s="135" t="s">
        <v>130</v>
      </c>
      <c r="C15" s="43">
        <v>0</v>
      </c>
      <c r="D15" s="19">
        <f ca="1">((100/(H4))*C15)/100</f>
        <v>0</v>
      </c>
      <c r="E15" s="256"/>
      <c r="F15" s="271"/>
      <c r="G15" s="256"/>
      <c r="H15" s="257"/>
      <c r="I15" s="13" t="s">
        <v>146</v>
      </c>
      <c r="J15" s="30">
        <f ca="1">(IF(B4=1,(H4/(B4+3)+J10),IF(B4=0,(H4/4+J10),IF(B4&gt;1,0))))</f>
        <v>15</v>
      </c>
    </row>
    <row r="16" spans="1:10" ht="16.5" thickBot="1" x14ac:dyDescent="0.3">
      <c r="A16" s="155" t="s">
        <v>131</v>
      </c>
      <c r="B16" s="156"/>
      <c r="C16" s="44">
        <v>0</v>
      </c>
      <c r="D16" s="20">
        <f ca="1">((100/(H4))*C16)/100</f>
        <v>0</v>
      </c>
      <c r="E16" s="258"/>
      <c r="F16" s="272"/>
      <c r="G16" s="258"/>
      <c r="H16" s="259"/>
      <c r="I16" s="15" t="s">
        <v>101</v>
      </c>
      <c r="J16" s="32">
        <f ca="1">(IF(B4&gt;1.5,(H4/(B4+2)+J10+MAX(0,J11-J10)+MAX(0,J12-J11)+MAX(0,J13-J12)+MAX(0,J14-J13)+MAX(0,J15-J14)),IF(B4=1,(H4/(B4+3)+J15),IF(B4=0,H4/4+J15))))</f>
        <v>20</v>
      </c>
    </row>
  </sheetData>
  <mergeCells count="20">
    <mergeCell ref="A15:B15"/>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 ref="E6:F6"/>
    <mergeCell ref="G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2025-10-04T10:07:06Z</cp:lastPrinted>
  <dcterms:created xsi:type="dcterms:W3CDTF">2019-07-16T09:29:46Z</dcterms:created>
  <dcterms:modified xsi:type="dcterms:W3CDTF">2025-10-04T10:07:09Z</dcterms:modified>
</cp:coreProperties>
</file>