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Update\"/>
    </mc:Choice>
  </mc:AlternateContent>
  <xr:revisionPtr revIDLastSave="0" documentId="13_ncr:1_{95B67BD8-C043-46A0-8499-FCCF48DE1468}"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s>
  <definedNames>
    <definedName name="_xlnm.Print_Area" localSheetId="0">Report!$A$1:$H$376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6" i="3" l="1"/>
  <c r="G146" i="3"/>
  <c r="G4" i="3"/>
  <c r="I231" i="3"/>
  <c r="D259" i="3"/>
  <c r="F248" i="3"/>
  <c r="E248" i="3"/>
  <c r="F247" i="3"/>
  <c r="E247" i="3"/>
  <c r="F246" i="3"/>
  <c r="E246" i="3"/>
  <c r="F245" i="3"/>
  <c r="E245" i="3"/>
  <c r="H245" i="3" s="1"/>
  <c r="F244" i="3"/>
  <c r="E244" i="3"/>
  <c r="F243" i="3"/>
  <c r="E243" i="3"/>
  <c r="F241" i="3"/>
  <c r="E241" i="3"/>
  <c r="F239" i="3"/>
  <c r="E239" i="3"/>
  <c r="F238" i="3"/>
  <c r="E238" i="3"/>
  <c r="F237" i="3"/>
  <c r="E237" i="3"/>
  <c r="F236" i="3"/>
  <c r="E236" i="3"/>
  <c r="F235" i="3"/>
  <c r="E235" i="3"/>
  <c r="F234" i="3"/>
  <c r="E234" i="3"/>
  <c r="F233" i="3"/>
  <c r="E233" i="3"/>
  <c r="F232" i="3"/>
  <c r="E232" i="3"/>
  <c r="A62" i="3" l="1"/>
  <c r="H246" i="3"/>
  <c r="H244" i="3"/>
  <c r="H243" i="3"/>
  <c r="A242" i="3"/>
  <c r="A243" i="3" s="1"/>
  <c r="A244" i="3" s="1"/>
  <c r="A245" i="3" s="1"/>
  <c r="A246" i="3" s="1"/>
  <c r="A247" i="3" s="1"/>
  <c r="A248" i="3" s="1"/>
  <c r="H239" i="3"/>
  <c r="H235" i="3"/>
  <c r="A233" i="3"/>
  <c r="A234" i="3" s="1"/>
  <c r="A235" i="3" s="1"/>
  <c r="A236" i="3" s="1"/>
  <c r="A237" i="3" s="1"/>
  <c r="A238" i="3" s="1"/>
  <c r="A239" i="3" s="1"/>
  <c r="K21" i="3"/>
  <c r="C17" i="3"/>
  <c r="E193" i="3"/>
  <c r="E192" i="3"/>
  <c r="U241" i="3"/>
  <c r="U232" i="3"/>
  <c r="V241" i="3"/>
  <c r="V232" i="3"/>
  <c r="H234" i="3" l="1"/>
  <c r="H247" i="3"/>
  <c r="H238" i="3"/>
  <c r="H232" i="3"/>
  <c r="H233" i="3"/>
  <c r="H237" i="3"/>
  <c r="H236" i="3"/>
  <c r="H241" i="3"/>
  <c r="H248" i="3"/>
  <c r="V242" i="3"/>
  <c r="V243" i="3" s="1"/>
  <c r="V244" i="3" s="1"/>
  <c r="V245" i="3" s="1"/>
  <c r="V246" i="3" s="1"/>
  <c r="V247" i="3" s="1"/>
  <c r="V248" i="3" s="1"/>
  <c r="V233" i="3"/>
  <c r="V234" i="3" s="1"/>
  <c r="V235" i="3" s="1"/>
  <c r="V236" i="3" s="1"/>
  <c r="V237" i="3" s="1"/>
  <c r="V238" i="3" s="1"/>
  <c r="V239" i="3" s="1"/>
  <c r="U233" i="3"/>
  <c r="T232" i="3"/>
  <c r="U242" i="3"/>
  <c r="T241" i="3"/>
  <c r="D261" i="3"/>
  <c r="F228" i="3"/>
  <c r="E228" i="3"/>
  <c r="F227" i="3"/>
  <c r="E227" i="3"/>
  <c r="F226" i="3"/>
  <c r="E226" i="3"/>
  <c r="F224" i="3"/>
  <c r="E224" i="3"/>
  <c r="F223" i="3"/>
  <c r="E223" i="3"/>
  <c r="F222" i="3"/>
  <c r="E222" i="3"/>
  <c r="F221" i="3"/>
  <c r="E221" i="3"/>
  <c r="F219" i="3"/>
  <c r="E219" i="3"/>
  <c r="F218" i="3"/>
  <c r="E218" i="3"/>
  <c r="F217" i="3"/>
  <c r="E217" i="3"/>
  <c r="F216" i="3"/>
  <c r="E216" i="3"/>
  <c r="F215" i="3"/>
  <c r="E215" i="3"/>
  <c r="F214" i="3"/>
  <c r="E214" i="3"/>
  <c r="F213" i="3"/>
  <c r="E213" i="3"/>
  <c r="F212" i="3"/>
  <c r="E212" i="3"/>
  <c r="A213" i="3"/>
  <c r="A214" i="3" s="1"/>
  <c r="A215" i="3" s="1"/>
  <c r="A216" i="3" s="1"/>
  <c r="A217" i="3" s="1"/>
  <c r="A218" i="3" s="1"/>
  <c r="A219" i="3" s="1"/>
  <c r="F208" i="3"/>
  <c r="E208" i="3"/>
  <c r="F207" i="3"/>
  <c r="E207" i="3"/>
  <c r="F206" i="3"/>
  <c r="E206" i="3"/>
  <c r="F205" i="3"/>
  <c r="E205" i="3"/>
  <c r="F204" i="3"/>
  <c r="E204" i="3"/>
  <c r="F203" i="3"/>
  <c r="E203" i="3"/>
  <c r="F201" i="3"/>
  <c r="E201" i="3"/>
  <c r="F199" i="3"/>
  <c r="E199" i="3"/>
  <c r="F198" i="3"/>
  <c r="E198" i="3"/>
  <c r="F197" i="3"/>
  <c r="E197" i="3"/>
  <c r="F196" i="3"/>
  <c r="E196" i="3"/>
  <c r="F195" i="3"/>
  <c r="E195" i="3"/>
  <c r="F194" i="3"/>
  <c r="E194" i="3"/>
  <c r="F193" i="3"/>
  <c r="F192" i="3"/>
  <c r="H192" i="3" s="1"/>
  <c r="A202" i="3"/>
  <c r="A203" i="3" s="1"/>
  <c r="A204" i="3" s="1"/>
  <c r="A205" i="3" s="1"/>
  <c r="A206" i="3" s="1"/>
  <c r="A207" i="3" s="1"/>
  <c r="A208" i="3" s="1"/>
  <c r="A222" i="3"/>
  <c r="A223" i="3" s="1"/>
  <c r="A224" i="3" s="1"/>
  <c r="A225" i="3" s="1"/>
  <c r="A226" i="3" s="1"/>
  <c r="A227" i="3" s="1"/>
  <c r="A228" i="3" s="1"/>
  <c r="F188" i="3"/>
  <c r="E188" i="3"/>
  <c r="F187" i="3"/>
  <c r="E187" i="3"/>
  <c r="F186" i="3"/>
  <c r="E186" i="3"/>
  <c r="F185" i="3"/>
  <c r="E185" i="3"/>
  <c r="F184" i="3"/>
  <c r="E184" i="3"/>
  <c r="F183" i="3"/>
  <c r="E183" i="3"/>
  <c r="F181" i="3"/>
  <c r="E181" i="3"/>
  <c r="A182" i="3"/>
  <c r="A183" i="3" s="1"/>
  <c r="A184" i="3" s="1"/>
  <c r="A185" i="3" s="1"/>
  <c r="A186" i="3" s="1"/>
  <c r="A187" i="3" s="1"/>
  <c r="A188" i="3" s="1"/>
  <c r="F179" i="3"/>
  <c r="E179" i="3"/>
  <c r="F178" i="3"/>
  <c r="E178" i="3"/>
  <c r="F177" i="3"/>
  <c r="E177" i="3"/>
  <c r="F176" i="3"/>
  <c r="E176" i="3"/>
  <c r="F175" i="3"/>
  <c r="E175" i="3"/>
  <c r="F174" i="3"/>
  <c r="E174" i="3"/>
  <c r="F173" i="3"/>
  <c r="E173" i="3"/>
  <c r="F172" i="3"/>
  <c r="E172" i="3"/>
  <c r="A173" i="3"/>
  <c r="A174" i="3" s="1"/>
  <c r="A175" i="3" s="1"/>
  <c r="A176" i="3" s="1"/>
  <c r="A177" i="3" s="1"/>
  <c r="A178" i="3" s="1"/>
  <c r="A179" i="3" s="1"/>
  <c r="I160" i="3"/>
  <c r="I151" i="3"/>
  <c r="F168" i="3"/>
  <c r="E168" i="3"/>
  <c r="F167" i="3"/>
  <c r="E167" i="3"/>
  <c r="F166" i="3"/>
  <c r="E166" i="3"/>
  <c r="F164" i="3"/>
  <c r="E164" i="3"/>
  <c r="F163" i="3"/>
  <c r="E163" i="3"/>
  <c r="F162" i="3"/>
  <c r="E162" i="3"/>
  <c r="F161" i="3"/>
  <c r="E161" i="3"/>
  <c r="A162" i="3"/>
  <c r="A163" i="3" s="1"/>
  <c r="A164" i="3" s="1"/>
  <c r="A165" i="3" s="1"/>
  <c r="A166" i="3" s="1"/>
  <c r="A167" i="3" s="1"/>
  <c r="A168" i="3" s="1"/>
  <c r="A193" i="3"/>
  <c r="A194" i="3" s="1"/>
  <c r="A195" i="3" s="1"/>
  <c r="A196" i="3" s="1"/>
  <c r="A197" i="3" s="1"/>
  <c r="A198" i="3" s="1"/>
  <c r="A199" i="3" s="1"/>
  <c r="I154" i="3"/>
  <c r="J154" i="3"/>
  <c r="J152" i="3"/>
  <c r="I152" i="3"/>
  <c r="F159" i="3"/>
  <c r="E159" i="3"/>
  <c r="F158" i="3"/>
  <c r="E158" i="3"/>
  <c r="F157" i="3"/>
  <c r="E157" i="3"/>
  <c r="F156" i="3"/>
  <c r="E156" i="3"/>
  <c r="F155" i="3"/>
  <c r="E155" i="3"/>
  <c r="F154" i="3"/>
  <c r="E154" i="3"/>
  <c r="F153" i="3"/>
  <c r="E153" i="3"/>
  <c r="F152" i="3"/>
  <c r="E152" i="3"/>
  <c r="A153" i="3"/>
  <c r="A154" i="3" s="1"/>
  <c r="A155" i="3" s="1"/>
  <c r="A156" i="3" s="1"/>
  <c r="A157" i="3" s="1"/>
  <c r="A158" i="3" s="1"/>
  <c r="A159" i="3" s="1"/>
  <c r="A110" i="3"/>
  <c r="A94" i="3"/>
  <c r="D95" i="3" s="1"/>
  <c r="H53" i="3"/>
  <c r="H54" i="3"/>
  <c r="C53" i="3"/>
  <c r="C54" i="3" s="1"/>
  <c r="I21" i="3"/>
  <c r="M21" i="3" s="1"/>
  <c r="U201" i="3"/>
  <c r="V201" i="3"/>
  <c r="U212" i="3"/>
  <c r="V212" i="3"/>
  <c r="H217" i="3" l="1"/>
  <c r="E145" i="3"/>
  <c r="G145" i="3"/>
  <c r="H216" i="3"/>
  <c r="U243" i="3"/>
  <c r="T242" i="3"/>
  <c r="U234" i="3"/>
  <c r="T233" i="3"/>
  <c r="H187" i="3"/>
  <c r="H204" i="3"/>
  <c r="H208" i="3"/>
  <c r="H214" i="3"/>
  <c r="H206" i="3"/>
  <c r="E142" i="3"/>
  <c r="E143" i="3"/>
  <c r="H218" i="3"/>
  <c r="H213" i="3"/>
  <c r="H219" i="3"/>
  <c r="H212" i="3"/>
  <c r="H161" i="3"/>
  <c r="H183" i="3"/>
  <c r="E141" i="3"/>
  <c r="H207" i="3"/>
  <c r="H215" i="3"/>
  <c r="H185" i="3"/>
  <c r="E144" i="3"/>
  <c r="H179" i="3"/>
  <c r="H181" i="3"/>
  <c r="H184" i="3"/>
  <c r="H186" i="3"/>
  <c r="H188" i="3"/>
  <c r="H203" i="3"/>
  <c r="H205" i="3"/>
  <c r="V213" i="3"/>
  <c r="V214" i="3" s="1"/>
  <c r="V215" i="3" s="1"/>
  <c r="V216" i="3" s="1"/>
  <c r="V217" i="3" s="1"/>
  <c r="V218" i="3" s="1"/>
  <c r="V219" i="3" s="1"/>
  <c r="T212" i="3"/>
  <c r="U213" i="3"/>
  <c r="H201" i="3"/>
  <c r="H164" i="3"/>
  <c r="V202" i="3"/>
  <c r="V203" i="3" s="1"/>
  <c r="V204" i="3" s="1"/>
  <c r="V205" i="3" s="1"/>
  <c r="V206" i="3" s="1"/>
  <c r="V207" i="3" s="1"/>
  <c r="V208" i="3" s="1"/>
  <c r="T201" i="3"/>
  <c r="U202" i="3"/>
  <c r="H178" i="3"/>
  <c r="H159" i="3"/>
  <c r="H177" i="3"/>
  <c r="H173" i="3"/>
  <c r="H175" i="3"/>
  <c r="H153" i="3"/>
  <c r="H155" i="3"/>
  <c r="H157" i="3"/>
  <c r="H172" i="3"/>
  <c r="H174" i="3"/>
  <c r="H176" i="3"/>
  <c r="H163" i="3"/>
  <c r="H166" i="3"/>
  <c r="I166" i="3" s="1"/>
  <c r="H168" i="3"/>
  <c r="H162" i="3"/>
  <c r="H167" i="3"/>
  <c r="H154" i="3"/>
  <c r="H158" i="3"/>
  <c r="H156" i="3"/>
  <c r="H152" i="3"/>
  <c r="J103" i="3"/>
  <c r="J101" i="3"/>
  <c r="J104" i="3"/>
  <c r="J102" i="3"/>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H95" i="3"/>
  <c r="U235" i="3" l="1"/>
  <c r="T234" i="3"/>
  <c r="T243" i="3"/>
  <c r="U244" i="3"/>
  <c r="D97" i="3"/>
  <c r="D105" i="3"/>
  <c r="D108" i="3"/>
  <c r="J97" i="3"/>
  <c r="D103" i="3"/>
  <c r="J96" i="3"/>
  <c r="D101" i="3"/>
  <c r="D98" i="3"/>
  <c r="D107" i="3"/>
  <c r="D99" i="3"/>
  <c r="J98" i="3"/>
  <c r="E97" i="3"/>
  <c r="I94" i="3" s="1"/>
  <c r="G97" i="3" s="1"/>
  <c r="D106" i="3"/>
  <c r="J99" i="3"/>
  <c r="J100" i="3" s="1"/>
  <c r="J105" i="3" s="1"/>
  <c r="J106" i="3" s="1"/>
  <c r="D104" i="3"/>
  <c r="D102" i="3"/>
  <c r="D100" i="3"/>
  <c r="G141" i="3"/>
  <c r="E42" i="6"/>
  <c r="D42" i="6" s="1"/>
  <c r="D44" i="6" s="1"/>
  <c r="G142" i="3"/>
  <c r="T213" i="3"/>
  <c r="U214" i="3"/>
  <c r="T202" i="3"/>
  <c r="U203" i="3"/>
  <c r="L42" i="6"/>
  <c r="K42" i="6" s="1"/>
  <c r="I42" i="6"/>
  <c r="H42" i="6" s="1"/>
  <c r="T244" i="3" l="1"/>
  <c r="U245" i="3"/>
  <c r="U236" i="3"/>
  <c r="T235" i="3"/>
  <c r="U215" i="3"/>
  <c r="T214" i="3"/>
  <c r="U204" i="3"/>
  <c r="T203" i="3"/>
  <c r="E44" i="6"/>
  <c r="C26" i="3"/>
  <c r="C18" i="3"/>
  <c r="H228" i="3"/>
  <c r="H227" i="3"/>
  <c r="H226" i="3"/>
  <c r="H224" i="3"/>
  <c r="H223" i="3"/>
  <c r="H222" i="3"/>
  <c r="H221" i="3"/>
  <c r="H193" i="3"/>
  <c r="H194" i="3"/>
  <c r="H195" i="3"/>
  <c r="H196" i="3"/>
  <c r="H197" i="3"/>
  <c r="H198" i="3"/>
  <c r="H199" i="3"/>
  <c r="U237" i="3" l="1"/>
  <c r="T236" i="3"/>
  <c r="U246" i="3"/>
  <c r="T245" i="3"/>
  <c r="G143" i="3"/>
  <c r="G144" i="3"/>
  <c r="U216" i="3"/>
  <c r="T215" i="3"/>
  <c r="U205" i="3"/>
  <c r="T204" i="3"/>
  <c r="G138" i="3"/>
  <c r="E138" i="3"/>
  <c r="D111" i="3"/>
  <c r="J120" i="3" s="1"/>
  <c r="A78" i="3"/>
  <c r="D79" i="3" s="1"/>
  <c r="D63" i="3"/>
  <c r="U247" i="3" l="1"/>
  <c r="T246" i="3"/>
  <c r="U238" i="3"/>
  <c r="T237" i="3"/>
  <c r="T216" i="3"/>
  <c r="U217" i="3"/>
  <c r="T205" i="3"/>
  <c r="U206" i="3"/>
  <c r="J119"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79" i="3"/>
  <c r="I5" i="4"/>
  <c r="U239" i="3" l="1"/>
  <c r="T239" i="3" s="1"/>
  <c r="T238" i="3"/>
  <c r="U248" i="3"/>
  <c r="T248" i="3" s="1"/>
  <c r="T247" i="3"/>
  <c r="T217" i="3"/>
  <c r="U218" i="3"/>
  <c r="T206" i="3"/>
  <c r="U207" i="3"/>
  <c r="F38" i="4"/>
  <c r="G38" i="4"/>
  <c r="E18" i="4"/>
  <c r="E15" i="4"/>
  <c r="E17" i="4"/>
  <c r="E11" i="4"/>
  <c r="K6" i="4"/>
  <c r="E9" i="4"/>
  <c r="K8" i="4"/>
  <c r="C7" i="4" s="1"/>
  <c r="E14" i="4"/>
  <c r="E12" i="4"/>
  <c r="E16" i="4"/>
  <c r="E10" i="4"/>
  <c r="K9" i="4"/>
  <c r="K10" i="4" s="1"/>
  <c r="K11" i="4" s="1"/>
  <c r="E13" i="4"/>
  <c r="K7" i="4"/>
  <c r="J88" i="3"/>
  <c r="J87" i="3"/>
  <c r="U219" i="3" l="1"/>
  <c r="T219" i="3" s="1"/>
  <c r="T218" i="3"/>
  <c r="U208" i="3"/>
  <c r="T208" i="3" s="1"/>
  <c r="T207" i="3"/>
  <c r="K12" i="4"/>
  <c r="K16" i="4" s="1"/>
  <c r="C8" i="4" s="1"/>
  <c r="E8" i="4" s="1"/>
  <c r="E7" i="4"/>
  <c r="F7" i="4" l="1"/>
  <c r="J4" i="4" s="1"/>
  <c r="H7" i="4" s="1"/>
  <c r="H138" i="3" l="1"/>
  <c r="D260" i="3" l="1"/>
  <c r="J72" i="3"/>
  <c r="J71" i="3"/>
  <c r="H63" i="3"/>
  <c r="J67" i="3" l="1"/>
  <c r="D72" i="3"/>
  <c r="D69" i="3"/>
  <c r="D67" i="3"/>
  <c r="J65" i="3"/>
  <c r="D76" i="3"/>
  <c r="D74" i="3"/>
  <c r="D71" i="3"/>
  <c r="D68" i="3"/>
  <c r="J66" i="3"/>
  <c r="J64" i="3"/>
  <c r="D75" i="3"/>
  <c r="D73" i="3"/>
  <c r="D70" i="3"/>
  <c r="D92" i="3" l="1"/>
  <c r="D84" i="3"/>
  <c r="D87" i="3"/>
  <c r="J81" i="3"/>
  <c r="D91" i="3"/>
  <c r="D85" i="3"/>
  <c r="J80" i="3"/>
  <c r="D90" i="3"/>
  <c r="J83" i="3"/>
  <c r="J84" i="3" s="1"/>
  <c r="D89" i="3"/>
  <c r="D83" i="3"/>
  <c r="J82" i="3"/>
  <c r="D88" i="3"/>
  <c r="D86" i="3"/>
  <c r="J68" i="3"/>
  <c r="J73" i="3" s="1"/>
  <c r="D81" i="3" l="1"/>
  <c r="J85" i="3"/>
  <c r="J89" i="3"/>
  <c r="J86" i="3"/>
  <c r="D65" i="3"/>
  <c r="J69" i="3"/>
  <c r="H111" i="3"/>
  <c r="J90" i="3" l="1"/>
  <c r="D124" i="3"/>
  <c r="D123" i="3"/>
  <c r="D117" i="3"/>
  <c r="J114" i="3"/>
  <c r="D119" i="3"/>
  <c r="D118" i="3"/>
  <c r="J112" i="3"/>
  <c r="D122" i="3"/>
  <c r="D116" i="3"/>
  <c r="J115" i="3"/>
  <c r="J116" i="3" s="1"/>
  <c r="J117" i="3" s="1"/>
  <c r="J118" i="3" s="1"/>
  <c r="D121" i="3"/>
  <c r="D115" i="3"/>
  <c r="J113" i="3"/>
  <c r="D120" i="3"/>
  <c r="J70" i="3"/>
  <c r="D82" i="3" l="1"/>
  <c r="E81" i="3"/>
  <c r="I78" i="3" s="1"/>
  <c r="G81" i="3" s="1"/>
  <c r="J121" i="3"/>
  <c r="J122" i="3" s="1"/>
  <c r="D114" i="3" s="1"/>
  <c r="D113" i="3"/>
  <c r="J74" i="3"/>
  <c r="U221" i="3"/>
  <c r="V221" i="3"/>
  <c r="E113" i="3" l="1"/>
  <c r="I110" i="3" s="1"/>
  <c r="G113" i="3" s="1"/>
  <c r="E65" i="3"/>
  <c r="V222" i="3"/>
  <c r="V223" i="3" s="1"/>
  <c r="V224" i="3" s="1"/>
  <c r="V225" i="3" s="1"/>
  <c r="V226" i="3" s="1"/>
  <c r="V227" i="3" s="1"/>
  <c r="V228" i="3" s="1"/>
  <c r="U222" i="3"/>
  <c r="T221" i="3"/>
  <c r="G125" i="3" l="1"/>
  <c r="D66" i="3"/>
  <c r="I62" i="3"/>
  <c r="G65" i="3" s="1"/>
  <c r="U223" i="3"/>
  <c r="T222" i="3"/>
  <c r="U224" i="3" l="1"/>
  <c r="T223" i="3"/>
  <c r="U225" i="3" l="1"/>
  <c r="T224" i="3"/>
  <c r="U226" i="3" l="1"/>
  <c r="T225" i="3"/>
  <c r="U227" i="3" l="1"/>
  <c r="T226" i="3"/>
  <c r="U228" i="3" l="1"/>
  <c r="T227" i="3"/>
  <c r="T22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1" authorId="0" shapeId="0" xr:uid="{00000000-0006-0000-0000-000003000000}">
      <text>
        <r>
          <rPr>
            <b/>
            <sz val="9"/>
            <color indexed="81"/>
            <rFont val="Tahoma"/>
            <family val="2"/>
          </rPr>
          <t>SACHIN:</t>
        </r>
        <r>
          <rPr>
            <sz val="9"/>
            <color indexed="81"/>
            <rFont val="Tahoma"/>
            <family val="2"/>
          </rPr>
          <t xml:space="preserve">
As per maps</t>
        </r>
      </text>
    </comment>
    <comment ref="G17" authorId="0" shapeId="0" xr:uid="{00000000-0006-0000-0000-000004000000}">
      <text>
        <r>
          <rPr>
            <b/>
            <sz val="18"/>
            <color indexed="81"/>
            <rFont val="Tahoma"/>
            <family val="2"/>
          </rPr>
          <t>From Rera</t>
        </r>
      </text>
    </comment>
    <comment ref="G20" authorId="0" shapeId="0" xr:uid="{00000000-0006-0000-0000-000005000000}">
      <text>
        <r>
          <rPr>
            <b/>
            <sz val="16"/>
            <color indexed="81"/>
            <rFont val="Tahoma"/>
            <family val="2"/>
          </rPr>
          <t>From RERA</t>
        </r>
      </text>
    </comment>
    <comment ref="G21" authorId="0" shapeId="0" xr:uid="{00000000-0006-0000-0000-000006000000}">
      <text>
        <r>
          <rPr>
            <b/>
            <sz val="16"/>
            <color indexed="81"/>
            <rFont val="Tahoma"/>
            <family val="2"/>
          </rPr>
          <t>From RERA</t>
        </r>
      </text>
    </comment>
    <comment ref="G27" authorId="0" shapeId="0" xr:uid="{00000000-0006-0000-0000-000007000000}">
      <text>
        <r>
          <rPr>
            <b/>
            <sz val="12"/>
            <color indexed="81"/>
            <rFont val="Tahoma"/>
            <family val="2"/>
          </rPr>
          <t>SACHIN:</t>
        </r>
        <r>
          <rPr>
            <sz val="12"/>
            <color indexed="81"/>
            <rFont val="Tahoma"/>
            <family val="2"/>
          </rPr>
          <t xml:space="preserve">
Road size should be in metre</t>
        </r>
      </text>
    </comment>
    <comment ref="G131" authorId="0" shapeId="0" xr:uid="{00000000-0006-0000-0000-000008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<sst xmlns="http://schemas.openxmlformats.org/spreadsheetml/2006/main" count="794" uniqueCount="373">
  <si>
    <t>Boundaries</t>
  </si>
  <si>
    <t>North</t>
  </si>
  <si>
    <t>East</t>
  </si>
  <si>
    <t>West</t>
  </si>
  <si>
    <t>:</t>
  </si>
  <si>
    <t>As per Actual at site</t>
  </si>
  <si>
    <t>South</t>
  </si>
  <si>
    <t>As per Site / Actual</t>
  </si>
  <si>
    <t>Government Guideline/ Circle rate for Land (Rs per sqft)</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</si>
  <si>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</si>
  <si>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</si>
  <si>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</si>
  <si>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</si>
  <si>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</si>
  <si>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</si>
  <si>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</si>
  <si>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</si>
  <si>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</si>
  <si>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</si>
  <si>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</si>
  <si>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</si>
  <si>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</si>
  <si>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</si>
  <si>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</si>
  <si>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</si>
  <si>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</si>
  <si>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</si>
  <si>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</si>
  <si>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</si>
  <si>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</si>
  <si>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</si>
  <si>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</si>
  <si>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</si>
  <si>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</si>
  <si>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</si>
  <si>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</si>
  <si>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</si>
  <si>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</si>
  <si>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</si>
  <si>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</si>
  <si>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</si>
  <si>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</si>
  <si>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</si>
  <si>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</si>
  <si>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</si>
  <si>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</si>
  <si>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</si>
  <si>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</si>
  <si>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</si>
  <si>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</si>
  <si>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</si>
  <si>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</si>
  <si>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</si>
  <si>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</si>
  <si>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</si>
  <si>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</si>
  <si>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</si>
  <si>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</si>
  <si>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</si>
  <si>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</si>
  <si>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</si>
  <si>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</si>
  <si>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</si>
  <si>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</si>
  <si>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</si>
  <si>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</si>
  <si>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</si>
  <si>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</si>
  <si>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</si>
  <si>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</si>
  <si>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</si>
  <si>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</si>
  <si>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</si>
  <si>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</si>
  <si>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</si>
  <si>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</si>
  <si>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</si>
  <si>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</si>
  <si>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</si>
  <si>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</si>
  <si>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</si>
  <si>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</si>
  <si>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</si>
  <si>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</si>
  <si>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</si>
  <si>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</si>
  <si>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</si>
  <si>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</si>
  <si>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</si>
  <si>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</si>
  <si>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</si>
  <si>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</si>
  <si>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</si>
  <si>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</si>
  <si>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</si>
  <si>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</si>
  <si>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</si>
  <si>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</si>
  <si>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</si>
  <si>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</si>
  <si>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</si>
  <si>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</si>
  <si>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</si>
  <si>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</si>
  <si>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</si>
  <si>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</si>
  <si>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</si>
  <si>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</si>
  <si>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</si>
  <si>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</si>
  <si>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</si>
  <si>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</si>
  <si>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</si>
  <si>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</si>
  <si>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</si>
  <si>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</si>
  <si>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</si>
  <si>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</si>
  <si>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</si>
  <si>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</si>
  <si>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</si>
  <si>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</si>
  <si>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</si>
  <si>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</si>
  <si>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</si>
  <si>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</si>
  <si>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</si>
  <si>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</si>
  <si>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</si>
  <si>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</si>
  <si>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</si>
  <si>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</si>
  <si>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</si>
  <si>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</si>
  <si>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</si>
  <si>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</si>
  <si>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</si>
  <si>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</si>
  <si>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</si>
  <si>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</si>
  <si>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</si>
  <si>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</si>
  <si>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</si>
  <si>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</si>
  <si>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</si>
  <si>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</si>
  <si>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</si>
  <si>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</si>
  <si>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</si>
  <si>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</si>
  <si>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</si>
  <si>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</si>
  <si>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</si>
  <si>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</si>
  <si>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</si>
  <si>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</si>
  <si>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</si>
  <si>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</si>
  <si>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</si>
  <si>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</si>
  <si>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</si>
  <si>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</si>
  <si>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</si>
  <si>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</si>
  <si>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</si>
  <si>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</si>
  <si>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</si>
  <si>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</si>
  <si>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</si>
  <si>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</si>
  <si>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</si>
  <si>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</si>
  <si>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</si>
  <si>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</si>
  <si>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</si>
  <si>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</si>
  <si>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</si>
  <si>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</si>
  <si>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</si>
  <si>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</si>
  <si>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</si>
  <si>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</si>
  <si>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</si>
  <si>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</si>
  <si>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</si>
  <si>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</si>
  <si>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</si>
  <si>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</si>
  <si>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</si>
  <si>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</si>
  <si>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</si>
  <si>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</si>
  <si>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</si>
  <si>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</si>
  <si>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</si>
  <si>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</si>
  <si>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</si>
  <si>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</si>
  <si>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</si>
  <si>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</si>
  <si>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</si>
  <si>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</si>
  <si>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</si>
  <si>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</si>
  <si>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</si>
  <si>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</si>
  <si>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</si>
  <si>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</si>
  <si>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</si>
  <si>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</si>
  <si>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</si>
  <si>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</si>
  <si>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</si>
  <si>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</si>
  <si>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</si>
  <si>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</si>
  <si>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</si>
  <si>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</si>
  <si>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</si>
  <si>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</si>
  <si>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</si>
  <si>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</si>
  <si>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</si>
  <si>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</si>
  <si>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</si>
  <si>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</si>
  <si>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</si>
  <si>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</si>
  <si>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</si>
  <si>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</si>
  <si>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</si>
  <si>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</si>
  <si>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</si>
  <si>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</si>
  <si>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</si>
  <si>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</si>
  <si>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</si>
  <si>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</si>
  <si>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</si>
  <si>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</si>
  <si>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</si>
  <si>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</si>
  <si>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</si>
  <si>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</si>
  <si>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</si>
  <si>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</si>
  <si>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</si>
  <si>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</si>
  <si>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</si>
  <si>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</si>
  <si>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</si>
  <si>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</si>
  <si>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</si>
  <si>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</si>
  <si>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</si>
  <si>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</si>
  <si>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</si>
  <si>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</si>
  <si>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</si>
  <si>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</si>
  <si>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</si>
  <si>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</si>
  <si>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</si>
  <si>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</si>
  <si>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</si>
  <si>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</si>
  <si>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</si>
  <si>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</si>
  <si>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</si>
  <si>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</si>
  <si>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</si>
  <si>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</si>
  <si>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</si>
  <si>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</si>
  <si>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</si>
  <si>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</si>
  <si>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</si>
  <si>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</si>
  <si>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</si>
  <si>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</si>
  <si>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</si>
  <si>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</si>
  <si>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</si>
  <si>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</si>
  <si>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</si>
  <si>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</si>
  <si>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</si>
  <si>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</si>
  <si>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</si>
  <si>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</si>
  <si>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</si>
  <si>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</si>
  <si>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</si>
  <si>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</si>
  <si>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</si>
  <si>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</si>
  <si>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</si>
  <si>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</si>
  <si>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</si>
  <si>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</si>
  <si>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</si>
  <si>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Mumbai - RO Thane</t>
  </si>
  <si>
    <t>Caroa Properties LLP</t>
  </si>
  <si>
    <t>5Th Floor, Godrej One, Off Eastern Express Highway, Nr. Godrej Soaps, Vikhroli East, 400079</t>
  </si>
  <si>
    <t>Green Terraces, Godrej City, Panvel 41/1 (pt), 42/2 (pt), 42/3, 42/4 (pt), 43 (pt), 44/4 (pt) at Khanavale, Panvel, Raigarh, 410221, and Tower 4, Green Terraces, Godrej City, Panvel 3 3/1 (Pt) at Khanavale, Panvel, Raigarh, 410221</t>
  </si>
  <si>
    <t>Maharashtra State Road Development Corporation (MSRDC)</t>
  </si>
  <si>
    <t>Axis Bank
IFSC - UTIB0001394</t>
  </si>
  <si>
    <t>As per RERA</t>
  </si>
  <si>
    <t>MSRDC/SPA/ITP-3/RZ-3/CC/2024/1801</t>
  </si>
  <si>
    <t>SEIAA-EC-0000002285
Net Plot Area = 534652 Sq.mt
Total BUA = 1263710 Sq.mt</t>
  </si>
  <si>
    <t>SNCR/WEST/B/102720/508097   Date - 10/11/2020
Site Elevation in mtr AMSL = 5.771m
Permissible Top Elevation = 185.77m</t>
  </si>
  <si>
    <t xml:space="preserve">Valid Up to Date: 
</t>
  </si>
  <si>
    <t>G + 1st to 42nd Floor</t>
  </si>
  <si>
    <t>Project Launch Date
(As per RERA)</t>
  </si>
  <si>
    <t>https://godrejhomz.com/godrej-green-terraces/?source=google&amp;medium=ppc&amp;keyword=godrej%20green%20terraces&amp;matchtype=p&amp;device=c&amp;&amp;location=&amp;gad_source=1&amp;gclid=Cj0KCQiAgJa6BhCOARIsAMiL7V8kZjkijBp9UfFp4MOSjmzd6o1LKRnu2QA3QlhBHRDC7G6hFpZbrA8aAhoDEALw_wcB#amenities</t>
  </si>
  <si>
    <t>Indoor Kids Play Area, Gym, Kids Pool, Flower Garden, Badminton Court, Spa.</t>
  </si>
  <si>
    <t>Woods, Godrej City</t>
  </si>
  <si>
    <t>8m Approx</t>
  </si>
  <si>
    <t>2.8 KM from Thobrewadi Godrej City Bus Stop</t>
  </si>
  <si>
    <t>About 2.9KM from St. Wilfred High School &amp; Junior College</t>
  </si>
  <si>
    <t>About 9.7K form Anjali Lifecare Hospital</t>
  </si>
  <si>
    <t>18M Wide Road</t>
  </si>
  <si>
    <t>18.932001,73.183341</t>
  </si>
  <si>
    <t>https://maps.app.goo.gl/6uA7L3XU8n68NQM27</t>
  </si>
  <si>
    <t>Other Plot</t>
  </si>
  <si>
    <t>Road</t>
  </si>
  <si>
    <t>Open Plot</t>
  </si>
  <si>
    <t>old EC referred from Parivesh Portal</t>
  </si>
  <si>
    <t>Tower 1</t>
  </si>
  <si>
    <t>Ground Floor For Entrance Lobby, Electrical Room, BMS Room &amp; Parking</t>
  </si>
  <si>
    <t>1st to 6th, 8th to 11th, 13th to 16th, 18th to 21st, 23rd to 26th, 28th to 31st, 33rd to 36th, 38th to 42nd Floor For Residential</t>
  </si>
  <si>
    <t>RERA Carpet area</t>
  </si>
  <si>
    <t>3BHK</t>
  </si>
  <si>
    <t>2BHK</t>
  </si>
  <si>
    <t>7th, 12th, 17th, 22nd, 27th, 32nd, 37th Floor For Part Refuge Area</t>
  </si>
  <si>
    <t>Refuge Area</t>
  </si>
  <si>
    <t>Tower 2</t>
  </si>
  <si>
    <t>Tower 3</t>
  </si>
  <si>
    <t>Ground Floor For Entrance Lobby, Electrical Room, Society Office &amp; Parking</t>
  </si>
  <si>
    <t>1BHK</t>
  </si>
  <si>
    <t>Tower 4</t>
  </si>
  <si>
    <t>As per Approved plan</t>
  </si>
  <si>
    <t>Construction not started so refered rera date</t>
  </si>
  <si>
    <t>1. Approx. 1.4KM from Sangam Super Market.
2. Approx. 11KM from Panvel Main Market.</t>
  </si>
  <si>
    <t>5.1KM from Mohope Railway Station
11.7KM from Panvel Railway Station</t>
  </si>
  <si>
    <t>Proposed Residential Building on plot RZ-3 of ITP Layout on Survey No.38/0, 74/0, 36/1, 73/0, 30/1, 75/0, 42/4, 42/1, 42/3, 32/2, 39/0, 43/0, 44/4, 70/1, 70/2, 72/0, 76/1, 76/2, 68/0, 81/2A, 81/2B, 40/0, 47/2, 50/12, 50/13, 69/0, 41/1, 41/2, 44/3, 47/1, 71/0, 36/2, 37/1, 37/2, 78/0, 27/1, 29/2, 29/3, 29/5, 30/2, 31/0, 33/1 (partly), 33/2, 34/1A, 42/2, 44/1, 44/2, 45/0, 46/0, 50/4, 50/5, 50/6B, (partly), 64/0, 81/3, 82/2A (Partly), 82/4 and 82/5 of Village Khanavale, Taluka - Panvel, Dist -  Raigad and
Survey No.6/1, 6/5, 7/1, 6/6, 7/2, 7/3A, 7/4, 5/2A, 5/2B, 9/2, 4/1, 4/2, 4/3, 4/5, 4/6, 7/3B, 7/B1, 7/B2, 7/B3, 7/B4, 7/B5, 7/B6, 7/B7, 7C1, 7/C2, 7/C3, 7/C4, 7/C5, 7/C5, 7/C6, 7/C7, 7/C8, 7/C9, 7/C10, 8/3A1, 8/3A2, 8/3A3, 8/3A4, 8/3A5, 8/3A6, 8/3A7, 8/3A8, 8/3A9, 8/3A10, 8/D1 to D8, 8/B1 to B6, 8/C1, 8/C2, 8/1A1 to 1A6, 9/B1 to B8, 9/D1 to D8, 9/C1 to C9, Survey No.6/2, 7/3/B/8, 7/3/B/9, 7/C/11, 7/C/12, 8/1/A/7, 8/3/A/11, 8/3/A/12, 8/B/7, 8/D/10, 8/D/9, 9/1, 9/B/9, 9/B/10, 9/C/10, 9/C/11, 9/D/9, 9/D/10 Of village - Talegaon, Taluka - Khalapur, Dist - Raigad.</t>
  </si>
  <si>
    <t>Green Terraces at Godrej city, near Woods Godrej City, Khanavale, Panvel, Raigad - 410221</t>
  </si>
  <si>
    <t>Approved Layout &amp; Floor Plans, CC, RERA certificate, Airport NOC</t>
  </si>
  <si>
    <t>Work not yet Started.</t>
  </si>
  <si>
    <t>14000 to 15000</t>
  </si>
  <si>
    <t>Mrs. Arunima Sen 9819558028</t>
  </si>
  <si>
    <t>Green Terraces &amp; Tower 4, Green Terraces</t>
  </si>
  <si>
    <t>Inspected By :</t>
  </si>
  <si>
    <t>Authorized Signatory Name &amp; Signature</t>
  </si>
  <si>
    <t>Green Terraces &amp;
Tower 4 &amp; 5, Green Terraces, Godrej City, Panvel</t>
  </si>
  <si>
    <t>Mr Suraj Khare</t>
  </si>
  <si>
    <t>As per RERA Site Flats = 1645</t>
  </si>
  <si>
    <t>Tower 5</t>
  </si>
  <si>
    <t>Tower 1 to 5 = Work not yet Started.</t>
  </si>
  <si>
    <t>Tower 1 to 5</t>
  </si>
  <si>
    <t>Tower 1 to 5 = G + 42nd Floor
Total Net BUA = 170597.641 Sq.mt</t>
  </si>
  <si>
    <t>7th, 12th, 17th, 22nd, 27th, 32nd &amp; 37th Floor For Part Refuge Area</t>
  </si>
  <si>
    <t xml:space="preserve">Fire Noc No
Valid Up to: </t>
  </si>
  <si>
    <t>MSRDC/FIRE/PFA/04124/6432</t>
  </si>
  <si>
    <t>Tower 1 to 5 = Gr + 1st to 42nd Floor (Height = 128.30 Mtrs)</t>
  </si>
  <si>
    <t>Mr. Nitesh Patil</t>
  </si>
  <si>
    <t xml:space="preserve">We have added Approved Floor Plan, CC of Tower 5 (On 29/09/2025).
</t>
  </si>
  <si>
    <t xml:space="preserve">We considered Gross carpet area = Net carpet + Balcony.
</t>
  </si>
  <si>
    <t>Green Terraces Tower 1 to 5</t>
  </si>
  <si>
    <t>28/09/2025 @ 05:02PM</t>
  </si>
  <si>
    <t>Green Terraces (Tower 1 to 3) - 31/12/2032
Tower 4 Green Terraces - 30/04/2033
Tower 5 Green Terraces - 31/05/2033</t>
  </si>
  <si>
    <t>Green Terraces (Tower 1 to 3) = P52000077918
Tower 4 Green Terraces = P52000077924
Tower 5 Green Terraces = PM1272022500305</t>
  </si>
  <si>
    <t>Flats =  1645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</si>
</sst>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6"/>
      <color rgb="FFFF0000"/>
      <name val="Times New Roman"/>
      <family val="1"/>
    </font>
    <font>
      <b/>
      <sz val="11"/>
      <color rgb="FF000000"/>
      <name val="Calibri"/>
      <family val="2"/>
    </font>
    <font>
      <b/>
      <sz val="9"/>
      <color indexed="81"/>
      <name val="Tahoma"/>
      <family val="2"/>
    </font>
    <font>
      <sz val="9"/>
      <color indexed="81"/>
      <name val="Tahoma"/>
      <family val="2"/>
    </font>
    <font>
      <u/>
      <sz val="11"/>
      <color theme="10"/>
      <name val="Calibri"/>
      <family val="2"/>
    </font>
    <font>
      <sz val="8"/>
      <name val="Calibri"/>
      <family val="2"/>
    </font>
    <font>
      <u/>
      <sz val="12"/>
      <color theme="10"/>
      <name val="Calibri"/>
      <family val="2"/>
    </font>
    <font>
      <sz val="12"/>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6" fillId="0" borderId="0" applyNumberFormat="0" applyFill="0" applyBorder="0" applyAlignment="0" applyProtection="0"/>
  </cellStyleXfs>
  <cellXfs count="195">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22" fillId="0" borderId="0" xfId="0" applyFont="1" applyAlignment="1">
      <alignment vertical="top"/>
    </xf>
    <xf numFmtId="14" fontId="4" fillId="4" borderId="1" xfId="0" applyNumberFormat="1" applyFont="1" applyFill="1" applyBorder="1" applyAlignment="1">
      <alignment horizontal="center" vertical="top" wrapText="1"/>
    </xf>
    <xf numFmtId="0" fontId="26" fillId="0" borderId="0" xfId="2" applyAlignment="1">
      <alignment vertical="top"/>
    </xf>
    <xf numFmtId="164" fontId="3" fillId="0" borderId="0" xfId="0" applyNumberFormat="1" applyFont="1" applyAlignment="1">
      <alignment vertical="top"/>
    </xf>
    <xf numFmtId="0" fontId="3" fillId="4" borderId="1" xfId="1" applyFont="1" applyFill="1" applyBorder="1" applyAlignment="1" applyProtection="1">
      <alignment horizontal="center" vertical="center" wrapText="1"/>
      <protection hidden="1"/>
    </xf>
    <xf numFmtId="0" fontId="2" fillId="4" borderId="1" xfId="1" applyFont="1" applyFill="1" applyBorder="1" applyAlignment="1">
      <alignment horizontal="center" vertical="center" wrapText="1"/>
    </xf>
    <xf numFmtId="0" fontId="4" fillId="4" borderId="1" xfId="1" applyFont="1" applyFill="1" applyBorder="1" applyAlignment="1">
      <alignment horizontal="center" vertical="center" wrapText="1"/>
    </xf>
    <xf numFmtId="1" fontId="4" fillId="4" borderId="2"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4" fillId="4" borderId="2" xfId="1" applyNumberFormat="1" applyFont="1" applyFill="1" applyBorder="1" applyAlignment="1">
      <alignment horizontal="center" vertical="top" wrapText="1"/>
    </xf>
    <xf numFmtId="1" fontId="4" fillId="4" borderId="5" xfId="1" applyNumberFormat="1" applyFont="1" applyFill="1" applyBorder="1" applyAlignment="1">
      <alignment horizontal="center" vertical="top" wrapText="1"/>
    </xf>
    <xf numFmtId="1" fontId="22" fillId="4" borderId="2" xfId="1" applyNumberFormat="1" applyFont="1" applyFill="1" applyBorder="1" applyAlignment="1">
      <alignment horizontal="center" vertical="top" wrapText="1"/>
    </xf>
    <xf numFmtId="1" fontId="22" fillId="4" borderId="5" xfId="1" applyNumberFormat="1" applyFont="1" applyFill="1" applyBorder="1" applyAlignment="1">
      <alignment horizontal="center" vertical="top"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2" fillId="4" borderId="12" xfId="1" applyNumberFormat="1" applyFont="1" applyFill="1" applyBorder="1" applyAlignment="1">
      <alignment horizontal="center" vertical="center" wrapText="1"/>
    </xf>
    <xf numFmtId="1" fontId="2" fillId="4" borderId="8" xfId="1" applyNumberFormat="1" applyFont="1" applyFill="1" applyBorder="1" applyAlignment="1">
      <alignment horizontal="center" vertical="center" wrapText="1"/>
    </xf>
    <xf numFmtId="1" fontId="2" fillId="4" borderId="13" xfId="1" applyNumberFormat="1" applyFont="1" applyFill="1" applyBorder="1" applyAlignment="1">
      <alignment horizontal="center" vertical="center" wrapText="1"/>
    </xf>
    <xf numFmtId="0" fontId="3" fillId="0" borderId="10" xfId="0" applyFont="1" applyBorder="1" applyAlignment="1">
      <alignment horizontal="left" vertical="top"/>
    </xf>
    <xf numFmtId="0" fontId="3" fillId="0" borderId="0" xfId="0" applyFont="1" applyAlignment="1">
      <alignment horizontal="left" vertical="top"/>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4" fillId="4" borderId="2"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4" borderId="1" xfId="0" applyFont="1" applyFill="1" applyBorder="1" applyAlignment="1">
      <alignment horizontal="left" vertical="top" wrapText="1"/>
    </xf>
    <xf numFmtId="0" fontId="3" fillId="4" borderId="1" xfId="0" applyFont="1" applyFill="1" applyBorder="1" applyAlignment="1">
      <alignment horizontal="left" vertical="top" wrapText="1"/>
    </xf>
    <xf numFmtId="0" fontId="28" fillId="4" borderId="1" xfId="2" applyFont="1" applyFill="1" applyBorder="1" applyAlignment="1">
      <alignment horizontal="left" vertical="top" wrapText="1"/>
    </xf>
    <xf numFmtId="0" fontId="29" fillId="4" borderId="1" xfId="0" applyFont="1" applyFill="1" applyBorder="1" applyAlignment="1">
      <alignment horizontal="left" vertical="top"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left" vertical="top" wrapText="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4" fillId="4" borderId="3" xfId="0" applyFont="1" applyFill="1" applyBorder="1" applyAlignment="1">
      <alignment horizontal="left" vertical="top"/>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2" fillId="4"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3" xfId="0"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g"/><Relationship Id="rId33" Type="http://schemas.openxmlformats.org/officeDocument/2006/relationships/image" Target="../media/image33.jp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g"/><Relationship Id="rId32" Type="http://schemas.openxmlformats.org/officeDocument/2006/relationships/image" Target="../media/image32.jp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g"/><Relationship Id="rId28" Type="http://schemas.openxmlformats.org/officeDocument/2006/relationships/image" Target="../media/image28.jpg"/><Relationship Id="rId10" Type="http://schemas.openxmlformats.org/officeDocument/2006/relationships/image" Target="../media/image10.png"/><Relationship Id="rId19" Type="http://schemas.openxmlformats.org/officeDocument/2006/relationships/image" Target="../media/image19.jpg"/><Relationship Id="rId31" Type="http://schemas.openxmlformats.org/officeDocument/2006/relationships/image" Target="../media/image31.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eg"/><Relationship Id="rId8"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editAs="oneCell">
    <xdr:from>
      <xdr:col>2</xdr:col>
      <xdr:colOff>926925</xdr:colOff>
      <xdr:row>317</xdr:row>
      <xdr:rowOff>114570</xdr:rowOff>
    </xdr:from>
    <xdr:to>
      <xdr:col>5</xdr:col>
      <xdr:colOff>160548</xdr:colOff>
      <xdr:row>334</xdr:row>
      <xdr:rowOff>89244</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3329466" y="86588123"/>
          <a:ext cx="2837435" cy="4546674"/>
        </a:xfrm>
        <a:prstGeom prst="rect">
          <a:avLst/>
        </a:prstGeom>
        <a:ln>
          <a:solidFill>
            <a:schemeClr val="tx1"/>
          </a:solidFill>
        </a:ln>
      </xdr:spPr>
    </xdr:pic>
    <xdr:clientData/>
  </xdr:twoCellAnchor>
  <xdr:twoCellAnchor editAs="oneCell">
    <xdr:from>
      <xdr:col>8</xdr:col>
      <xdr:colOff>632623</xdr:colOff>
      <xdr:row>40</xdr:row>
      <xdr:rowOff>152810</xdr:rowOff>
    </xdr:from>
    <xdr:to>
      <xdr:col>11</xdr:col>
      <xdr:colOff>418510</xdr:colOff>
      <xdr:row>50</xdr:row>
      <xdr:rowOff>473445</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
        <a:stretch>
          <a:fillRect/>
        </a:stretch>
      </xdr:blipFill>
      <xdr:spPr>
        <a:xfrm>
          <a:off x="10045564" y="22979192"/>
          <a:ext cx="3439005" cy="2528194"/>
        </a:xfrm>
        <a:prstGeom prst="rect">
          <a:avLst/>
        </a:prstGeom>
        <a:ln>
          <a:solidFill>
            <a:schemeClr val="tx1"/>
          </a:solidFill>
        </a:ln>
      </xdr:spPr>
    </xdr:pic>
    <xdr:clientData/>
  </xdr:twoCellAnchor>
  <xdr:twoCellAnchor editAs="oneCell">
    <xdr:from>
      <xdr:col>8</xdr:col>
      <xdr:colOff>190499</xdr:colOff>
      <xdr:row>51</xdr:row>
      <xdr:rowOff>432955</xdr:rowOff>
    </xdr:from>
    <xdr:to>
      <xdr:col>12</xdr:col>
      <xdr:colOff>430226</xdr:colOff>
      <xdr:row>54</xdr:row>
      <xdr:rowOff>148341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
        <a:stretch>
          <a:fillRect/>
        </a:stretch>
      </xdr:blipFill>
      <xdr:spPr>
        <a:xfrm>
          <a:off x="9611590" y="26029228"/>
          <a:ext cx="4500000" cy="1377931"/>
        </a:xfrm>
        <a:prstGeom prst="rect">
          <a:avLst/>
        </a:prstGeom>
        <a:ln>
          <a:solidFill>
            <a:schemeClr val="tx1"/>
          </a:solidFill>
        </a:ln>
      </xdr:spPr>
    </xdr:pic>
    <xdr:clientData/>
  </xdr:twoCellAnchor>
  <xdr:twoCellAnchor editAs="oneCell">
    <xdr:from>
      <xdr:col>12</xdr:col>
      <xdr:colOff>519545</xdr:colOff>
      <xdr:row>49</xdr:row>
      <xdr:rowOff>242455</xdr:rowOff>
    </xdr:from>
    <xdr:to>
      <xdr:col>23</xdr:col>
      <xdr:colOff>170454</xdr:colOff>
      <xdr:row>53</xdr:row>
      <xdr:rowOff>494707</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4"/>
        <a:stretch>
          <a:fillRect/>
        </a:stretch>
      </xdr:blipFill>
      <xdr:spPr>
        <a:xfrm>
          <a:off x="14200909" y="25042091"/>
          <a:ext cx="4500000" cy="2157252"/>
        </a:xfrm>
        <a:prstGeom prst="rect">
          <a:avLst/>
        </a:prstGeom>
        <a:ln>
          <a:solidFill>
            <a:schemeClr val="tx1"/>
          </a:solidFill>
        </a:ln>
      </xdr:spPr>
    </xdr:pic>
    <xdr:clientData/>
  </xdr:twoCellAnchor>
  <xdr:twoCellAnchor editAs="oneCell">
    <xdr:from>
      <xdr:col>12</xdr:col>
      <xdr:colOff>484909</xdr:colOff>
      <xdr:row>54</xdr:row>
      <xdr:rowOff>34638</xdr:rowOff>
    </xdr:from>
    <xdr:to>
      <xdr:col>23</xdr:col>
      <xdr:colOff>135818</xdr:colOff>
      <xdr:row>55</xdr:row>
      <xdr:rowOff>664941</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5"/>
        <a:stretch>
          <a:fillRect/>
        </a:stretch>
      </xdr:blipFill>
      <xdr:spPr>
        <a:xfrm>
          <a:off x="14166273" y="27293456"/>
          <a:ext cx="4500000" cy="1239496"/>
        </a:xfrm>
        <a:prstGeom prst="rect">
          <a:avLst/>
        </a:prstGeom>
        <a:ln>
          <a:solidFill>
            <a:schemeClr val="tx1"/>
          </a:solidFill>
        </a:ln>
      </xdr:spPr>
    </xdr:pic>
    <xdr:clientData/>
  </xdr:twoCellAnchor>
  <xdr:twoCellAnchor editAs="oneCell">
    <xdr:from>
      <xdr:col>8</xdr:col>
      <xdr:colOff>467591</xdr:colOff>
      <xdr:row>55</xdr:row>
      <xdr:rowOff>329045</xdr:rowOff>
    </xdr:from>
    <xdr:to>
      <xdr:col>11</xdr:col>
      <xdr:colOff>119091</xdr:colOff>
      <xdr:row>56</xdr:row>
      <xdr:rowOff>140359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6"/>
        <a:stretch>
          <a:fillRect/>
        </a:stretch>
      </xdr:blipFill>
      <xdr:spPr>
        <a:xfrm>
          <a:off x="9888682" y="28107409"/>
          <a:ext cx="3305636" cy="590632"/>
        </a:xfrm>
        <a:prstGeom prst="rect">
          <a:avLst/>
        </a:prstGeom>
        <a:ln>
          <a:solidFill>
            <a:schemeClr val="tx1"/>
          </a:solidFill>
        </a:ln>
      </xdr:spPr>
    </xdr:pic>
    <xdr:clientData/>
  </xdr:twoCellAnchor>
  <xdr:twoCellAnchor editAs="oneCell">
    <xdr:from>
      <xdr:col>10</xdr:col>
      <xdr:colOff>472683</xdr:colOff>
      <xdr:row>61</xdr:row>
      <xdr:rowOff>100852</xdr:rowOff>
    </xdr:from>
    <xdr:to>
      <xdr:col>24</xdr:col>
      <xdr:colOff>288181</xdr:colOff>
      <xdr:row>70</xdr:row>
      <xdr:rowOff>94867</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7"/>
        <a:stretch>
          <a:fillRect/>
        </a:stretch>
      </xdr:blipFill>
      <xdr:spPr>
        <a:xfrm>
          <a:off x="12933624" y="28911176"/>
          <a:ext cx="6471792" cy="2358456"/>
        </a:xfrm>
        <a:prstGeom prst="rect">
          <a:avLst/>
        </a:prstGeom>
        <a:ln>
          <a:solidFill>
            <a:schemeClr val="tx1"/>
          </a:solidFill>
        </a:ln>
      </xdr:spPr>
    </xdr:pic>
    <xdr:clientData/>
  </xdr:twoCellAnchor>
  <xdr:twoCellAnchor editAs="oneCell">
    <xdr:from>
      <xdr:col>10</xdr:col>
      <xdr:colOff>322936</xdr:colOff>
      <xdr:row>147</xdr:row>
      <xdr:rowOff>797656</xdr:rowOff>
    </xdr:from>
    <xdr:to>
      <xdr:col>16</xdr:col>
      <xdr:colOff>357571</xdr:colOff>
      <xdr:row>168</xdr:row>
      <xdr:rowOff>190038</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a:stretch>
          <a:fillRect/>
        </a:stretch>
      </xdr:blipFill>
      <xdr:spPr>
        <a:xfrm>
          <a:off x="12783877" y="40029450"/>
          <a:ext cx="3665341" cy="5508552"/>
        </a:xfrm>
        <a:prstGeom prst="rect">
          <a:avLst/>
        </a:prstGeom>
        <a:ln>
          <a:solidFill>
            <a:schemeClr val="tx1"/>
          </a:solidFill>
        </a:ln>
      </xdr:spPr>
    </xdr:pic>
    <xdr:clientData/>
  </xdr:twoCellAnchor>
  <xdr:twoCellAnchor editAs="oneCell">
    <xdr:from>
      <xdr:col>15</xdr:col>
      <xdr:colOff>502227</xdr:colOff>
      <xdr:row>148</xdr:row>
      <xdr:rowOff>138547</xdr:rowOff>
    </xdr:from>
    <xdr:to>
      <xdr:col>26</xdr:col>
      <xdr:colOff>36102</xdr:colOff>
      <xdr:row>159</xdr:row>
      <xdr:rowOff>141417</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a:stretch>
          <a:fillRect/>
        </a:stretch>
      </xdr:blipFill>
      <xdr:spPr>
        <a:xfrm>
          <a:off x="16002000" y="40178183"/>
          <a:ext cx="4296375" cy="3048425"/>
        </a:xfrm>
        <a:prstGeom prst="rect">
          <a:avLst/>
        </a:prstGeom>
        <a:ln>
          <a:solidFill>
            <a:schemeClr val="tx1"/>
          </a:solidFill>
        </a:ln>
      </xdr:spPr>
    </xdr:pic>
    <xdr:clientData/>
  </xdr:twoCellAnchor>
  <xdr:twoCellAnchor editAs="oneCell">
    <xdr:from>
      <xdr:col>9</xdr:col>
      <xdr:colOff>595947</xdr:colOff>
      <xdr:row>170</xdr:row>
      <xdr:rowOff>68255</xdr:rowOff>
    </xdr:from>
    <xdr:to>
      <xdr:col>15</xdr:col>
      <xdr:colOff>375905</xdr:colOff>
      <xdr:row>190</xdr:row>
      <xdr:rowOff>242456</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0"/>
        <a:stretch>
          <a:fillRect/>
        </a:stretch>
      </xdr:blipFill>
      <xdr:spPr>
        <a:xfrm>
          <a:off x="12261271" y="46068402"/>
          <a:ext cx="3601163" cy="5456653"/>
        </a:xfrm>
        <a:prstGeom prst="rect">
          <a:avLst/>
        </a:prstGeom>
        <a:ln>
          <a:solidFill>
            <a:schemeClr val="tx1"/>
          </a:solidFill>
        </a:ln>
      </xdr:spPr>
    </xdr:pic>
    <xdr:clientData/>
  </xdr:twoCellAnchor>
  <xdr:twoCellAnchor editAs="oneCell">
    <xdr:from>
      <xdr:col>11</xdr:col>
      <xdr:colOff>577611</xdr:colOff>
      <xdr:row>172</xdr:row>
      <xdr:rowOff>1018</xdr:rowOff>
    </xdr:from>
    <xdr:to>
      <xdr:col>17</xdr:col>
      <xdr:colOff>475061</xdr:colOff>
      <xdr:row>181</xdr:row>
      <xdr:rowOff>253041</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1"/>
        <a:stretch>
          <a:fillRect/>
        </a:stretch>
      </xdr:blipFill>
      <xdr:spPr>
        <a:xfrm>
          <a:off x="13643670" y="46763165"/>
          <a:ext cx="3528156" cy="2493200"/>
        </a:xfrm>
        <a:prstGeom prst="rect">
          <a:avLst/>
        </a:prstGeom>
        <a:ln>
          <a:solidFill>
            <a:schemeClr val="tx1"/>
          </a:solidFill>
        </a:ln>
      </xdr:spPr>
    </xdr:pic>
    <xdr:clientData/>
  </xdr:twoCellAnchor>
  <xdr:twoCellAnchor editAs="oneCell">
    <xdr:from>
      <xdr:col>12</xdr:col>
      <xdr:colOff>388130</xdr:colOff>
      <xdr:row>193</xdr:row>
      <xdr:rowOff>94740</xdr:rowOff>
    </xdr:from>
    <xdr:to>
      <xdr:col>23</xdr:col>
      <xdr:colOff>242867</xdr:colOff>
      <xdr:row>206</xdr:row>
      <xdr:rowOff>166661</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2"/>
        <a:stretch>
          <a:fillRect/>
        </a:stretch>
      </xdr:blipFill>
      <xdr:spPr>
        <a:xfrm>
          <a:off x="14059306" y="52527064"/>
          <a:ext cx="4695679" cy="3281286"/>
        </a:xfrm>
        <a:prstGeom prst="rect">
          <a:avLst/>
        </a:prstGeom>
        <a:ln>
          <a:solidFill>
            <a:schemeClr val="tx1"/>
          </a:solidFill>
        </a:ln>
      </xdr:spPr>
    </xdr:pic>
    <xdr:clientData/>
  </xdr:twoCellAnchor>
  <xdr:twoCellAnchor editAs="oneCell">
    <xdr:from>
      <xdr:col>8</xdr:col>
      <xdr:colOff>374444</xdr:colOff>
      <xdr:row>190</xdr:row>
      <xdr:rowOff>119675</xdr:rowOff>
    </xdr:from>
    <xdr:to>
      <xdr:col>11</xdr:col>
      <xdr:colOff>494652</xdr:colOff>
      <xdr:row>210</xdr:row>
      <xdr:rowOff>524237</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3"/>
        <a:stretch>
          <a:fillRect/>
        </a:stretch>
      </xdr:blipFill>
      <xdr:spPr>
        <a:xfrm>
          <a:off x="9717227" y="51422153"/>
          <a:ext cx="3797686" cy="5610523"/>
        </a:xfrm>
        <a:prstGeom prst="rect">
          <a:avLst/>
        </a:prstGeom>
        <a:ln>
          <a:solidFill>
            <a:schemeClr val="tx1"/>
          </a:solidFill>
        </a:ln>
      </xdr:spPr>
    </xdr:pic>
    <xdr:clientData/>
  </xdr:twoCellAnchor>
  <xdr:twoCellAnchor editAs="oneCell">
    <xdr:from>
      <xdr:col>9</xdr:col>
      <xdr:colOff>357365</xdr:colOff>
      <xdr:row>210</xdr:row>
      <xdr:rowOff>486742</xdr:rowOff>
    </xdr:from>
    <xdr:to>
      <xdr:col>15</xdr:col>
      <xdr:colOff>277089</xdr:colOff>
      <xdr:row>232</xdr:row>
      <xdr:rowOff>78149</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4"/>
        <a:stretch>
          <a:fillRect/>
        </a:stretch>
      </xdr:blipFill>
      <xdr:spPr>
        <a:xfrm>
          <a:off x="12289389" y="57654671"/>
          <a:ext cx="3882124" cy="5741195"/>
        </a:xfrm>
        <a:prstGeom prst="rect">
          <a:avLst/>
        </a:prstGeom>
        <a:ln>
          <a:solidFill>
            <a:schemeClr val="tx1"/>
          </a:solidFill>
        </a:ln>
      </xdr:spPr>
    </xdr:pic>
    <xdr:clientData/>
  </xdr:twoCellAnchor>
  <xdr:twoCellAnchor editAs="oneCell">
    <xdr:from>
      <xdr:col>12</xdr:col>
      <xdr:colOff>362663</xdr:colOff>
      <xdr:row>213</xdr:row>
      <xdr:rowOff>89649</xdr:rowOff>
    </xdr:from>
    <xdr:to>
      <xdr:col>18</xdr:col>
      <xdr:colOff>60060</xdr:colOff>
      <xdr:row>222</xdr:row>
      <xdr:rowOff>247829</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5"/>
        <a:stretch>
          <a:fillRect/>
        </a:stretch>
      </xdr:blipFill>
      <xdr:spPr>
        <a:xfrm>
          <a:off x="14033839" y="57956825"/>
          <a:ext cx="3328103" cy="2356774"/>
        </a:xfrm>
        <a:prstGeom prst="rect">
          <a:avLst/>
        </a:prstGeom>
        <a:ln>
          <a:solidFill>
            <a:schemeClr val="tx1"/>
          </a:solidFill>
        </a:ln>
      </xdr:spPr>
    </xdr:pic>
    <xdr:clientData/>
  </xdr:twoCellAnchor>
  <xdr:twoCellAnchor>
    <xdr:from>
      <xdr:col>2</xdr:col>
      <xdr:colOff>51346</xdr:colOff>
      <xdr:row>340</xdr:row>
      <xdr:rowOff>143434</xdr:rowOff>
    </xdr:from>
    <xdr:to>
      <xdr:col>5</xdr:col>
      <xdr:colOff>1129554</xdr:colOff>
      <xdr:row>364</xdr:row>
      <xdr:rowOff>0</xdr:rowOff>
    </xdr:to>
    <xdr:grpSp>
      <xdr:nvGrpSpPr>
        <xdr:cNvPr id="59" name="Group 58">
          <a:extLst>
            <a:ext uri="{FF2B5EF4-FFF2-40B4-BE49-F238E27FC236}">
              <a16:creationId xmlns:a16="http://schemas.microsoft.com/office/drawing/2014/main" id="{9DD9E77D-B979-7833-3039-5FBCE59E138E}"/>
            </a:ext>
          </a:extLst>
        </xdr:cNvPr>
        <xdr:cNvGrpSpPr/>
      </xdr:nvGrpSpPr>
      <xdr:grpSpPr>
        <a:xfrm>
          <a:off x="2453887" y="92892281"/>
          <a:ext cx="4682020" cy="6311154"/>
          <a:chOff x="2032545" y="59600217"/>
          <a:chExt cx="5330943" cy="7660748"/>
        </a:xfrm>
      </xdr:grpSpPr>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2709049" y="59600217"/>
            <a:ext cx="4007349" cy="3212834"/>
          </a:xfrm>
          <a:prstGeom prst="rect">
            <a:avLst/>
          </a:prstGeom>
          <a:ln>
            <a:solidFill>
              <a:schemeClr val="tx1"/>
            </a:solidFill>
          </a:ln>
        </xdr:spPr>
      </xdr:pic>
      <xdr:grpSp>
        <xdr:nvGrpSpPr>
          <xdr:cNvPr id="35" name="Group 34">
            <a:extLst>
              <a:ext uri="{FF2B5EF4-FFF2-40B4-BE49-F238E27FC236}">
                <a16:creationId xmlns:a16="http://schemas.microsoft.com/office/drawing/2014/main" id="{00000000-0008-0000-0000-000023000000}"/>
              </a:ext>
            </a:extLst>
          </xdr:cNvPr>
          <xdr:cNvGrpSpPr/>
        </xdr:nvGrpSpPr>
        <xdr:grpSpPr>
          <a:xfrm>
            <a:off x="2032545" y="62988090"/>
            <a:ext cx="5330943" cy="4272875"/>
            <a:chOff x="1443044" y="3533468"/>
            <a:chExt cx="4117015" cy="3490300"/>
          </a:xfrm>
        </xdr:grpSpPr>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443044" y="3533468"/>
              <a:ext cx="4117015" cy="3490300"/>
            </a:xfrm>
            <a:prstGeom prst="rect">
              <a:avLst/>
            </a:prstGeom>
            <a:ln>
              <a:solidFill>
                <a:schemeClr val="tx1"/>
              </a:solidFill>
            </a:ln>
          </xdr:spPr>
        </xdr:pic>
        <xdr:sp macro="" textlink="">
          <xdr:nvSpPr>
            <xdr:cNvPr id="37" name="Freeform: Shape 36">
              <a:extLst>
                <a:ext uri="{FF2B5EF4-FFF2-40B4-BE49-F238E27FC236}">
                  <a16:creationId xmlns:a16="http://schemas.microsoft.com/office/drawing/2014/main" id="{00000000-0008-0000-0000-000025000000}"/>
                </a:ext>
              </a:extLst>
            </xdr:cNvPr>
            <xdr:cNvSpPr/>
          </xdr:nvSpPr>
          <xdr:spPr>
            <a:xfrm>
              <a:off x="3111500" y="4832350"/>
              <a:ext cx="889000" cy="1276350"/>
            </a:xfrm>
            <a:custGeom>
              <a:avLst/>
              <a:gdLst>
                <a:gd name="connsiteX0" fmla="*/ 0 w 889000"/>
                <a:gd name="connsiteY0" fmla="*/ 0 h 1276350"/>
                <a:gd name="connsiteX1" fmla="*/ 247650 w 889000"/>
                <a:gd name="connsiteY1" fmla="*/ 107950 h 1276350"/>
                <a:gd name="connsiteX2" fmla="*/ 590550 w 889000"/>
                <a:gd name="connsiteY2" fmla="*/ 31750 h 1276350"/>
                <a:gd name="connsiteX3" fmla="*/ 889000 w 889000"/>
                <a:gd name="connsiteY3" fmla="*/ 965200 h 1276350"/>
                <a:gd name="connsiteX4" fmla="*/ 711200 w 889000"/>
                <a:gd name="connsiteY4" fmla="*/ 965200 h 1276350"/>
                <a:gd name="connsiteX5" fmla="*/ 596900 w 889000"/>
                <a:gd name="connsiteY5" fmla="*/ 1276350 h 1276350"/>
                <a:gd name="connsiteX6" fmla="*/ 311150 w 889000"/>
                <a:gd name="connsiteY6" fmla="*/ 984250 h 1276350"/>
                <a:gd name="connsiteX7" fmla="*/ 323850 w 889000"/>
                <a:gd name="connsiteY7" fmla="*/ 698500 h 1276350"/>
                <a:gd name="connsiteX8" fmla="*/ 0 w 889000"/>
                <a:gd name="connsiteY8" fmla="*/ 0 h 12763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9000" h="1276350">
                  <a:moveTo>
                    <a:pt x="0" y="0"/>
                  </a:moveTo>
                  <a:lnTo>
                    <a:pt x="247650" y="107950"/>
                  </a:lnTo>
                  <a:lnTo>
                    <a:pt x="590550" y="31750"/>
                  </a:lnTo>
                  <a:lnTo>
                    <a:pt x="889000" y="965200"/>
                  </a:lnTo>
                  <a:lnTo>
                    <a:pt x="711200" y="965200"/>
                  </a:lnTo>
                  <a:lnTo>
                    <a:pt x="596900" y="1276350"/>
                  </a:lnTo>
                  <a:lnTo>
                    <a:pt x="311150" y="984250"/>
                  </a:lnTo>
                  <a:lnTo>
                    <a:pt x="323850" y="698500"/>
                  </a:lnTo>
                  <a:lnTo>
                    <a:pt x="0" y="0"/>
                  </a:lnTo>
                  <a:close/>
                </a:path>
              </a:pathLst>
            </a:cu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8" name="TextBox 106">
              <a:extLst>
                <a:ext uri="{FF2B5EF4-FFF2-40B4-BE49-F238E27FC236}">
                  <a16:creationId xmlns:a16="http://schemas.microsoft.com/office/drawing/2014/main" id="{00000000-0008-0000-0000-000026000000}"/>
                </a:ext>
              </a:extLst>
            </xdr:cNvPr>
            <xdr:cNvSpPr txBox="1"/>
          </xdr:nvSpPr>
          <xdr:spPr>
            <a:xfrm>
              <a:off x="4215334" y="3533468"/>
              <a:ext cx="1288494" cy="307777"/>
            </a:xfrm>
            <a:prstGeom prst="rect">
              <a:avLst/>
            </a:prstGeom>
            <a:solidFill>
              <a:schemeClr val="bg2"/>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t>Green Terraces</a:t>
              </a:r>
              <a:endParaRPr lang="en-IN" sz="1400" b="1"/>
            </a:p>
          </xdr:txBody>
        </xdr:sp>
        <xdr:cxnSp macro="">
          <xdr:nvCxnSpPr>
            <xdr:cNvPr id="39" name="Straight Arrow Connector 38">
              <a:extLst>
                <a:ext uri="{FF2B5EF4-FFF2-40B4-BE49-F238E27FC236}">
                  <a16:creationId xmlns:a16="http://schemas.microsoft.com/office/drawing/2014/main" id="{00000000-0008-0000-0000-000027000000}"/>
                </a:ext>
              </a:extLst>
            </xdr:cNvPr>
            <xdr:cNvCxnSpPr>
              <a:stCxn id="38" idx="2"/>
            </xdr:cNvCxnSpPr>
          </xdr:nvCxnSpPr>
          <xdr:spPr>
            <a:xfrm flipH="1">
              <a:off x="3663951" y="3841245"/>
              <a:ext cx="1195630" cy="1035204"/>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8</xdr:col>
      <xdr:colOff>369795</xdr:colOff>
      <xdr:row>73</xdr:row>
      <xdr:rowOff>78441</xdr:rowOff>
    </xdr:from>
    <xdr:to>
      <xdr:col>28</xdr:col>
      <xdr:colOff>40856</xdr:colOff>
      <xdr:row>145</xdr:row>
      <xdr:rowOff>162735</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8"/>
        <a:stretch>
          <a:fillRect/>
        </a:stretch>
      </xdr:blipFill>
      <xdr:spPr>
        <a:xfrm>
          <a:off x="9782736" y="32922882"/>
          <a:ext cx="11717385" cy="5801535"/>
        </a:xfrm>
        <a:prstGeom prst="rect">
          <a:avLst/>
        </a:prstGeom>
      </xdr:spPr>
    </xdr:pic>
    <xdr:clientData/>
  </xdr:twoCellAnchor>
  <xdr:twoCellAnchor>
    <xdr:from>
      <xdr:col>8</xdr:col>
      <xdr:colOff>564776</xdr:colOff>
      <xdr:row>262</xdr:row>
      <xdr:rowOff>125504</xdr:rowOff>
    </xdr:from>
    <xdr:to>
      <xdr:col>18</xdr:col>
      <xdr:colOff>591671</xdr:colOff>
      <xdr:row>295</xdr:row>
      <xdr:rowOff>8963</xdr:rowOff>
    </xdr:to>
    <xdr:grpSp>
      <xdr:nvGrpSpPr>
        <xdr:cNvPr id="17" name="Group 16">
          <a:extLst>
            <a:ext uri="{FF2B5EF4-FFF2-40B4-BE49-F238E27FC236}">
              <a16:creationId xmlns:a16="http://schemas.microsoft.com/office/drawing/2014/main" id="{1FC315D1-432C-FF41-58D7-0061EB1F008D}"/>
            </a:ext>
          </a:extLst>
        </xdr:cNvPr>
        <xdr:cNvGrpSpPr/>
      </xdr:nvGrpSpPr>
      <xdr:grpSpPr>
        <a:xfrm>
          <a:off x="10174941" y="71896939"/>
          <a:ext cx="8193742" cy="8758518"/>
          <a:chOff x="-483677" y="603936"/>
          <a:chExt cx="6827583" cy="7396128"/>
        </a:xfrm>
      </xdr:grpSpPr>
      <xdr:grpSp>
        <xdr:nvGrpSpPr>
          <xdr:cNvPr id="18" name="Group 17">
            <a:extLst>
              <a:ext uri="{FF2B5EF4-FFF2-40B4-BE49-F238E27FC236}">
                <a16:creationId xmlns:a16="http://schemas.microsoft.com/office/drawing/2014/main" id="{114D4EE1-E5B1-9604-ABD0-6879ED6CE358}"/>
              </a:ext>
            </a:extLst>
          </xdr:cNvPr>
          <xdr:cNvGrpSpPr/>
        </xdr:nvGrpSpPr>
        <xdr:grpSpPr>
          <a:xfrm>
            <a:off x="-483677" y="603936"/>
            <a:ext cx="6827583" cy="5228064"/>
            <a:chOff x="-43250" y="603936"/>
            <a:chExt cx="6827583" cy="5228064"/>
          </a:xfrm>
        </xdr:grpSpPr>
        <xdr:pic>
          <xdr:nvPicPr>
            <xdr:cNvPr id="55" name="Picture 54">
              <a:extLst>
                <a:ext uri="{FF2B5EF4-FFF2-40B4-BE49-F238E27FC236}">
                  <a16:creationId xmlns:a16="http://schemas.microsoft.com/office/drawing/2014/main" id="{FB6BB8B0-5688-9948-35FC-EC826F9D356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3429000" y="603936"/>
              <a:ext cx="3355333" cy="2520000"/>
            </a:xfrm>
            <a:prstGeom prst="rect">
              <a:avLst/>
            </a:prstGeom>
            <a:ln>
              <a:solidFill>
                <a:schemeClr val="tx1"/>
              </a:solidFill>
            </a:ln>
          </xdr:spPr>
        </xdr:pic>
        <xdr:pic>
          <xdr:nvPicPr>
            <xdr:cNvPr id="56" name="Picture 55">
              <a:extLst>
                <a:ext uri="{FF2B5EF4-FFF2-40B4-BE49-F238E27FC236}">
                  <a16:creationId xmlns:a16="http://schemas.microsoft.com/office/drawing/2014/main" id="{87230BDB-BF20-A671-0A17-06039DDDFC4F}"/>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43250" y="3312000"/>
              <a:ext cx="3355333" cy="2520000"/>
            </a:xfrm>
            <a:prstGeom prst="rect">
              <a:avLst/>
            </a:prstGeom>
            <a:ln>
              <a:solidFill>
                <a:schemeClr val="tx1"/>
              </a:solidFill>
            </a:ln>
          </xdr:spPr>
        </xdr:pic>
        <xdr:pic>
          <xdr:nvPicPr>
            <xdr:cNvPr id="57" name="Picture 56">
              <a:extLst>
                <a:ext uri="{FF2B5EF4-FFF2-40B4-BE49-F238E27FC236}">
                  <a16:creationId xmlns:a16="http://schemas.microsoft.com/office/drawing/2014/main" id="{93BDDC8E-367E-4705-F1E1-2F37637B108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3428999" y="3312000"/>
              <a:ext cx="3355333" cy="2520000"/>
            </a:xfrm>
            <a:prstGeom prst="rect">
              <a:avLst/>
            </a:prstGeom>
            <a:ln>
              <a:solidFill>
                <a:schemeClr val="tx1"/>
              </a:solidFill>
            </a:ln>
          </xdr:spPr>
        </xdr:pic>
        <xdr:pic>
          <xdr:nvPicPr>
            <xdr:cNvPr id="58" name="Picture 57">
              <a:extLst>
                <a:ext uri="{FF2B5EF4-FFF2-40B4-BE49-F238E27FC236}">
                  <a16:creationId xmlns:a16="http://schemas.microsoft.com/office/drawing/2014/main" id="{37BB7A45-3490-4F8C-2F4B-1148A4896ECC}"/>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43249" y="603936"/>
              <a:ext cx="3355333" cy="2520000"/>
            </a:xfrm>
            <a:prstGeom prst="rect">
              <a:avLst/>
            </a:prstGeom>
            <a:ln>
              <a:solidFill>
                <a:schemeClr val="tx1"/>
              </a:solidFill>
            </a:ln>
          </xdr:spPr>
        </xdr:pic>
      </xdr:grpSp>
      <xdr:grpSp>
        <xdr:nvGrpSpPr>
          <xdr:cNvPr id="19" name="Group 18">
            <a:extLst>
              <a:ext uri="{FF2B5EF4-FFF2-40B4-BE49-F238E27FC236}">
                <a16:creationId xmlns:a16="http://schemas.microsoft.com/office/drawing/2014/main" id="{ECEB6169-B12E-1655-CDB8-2ED7B704A598}"/>
              </a:ext>
            </a:extLst>
          </xdr:cNvPr>
          <xdr:cNvGrpSpPr/>
        </xdr:nvGrpSpPr>
        <xdr:grpSpPr>
          <a:xfrm>
            <a:off x="12094" y="6020064"/>
            <a:ext cx="5836041" cy="1980000"/>
            <a:chOff x="-924104" y="6020064"/>
            <a:chExt cx="5836041" cy="1980000"/>
          </a:xfrm>
        </xdr:grpSpPr>
        <xdr:pic>
          <xdr:nvPicPr>
            <xdr:cNvPr id="46" name="Picture 45">
              <a:extLst>
                <a:ext uri="{FF2B5EF4-FFF2-40B4-BE49-F238E27FC236}">
                  <a16:creationId xmlns:a16="http://schemas.microsoft.com/office/drawing/2014/main" id="{5E52921F-83A8-D328-AEA5-C78ED8A2FADF}"/>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1829145" y="6020064"/>
              <a:ext cx="1482938" cy="1980000"/>
            </a:xfrm>
            <a:prstGeom prst="rect">
              <a:avLst/>
            </a:prstGeom>
            <a:ln>
              <a:solidFill>
                <a:schemeClr val="tx1"/>
              </a:solidFill>
            </a:ln>
          </xdr:spPr>
        </xdr:pic>
        <xdr:pic>
          <xdr:nvPicPr>
            <xdr:cNvPr id="53" name="Picture 52">
              <a:extLst>
                <a:ext uri="{FF2B5EF4-FFF2-40B4-BE49-F238E27FC236}">
                  <a16:creationId xmlns:a16="http://schemas.microsoft.com/office/drawing/2014/main" id="{BCAFC78C-C111-EBFA-08B4-7D4C3BCD5DAF}"/>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3428999" y="6020064"/>
              <a:ext cx="1482938" cy="1980000"/>
            </a:xfrm>
            <a:prstGeom prst="rect">
              <a:avLst/>
            </a:prstGeom>
            <a:ln>
              <a:solidFill>
                <a:schemeClr val="tx1"/>
              </a:solidFill>
            </a:ln>
          </xdr:spPr>
        </xdr:pic>
        <xdr:pic>
          <xdr:nvPicPr>
            <xdr:cNvPr id="54" name="Picture 53">
              <a:extLst>
                <a:ext uri="{FF2B5EF4-FFF2-40B4-BE49-F238E27FC236}">
                  <a16:creationId xmlns:a16="http://schemas.microsoft.com/office/drawing/2014/main" id="{26613032-EE00-EB18-72BE-D9F54B607E4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924104" y="6020064"/>
              <a:ext cx="2636333" cy="1980000"/>
            </a:xfrm>
            <a:prstGeom prst="rect">
              <a:avLst/>
            </a:prstGeom>
            <a:ln>
              <a:solidFill>
                <a:schemeClr val="tx1"/>
              </a:solidFill>
            </a:ln>
          </xdr:spPr>
        </xdr:pic>
      </xdr:grpSp>
    </xdr:grpSp>
    <xdr:clientData/>
  </xdr:twoCellAnchor>
  <xdr:oneCellAnchor>
    <xdr:from>
      <xdr:col>12</xdr:col>
      <xdr:colOff>362663</xdr:colOff>
      <xdr:row>233</xdr:row>
      <xdr:rowOff>89649</xdr:rowOff>
    </xdr:from>
    <xdr:ext cx="3462574" cy="2435215"/>
    <xdr:pic>
      <xdr:nvPicPr>
        <xdr:cNvPr id="15" name="Picture 14">
          <a:extLst>
            <a:ext uri="{FF2B5EF4-FFF2-40B4-BE49-F238E27FC236}">
              <a16:creationId xmlns:a16="http://schemas.microsoft.com/office/drawing/2014/main" id="{136C89FC-E9D3-4680-AD93-D10FE91F2D19}"/>
            </a:ext>
          </a:extLst>
        </xdr:cNvPr>
        <xdr:cNvPicPr>
          <a:picLocks noChangeAspect="1"/>
        </xdr:cNvPicPr>
      </xdr:nvPicPr>
      <xdr:blipFill>
        <a:blip xmlns:r="http://schemas.openxmlformats.org/officeDocument/2006/relationships" r:embed="rId15"/>
        <a:stretch>
          <a:fillRect/>
        </a:stretch>
      </xdr:blipFill>
      <xdr:spPr>
        <a:xfrm>
          <a:off x="14374498" y="59014661"/>
          <a:ext cx="3462574" cy="2435215"/>
        </a:xfrm>
        <a:prstGeom prst="rect">
          <a:avLst/>
        </a:prstGeom>
        <a:ln>
          <a:solidFill>
            <a:schemeClr val="tx1"/>
          </a:solidFill>
        </a:ln>
      </xdr:spPr>
    </xdr:pic>
    <xdr:clientData/>
  </xdr:oneCellAnchor>
  <xdr:oneCellAnchor>
    <xdr:from>
      <xdr:col>8</xdr:col>
      <xdr:colOff>467591</xdr:colOff>
      <xdr:row>56</xdr:row>
      <xdr:rowOff>329045</xdr:rowOff>
    </xdr:from>
    <xdr:ext cx="3425641" cy="609173"/>
    <xdr:pic>
      <xdr:nvPicPr>
        <xdr:cNvPr id="41" name="Picture 40">
          <a:extLst>
            <a:ext uri="{FF2B5EF4-FFF2-40B4-BE49-F238E27FC236}">
              <a16:creationId xmlns:a16="http://schemas.microsoft.com/office/drawing/2014/main" id="{5273095F-F3F1-4C30-92B9-E5AF3E63A15E}"/>
            </a:ext>
          </a:extLst>
        </xdr:cNvPr>
        <xdr:cNvPicPr>
          <a:picLocks noChangeAspect="1"/>
        </xdr:cNvPicPr>
      </xdr:nvPicPr>
      <xdr:blipFill>
        <a:blip xmlns:r="http://schemas.openxmlformats.org/officeDocument/2006/relationships" r:embed="rId6"/>
        <a:stretch>
          <a:fillRect/>
        </a:stretch>
      </xdr:blipFill>
      <xdr:spPr>
        <a:xfrm>
          <a:off x="10077756" y="28711304"/>
          <a:ext cx="3425641" cy="609173"/>
        </a:xfrm>
        <a:prstGeom prst="rect">
          <a:avLst/>
        </a:prstGeom>
        <a:ln>
          <a:solidFill>
            <a:schemeClr val="tx1"/>
          </a:solidFill>
        </a:ln>
      </xdr:spPr>
    </xdr:pic>
    <xdr:clientData/>
  </xdr:oneCellAnchor>
  <xdr:twoCellAnchor>
    <xdr:from>
      <xdr:col>1</xdr:col>
      <xdr:colOff>419708</xdr:colOff>
      <xdr:row>299</xdr:row>
      <xdr:rowOff>99835</xdr:rowOff>
    </xdr:from>
    <xdr:to>
      <xdr:col>6</xdr:col>
      <xdr:colOff>587796</xdr:colOff>
      <xdr:row>316</xdr:row>
      <xdr:rowOff>225137</xdr:rowOff>
    </xdr:to>
    <xdr:grpSp>
      <xdr:nvGrpSpPr>
        <xdr:cNvPr id="44" name="Group 43">
          <a:extLst>
            <a:ext uri="{FF2B5EF4-FFF2-40B4-BE49-F238E27FC236}">
              <a16:creationId xmlns:a16="http://schemas.microsoft.com/office/drawing/2014/main" id="{2C166186-027C-2339-5EB5-2AF016FC686A}"/>
            </a:ext>
          </a:extLst>
        </xdr:cNvPr>
        <xdr:cNvGrpSpPr/>
      </xdr:nvGrpSpPr>
      <xdr:grpSpPr>
        <a:xfrm>
          <a:off x="1620979" y="81822094"/>
          <a:ext cx="6174441" cy="4697302"/>
          <a:chOff x="1620979" y="81732447"/>
          <a:chExt cx="6174441" cy="4697302"/>
        </a:xfrm>
      </xdr:grpSpPr>
      <xdr:grpSp>
        <xdr:nvGrpSpPr>
          <xdr:cNvPr id="2" name="Group 1">
            <a:extLst>
              <a:ext uri="{FF2B5EF4-FFF2-40B4-BE49-F238E27FC236}">
                <a16:creationId xmlns:a16="http://schemas.microsoft.com/office/drawing/2014/main" id="{00000000-0008-0000-0000-000002000000}"/>
              </a:ext>
            </a:extLst>
          </xdr:cNvPr>
          <xdr:cNvGrpSpPr/>
        </xdr:nvGrpSpPr>
        <xdr:grpSpPr>
          <a:xfrm>
            <a:off x="1620979" y="81732447"/>
            <a:ext cx="6174441" cy="4697302"/>
            <a:chOff x="805677" y="787600"/>
            <a:chExt cx="5144218" cy="3520747"/>
          </a:xfrm>
        </xdr:grpSpPr>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6"/>
            <a:stretch>
              <a:fillRect/>
            </a:stretch>
          </xdr:blipFill>
          <xdr:spPr>
            <a:xfrm>
              <a:off x="805677" y="787600"/>
              <a:ext cx="5144218" cy="3515216"/>
            </a:xfrm>
            <a:prstGeom prst="rect">
              <a:avLst/>
            </a:prstGeom>
            <a:ln>
              <a:solidFill>
                <a:schemeClr val="tx1"/>
              </a:solidFill>
            </a:ln>
          </xdr:spPr>
        </xdr:pic>
        <xdr:sp macro="" textlink="">
          <xdr:nvSpPr>
            <xdr:cNvPr id="5" name="Rectangle 4">
              <a:extLst>
                <a:ext uri="{FF2B5EF4-FFF2-40B4-BE49-F238E27FC236}">
                  <a16:creationId xmlns:a16="http://schemas.microsoft.com/office/drawing/2014/main" id="{00000000-0008-0000-0000-000005000000}"/>
                </a:ext>
              </a:extLst>
            </xdr:cNvPr>
            <xdr:cNvSpPr/>
          </xdr:nvSpPr>
          <xdr:spPr>
            <a:xfrm rot="21189995">
              <a:off x="4665468" y="1178269"/>
              <a:ext cx="787770" cy="688828"/>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6" name="Rectangle 5">
              <a:extLst>
                <a:ext uri="{FF2B5EF4-FFF2-40B4-BE49-F238E27FC236}">
                  <a16:creationId xmlns:a16="http://schemas.microsoft.com/office/drawing/2014/main" id="{00000000-0008-0000-0000-000006000000}"/>
                </a:ext>
              </a:extLst>
            </xdr:cNvPr>
            <xdr:cNvSpPr/>
          </xdr:nvSpPr>
          <xdr:spPr>
            <a:xfrm rot="21189995">
              <a:off x="3671898" y="1270800"/>
              <a:ext cx="829662" cy="688828"/>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7" name="Rectangle 6">
              <a:extLst>
                <a:ext uri="{FF2B5EF4-FFF2-40B4-BE49-F238E27FC236}">
                  <a16:creationId xmlns:a16="http://schemas.microsoft.com/office/drawing/2014/main" id="{00000000-0008-0000-0000-000007000000}"/>
                </a:ext>
              </a:extLst>
            </xdr:cNvPr>
            <xdr:cNvSpPr/>
          </xdr:nvSpPr>
          <xdr:spPr>
            <a:xfrm rot="20374275">
              <a:off x="2796952" y="1567103"/>
              <a:ext cx="787770" cy="688828"/>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8" name="Rectangle 7">
              <a:extLst>
                <a:ext uri="{FF2B5EF4-FFF2-40B4-BE49-F238E27FC236}">
                  <a16:creationId xmlns:a16="http://schemas.microsoft.com/office/drawing/2014/main" id="{00000000-0008-0000-0000-000008000000}"/>
                </a:ext>
              </a:extLst>
            </xdr:cNvPr>
            <xdr:cNvSpPr/>
          </xdr:nvSpPr>
          <xdr:spPr>
            <a:xfrm rot="19521701">
              <a:off x="2000522" y="2085744"/>
              <a:ext cx="787770" cy="688828"/>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9" name="TextBox 37">
              <a:extLst>
                <a:ext uri="{FF2B5EF4-FFF2-40B4-BE49-F238E27FC236}">
                  <a16:creationId xmlns:a16="http://schemas.microsoft.com/office/drawing/2014/main" id="{00000000-0008-0000-0000-000009000000}"/>
                </a:ext>
              </a:extLst>
            </xdr:cNvPr>
            <xdr:cNvSpPr txBox="1"/>
          </xdr:nvSpPr>
          <xdr:spPr>
            <a:xfrm rot="21309042">
              <a:off x="4648959" y="905972"/>
              <a:ext cx="77014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1</a:t>
              </a:r>
              <a:endParaRPr lang="en-IN" sz="1400" b="1">
                <a:solidFill>
                  <a:srgbClr val="FF0000"/>
                </a:solidFill>
              </a:endParaRPr>
            </a:p>
          </xdr:txBody>
        </xdr:sp>
        <xdr:sp macro="" textlink="">
          <xdr:nvSpPr>
            <xdr:cNvPr id="10" name="TextBox 88">
              <a:extLst>
                <a:ext uri="{FF2B5EF4-FFF2-40B4-BE49-F238E27FC236}">
                  <a16:creationId xmlns:a16="http://schemas.microsoft.com/office/drawing/2014/main" id="{00000000-0008-0000-0000-00000A000000}"/>
                </a:ext>
              </a:extLst>
            </xdr:cNvPr>
            <xdr:cNvSpPr txBox="1"/>
          </xdr:nvSpPr>
          <xdr:spPr>
            <a:xfrm rot="21304535">
              <a:off x="3590048" y="1056270"/>
              <a:ext cx="77014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2</a:t>
              </a:r>
              <a:endParaRPr lang="en-IN" sz="1400" b="1">
                <a:solidFill>
                  <a:srgbClr val="FF0000"/>
                </a:solidFill>
              </a:endParaRPr>
            </a:p>
          </xdr:txBody>
        </xdr:sp>
        <xdr:sp macro="" textlink="">
          <xdr:nvSpPr>
            <xdr:cNvPr id="11" name="TextBox 89">
              <a:extLst>
                <a:ext uri="{FF2B5EF4-FFF2-40B4-BE49-F238E27FC236}">
                  <a16:creationId xmlns:a16="http://schemas.microsoft.com/office/drawing/2014/main" id="{00000000-0008-0000-0000-00000B000000}"/>
                </a:ext>
              </a:extLst>
            </xdr:cNvPr>
            <xdr:cNvSpPr txBox="1"/>
          </xdr:nvSpPr>
          <xdr:spPr>
            <a:xfrm>
              <a:off x="2583127" y="1278239"/>
              <a:ext cx="77014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3</a:t>
              </a:r>
              <a:endParaRPr lang="en-IN" sz="1400" b="1">
                <a:solidFill>
                  <a:srgbClr val="FF0000"/>
                </a:solidFill>
              </a:endParaRPr>
            </a:p>
          </xdr:txBody>
        </xdr:sp>
        <xdr:sp macro="" textlink="">
          <xdr:nvSpPr>
            <xdr:cNvPr id="12" name="TextBox 90">
              <a:extLst>
                <a:ext uri="{FF2B5EF4-FFF2-40B4-BE49-F238E27FC236}">
                  <a16:creationId xmlns:a16="http://schemas.microsoft.com/office/drawing/2014/main" id="{00000000-0008-0000-0000-00000C000000}"/>
                </a:ext>
              </a:extLst>
            </xdr:cNvPr>
            <xdr:cNvSpPr txBox="1"/>
          </xdr:nvSpPr>
          <xdr:spPr>
            <a:xfrm rot="21304535">
              <a:off x="1675574" y="1889989"/>
              <a:ext cx="77014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4</a:t>
              </a:r>
              <a:endParaRPr lang="en-IN" sz="1400" b="1">
                <a:solidFill>
                  <a:srgbClr val="FF0000"/>
                </a:solidFill>
              </a:endParaRPr>
            </a:p>
          </xdr:txBody>
        </xdr:sp>
        <xdr:sp macro="" textlink="">
          <xdr:nvSpPr>
            <xdr:cNvPr id="13" name="Arrow: Right 12">
              <a:extLst>
                <a:ext uri="{FF2B5EF4-FFF2-40B4-BE49-F238E27FC236}">
                  <a16:creationId xmlns:a16="http://schemas.microsoft.com/office/drawing/2014/main" id="{00000000-0008-0000-0000-00000D000000}"/>
                </a:ext>
              </a:extLst>
            </xdr:cNvPr>
            <xdr:cNvSpPr/>
          </xdr:nvSpPr>
          <xdr:spPr>
            <a:xfrm rot="21039040">
              <a:off x="2346041" y="3993199"/>
              <a:ext cx="339978" cy="190507"/>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4" name="TextBox 39">
              <a:extLst>
                <a:ext uri="{FF2B5EF4-FFF2-40B4-BE49-F238E27FC236}">
                  <a16:creationId xmlns:a16="http://schemas.microsoft.com/office/drawing/2014/main" id="{00000000-0008-0000-0000-00000E000000}"/>
                </a:ext>
              </a:extLst>
            </xdr:cNvPr>
            <xdr:cNvSpPr txBox="1"/>
          </xdr:nvSpPr>
          <xdr:spPr>
            <a:xfrm>
              <a:off x="2051256" y="3939015"/>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sp macro="" textlink="">
        <xdr:nvSpPr>
          <xdr:cNvPr id="42" name="Rectangle 41">
            <a:extLst>
              <a:ext uri="{FF2B5EF4-FFF2-40B4-BE49-F238E27FC236}">
                <a16:creationId xmlns:a16="http://schemas.microsoft.com/office/drawing/2014/main" id="{6F2880D7-8265-48A8-BEF7-FE7808E191C8}"/>
              </a:ext>
            </a:extLst>
          </xdr:cNvPr>
          <xdr:cNvSpPr/>
        </xdr:nvSpPr>
        <xdr:spPr>
          <a:xfrm rot="19521701">
            <a:off x="2226155" y="84234795"/>
            <a:ext cx="945535" cy="91901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3" name="TextBox 90">
            <a:extLst>
              <a:ext uri="{FF2B5EF4-FFF2-40B4-BE49-F238E27FC236}">
                <a16:creationId xmlns:a16="http://schemas.microsoft.com/office/drawing/2014/main" id="{506686AE-0CCD-47BF-AE01-0843E8FB1B19}"/>
              </a:ext>
            </a:extLst>
          </xdr:cNvPr>
          <xdr:cNvSpPr txBox="1"/>
        </xdr:nvSpPr>
        <xdr:spPr>
          <a:xfrm rot="21304535">
            <a:off x="1836131" y="83973623"/>
            <a:ext cx="924383" cy="41062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Tower 5</a:t>
            </a:r>
            <a:endParaRPr lang="en-IN" sz="1400" b="1">
              <a:solidFill>
                <a:srgbClr val="FF0000"/>
              </a:solidFill>
            </a:endParaRPr>
          </a:p>
        </xdr:txBody>
      </xdr:sp>
    </xdr:grpSp>
    <xdr:clientData/>
  </xdr:twoCellAnchor>
  <xdr:twoCellAnchor>
    <xdr:from>
      <xdr:col>0</xdr:col>
      <xdr:colOff>932330</xdr:colOff>
      <xdr:row>261</xdr:row>
      <xdr:rowOff>259975</xdr:rowOff>
    </xdr:from>
    <xdr:to>
      <xdr:col>7</xdr:col>
      <xdr:colOff>242047</xdr:colOff>
      <xdr:row>293</xdr:row>
      <xdr:rowOff>134469</xdr:rowOff>
    </xdr:to>
    <xdr:grpSp>
      <xdr:nvGrpSpPr>
        <xdr:cNvPr id="45" name="Group 44">
          <a:extLst>
            <a:ext uri="{FF2B5EF4-FFF2-40B4-BE49-F238E27FC236}">
              <a16:creationId xmlns:a16="http://schemas.microsoft.com/office/drawing/2014/main" id="{8989271C-901A-85FB-F857-0CA0DA3A525C}"/>
            </a:ext>
          </a:extLst>
        </xdr:cNvPr>
        <xdr:cNvGrpSpPr/>
      </xdr:nvGrpSpPr>
      <xdr:grpSpPr>
        <a:xfrm>
          <a:off x="932330" y="71762469"/>
          <a:ext cx="7718611" cy="8480612"/>
          <a:chOff x="-106449" y="247914"/>
          <a:chExt cx="6890781" cy="7196804"/>
        </a:xfrm>
      </xdr:grpSpPr>
      <xdr:grpSp>
        <xdr:nvGrpSpPr>
          <xdr:cNvPr id="60" name="Group 59">
            <a:extLst>
              <a:ext uri="{FF2B5EF4-FFF2-40B4-BE49-F238E27FC236}">
                <a16:creationId xmlns:a16="http://schemas.microsoft.com/office/drawing/2014/main" id="{EB73EF8F-C028-EEE6-03FC-6B9472B5D665}"/>
              </a:ext>
            </a:extLst>
          </xdr:cNvPr>
          <xdr:cNvGrpSpPr/>
        </xdr:nvGrpSpPr>
        <xdr:grpSpPr>
          <a:xfrm>
            <a:off x="-106449" y="2946316"/>
            <a:ext cx="6890781" cy="2520000"/>
            <a:chOff x="-106449" y="2896888"/>
            <a:chExt cx="6890781" cy="2520000"/>
          </a:xfrm>
        </xdr:grpSpPr>
        <xdr:pic>
          <xdr:nvPicPr>
            <xdr:cNvPr id="68" name="Picture 67">
              <a:extLst>
                <a:ext uri="{FF2B5EF4-FFF2-40B4-BE49-F238E27FC236}">
                  <a16:creationId xmlns:a16="http://schemas.microsoft.com/office/drawing/2014/main" id="{A039028F-C4CA-1F76-A95A-112ED16E3F1C}"/>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428999" y="2896888"/>
              <a:ext cx="3355333" cy="2520000"/>
            </a:xfrm>
            <a:prstGeom prst="rect">
              <a:avLst/>
            </a:prstGeom>
            <a:ln>
              <a:solidFill>
                <a:schemeClr val="tx1"/>
              </a:solidFill>
            </a:ln>
          </xdr:spPr>
        </xdr:pic>
        <xdr:pic>
          <xdr:nvPicPr>
            <xdr:cNvPr id="69" name="Picture 68">
              <a:extLst>
                <a:ext uri="{FF2B5EF4-FFF2-40B4-BE49-F238E27FC236}">
                  <a16:creationId xmlns:a16="http://schemas.microsoft.com/office/drawing/2014/main" id="{ACDE60B0-9FBB-E334-0E2A-A960B18CFD66}"/>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06449" y="2896888"/>
              <a:ext cx="3355333" cy="2520000"/>
            </a:xfrm>
            <a:prstGeom prst="rect">
              <a:avLst/>
            </a:prstGeom>
            <a:ln>
              <a:solidFill>
                <a:schemeClr val="tx1"/>
              </a:solidFill>
            </a:ln>
          </xdr:spPr>
        </xdr:pic>
      </xdr:grpSp>
      <xdr:grpSp>
        <xdr:nvGrpSpPr>
          <xdr:cNvPr id="61" name="Group 60">
            <a:extLst>
              <a:ext uri="{FF2B5EF4-FFF2-40B4-BE49-F238E27FC236}">
                <a16:creationId xmlns:a16="http://schemas.microsoft.com/office/drawing/2014/main" id="{9CC947A8-FFE0-0145-4686-E6CECB0DBA7C}"/>
              </a:ext>
            </a:extLst>
          </xdr:cNvPr>
          <xdr:cNvGrpSpPr/>
        </xdr:nvGrpSpPr>
        <xdr:grpSpPr>
          <a:xfrm>
            <a:off x="612369" y="5644718"/>
            <a:ext cx="5453144" cy="1800000"/>
            <a:chOff x="852218" y="5545862"/>
            <a:chExt cx="5453144" cy="1800000"/>
          </a:xfrm>
        </xdr:grpSpPr>
        <xdr:pic>
          <xdr:nvPicPr>
            <xdr:cNvPr id="65" name="Picture 64">
              <a:extLst>
                <a:ext uri="{FF2B5EF4-FFF2-40B4-BE49-F238E27FC236}">
                  <a16:creationId xmlns:a16="http://schemas.microsoft.com/office/drawing/2014/main" id="{CD425C2C-E8BA-488F-41CB-E8AAD86345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957237" y="5545862"/>
              <a:ext cx="1348125" cy="1800000"/>
            </a:xfrm>
            <a:prstGeom prst="rect">
              <a:avLst/>
            </a:prstGeom>
            <a:ln>
              <a:solidFill>
                <a:schemeClr val="tx1"/>
              </a:solidFill>
            </a:ln>
          </xdr:spPr>
        </xdr:pic>
        <xdr:pic>
          <xdr:nvPicPr>
            <xdr:cNvPr id="66" name="Picture 65">
              <a:extLst>
                <a:ext uri="{FF2B5EF4-FFF2-40B4-BE49-F238E27FC236}">
                  <a16:creationId xmlns:a16="http://schemas.microsoft.com/office/drawing/2014/main" id="{3F73BC4B-204C-6E37-959D-3633479FD0E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3428998" y="5545862"/>
              <a:ext cx="1348125" cy="1800000"/>
            </a:xfrm>
            <a:prstGeom prst="rect">
              <a:avLst/>
            </a:prstGeom>
            <a:ln>
              <a:solidFill>
                <a:schemeClr val="tx1"/>
              </a:solidFill>
            </a:ln>
          </xdr:spPr>
        </xdr:pic>
        <xdr:pic>
          <xdr:nvPicPr>
            <xdr:cNvPr id="67" name="Picture 66">
              <a:extLst>
                <a:ext uri="{FF2B5EF4-FFF2-40B4-BE49-F238E27FC236}">
                  <a16:creationId xmlns:a16="http://schemas.microsoft.com/office/drawing/2014/main" id="{3688ABB1-6C28-B5D0-2A1E-3611B164AE5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52218" y="5545862"/>
              <a:ext cx="2396666" cy="1800000"/>
            </a:xfrm>
            <a:prstGeom prst="rect">
              <a:avLst/>
            </a:prstGeom>
            <a:ln>
              <a:solidFill>
                <a:schemeClr val="tx1"/>
              </a:solidFill>
            </a:ln>
          </xdr:spPr>
        </xdr:pic>
      </xdr:grpSp>
      <xdr:grpSp>
        <xdr:nvGrpSpPr>
          <xdr:cNvPr id="62" name="Group 61">
            <a:extLst>
              <a:ext uri="{FF2B5EF4-FFF2-40B4-BE49-F238E27FC236}">
                <a16:creationId xmlns:a16="http://schemas.microsoft.com/office/drawing/2014/main" id="{C0BF1D5D-77E6-36F5-8139-59DCD5A03211}"/>
              </a:ext>
            </a:extLst>
          </xdr:cNvPr>
          <xdr:cNvGrpSpPr/>
        </xdr:nvGrpSpPr>
        <xdr:grpSpPr>
          <a:xfrm>
            <a:off x="-106448" y="247914"/>
            <a:ext cx="6890779" cy="2520000"/>
            <a:chOff x="-106448" y="247914"/>
            <a:chExt cx="6890779" cy="2520000"/>
          </a:xfrm>
        </xdr:grpSpPr>
        <xdr:pic>
          <xdr:nvPicPr>
            <xdr:cNvPr id="63" name="Picture 62">
              <a:extLst>
                <a:ext uri="{FF2B5EF4-FFF2-40B4-BE49-F238E27FC236}">
                  <a16:creationId xmlns:a16="http://schemas.microsoft.com/office/drawing/2014/main" id="{6AA1068B-1E71-9A3D-94B3-E4FA33B8B252}"/>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428998" y="247914"/>
              <a:ext cx="3355333" cy="2520000"/>
            </a:xfrm>
            <a:prstGeom prst="rect">
              <a:avLst/>
            </a:prstGeom>
            <a:ln>
              <a:solidFill>
                <a:schemeClr val="tx1"/>
              </a:solidFill>
            </a:ln>
          </xdr:spPr>
        </xdr:pic>
        <xdr:pic>
          <xdr:nvPicPr>
            <xdr:cNvPr id="64" name="Picture 63">
              <a:extLst>
                <a:ext uri="{FF2B5EF4-FFF2-40B4-BE49-F238E27FC236}">
                  <a16:creationId xmlns:a16="http://schemas.microsoft.com/office/drawing/2014/main" id="{1CB06484-7D6B-739D-2564-0E4444BBDE8C}"/>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06448" y="247914"/>
              <a:ext cx="3355333" cy="2520000"/>
            </a:xfrm>
            <a:prstGeom prst="rect">
              <a:avLst/>
            </a:prstGeom>
            <a:ln>
              <a:solidFill>
                <a:schemeClr val="tx1"/>
              </a:solidFill>
            </a:ln>
          </xdr:spPr>
        </xdr:pic>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maps.app.goo.gl/6uA7L3XU8n68NQM27" TargetMode="External"/><Relationship Id="rId1" Type="http://schemas.openxmlformats.org/officeDocument/2006/relationships/hyperlink" Target="https://godrejhomz.com/godrej-green-terraces/?source=google&amp;medium=ppc&amp;keyword=godrej%20green%20terraces&amp;matchtype=p&amp;device=c&amp;&amp;location=&amp;gad_source=1&amp;gclid=Cj0KCQiAgJa6BhCOARIsAMiL7V8kZjkijBp9UfFp4MOSjmzd6o1LKRnu2QA3QlhBHRDC7G6hFpZbrA8aAhoDEALw_wcB"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76"/>
  <sheetViews>
    <sheetView tabSelected="1" view="pageBreakPreview" topLeftCell="A14" zoomScale="85" zoomScaleNormal="85" zoomScaleSheetLayoutView="85" zoomScalePageLayoutView="70" workbookViewId="0">
      <selection activeCell="I17" sqref="I17"/>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0" width="12" style="1" bestFit="1" customWidth="1"/>
    <col min="11" max="19" width="9.109375" style="1"/>
    <col min="20" max="22" width="0" style="1" hidden="1" customWidth="1"/>
    <col min="23" max="25" width="9.109375" style="1"/>
    <col min="26" max="26" width="7.88671875" style="1" customWidth="1"/>
    <col min="27" max="16384" width="9.109375" style="1"/>
  </cols>
  <sheetData>
    <row r="1" spans="1:14" ht="21" x14ac:dyDescent="0.3">
      <c r="A1" s="150" t="s">
        <v>36</v>
      </c>
      <c r="B1" s="151"/>
      <c r="C1" s="151"/>
      <c r="D1" s="151"/>
      <c r="E1" s="151"/>
      <c r="F1" s="151"/>
      <c r="G1" s="151"/>
      <c r="H1" s="152"/>
    </row>
    <row r="2" spans="1:14" ht="42" customHeight="1" x14ac:dyDescent="0.3">
      <c r="A2" s="140" t="s">
        <v>9</v>
      </c>
      <c r="B2" s="140"/>
      <c r="C2" s="133" t="s">
        <v>83</v>
      </c>
      <c r="D2" s="133"/>
      <c r="E2" s="140" t="s">
        <v>11</v>
      </c>
      <c r="F2" s="140"/>
      <c r="G2" s="173">
        <v>45927</v>
      </c>
      <c r="H2" s="133"/>
      <c r="J2" s="174"/>
      <c r="K2" s="175"/>
    </row>
    <row r="3" spans="1:14" ht="89.4" customHeight="1" x14ac:dyDescent="0.3">
      <c r="A3" s="140" t="s">
        <v>37</v>
      </c>
      <c r="B3" s="140"/>
      <c r="C3" s="176" t="s">
        <v>354</v>
      </c>
      <c r="D3" s="176"/>
      <c r="E3" s="140" t="s">
        <v>153</v>
      </c>
      <c r="F3" s="140"/>
      <c r="G3" s="173" t="s">
        <v>369</v>
      </c>
      <c r="H3" s="133"/>
      <c r="I3" s="106" t="s">
        <v>351</v>
      </c>
      <c r="J3" s="107"/>
      <c r="K3" s="107"/>
      <c r="L3" s="107"/>
      <c r="M3" s="107"/>
      <c r="N3" s="107"/>
    </row>
    <row r="4" spans="1:14" ht="43.5" customHeight="1" x14ac:dyDescent="0.3">
      <c r="A4" s="140" t="s">
        <v>34</v>
      </c>
      <c r="B4" s="140"/>
      <c r="C4" s="133" t="s">
        <v>350</v>
      </c>
      <c r="D4" s="133"/>
      <c r="E4" s="140" t="s">
        <v>31</v>
      </c>
      <c r="F4" s="140"/>
      <c r="G4" s="173" t="str">
        <f ca="1">TEXT(TODAY(),"DD/MM/YYYY")</f>
        <v>29/09/2025</v>
      </c>
      <c r="H4" s="173"/>
      <c r="I4" s="1" t="s">
        <v>368</v>
      </c>
    </row>
    <row r="5" spans="1:14" ht="21" x14ac:dyDescent="0.3">
      <c r="A5" s="115" t="s">
        <v>38</v>
      </c>
      <c r="B5" s="115"/>
      <c r="C5" s="115"/>
      <c r="D5" s="115"/>
      <c r="E5" s="115"/>
      <c r="F5" s="115"/>
      <c r="G5" s="115"/>
      <c r="H5" s="115"/>
    </row>
    <row r="6" spans="1:14" ht="43.5" customHeight="1" x14ac:dyDescent="0.3">
      <c r="A6" s="140" t="s">
        <v>28</v>
      </c>
      <c r="B6" s="140"/>
      <c r="C6" s="133" t="s">
        <v>301</v>
      </c>
      <c r="D6" s="133"/>
      <c r="E6" s="140" t="s">
        <v>33</v>
      </c>
      <c r="F6" s="140"/>
      <c r="G6" s="133" t="s">
        <v>355</v>
      </c>
      <c r="H6" s="133"/>
    </row>
    <row r="7" spans="1:14" ht="23.25" customHeight="1" x14ac:dyDescent="0.3">
      <c r="A7" s="140" t="s">
        <v>40</v>
      </c>
      <c r="B7" s="140"/>
      <c r="C7" s="133" t="s">
        <v>302</v>
      </c>
      <c r="D7" s="133"/>
      <c r="E7" s="140" t="s">
        <v>41</v>
      </c>
      <c r="F7" s="140"/>
      <c r="G7" s="133" t="s">
        <v>302</v>
      </c>
      <c r="H7" s="133"/>
    </row>
    <row r="8" spans="1:14" ht="48.75" customHeight="1" x14ac:dyDescent="0.3">
      <c r="A8" s="140" t="s">
        <v>42</v>
      </c>
      <c r="B8" s="140"/>
      <c r="C8" s="133" t="s">
        <v>303</v>
      </c>
      <c r="D8" s="133"/>
      <c r="E8" s="133"/>
      <c r="F8" s="133"/>
      <c r="G8" s="133"/>
      <c r="H8" s="133"/>
    </row>
    <row r="9" spans="1:14" ht="68.25" customHeight="1" x14ac:dyDescent="0.3">
      <c r="A9" s="155" t="s">
        <v>144</v>
      </c>
      <c r="B9" s="36" t="s">
        <v>39</v>
      </c>
      <c r="C9" s="133" t="s">
        <v>304</v>
      </c>
      <c r="D9" s="133"/>
      <c r="E9" s="133"/>
      <c r="F9" s="133"/>
      <c r="G9" s="133"/>
      <c r="H9" s="133"/>
    </row>
    <row r="10" spans="1:14" ht="277.8" customHeight="1" x14ac:dyDescent="0.3">
      <c r="A10" s="155"/>
      <c r="B10" s="36" t="s">
        <v>10</v>
      </c>
      <c r="C10" s="133" t="s">
        <v>345</v>
      </c>
      <c r="D10" s="133"/>
      <c r="E10" s="133"/>
      <c r="F10" s="133"/>
      <c r="G10" s="133"/>
      <c r="H10" s="133"/>
    </row>
    <row r="11" spans="1:14" ht="42" customHeight="1" x14ac:dyDescent="0.3">
      <c r="A11" s="155"/>
      <c r="B11" s="36" t="s">
        <v>5</v>
      </c>
      <c r="C11" s="133" t="s">
        <v>346</v>
      </c>
      <c r="D11" s="133"/>
      <c r="E11" s="133"/>
      <c r="F11" s="133"/>
      <c r="G11" s="133"/>
      <c r="H11" s="133"/>
    </row>
    <row r="12" spans="1:14" ht="40.5" customHeight="1" x14ac:dyDescent="0.3">
      <c r="A12" s="140" t="s">
        <v>32</v>
      </c>
      <c r="B12" s="140"/>
      <c r="C12" s="133" t="s">
        <v>347</v>
      </c>
      <c r="D12" s="133"/>
      <c r="E12" s="133"/>
      <c r="F12" s="133"/>
      <c r="G12" s="133"/>
      <c r="H12" s="133"/>
    </row>
    <row r="13" spans="1:14" ht="20.100000000000001" customHeight="1" x14ac:dyDescent="0.3">
      <c r="A13" s="115" t="s">
        <v>43</v>
      </c>
      <c r="B13" s="115"/>
      <c r="C13" s="115"/>
      <c r="D13" s="115"/>
      <c r="E13" s="115"/>
      <c r="F13" s="115"/>
      <c r="G13" s="115"/>
      <c r="H13" s="115"/>
    </row>
    <row r="14" spans="1:14" ht="41.25" customHeight="1" x14ac:dyDescent="0.3">
      <c r="A14" s="140" t="s">
        <v>26</v>
      </c>
      <c r="B14" s="140" t="s">
        <v>4</v>
      </c>
      <c r="C14" s="133" t="s">
        <v>84</v>
      </c>
      <c r="D14" s="133"/>
      <c r="E14" s="140" t="s">
        <v>44</v>
      </c>
      <c r="F14" s="140" t="s">
        <v>4</v>
      </c>
      <c r="G14" s="133" t="s">
        <v>305</v>
      </c>
      <c r="H14" s="133"/>
    </row>
    <row r="15" spans="1:14" ht="128.4" customHeight="1" x14ac:dyDescent="0.3">
      <c r="A15" s="140" t="s">
        <v>45</v>
      </c>
      <c r="B15" s="140" t="s">
        <v>4</v>
      </c>
      <c r="C15" s="133" t="s">
        <v>371</v>
      </c>
      <c r="D15" s="133"/>
      <c r="E15" s="140" t="s">
        <v>46</v>
      </c>
      <c r="F15" s="140" t="s">
        <v>4</v>
      </c>
      <c r="G15" s="133" t="s">
        <v>370</v>
      </c>
      <c r="H15" s="133"/>
    </row>
    <row r="16" spans="1:14" ht="41.25" customHeight="1" x14ac:dyDescent="0.3">
      <c r="A16" s="140" t="s">
        <v>313</v>
      </c>
      <c r="B16" s="140" t="s">
        <v>4</v>
      </c>
      <c r="C16" s="173">
        <v>45609</v>
      </c>
      <c r="D16" s="133"/>
      <c r="E16" s="140" t="s">
        <v>47</v>
      </c>
      <c r="F16" s="140" t="s">
        <v>4</v>
      </c>
      <c r="G16" s="133" t="s">
        <v>348</v>
      </c>
      <c r="H16" s="133"/>
      <c r="I16" s="73" t="s">
        <v>342</v>
      </c>
    </row>
    <row r="17" spans="1:13" ht="134.4" customHeight="1" x14ac:dyDescent="0.3">
      <c r="A17" s="140" t="s">
        <v>48</v>
      </c>
      <c r="B17" s="140" t="s">
        <v>4</v>
      </c>
      <c r="C17" s="133" t="str">
        <f>G15</f>
        <v>Green Terraces (Tower 1 to 3) - 31/12/2032
Tower 4 Green Terraces - 30/04/2033
Tower 5 Green Terraces - 31/05/2033</v>
      </c>
      <c r="D17" s="133"/>
      <c r="E17" s="140" t="s">
        <v>49</v>
      </c>
      <c r="F17" s="140" t="s">
        <v>4</v>
      </c>
      <c r="G17" s="133" t="s">
        <v>306</v>
      </c>
      <c r="H17" s="133"/>
    </row>
    <row r="18" spans="1:13" ht="41.25" customHeight="1" x14ac:dyDescent="0.3">
      <c r="A18" s="140" t="s">
        <v>50</v>
      </c>
      <c r="B18" s="140" t="s">
        <v>4</v>
      </c>
      <c r="C18" s="133"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133"/>
      <c r="E18" s="140" t="s">
        <v>91</v>
      </c>
      <c r="F18" s="140" t="s">
        <v>4</v>
      </c>
      <c r="G18" s="133">
        <v>521312.28</v>
      </c>
      <c r="H18" s="133"/>
    </row>
    <row r="19" spans="1:13" ht="41.25" customHeight="1" x14ac:dyDescent="0.3">
      <c r="A19" s="140" t="s">
        <v>51</v>
      </c>
      <c r="B19" s="140" t="s">
        <v>4</v>
      </c>
      <c r="C19" s="133">
        <v>1</v>
      </c>
      <c r="D19" s="133"/>
      <c r="E19" s="140" t="s">
        <v>237</v>
      </c>
      <c r="F19" s="140" t="s">
        <v>4</v>
      </c>
      <c r="G19" s="133">
        <v>28995.78</v>
      </c>
      <c r="H19" s="133"/>
      <c r="I19" s="73" t="s">
        <v>341</v>
      </c>
    </row>
    <row r="20" spans="1:13" ht="41.25" customHeight="1" x14ac:dyDescent="0.3">
      <c r="A20" s="140" t="s">
        <v>89</v>
      </c>
      <c r="B20" s="140" t="s">
        <v>4</v>
      </c>
      <c r="C20" s="133">
        <v>639970.57999999996</v>
      </c>
      <c r="D20" s="133"/>
      <c r="E20" s="140" t="s">
        <v>90</v>
      </c>
      <c r="F20" s="140" t="s">
        <v>4</v>
      </c>
      <c r="G20" s="133">
        <v>170597.641</v>
      </c>
      <c r="H20" s="133"/>
      <c r="I20" s="73" t="s">
        <v>307</v>
      </c>
    </row>
    <row r="21" spans="1:13" ht="41.25" customHeight="1" x14ac:dyDescent="0.3">
      <c r="A21" s="140" t="s">
        <v>53</v>
      </c>
      <c r="B21" s="140" t="s">
        <v>4</v>
      </c>
      <c r="C21" s="133" t="s">
        <v>372</v>
      </c>
      <c r="D21" s="133"/>
      <c r="E21" s="140" t="s">
        <v>52</v>
      </c>
      <c r="F21" s="140" t="s">
        <v>4</v>
      </c>
      <c r="G21" s="133" t="s">
        <v>356</v>
      </c>
      <c r="H21" s="133"/>
      <c r="I21" s="1">
        <f>77+84+168</f>
        <v>329</v>
      </c>
      <c r="K21" s="1">
        <f>(84+84+77+84)*2+77+84+168</f>
        <v>987</v>
      </c>
      <c r="L21" s="1">
        <v>329</v>
      </c>
      <c r="M21" s="1">
        <f>L21+K21+I21</f>
        <v>1645</v>
      </c>
    </row>
    <row r="22" spans="1:13" ht="21" x14ac:dyDescent="0.3">
      <c r="A22" s="140" t="s">
        <v>157</v>
      </c>
      <c r="B22" s="140" t="s">
        <v>4</v>
      </c>
      <c r="C22" s="133" t="s">
        <v>322</v>
      </c>
      <c r="D22" s="133"/>
      <c r="E22" s="140" t="s">
        <v>158</v>
      </c>
      <c r="F22" s="140" t="s">
        <v>4</v>
      </c>
      <c r="G22" s="133" t="s">
        <v>316</v>
      </c>
      <c r="H22" s="133"/>
    </row>
    <row r="23" spans="1:13" ht="21" x14ac:dyDescent="0.3">
      <c r="A23" s="140" t="s">
        <v>155</v>
      </c>
      <c r="B23" s="140" t="s">
        <v>4</v>
      </c>
      <c r="C23" s="135" t="s">
        <v>323</v>
      </c>
      <c r="D23" s="136"/>
      <c r="E23" s="136"/>
      <c r="F23" s="136"/>
      <c r="G23" s="136"/>
      <c r="H23" s="136"/>
    </row>
    <row r="24" spans="1:13" ht="21" x14ac:dyDescent="0.3">
      <c r="A24" s="140" t="s">
        <v>24</v>
      </c>
      <c r="B24" s="140" t="s">
        <v>4</v>
      </c>
      <c r="C24" s="134" t="s">
        <v>315</v>
      </c>
      <c r="D24" s="134"/>
      <c r="E24" s="134"/>
      <c r="F24" s="134"/>
      <c r="G24" s="134"/>
      <c r="H24" s="134"/>
      <c r="I24" s="75" t="s">
        <v>314</v>
      </c>
    </row>
    <row r="25" spans="1:13" ht="24" customHeight="1" x14ac:dyDescent="0.3">
      <c r="A25" s="115" t="s">
        <v>19</v>
      </c>
      <c r="B25" s="115"/>
      <c r="C25" s="115"/>
      <c r="D25" s="115"/>
      <c r="E25" s="115"/>
      <c r="F25" s="115"/>
      <c r="G25" s="115"/>
      <c r="H25" s="115"/>
    </row>
    <row r="26" spans="1:13" ht="21" x14ac:dyDescent="0.3">
      <c r="A26" s="140" t="s">
        <v>25</v>
      </c>
      <c r="B26" s="140" t="s">
        <v>4</v>
      </c>
      <c r="C26" s="133" t="str">
        <f>IF(AND(G26="Upper"),"Developed","Developing")</f>
        <v>Developing</v>
      </c>
      <c r="D26" s="133"/>
      <c r="E26" s="140" t="s">
        <v>12</v>
      </c>
      <c r="F26" s="140" t="s">
        <v>4</v>
      </c>
      <c r="G26" s="134" t="s">
        <v>159</v>
      </c>
      <c r="H26" s="134"/>
    </row>
    <row r="27" spans="1:13" ht="21" x14ac:dyDescent="0.3">
      <c r="A27" s="140" t="s">
        <v>13</v>
      </c>
      <c r="B27" s="140" t="s">
        <v>4</v>
      </c>
      <c r="C27" s="134" t="s">
        <v>94</v>
      </c>
      <c r="D27" s="134"/>
      <c r="E27" s="140" t="s">
        <v>145</v>
      </c>
      <c r="F27" s="140" t="s">
        <v>4</v>
      </c>
      <c r="G27" s="134" t="s">
        <v>317</v>
      </c>
      <c r="H27" s="134"/>
    </row>
    <row r="28" spans="1:13" ht="43.5" customHeight="1" x14ac:dyDescent="0.3">
      <c r="A28" s="140" t="s">
        <v>22</v>
      </c>
      <c r="B28" s="140" t="s">
        <v>4</v>
      </c>
      <c r="C28" s="133" t="s">
        <v>93</v>
      </c>
      <c r="D28" s="133"/>
      <c r="E28" s="140" t="s">
        <v>15</v>
      </c>
      <c r="F28" s="140" t="s">
        <v>4</v>
      </c>
      <c r="G28" s="134" t="s">
        <v>318</v>
      </c>
      <c r="H28" s="134"/>
    </row>
    <row r="29" spans="1:13" ht="63" customHeight="1" x14ac:dyDescent="0.3">
      <c r="A29" s="140" t="s">
        <v>103</v>
      </c>
      <c r="B29" s="140" t="s">
        <v>4</v>
      </c>
      <c r="C29" s="134" t="s">
        <v>319</v>
      </c>
      <c r="D29" s="134"/>
      <c r="E29" s="140" t="s">
        <v>104</v>
      </c>
      <c r="F29" s="140" t="s">
        <v>4</v>
      </c>
      <c r="G29" s="134" t="s">
        <v>320</v>
      </c>
      <c r="H29" s="134"/>
    </row>
    <row r="30" spans="1:13" ht="84" customHeight="1" x14ac:dyDescent="0.3">
      <c r="A30" s="140" t="s">
        <v>16</v>
      </c>
      <c r="B30" s="140" t="s">
        <v>4</v>
      </c>
      <c r="C30" s="134" t="s">
        <v>343</v>
      </c>
      <c r="D30" s="134"/>
      <c r="E30" s="140" t="s">
        <v>14</v>
      </c>
      <c r="F30" s="140" t="s">
        <v>4</v>
      </c>
      <c r="G30" s="134" t="s">
        <v>344</v>
      </c>
      <c r="H30" s="134"/>
    </row>
    <row r="31" spans="1:13" ht="21" x14ac:dyDescent="0.3">
      <c r="A31" s="140" t="s">
        <v>109</v>
      </c>
      <c r="B31" s="140" t="s">
        <v>4</v>
      </c>
      <c r="C31" s="133" t="s">
        <v>110</v>
      </c>
      <c r="D31" s="133"/>
      <c r="E31" s="140" t="s">
        <v>111</v>
      </c>
      <c r="F31" s="140" t="s">
        <v>4</v>
      </c>
      <c r="G31" s="133" t="s">
        <v>110</v>
      </c>
      <c r="H31" s="133"/>
    </row>
    <row r="32" spans="1:13" ht="21.75" customHeight="1" x14ac:dyDescent="0.3">
      <c r="A32" s="140" t="s">
        <v>112</v>
      </c>
      <c r="B32" s="140" t="s">
        <v>4</v>
      </c>
      <c r="C32" s="133" t="s">
        <v>110</v>
      </c>
      <c r="D32" s="133"/>
      <c r="E32" s="133"/>
      <c r="F32" s="133"/>
      <c r="G32" s="133"/>
      <c r="H32" s="133"/>
    </row>
    <row r="33" spans="1:15" ht="21" x14ac:dyDescent="0.3">
      <c r="A33" s="156" t="s">
        <v>35</v>
      </c>
      <c r="B33" s="156"/>
      <c r="C33" s="156"/>
      <c r="D33" s="156"/>
      <c r="E33" s="156"/>
      <c r="F33" s="156"/>
      <c r="G33" s="156"/>
      <c r="H33" s="156"/>
    </row>
    <row r="34" spans="1:15" ht="43.5" customHeight="1" x14ac:dyDescent="0.3">
      <c r="A34" s="140" t="s">
        <v>17</v>
      </c>
      <c r="B34" s="140"/>
      <c r="C34" s="133" t="s">
        <v>95</v>
      </c>
      <c r="D34" s="133"/>
      <c r="E34" s="140" t="s">
        <v>18</v>
      </c>
      <c r="F34" s="140" t="s">
        <v>4</v>
      </c>
      <c r="G34" s="133" t="s">
        <v>96</v>
      </c>
      <c r="H34" s="133"/>
    </row>
    <row r="35" spans="1:15" ht="43.5" customHeight="1" x14ac:dyDescent="0.3">
      <c r="A35" s="140" t="s">
        <v>21</v>
      </c>
      <c r="B35" s="140"/>
      <c r="C35" s="133" t="s">
        <v>96</v>
      </c>
      <c r="D35" s="133"/>
      <c r="E35" s="140" t="s">
        <v>30</v>
      </c>
      <c r="F35" s="140" t="s">
        <v>4</v>
      </c>
      <c r="G35" s="133" t="s">
        <v>96</v>
      </c>
      <c r="H35" s="133"/>
    </row>
    <row r="36" spans="1:15" ht="21" x14ac:dyDescent="0.3">
      <c r="A36" s="140" t="s">
        <v>29</v>
      </c>
      <c r="B36" s="140"/>
      <c r="C36" s="133" t="s">
        <v>97</v>
      </c>
      <c r="D36" s="133"/>
      <c r="E36" s="140" t="s">
        <v>20</v>
      </c>
      <c r="F36" s="140" t="s">
        <v>4</v>
      </c>
      <c r="G36" s="133" t="s">
        <v>98</v>
      </c>
      <c r="H36" s="133"/>
    </row>
    <row r="37" spans="1:15" ht="21" x14ac:dyDescent="0.3">
      <c r="A37" s="115" t="s">
        <v>0</v>
      </c>
      <c r="B37" s="115"/>
      <c r="C37" s="115"/>
      <c r="D37" s="115"/>
      <c r="E37" s="115"/>
      <c r="F37" s="115"/>
      <c r="G37" s="115"/>
      <c r="H37" s="115"/>
    </row>
    <row r="38" spans="1:15" ht="21" x14ac:dyDescent="0.3">
      <c r="A38" s="137" t="s">
        <v>0</v>
      </c>
      <c r="B38" s="137"/>
      <c r="C38" s="137" t="s">
        <v>223</v>
      </c>
      <c r="D38" s="137"/>
      <c r="E38" s="137"/>
      <c r="F38" s="137" t="s">
        <v>7</v>
      </c>
      <c r="G38" s="137"/>
      <c r="H38" s="137"/>
      <c r="J38" s="177" t="s">
        <v>1</v>
      </c>
      <c r="K38" s="178"/>
      <c r="L38" s="2" t="s">
        <v>6</v>
      </c>
      <c r="M38" s="177" t="s">
        <v>2</v>
      </c>
      <c r="N38" s="178"/>
      <c r="O38" s="2" t="s">
        <v>3</v>
      </c>
    </row>
    <row r="39" spans="1:15" ht="21" x14ac:dyDescent="0.3">
      <c r="A39" s="155" t="s">
        <v>2</v>
      </c>
      <c r="B39" s="155"/>
      <c r="C39" s="139" t="s">
        <v>321</v>
      </c>
      <c r="D39" s="139"/>
      <c r="E39" s="139"/>
      <c r="F39" s="139" t="s">
        <v>325</v>
      </c>
      <c r="G39" s="139"/>
      <c r="H39" s="139"/>
    </row>
    <row r="40" spans="1:15" ht="21" x14ac:dyDescent="0.3">
      <c r="A40" s="155" t="s">
        <v>3</v>
      </c>
      <c r="B40" s="155"/>
      <c r="C40" s="139" t="s">
        <v>324</v>
      </c>
      <c r="D40" s="139"/>
      <c r="E40" s="139"/>
      <c r="F40" s="139" t="s">
        <v>326</v>
      </c>
      <c r="G40" s="139"/>
      <c r="H40" s="139"/>
    </row>
    <row r="41" spans="1:15" ht="21" x14ac:dyDescent="0.3">
      <c r="A41" s="155" t="s">
        <v>1</v>
      </c>
      <c r="B41" s="155"/>
      <c r="C41" s="139" t="s">
        <v>324</v>
      </c>
      <c r="D41" s="139"/>
      <c r="E41" s="139"/>
      <c r="F41" s="139" t="s">
        <v>326</v>
      </c>
      <c r="G41" s="139"/>
      <c r="H41" s="139"/>
    </row>
    <row r="42" spans="1:15" ht="21" x14ac:dyDescent="0.3">
      <c r="A42" s="155" t="s">
        <v>6</v>
      </c>
      <c r="B42" s="155"/>
      <c r="C42" s="139" t="s">
        <v>324</v>
      </c>
      <c r="D42" s="139"/>
      <c r="E42" s="139"/>
      <c r="F42" s="139" t="s">
        <v>326</v>
      </c>
      <c r="G42" s="139"/>
      <c r="H42" s="139"/>
    </row>
    <row r="43" spans="1:15" ht="51" customHeight="1" x14ac:dyDescent="0.3">
      <c r="A43" s="140" t="s">
        <v>224</v>
      </c>
      <c r="B43" s="140"/>
      <c r="C43" s="133" t="s">
        <v>93</v>
      </c>
      <c r="D43" s="133"/>
      <c r="E43" s="133"/>
      <c r="F43" s="133"/>
      <c r="G43" s="133"/>
      <c r="H43" s="133"/>
    </row>
    <row r="44" spans="1:15" ht="21" x14ac:dyDescent="0.3">
      <c r="A44" s="115" t="s">
        <v>54</v>
      </c>
      <c r="B44" s="115"/>
      <c r="C44" s="115"/>
      <c r="D44" s="115"/>
      <c r="E44" s="115"/>
      <c r="F44" s="115"/>
      <c r="G44" s="115"/>
      <c r="H44" s="115"/>
    </row>
    <row r="45" spans="1:15" ht="21" customHeight="1" x14ac:dyDescent="0.3">
      <c r="A45" s="137" t="s">
        <v>55</v>
      </c>
      <c r="B45" s="137"/>
      <c r="C45" s="2" t="s">
        <v>56</v>
      </c>
      <c r="D45" s="137" t="s">
        <v>143</v>
      </c>
      <c r="E45" s="137"/>
      <c r="F45" s="137"/>
      <c r="G45" s="137" t="s">
        <v>57</v>
      </c>
      <c r="H45" s="137"/>
    </row>
    <row r="46" spans="1:15" ht="21" x14ac:dyDescent="0.3">
      <c r="A46" s="138" t="s">
        <v>359</v>
      </c>
      <c r="B46" s="138"/>
      <c r="C46" s="35" t="s">
        <v>85</v>
      </c>
      <c r="D46" s="139" t="s">
        <v>312</v>
      </c>
      <c r="E46" s="139"/>
      <c r="F46" s="139"/>
      <c r="G46" s="139" t="s">
        <v>312</v>
      </c>
      <c r="H46" s="139"/>
    </row>
    <row r="47" spans="1:15" ht="21" hidden="1" x14ac:dyDescent="0.3">
      <c r="A47" s="138" t="s">
        <v>298</v>
      </c>
      <c r="B47" s="138"/>
      <c r="C47" s="35" t="s">
        <v>85</v>
      </c>
      <c r="D47" s="139" t="s">
        <v>312</v>
      </c>
      <c r="E47" s="139"/>
      <c r="F47" s="139"/>
      <c r="G47" s="139" t="s">
        <v>312</v>
      </c>
      <c r="H47" s="139"/>
    </row>
    <row r="48" spans="1:15" ht="21" hidden="1" x14ac:dyDescent="0.3">
      <c r="A48" s="138" t="s">
        <v>299</v>
      </c>
      <c r="B48" s="138"/>
      <c r="C48" s="35" t="s">
        <v>85</v>
      </c>
      <c r="D48" s="139" t="s">
        <v>312</v>
      </c>
      <c r="E48" s="139"/>
      <c r="F48" s="139"/>
      <c r="G48" s="139" t="s">
        <v>312</v>
      </c>
      <c r="H48" s="139"/>
    </row>
    <row r="49" spans="1:10" ht="21" hidden="1" x14ac:dyDescent="0.3">
      <c r="A49" s="138" t="s">
        <v>300</v>
      </c>
      <c r="B49" s="138"/>
      <c r="C49" s="35" t="s">
        <v>85</v>
      </c>
      <c r="D49" s="139" t="s">
        <v>312</v>
      </c>
      <c r="E49" s="139"/>
      <c r="F49" s="139"/>
      <c r="G49" s="139" t="s">
        <v>312</v>
      </c>
      <c r="H49" s="139"/>
    </row>
    <row r="50" spans="1:10" ht="21" x14ac:dyDescent="0.3">
      <c r="A50" s="115" t="s">
        <v>58</v>
      </c>
      <c r="B50" s="115"/>
      <c r="C50" s="115"/>
      <c r="D50" s="115"/>
      <c r="E50" s="115"/>
      <c r="F50" s="115"/>
      <c r="G50" s="115"/>
      <c r="H50" s="115"/>
    </row>
    <row r="51" spans="1:10" ht="42.75" customHeight="1" x14ac:dyDescent="0.3">
      <c r="A51" s="140" t="s">
        <v>59</v>
      </c>
      <c r="B51" s="140" t="s">
        <v>4</v>
      </c>
      <c r="C51" s="133" t="s">
        <v>93</v>
      </c>
      <c r="D51" s="133"/>
      <c r="E51" s="133"/>
      <c r="F51" s="133"/>
      <c r="G51" s="133"/>
      <c r="H51" s="133"/>
    </row>
    <row r="52" spans="1:10" ht="44.25" customHeight="1" x14ac:dyDescent="0.3">
      <c r="A52" s="140" t="s">
        <v>60</v>
      </c>
      <c r="B52" s="140" t="s">
        <v>4</v>
      </c>
      <c r="C52" s="133" t="s">
        <v>308</v>
      </c>
      <c r="D52" s="133"/>
      <c r="E52" s="133"/>
      <c r="F52" s="133"/>
      <c r="G52" s="51" t="s">
        <v>225</v>
      </c>
      <c r="H52" s="82">
        <v>45575</v>
      </c>
    </row>
    <row r="53" spans="1:10" ht="44.25" customHeight="1" x14ac:dyDescent="0.3">
      <c r="A53" s="140" t="s">
        <v>61</v>
      </c>
      <c r="B53" s="140" t="s">
        <v>4</v>
      </c>
      <c r="C53" s="133" t="str">
        <f>C52</f>
        <v>MSRDC/SPA/ITP-3/RZ-3/CC/2024/1801</v>
      </c>
      <c r="D53" s="133"/>
      <c r="E53" s="133"/>
      <c r="F53" s="133"/>
      <c r="G53" s="51" t="s">
        <v>225</v>
      </c>
      <c r="H53" s="82">
        <f>H52</f>
        <v>45575</v>
      </c>
    </row>
    <row r="54" spans="1:10" ht="44.25" customHeight="1" x14ac:dyDescent="0.3">
      <c r="A54" s="140" t="s">
        <v>238</v>
      </c>
      <c r="B54" s="140"/>
      <c r="C54" s="133" t="str">
        <f>C53</f>
        <v>MSRDC/SPA/ITP-3/RZ-3/CC/2024/1801</v>
      </c>
      <c r="D54" s="133"/>
      <c r="E54" s="133"/>
      <c r="F54" s="133"/>
      <c r="G54" s="51" t="s">
        <v>225</v>
      </c>
      <c r="H54" s="82">
        <f>H52</f>
        <v>45575</v>
      </c>
    </row>
    <row r="55" spans="1:10" ht="47.4" customHeight="1" x14ac:dyDescent="0.3">
      <c r="A55" s="140"/>
      <c r="B55" s="140"/>
      <c r="C55" s="96" t="s">
        <v>360</v>
      </c>
      <c r="D55" s="97"/>
      <c r="E55" s="97"/>
      <c r="F55" s="97"/>
      <c r="G55" s="97"/>
      <c r="H55" s="98"/>
    </row>
    <row r="56" spans="1:10" ht="63" x14ac:dyDescent="0.3">
      <c r="A56" s="140" t="s">
        <v>62</v>
      </c>
      <c r="B56" s="140" t="s">
        <v>4</v>
      </c>
      <c r="C56" s="133" t="s">
        <v>309</v>
      </c>
      <c r="D56" s="133"/>
      <c r="E56" s="133"/>
      <c r="F56" s="133"/>
      <c r="G56" s="51" t="s">
        <v>226</v>
      </c>
      <c r="H56" s="82">
        <v>44007</v>
      </c>
      <c r="I56" s="73" t="s">
        <v>327</v>
      </c>
    </row>
    <row r="57" spans="1:10" ht="21" x14ac:dyDescent="0.3">
      <c r="A57" s="92" t="s">
        <v>362</v>
      </c>
      <c r="B57" s="93"/>
      <c r="C57" s="133" t="s">
        <v>363</v>
      </c>
      <c r="D57" s="133"/>
      <c r="E57" s="133"/>
      <c r="F57" s="133"/>
      <c r="G57" s="51" t="s">
        <v>225</v>
      </c>
      <c r="H57" s="82">
        <v>45551</v>
      </c>
    </row>
    <row r="58" spans="1:10" ht="21" x14ac:dyDescent="0.3">
      <c r="A58" s="94"/>
      <c r="B58" s="95"/>
      <c r="C58" s="96" t="s">
        <v>364</v>
      </c>
      <c r="D58" s="97"/>
      <c r="E58" s="97"/>
      <c r="F58" s="97"/>
      <c r="G58" s="97"/>
      <c r="H58" s="98"/>
    </row>
    <row r="59" spans="1:10" ht="67.5" hidden="1" customHeight="1" x14ac:dyDescent="0.3">
      <c r="A59" s="140" t="s">
        <v>63</v>
      </c>
      <c r="B59" s="140" t="s">
        <v>4</v>
      </c>
      <c r="C59" s="133" t="s">
        <v>310</v>
      </c>
      <c r="D59" s="133"/>
      <c r="E59" s="133"/>
      <c r="F59" s="133"/>
      <c r="G59" s="51" t="s">
        <v>311</v>
      </c>
      <c r="H59" s="74">
        <v>47065</v>
      </c>
    </row>
    <row r="60" spans="1:10" ht="45" hidden="1" customHeight="1" x14ac:dyDescent="0.3">
      <c r="A60" s="140" t="s">
        <v>64</v>
      </c>
      <c r="B60" s="140" t="s">
        <v>4</v>
      </c>
      <c r="C60" s="133"/>
      <c r="D60" s="133"/>
      <c r="E60" s="133"/>
      <c r="F60" s="133"/>
      <c r="G60" s="51" t="s">
        <v>226</v>
      </c>
      <c r="H60" s="35"/>
    </row>
    <row r="61" spans="1:10" ht="21.6" thickBot="1" x14ac:dyDescent="0.35">
      <c r="A61" s="115" t="s">
        <v>65</v>
      </c>
      <c r="B61" s="115"/>
      <c r="C61" s="115"/>
      <c r="D61" s="115"/>
      <c r="E61" s="115"/>
      <c r="F61" s="115"/>
      <c r="G61" s="115"/>
      <c r="H61" s="115"/>
    </row>
    <row r="62" spans="1:10" ht="20.25" customHeight="1" x14ac:dyDescent="0.4">
      <c r="A62" s="116" t="str">
        <f>CONCATENATE((IF(OR(A46="",A46="NA"),"",A46)),"= ",(IF(OR(D46="",D46="NA"),"",D46)),".")</f>
        <v>Tower 1 to 5= G + 1st to 42nd Floor.</v>
      </c>
      <c r="B62" s="116"/>
      <c r="C62" s="116"/>
      <c r="D62" s="30" t="s">
        <v>113</v>
      </c>
      <c r="E62" s="117" t="s">
        <v>100</v>
      </c>
      <c r="F62" s="117"/>
      <c r="G62" s="30" t="s">
        <v>114</v>
      </c>
      <c r="H62" s="30" t="s">
        <v>115</v>
      </c>
      <c r="I62" s="16" t="str">
        <f ca="1">(IF(E65&gt;99%,"All work completed. Please provide OC.",IF(E65&gt;89.8%,"Plinth, RCC, Brick, Plaster, Flooring, Wooden, Plumbing, Electrification, etc.,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completed","0")))))))))))&amp;(IF(C67=(E63+G63+H63),", RCC Slab",IF(C67&gt;0,", RCC upto "&amp;C67&amp;" Slab",""))&amp;(IF(C68=H63,", Brickwork",IF(C68&gt;0,", Brickwork upto "&amp;C68&amp;" Floor",""))&amp;(IF(C69=H63,", Internal Plaster",IF(C69&gt;0,", Internal Plaster upto "&amp;C69&amp;" Floor",""))&amp;(IF(C70=H63,", External Plaster",IF(C70&gt;0,", External Plaster upto "&amp;C70&amp;" Floor",""))&amp;(IF(C71=H63,", External Plumbing, Elevation and Waterproofing",IF(C71&gt;0,", External Plumbing, Elevation and Waterproofing upto "&amp;C71&amp;" Floor",""))&amp;(IF(C72=H63,", Flooring &amp; Fitting",IF(C72&gt;0,", Flooring &amp; Fitting upto "&amp;C72&amp;" Floor",""))&amp;(IF(C73=H63,", Wooden Work",IF(C73&gt;0,", Wooden Work upto "&amp;C73&amp;" Floor",""))&amp;(IF(C74=H63,", Electrical &amp; Sanitary fittings",IF(C74&gt;0,", Electrical &amp; Sanitary fittings upto "&amp;C74&amp;" Floor",""))&amp;(IF(C75&gt;0,", Finishing upto "&amp;C75&amp;" Floor","")&amp;(IF(C67&gt;0.5," Completed",""))))))))))))))))</f>
        <v>Work not yet Started.</v>
      </c>
      <c r="J62" s="18"/>
    </row>
    <row r="63" spans="1:10" ht="21" x14ac:dyDescent="0.4">
      <c r="A63" s="116"/>
      <c r="B63" s="116"/>
      <c r="C63" s="116"/>
      <c r="D63" s="77">
        <f>IF(AND(ISNUMBER(SEARCH("1B",A62))),1,IF(AND(ISNUMBER(SEARCH("2B",A62))),2,IF(AND(ISNUMBER(SEARCH("3B",A62))),3,IF(AND(ISNUMBER(SEARCH("4B",A62))),4,IF(ISNUMBER(SEARCH("5B",A62)),5,0)))))</f>
        <v>0</v>
      </c>
      <c r="E63" s="117">
        <v>1</v>
      </c>
      <c r="F63" s="117"/>
      <c r="G63" s="77">
        <v>0</v>
      </c>
      <c r="H63" s="30">
        <f ca="1">--TRIM(RIGHT(SUBSTITUTE(LEFT(A62,_xlfn.AGGREGATE(16,6,FIND({0,1,2,3,4,5,6,7,8,9},A62,ROW(INDIRECT("1:"&amp;LEN(A62)))),1))," ",REPT(" ",LEN(A62))),LEN(A62)))</f>
        <v>42</v>
      </c>
      <c r="I63" s="17" t="s">
        <v>119</v>
      </c>
      <c r="J63" s="18"/>
    </row>
    <row r="64" spans="1:10" ht="20.25" customHeight="1" x14ac:dyDescent="0.4">
      <c r="A64" s="118" t="s">
        <v>117</v>
      </c>
      <c r="B64" s="118"/>
      <c r="C64" s="28" t="s">
        <v>127</v>
      </c>
      <c r="D64" s="28" t="s">
        <v>128</v>
      </c>
      <c r="E64" s="118" t="s">
        <v>118</v>
      </c>
      <c r="F64" s="118"/>
      <c r="G64" s="29" t="s">
        <v>116</v>
      </c>
      <c r="H64" s="29"/>
      <c r="I64" s="20" t="s">
        <v>129</v>
      </c>
      <c r="J64" s="19">
        <f ca="1">H63*25%</f>
        <v>10.5</v>
      </c>
    </row>
    <row r="65" spans="1:10" ht="20.25" customHeight="1" x14ac:dyDescent="0.4">
      <c r="A65" s="119" t="s">
        <v>130</v>
      </c>
      <c r="B65" s="119"/>
      <c r="C65" s="30">
        <v>0</v>
      </c>
      <c r="D65" s="5">
        <f ca="1">((100/H63)*C65)/100</f>
        <v>0</v>
      </c>
      <c r="E65" s="120">
        <f ca="1">(((C65/H63*10)+(C66/H63*15)+(25/(E63+G63+H63)*C67)+(5/(H63)*C68)+(2.5/(H63)*C69)+(2.5/(H63)*C70)+(5/H63*C71)+(10/H63*C72)+(2.5/H63*C73)+(2.5/H63*C74)+(10/H63*C75)+(10/H63*C76))/100)</f>
        <v>0</v>
      </c>
      <c r="F65" s="121"/>
      <c r="G65" s="119" t="str">
        <f ca="1">I62</f>
        <v>Work not yet Started.</v>
      </c>
      <c r="H65" s="119"/>
      <c r="I65" s="20" t="s">
        <v>120</v>
      </c>
      <c r="J65" s="24">
        <f ca="1">H63*50%</f>
        <v>21</v>
      </c>
    </row>
    <row r="66" spans="1:10" ht="21" x14ac:dyDescent="0.4">
      <c r="A66" s="119" t="s">
        <v>101</v>
      </c>
      <c r="B66" s="119"/>
      <c r="C66" s="32">
        <v>0</v>
      </c>
      <c r="D66" s="5">
        <f ca="1">((100/H63)*C66)/100</f>
        <v>0</v>
      </c>
      <c r="E66" s="122"/>
      <c r="F66" s="123"/>
      <c r="G66" s="119"/>
      <c r="H66" s="119"/>
      <c r="I66" s="20" t="s">
        <v>121</v>
      </c>
      <c r="J66" s="24">
        <f ca="1">H63</f>
        <v>42</v>
      </c>
    </row>
    <row r="67" spans="1:10" ht="21" customHeight="1" x14ac:dyDescent="0.4">
      <c r="A67" s="119" t="s">
        <v>131</v>
      </c>
      <c r="B67" s="119"/>
      <c r="C67" s="30">
        <v>0</v>
      </c>
      <c r="D67" s="5">
        <f ca="1">((100/(E63+G63+H63))*C67)/100</f>
        <v>0</v>
      </c>
      <c r="E67" s="122"/>
      <c r="F67" s="123"/>
      <c r="G67" s="119"/>
      <c r="H67" s="119"/>
      <c r="I67" s="20" t="s">
        <v>122</v>
      </c>
      <c r="J67" s="25">
        <f ca="1">(IF(D63&gt;1,(H63/(D63+2)),H63*0.2))</f>
        <v>8.4</v>
      </c>
    </row>
    <row r="68" spans="1:10" ht="21" customHeight="1" x14ac:dyDescent="0.4">
      <c r="A68" s="119" t="s">
        <v>132</v>
      </c>
      <c r="B68" s="119"/>
      <c r="C68" s="30">
        <v>0</v>
      </c>
      <c r="D68" s="5">
        <f ca="1">((100/H63)*C68)/100</f>
        <v>0</v>
      </c>
      <c r="E68" s="122"/>
      <c r="F68" s="123"/>
      <c r="G68" s="119"/>
      <c r="H68" s="119"/>
      <c r="I68" s="20" t="s">
        <v>123</v>
      </c>
      <c r="J68" s="25">
        <f ca="1">(IF(D63&gt;1,(H63/(D63+2)+J67),H63*0.2+J67))</f>
        <v>16.8</v>
      </c>
    </row>
    <row r="69" spans="1:10" ht="21" customHeight="1" x14ac:dyDescent="0.4">
      <c r="A69" s="126" t="s">
        <v>133</v>
      </c>
      <c r="B69" s="127"/>
      <c r="C69" s="30">
        <v>0</v>
      </c>
      <c r="D69" s="5">
        <f ca="1">((100/H63)*C69)/100</f>
        <v>0</v>
      </c>
      <c r="E69" s="122"/>
      <c r="F69" s="123"/>
      <c r="G69" s="119"/>
      <c r="H69" s="119"/>
      <c r="I69" s="20" t="s">
        <v>134</v>
      </c>
      <c r="J69" s="25">
        <f>(IF(D63&gt;1,(H63/(D63+2)+J68),0))</f>
        <v>0</v>
      </c>
    </row>
    <row r="70" spans="1:10" ht="21" customHeight="1" x14ac:dyDescent="0.4">
      <c r="A70" s="126" t="s">
        <v>164</v>
      </c>
      <c r="B70" s="127"/>
      <c r="C70" s="30">
        <v>0</v>
      </c>
      <c r="D70" s="5">
        <f ca="1">((100/H63)*C70)/100</f>
        <v>0</v>
      </c>
      <c r="E70" s="122"/>
      <c r="F70" s="123"/>
      <c r="G70" s="119"/>
      <c r="H70" s="119"/>
      <c r="I70" s="20" t="s">
        <v>135</v>
      </c>
      <c r="J70" s="25">
        <f>(IF(D63&gt;2,(H63/(D63+2)+J69),0))</f>
        <v>0</v>
      </c>
    </row>
    <row r="71" spans="1:10" ht="21" x14ac:dyDescent="0.4">
      <c r="A71" s="126" t="s">
        <v>161</v>
      </c>
      <c r="B71" s="127"/>
      <c r="C71" s="30">
        <v>0</v>
      </c>
      <c r="D71" s="5">
        <f ca="1">((100/(H63))*C71)/100</f>
        <v>0</v>
      </c>
      <c r="E71" s="122"/>
      <c r="F71" s="123"/>
      <c r="G71" s="119"/>
      <c r="H71" s="119"/>
      <c r="I71" s="20" t="s">
        <v>137</v>
      </c>
      <c r="J71" s="26">
        <f>(IF(D63&gt;3,(H63/(D63+2)+J70),0))</f>
        <v>0</v>
      </c>
    </row>
    <row r="72" spans="1:10" ht="21" x14ac:dyDescent="0.4">
      <c r="A72" s="119" t="s">
        <v>136</v>
      </c>
      <c r="B72" s="119"/>
      <c r="C72" s="30">
        <v>0</v>
      </c>
      <c r="D72" s="5">
        <f ca="1">((100/(H63))*C72)/100</f>
        <v>0</v>
      </c>
      <c r="E72" s="122"/>
      <c r="F72" s="123"/>
      <c r="G72" s="119"/>
      <c r="H72" s="119"/>
      <c r="I72" s="20" t="s">
        <v>138</v>
      </c>
      <c r="J72" s="25">
        <f>(IF(D63&gt;4,(H63/(D63+2)+J71),0))</f>
        <v>0</v>
      </c>
    </row>
    <row r="73" spans="1:10" ht="21" customHeight="1" x14ac:dyDescent="0.4">
      <c r="A73" s="119" t="s">
        <v>163</v>
      </c>
      <c r="B73" s="119"/>
      <c r="C73" s="30">
        <v>0</v>
      </c>
      <c r="D73" s="5">
        <f ca="1">((100/H63)*C73)/100</f>
        <v>0</v>
      </c>
      <c r="E73" s="122"/>
      <c r="F73" s="123"/>
      <c r="G73" s="119"/>
      <c r="H73" s="119"/>
      <c r="I73" s="20" t="s">
        <v>124</v>
      </c>
      <c r="J73" s="25">
        <f ca="1">(IF(D63=1,(H63/(D63+3)+J68),IF(D63=0,(H63*0.3+J68),IF(D63&gt;1,0))))</f>
        <v>29.4</v>
      </c>
    </row>
    <row r="74" spans="1:10" ht="21.6" thickBot="1" x14ac:dyDescent="0.45">
      <c r="A74" s="119" t="s">
        <v>162</v>
      </c>
      <c r="B74" s="119"/>
      <c r="C74" s="30">
        <v>0</v>
      </c>
      <c r="D74" s="5">
        <f ca="1">((100/H63)*C74)/100</f>
        <v>0</v>
      </c>
      <c r="E74" s="122"/>
      <c r="F74" s="123"/>
      <c r="G74" s="119"/>
      <c r="H74" s="119"/>
      <c r="I74" s="22" t="s">
        <v>125</v>
      </c>
      <c r="J74" s="27">
        <f ca="1">(IF(D63&gt;1.5,(H63/(D63+2)+J68+MAX(0,J69-J68)+MAX(0,J70-J69)+MAX(0,J71-J70)+MAX(0,J72-J71)+MAX(0,J73-J72)),IF(D63=1,(H63/(D63+3)+J73),IF(D63=0,H63*0.3+J73))))</f>
        <v>42</v>
      </c>
    </row>
    <row r="75" spans="1:10" ht="21" x14ac:dyDescent="0.3">
      <c r="A75" s="119" t="s">
        <v>139</v>
      </c>
      <c r="B75" s="119"/>
      <c r="C75" s="30">
        <v>0</v>
      </c>
      <c r="D75" s="5">
        <f ca="1">((100/(H63))*C75)/100</f>
        <v>0</v>
      </c>
      <c r="E75" s="122"/>
      <c r="F75" s="123"/>
      <c r="G75" s="119"/>
      <c r="H75" s="119"/>
    </row>
    <row r="76" spans="1:10" ht="21" x14ac:dyDescent="0.3">
      <c r="A76" s="119" t="s">
        <v>140</v>
      </c>
      <c r="B76" s="119"/>
      <c r="C76" s="30">
        <v>0</v>
      </c>
      <c r="D76" s="5">
        <f ca="1">((100/(H63))*C76)/100</f>
        <v>0</v>
      </c>
      <c r="E76" s="124"/>
      <c r="F76" s="125"/>
      <c r="G76" s="119"/>
      <c r="H76" s="119"/>
    </row>
    <row r="77" spans="1:10" ht="21.6" hidden="1" thickBot="1" x14ac:dyDescent="0.35">
      <c r="A77" s="115" t="s">
        <v>65</v>
      </c>
      <c r="B77" s="115"/>
      <c r="C77" s="115"/>
      <c r="D77" s="115"/>
      <c r="E77" s="115"/>
      <c r="F77" s="115"/>
      <c r="G77" s="115"/>
      <c r="H77" s="115"/>
    </row>
    <row r="78" spans="1:10" ht="20.25" hidden="1" customHeight="1" x14ac:dyDescent="0.4">
      <c r="A78" s="116" t="str">
        <f>CONCATENATE((IF(OR(A47="",A47="NA"),"",A47)),"= ",(IF(OR(D47="",D47="NA"),"",D47)),".")</f>
        <v>Tower 2 = G + 1st to 42nd Floor.</v>
      </c>
      <c r="B78" s="116"/>
      <c r="C78" s="116"/>
      <c r="D78" s="30" t="s">
        <v>113</v>
      </c>
      <c r="E78" s="117" t="s">
        <v>100</v>
      </c>
      <c r="F78" s="117"/>
      <c r="G78" s="30" t="s">
        <v>114</v>
      </c>
      <c r="H78" s="30" t="s">
        <v>115</v>
      </c>
      <c r="I78" s="16" t="str">
        <f ca="1">(IF(E81&gt;99%,"All work completed. Please provide OC.",IF(E81&gt;89.8%,"Plinth, RCC, Brick, Plaster, Flooring, Wooden, Plumbing, Electrification, etc.,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completed","0")))))))))))&amp;(IF(C83=(E79+G79+H79),", RCC Slab",IF(C83&gt;0,", RCC upto "&amp;C83&amp;" Slab",""))&amp;(IF(C84=H79,", Brickwork",IF(C84&gt;0,", Brickwork upto "&amp;C84&amp;" Floor",""))&amp;(IF(C85=H79,", Internal Plaster",IF(C85&gt;0,", Internal Plaster upto "&amp;C85&amp;" Floor",""))&amp;(IF(C86=H79,", External Plaster",IF(C86&gt;0,", External Plaster upto "&amp;C86&amp;" Floor",""))&amp;(IF(C87=H79,", External Plumbing, Elevation and Waterproofing",IF(C87&gt;0,", External Plumbing, Elevation and Waterproofing upto "&amp;C87&amp;" Floor",""))&amp;(IF(C88=H79,", Flooring &amp; Fitting",IF(C88&gt;0,", Flooring &amp; Fitting upto "&amp;C88&amp;" Floor",""))&amp;(IF(C89=H79,", Wooden Work",IF(C89&gt;0,", Wooden Work upto "&amp;C89&amp;" Floor",""))&amp;(IF(C90=H79,", Electrical &amp; Sanitary fittings",IF(C90&gt;0,", Electrical &amp; Sanitary fittings upto "&amp;C90&amp;" Floor",""))&amp;(IF(C91&gt;0,", Finishing upto "&amp;C91&amp;" Floor","")&amp;(IF(C83&gt;0.5," Completed",""))))))))))))))))</f>
        <v>Work not yet Started.</v>
      </c>
      <c r="J78" s="18"/>
    </row>
    <row r="79" spans="1:10" ht="21" hidden="1" x14ac:dyDescent="0.4">
      <c r="A79" s="116"/>
      <c r="B79" s="116"/>
      <c r="C79" s="116"/>
      <c r="D79" s="52">
        <f>IF(AND(ISNUMBER(SEARCH("1B",A78))),1,IF(AND(ISNUMBER(SEARCH("2B",A78))),2,IF(AND(ISNUMBER(SEARCH("3B",A78))),3,IF(AND(ISNUMBER(SEARCH("4B",A78))),4,IF(ISNUMBER(SEARCH("5B",A78)),5,0)))))</f>
        <v>0</v>
      </c>
      <c r="E79" s="117">
        <v>1</v>
      </c>
      <c r="F79" s="117"/>
      <c r="G79" s="52">
        <v>0</v>
      </c>
      <c r="H79" s="30">
        <f ca="1">--TRIM(RIGHT(SUBSTITUTE(LEFT(A78,_xlfn.AGGREGATE(16,6,FIND({0,1,2,3,4,5,6,7,8,9},A78,ROW(INDIRECT("1:"&amp;LEN(A78)))),1))," ",REPT(" ",LEN(A78))),LEN(A78)))</f>
        <v>42</v>
      </c>
      <c r="I79" s="17" t="s">
        <v>119</v>
      </c>
      <c r="J79" s="18"/>
    </row>
    <row r="80" spans="1:10" ht="20.25" hidden="1" customHeight="1" x14ac:dyDescent="0.4">
      <c r="A80" s="118" t="s">
        <v>117</v>
      </c>
      <c r="B80" s="118"/>
      <c r="C80" s="28" t="s">
        <v>127</v>
      </c>
      <c r="D80" s="28" t="s">
        <v>128</v>
      </c>
      <c r="E80" s="118" t="s">
        <v>118</v>
      </c>
      <c r="F80" s="118"/>
      <c r="G80" s="29" t="s">
        <v>116</v>
      </c>
      <c r="H80" s="29"/>
      <c r="I80" s="20" t="s">
        <v>129</v>
      </c>
      <c r="J80" s="19">
        <f ca="1">H79*25%</f>
        <v>10.5</v>
      </c>
    </row>
    <row r="81" spans="1:10" ht="20.25" hidden="1" customHeight="1" x14ac:dyDescent="0.4">
      <c r="A81" s="119" t="s">
        <v>130</v>
      </c>
      <c r="B81" s="119"/>
      <c r="C81" s="30">
        <v>0</v>
      </c>
      <c r="D81" s="5">
        <f ca="1">((100/H79)*C81)/100</f>
        <v>0</v>
      </c>
      <c r="E81" s="120">
        <f ca="1">(((C81/H79*10)+(C82/H79*15)+(25/(E79+G79+H79)*C83)+(5/(H79)*C84)+(2.5/(H79)*C85)+(2.5/(H79)*C86)+(5/H79*C87)+(10/H79*C88)+(2.5/H79*C89)+(2.5/H79*C90)+(10/H79*C91)+(10/H79*C92))/100)</f>
        <v>0</v>
      </c>
      <c r="F81" s="121"/>
      <c r="G81" s="119" t="str">
        <f ca="1">I78</f>
        <v>Work not yet Started.</v>
      </c>
      <c r="H81" s="119"/>
      <c r="I81" s="20" t="s">
        <v>120</v>
      </c>
      <c r="J81" s="24">
        <f ca="1">H79*50%</f>
        <v>21</v>
      </c>
    </row>
    <row r="82" spans="1:10" ht="21" hidden="1" x14ac:dyDescent="0.4">
      <c r="A82" s="119" t="s">
        <v>101</v>
      </c>
      <c r="B82" s="119"/>
      <c r="C82" s="32">
        <v>0</v>
      </c>
      <c r="D82" s="5">
        <f ca="1">((100/H79)*C82)/100</f>
        <v>0</v>
      </c>
      <c r="E82" s="122"/>
      <c r="F82" s="123"/>
      <c r="G82" s="119"/>
      <c r="H82" s="119"/>
      <c r="I82" s="20" t="s">
        <v>121</v>
      </c>
      <c r="J82" s="24">
        <f ca="1">H79</f>
        <v>42</v>
      </c>
    </row>
    <row r="83" spans="1:10" ht="21" hidden="1" customHeight="1" x14ac:dyDescent="0.4">
      <c r="A83" s="119" t="s">
        <v>131</v>
      </c>
      <c r="B83" s="119"/>
      <c r="C83" s="30">
        <v>0</v>
      </c>
      <c r="D83" s="5">
        <f ca="1">((100/(E79+G79+H79))*C83)/100</f>
        <v>0</v>
      </c>
      <c r="E83" s="122"/>
      <c r="F83" s="123"/>
      <c r="G83" s="119"/>
      <c r="H83" s="119"/>
      <c r="I83" s="20" t="s">
        <v>122</v>
      </c>
      <c r="J83" s="25">
        <f ca="1">(IF(D79&gt;1,(H79/(D79+2)),H79*0.2))</f>
        <v>8.4</v>
      </c>
    </row>
    <row r="84" spans="1:10" ht="21" hidden="1" customHeight="1" x14ac:dyDescent="0.4">
      <c r="A84" s="119" t="s">
        <v>132</v>
      </c>
      <c r="B84" s="119"/>
      <c r="C84" s="30">
        <v>0</v>
      </c>
      <c r="D84" s="5">
        <f ca="1">((100/H79)*C84)/100</f>
        <v>0</v>
      </c>
      <c r="E84" s="122"/>
      <c r="F84" s="123"/>
      <c r="G84" s="119"/>
      <c r="H84" s="119"/>
      <c r="I84" s="20" t="s">
        <v>123</v>
      </c>
      <c r="J84" s="25">
        <f ca="1">(IF(D79&gt;1,(H79/(D79+2)+J83),H79*0.2+J83))</f>
        <v>16.8</v>
      </c>
    </row>
    <row r="85" spans="1:10" ht="21" hidden="1" customHeight="1" x14ac:dyDescent="0.4">
      <c r="A85" s="126" t="s">
        <v>133</v>
      </c>
      <c r="B85" s="127"/>
      <c r="C85" s="30">
        <v>0</v>
      </c>
      <c r="D85" s="5">
        <f ca="1">((100/H79)*C85)/100</f>
        <v>0</v>
      </c>
      <c r="E85" s="122"/>
      <c r="F85" s="123"/>
      <c r="G85" s="119"/>
      <c r="H85" s="119"/>
      <c r="I85" s="20" t="s">
        <v>134</v>
      </c>
      <c r="J85" s="25">
        <f>(IF(D79&gt;1,(H79/(D79+2)+J84),0))</f>
        <v>0</v>
      </c>
    </row>
    <row r="86" spans="1:10" ht="21" hidden="1" customHeight="1" x14ac:dyDescent="0.4">
      <c r="A86" s="126" t="s">
        <v>164</v>
      </c>
      <c r="B86" s="127"/>
      <c r="C86" s="30">
        <v>0</v>
      </c>
      <c r="D86" s="5">
        <f ca="1">((100/H79)*C86)/100</f>
        <v>0</v>
      </c>
      <c r="E86" s="122"/>
      <c r="F86" s="123"/>
      <c r="G86" s="119"/>
      <c r="H86" s="119"/>
      <c r="I86" s="20" t="s">
        <v>135</v>
      </c>
      <c r="J86" s="25">
        <f>(IF(D79&gt;2,(H79/(D79+2)+J85),0))</f>
        <v>0</v>
      </c>
    </row>
    <row r="87" spans="1:10" ht="57.75" hidden="1" customHeight="1" x14ac:dyDescent="0.4">
      <c r="A87" s="126" t="s">
        <v>161</v>
      </c>
      <c r="B87" s="127"/>
      <c r="C87" s="30">
        <v>0</v>
      </c>
      <c r="D87" s="5">
        <f ca="1">((100/(H79))*C87)/100</f>
        <v>0</v>
      </c>
      <c r="E87" s="122"/>
      <c r="F87" s="123"/>
      <c r="G87" s="119"/>
      <c r="H87" s="119"/>
      <c r="I87" s="20" t="s">
        <v>137</v>
      </c>
      <c r="J87" s="26">
        <f>(IF(D79&gt;3,(H79/(D79+2)+J86),0))</f>
        <v>0</v>
      </c>
    </row>
    <row r="88" spans="1:10" ht="21" hidden="1" x14ac:dyDescent="0.4">
      <c r="A88" s="119" t="s">
        <v>136</v>
      </c>
      <c r="B88" s="119"/>
      <c r="C88" s="30">
        <v>0</v>
      </c>
      <c r="D88" s="5">
        <f ca="1">((100/(H79))*C88)/100</f>
        <v>0</v>
      </c>
      <c r="E88" s="122"/>
      <c r="F88" s="123"/>
      <c r="G88" s="119"/>
      <c r="H88" s="119"/>
      <c r="I88" s="20" t="s">
        <v>138</v>
      </c>
      <c r="J88" s="25">
        <f>(IF(D79&gt;4,(H79/(D79+2)+J87),0))</f>
        <v>0</v>
      </c>
    </row>
    <row r="89" spans="1:10" ht="21" hidden="1" customHeight="1" x14ac:dyDescent="0.4">
      <c r="A89" s="119" t="s">
        <v>163</v>
      </c>
      <c r="B89" s="119"/>
      <c r="C89" s="30">
        <v>0</v>
      </c>
      <c r="D89" s="5">
        <f ca="1">((100/H79)*C89)/100</f>
        <v>0</v>
      </c>
      <c r="E89" s="122"/>
      <c r="F89" s="123"/>
      <c r="G89" s="119"/>
      <c r="H89" s="119"/>
      <c r="I89" s="20" t="s">
        <v>124</v>
      </c>
      <c r="J89" s="25">
        <f ca="1">(IF(D79=1,(H79/(D79+3)+J84),IF(D79=0,(H79*0.3+J84),IF(D79&gt;1,0))))</f>
        <v>29.4</v>
      </c>
    </row>
    <row r="90" spans="1:10" ht="21.6" hidden="1" thickBot="1" x14ac:dyDescent="0.45">
      <c r="A90" s="119" t="s">
        <v>162</v>
      </c>
      <c r="B90" s="119"/>
      <c r="C90" s="30">
        <v>0</v>
      </c>
      <c r="D90" s="5">
        <f ca="1">((100/H79)*C90)/100</f>
        <v>0</v>
      </c>
      <c r="E90" s="122"/>
      <c r="F90" s="123"/>
      <c r="G90" s="119"/>
      <c r="H90" s="119"/>
      <c r="I90" s="22" t="s">
        <v>125</v>
      </c>
      <c r="J90" s="27">
        <f ca="1">(IF(D79&gt;1.5,(H79/(D79+2)+J84+MAX(0,J85-J84)+MAX(0,J86-J85)+MAX(0,J87-J86)+MAX(0,J88-J87)+MAX(0,J89-J88)),IF(D79=1,(H79/(D79+3)+J89),IF(D79=0,H79*0.3+J89))))</f>
        <v>42</v>
      </c>
    </row>
    <row r="91" spans="1:10" ht="21" hidden="1" x14ac:dyDescent="0.3">
      <c r="A91" s="119" t="s">
        <v>139</v>
      </c>
      <c r="B91" s="119"/>
      <c r="C91" s="30">
        <v>0</v>
      </c>
      <c r="D91" s="5">
        <f ca="1">((100/(H79))*C91)/100</f>
        <v>0</v>
      </c>
      <c r="E91" s="122"/>
      <c r="F91" s="123"/>
      <c r="G91" s="119"/>
      <c r="H91" s="119"/>
    </row>
    <row r="92" spans="1:10" ht="21" hidden="1" x14ac:dyDescent="0.3">
      <c r="A92" s="119" t="s">
        <v>140</v>
      </c>
      <c r="B92" s="119"/>
      <c r="C92" s="30">
        <v>0</v>
      </c>
      <c r="D92" s="5">
        <f ca="1">((100/(H79))*C92)/100</f>
        <v>0</v>
      </c>
      <c r="E92" s="124"/>
      <c r="F92" s="125"/>
      <c r="G92" s="119"/>
      <c r="H92" s="119"/>
    </row>
    <row r="93" spans="1:10" ht="21.6" hidden="1" thickBot="1" x14ac:dyDescent="0.35">
      <c r="A93" s="115" t="s">
        <v>65</v>
      </c>
      <c r="B93" s="115"/>
      <c r="C93" s="115"/>
      <c r="D93" s="115"/>
      <c r="E93" s="115"/>
      <c r="F93" s="115"/>
      <c r="G93" s="115"/>
      <c r="H93" s="115"/>
    </row>
    <row r="94" spans="1:10" ht="20.25" hidden="1" customHeight="1" x14ac:dyDescent="0.4">
      <c r="A94" s="116" t="str">
        <f>CONCATENATE((IF(OR(A48="",A48="NA"),"",A48)),"= ",(IF(OR(D48="",D48="NA"),"",D48)),".")</f>
        <v>Tower 3 = G + 1st to 42nd Floor.</v>
      </c>
      <c r="B94" s="116"/>
      <c r="C94" s="116"/>
      <c r="D94" s="30" t="s">
        <v>113</v>
      </c>
      <c r="E94" s="117" t="s">
        <v>100</v>
      </c>
      <c r="F94" s="117"/>
      <c r="G94" s="30" t="s">
        <v>114</v>
      </c>
      <c r="H94" s="30" t="s">
        <v>115</v>
      </c>
      <c r="I94" s="16" t="str">
        <f ca="1">(IF(E97&gt;99%,"All work completed. Please provide OC.",IF(E97&gt;89.8%,"Plinth, RCC, Brick, Plaster, Flooring, Wooden, Plumbing, Electrification, etc.,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completed","0")))))))))))&amp;(IF(C99=(E95+G95+H95),", RCC Slab",IF(C99&gt;0,", RCC upto "&amp;C99&amp;" Slab",""))&amp;(IF(C100=H95,", Brickwork",IF(C100&gt;0,", Brickwork upto "&amp;C100&amp;" Floor",""))&amp;(IF(C101=H95,", Internal Plaster",IF(C101&gt;0,", Internal Plaster upto "&amp;C101&amp;" Floor",""))&amp;(IF(C102=H95,", External Plaster",IF(C102&gt;0,", External Plaster upto "&amp;C102&amp;" Floor",""))&amp;(IF(C103=H95,", External Plumbing, Elevation and Waterproofing",IF(C103&gt;0,", External Plumbing, Elevation and Waterproofing upto "&amp;C103&amp;" Floor",""))&amp;(IF(C104=H95,", Flooring &amp; Fitting",IF(C104&gt;0,", Flooring &amp; Fitting upto "&amp;C104&amp;" Floor",""))&amp;(IF(C105=H95,", Wooden Work",IF(C105&gt;0,", Wooden Work upto "&amp;C105&amp;" Floor",""))&amp;(IF(C106=H95,", Electrical &amp; Sanitary fittings",IF(C106&gt;0,", Electrical &amp; Sanitary fittings upto "&amp;C106&amp;" Floor",""))&amp;(IF(C107&gt;0,", Finishing upto "&amp;C107&amp;" Floor","")&amp;(IF(C99&gt;0.5," Completed",""))))))))))))))))</f>
        <v>Work not yet Started.</v>
      </c>
      <c r="J94" s="18"/>
    </row>
    <row r="95" spans="1:10" ht="21" hidden="1" x14ac:dyDescent="0.4">
      <c r="A95" s="116"/>
      <c r="B95" s="116"/>
      <c r="C95" s="116"/>
      <c r="D95" s="52">
        <f>IF(AND(ISNUMBER(SEARCH("1B",A94))),1,IF(AND(ISNUMBER(SEARCH("2B",A94))),2,IF(AND(ISNUMBER(SEARCH("3B",A94))),3,IF(AND(ISNUMBER(SEARCH("4B",A94))),4,IF(ISNUMBER(SEARCH("5B",A94)),5,0)))))</f>
        <v>0</v>
      </c>
      <c r="E95" s="117">
        <v>1</v>
      </c>
      <c r="F95" s="117"/>
      <c r="G95" s="52">
        <v>0</v>
      </c>
      <c r="H95" s="30">
        <f ca="1">--TRIM(RIGHT(SUBSTITUTE(LEFT(A94,_xlfn.AGGREGATE(16,6,FIND({0,1,2,3,4,5,6,7,8,9},A94,ROW(INDIRECT("1:"&amp;LEN(A94)))),1))," ",REPT(" ",LEN(A94))),LEN(A94)))</f>
        <v>42</v>
      </c>
      <c r="I95" s="17" t="s">
        <v>119</v>
      </c>
      <c r="J95" s="18"/>
    </row>
    <row r="96" spans="1:10" ht="20.25" hidden="1" customHeight="1" x14ac:dyDescent="0.4">
      <c r="A96" s="118" t="s">
        <v>117</v>
      </c>
      <c r="B96" s="118"/>
      <c r="C96" s="28" t="s">
        <v>127</v>
      </c>
      <c r="D96" s="28" t="s">
        <v>128</v>
      </c>
      <c r="E96" s="118" t="s">
        <v>118</v>
      </c>
      <c r="F96" s="118"/>
      <c r="G96" s="29" t="s">
        <v>116</v>
      </c>
      <c r="H96" s="29"/>
      <c r="I96" s="20" t="s">
        <v>129</v>
      </c>
      <c r="J96" s="19">
        <f ca="1">H95*25%</f>
        <v>10.5</v>
      </c>
    </row>
    <row r="97" spans="1:10" ht="20.25" hidden="1" customHeight="1" x14ac:dyDescent="0.4">
      <c r="A97" s="119" t="s">
        <v>130</v>
      </c>
      <c r="B97" s="119"/>
      <c r="C97" s="30">
        <v>0</v>
      </c>
      <c r="D97" s="5">
        <f ca="1">((100/H95)*C97)/100</f>
        <v>0</v>
      </c>
      <c r="E97" s="120">
        <f ca="1">(((C97/H95*10)+(C98/H95*15)+(25/(E95+G95+H95)*C99)+(5/(H95)*C100)+(2.5/(H95)*C101)+(2.5/(H95)*C102)+(5/H95*C103)+(10/H95*C104)+(2.5/H95*C105)+(2.5/H95*C106)+(10/H95*C107)+(10/H95*C108))/100)</f>
        <v>0</v>
      </c>
      <c r="F97" s="121"/>
      <c r="G97" s="119" t="str">
        <f ca="1">I94</f>
        <v>Work not yet Started.</v>
      </c>
      <c r="H97" s="119"/>
      <c r="I97" s="20" t="s">
        <v>120</v>
      </c>
      <c r="J97" s="24">
        <f ca="1">H95*50%</f>
        <v>21</v>
      </c>
    </row>
    <row r="98" spans="1:10" ht="21" hidden="1" x14ac:dyDescent="0.4">
      <c r="A98" s="119" t="s">
        <v>101</v>
      </c>
      <c r="B98" s="119"/>
      <c r="C98" s="32">
        <v>0</v>
      </c>
      <c r="D98" s="5">
        <f ca="1">((100/H95)*C98)/100</f>
        <v>0</v>
      </c>
      <c r="E98" s="122"/>
      <c r="F98" s="123"/>
      <c r="G98" s="119"/>
      <c r="H98" s="119"/>
      <c r="I98" s="20" t="s">
        <v>121</v>
      </c>
      <c r="J98" s="24">
        <f ca="1">H95</f>
        <v>42</v>
      </c>
    </row>
    <row r="99" spans="1:10" ht="21" hidden="1" customHeight="1" x14ac:dyDescent="0.4">
      <c r="A99" s="119" t="s">
        <v>131</v>
      </c>
      <c r="B99" s="119"/>
      <c r="C99" s="30">
        <v>0</v>
      </c>
      <c r="D99" s="5">
        <f ca="1">((100/(E95+G95+H95))*C99)/100</f>
        <v>0</v>
      </c>
      <c r="E99" s="122"/>
      <c r="F99" s="123"/>
      <c r="G99" s="119"/>
      <c r="H99" s="119"/>
      <c r="I99" s="20" t="s">
        <v>122</v>
      </c>
      <c r="J99" s="25">
        <f ca="1">(IF(D95&gt;1,(H95/(D95+2)),H95*0.2))</f>
        <v>8.4</v>
      </c>
    </row>
    <row r="100" spans="1:10" ht="21" hidden="1" customHeight="1" x14ac:dyDescent="0.4">
      <c r="A100" s="119" t="s">
        <v>132</v>
      </c>
      <c r="B100" s="119"/>
      <c r="C100" s="30">
        <v>0</v>
      </c>
      <c r="D100" s="5">
        <f ca="1">((100/H95)*C100)/100</f>
        <v>0</v>
      </c>
      <c r="E100" s="122"/>
      <c r="F100" s="123"/>
      <c r="G100" s="119"/>
      <c r="H100" s="119"/>
      <c r="I100" s="20" t="s">
        <v>123</v>
      </c>
      <c r="J100" s="25">
        <f ca="1">(IF(D95&gt;1,(H95/(D95+2)+J99),H95*0.2+J99))</f>
        <v>16.8</v>
      </c>
    </row>
    <row r="101" spans="1:10" ht="21" hidden="1" customHeight="1" x14ac:dyDescent="0.4">
      <c r="A101" s="126" t="s">
        <v>133</v>
      </c>
      <c r="B101" s="127"/>
      <c r="C101" s="30">
        <v>0</v>
      </c>
      <c r="D101" s="5">
        <f ca="1">((100/H95)*C101)/100</f>
        <v>0</v>
      </c>
      <c r="E101" s="122"/>
      <c r="F101" s="123"/>
      <c r="G101" s="119"/>
      <c r="H101" s="119"/>
      <c r="I101" s="20" t="s">
        <v>134</v>
      </c>
      <c r="J101" s="25">
        <f>(IF(D95&gt;1,(H95/(D95+2)+J100),0))</f>
        <v>0</v>
      </c>
    </row>
    <row r="102" spans="1:10" ht="21" hidden="1" customHeight="1" x14ac:dyDescent="0.4">
      <c r="A102" s="126" t="s">
        <v>164</v>
      </c>
      <c r="B102" s="127"/>
      <c r="C102" s="30">
        <v>0</v>
      </c>
      <c r="D102" s="5">
        <f ca="1">((100/H95)*C102)/100</f>
        <v>0</v>
      </c>
      <c r="E102" s="122"/>
      <c r="F102" s="123"/>
      <c r="G102" s="119"/>
      <c r="H102" s="119"/>
      <c r="I102" s="20" t="s">
        <v>135</v>
      </c>
      <c r="J102" s="25">
        <f>(IF(D95&gt;2,(H95/(D95+2)+J101),0))</f>
        <v>0</v>
      </c>
    </row>
    <row r="103" spans="1:10" ht="57.75" hidden="1" customHeight="1" x14ac:dyDescent="0.4">
      <c r="A103" s="126" t="s">
        <v>161</v>
      </c>
      <c r="B103" s="127"/>
      <c r="C103" s="30">
        <v>0</v>
      </c>
      <c r="D103" s="5">
        <f ca="1">((100/(H95))*C103)/100</f>
        <v>0</v>
      </c>
      <c r="E103" s="122"/>
      <c r="F103" s="123"/>
      <c r="G103" s="119"/>
      <c r="H103" s="119"/>
      <c r="I103" s="20" t="s">
        <v>137</v>
      </c>
      <c r="J103" s="26">
        <f>(IF(D95&gt;3,(H95/(D95+2)+J102),0))</f>
        <v>0</v>
      </c>
    </row>
    <row r="104" spans="1:10" ht="21" hidden="1" x14ac:dyDescent="0.4">
      <c r="A104" s="119" t="s">
        <v>136</v>
      </c>
      <c r="B104" s="119"/>
      <c r="C104" s="30">
        <v>0</v>
      </c>
      <c r="D104" s="5">
        <f ca="1">((100/(H95))*C104)/100</f>
        <v>0</v>
      </c>
      <c r="E104" s="122"/>
      <c r="F104" s="123"/>
      <c r="G104" s="119"/>
      <c r="H104" s="119"/>
      <c r="I104" s="20" t="s">
        <v>138</v>
      </c>
      <c r="J104" s="25">
        <f>(IF(D95&gt;4,(H95/(D95+2)+J103),0))</f>
        <v>0</v>
      </c>
    </row>
    <row r="105" spans="1:10" ht="21" hidden="1" customHeight="1" x14ac:dyDescent="0.4">
      <c r="A105" s="119" t="s">
        <v>163</v>
      </c>
      <c r="B105" s="119"/>
      <c r="C105" s="30">
        <v>0</v>
      </c>
      <c r="D105" s="5">
        <f ca="1">((100/H95)*C105)/100</f>
        <v>0</v>
      </c>
      <c r="E105" s="122"/>
      <c r="F105" s="123"/>
      <c r="G105" s="119"/>
      <c r="H105" s="119"/>
      <c r="I105" s="20" t="s">
        <v>124</v>
      </c>
      <c r="J105" s="25">
        <f ca="1">(IF(D95=1,(H95/(D95+3)+J100),IF(D95=0,(H95*0.3+J100),IF(D95&gt;1,0))))</f>
        <v>29.4</v>
      </c>
    </row>
    <row r="106" spans="1:10" ht="21.6" hidden="1" thickBot="1" x14ac:dyDescent="0.45">
      <c r="A106" s="119" t="s">
        <v>162</v>
      </c>
      <c r="B106" s="119"/>
      <c r="C106" s="30">
        <v>0</v>
      </c>
      <c r="D106" s="5">
        <f ca="1">((100/H95)*C106)/100</f>
        <v>0</v>
      </c>
      <c r="E106" s="122"/>
      <c r="F106" s="123"/>
      <c r="G106" s="119"/>
      <c r="H106" s="119"/>
      <c r="I106" s="22" t="s">
        <v>125</v>
      </c>
      <c r="J106" s="27">
        <f ca="1">(IF(D95&gt;1.5,(H95/(D95+2)+J100+MAX(0,J101-J100)+MAX(0,J102-J101)+MAX(0,J103-J102)+MAX(0,J104-J103)+MAX(0,J105-J104)),IF(D95=1,(H95/(D95+3)+J105),IF(D95=0,H95*0.3+J105))))</f>
        <v>42</v>
      </c>
    </row>
    <row r="107" spans="1:10" ht="21" hidden="1" x14ac:dyDescent="0.3">
      <c r="A107" s="119" t="s">
        <v>139</v>
      </c>
      <c r="B107" s="119"/>
      <c r="C107" s="30">
        <v>0</v>
      </c>
      <c r="D107" s="5">
        <f ca="1">((100/(H95))*C107)/100</f>
        <v>0</v>
      </c>
      <c r="E107" s="122"/>
      <c r="F107" s="123"/>
      <c r="G107" s="119"/>
      <c r="H107" s="119"/>
    </row>
    <row r="108" spans="1:10" ht="21" hidden="1" x14ac:dyDescent="0.3">
      <c r="A108" s="119" t="s">
        <v>140</v>
      </c>
      <c r="B108" s="119"/>
      <c r="C108" s="30">
        <v>0</v>
      </c>
      <c r="D108" s="5">
        <f ca="1">((100/(H95))*C108)/100</f>
        <v>0</v>
      </c>
      <c r="E108" s="124"/>
      <c r="F108" s="125"/>
      <c r="G108" s="119"/>
      <c r="H108" s="119"/>
    </row>
    <row r="109" spans="1:10" ht="21.6" hidden="1" thickBot="1" x14ac:dyDescent="0.35">
      <c r="A109" s="115" t="s">
        <v>65</v>
      </c>
      <c r="B109" s="115"/>
      <c r="C109" s="115"/>
      <c r="D109" s="115"/>
      <c r="E109" s="115"/>
      <c r="F109" s="115"/>
      <c r="G109" s="115"/>
      <c r="H109" s="115"/>
    </row>
    <row r="110" spans="1:10" ht="20.25" hidden="1" customHeight="1" x14ac:dyDescent="0.4">
      <c r="A110" s="116" t="str">
        <f>CONCATENATE((IF(OR(A49="",A49="NA"),"",A49)),"= ",(IF(OR(D49="",D49="NA"),"",D49)),".")</f>
        <v>Tower 4 = G + 1st to 42nd Floor.</v>
      </c>
      <c r="B110" s="116"/>
      <c r="C110" s="116"/>
      <c r="D110" s="30" t="s">
        <v>113</v>
      </c>
      <c r="E110" s="117" t="s">
        <v>100</v>
      </c>
      <c r="F110" s="117"/>
      <c r="G110" s="30" t="s">
        <v>114</v>
      </c>
      <c r="H110" s="30" t="s">
        <v>115</v>
      </c>
      <c r="I110" s="16" t="str">
        <f ca="1">(IF(E113&gt;99%,"All work completed. Please provide OC.",IF(E113&gt;89.8%,"Plinth, RCC, Brick, Plaster, Flooring, Wooden, Plumbing, Electrification, etc., work Completed. Finishing work is in process.",IF(E113&lt;94%,(IF(C113=0,"Work not yet Started.",IF(D113=25%,"Piling work in process",IF(D113=50%,"Excavation work in process",IF(D113=100%,"Excavation work Completed. ","0")))&amp;(IF(C114=0%,"",IF(C114=J115,"Footing work is process",IF(C114=J116,"Footing work Completed",IF(C114=J117,"1st Basement Completed",IF(C114=J118,"1st &amp; 2nd Basement Completed",IF(C114=J119,"1st to 3rd Basement Completed",IF(C114=J120,"1st to 4th Basement Completed",IF(C114=J121,"Plinth work is process",IF(C114=J122,"Plinth work completed","0")))))))))))&amp;(IF(C115=(E111+G111+H111),", RCC Slab",IF(C115&gt;0,", RCC upto "&amp;C115&amp;" Slab",""))&amp;(IF(C116=H111,", Brickwork",IF(C116&gt;0,", Brickwork upto "&amp;C116&amp;" Floor",""))&amp;(IF(C117=H111,", Internal Plaster",IF(C117&gt;0,", Internal Plaster upto "&amp;C117&amp;" Floor",""))&amp;(IF(C118=H111,", External Plaster",IF(C118&gt;0,", External Plaster upto "&amp;C118&amp;" Floor",""))&amp;(IF(C119=H111,", External Plumbing, Elevation and Waterproofing",IF(C119&gt;0,", External Plumbing, Elevation and Waterproofing upto "&amp;C119&amp;" Floor",""))&amp;(IF(C120=H111,", Flooring &amp; Fitting",IF(C120&gt;0,", Flooring &amp; Fitting upto "&amp;C120&amp;" Floor",""))&amp;(IF(C121=H111,", Wooden Work",IF(C121&gt;0,", Wooden Work upto "&amp;C121&amp;" Floor",""))&amp;(IF(C122=H111,", Electrical &amp; Sanitary fittings",IF(C122&gt;0,", Electrical &amp; Sanitary fittings upto "&amp;C122&amp;" Floor",""))&amp;(IF(C123&gt;0,", Finishing upto "&amp;C123&amp;" Floor","")&amp;(IF(C115&gt;0.5," Completed",""))))))))))))))))</f>
        <v>Work not yet Started.</v>
      </c>
      <c r="J110" s="18"/>
    </row>
    <row r="111" spans="1:10" ht="21" hidden="1" x14ac:dyDescent="0.4">
      <c r="A111" s="116"/>
      <c r="B111" s="116"/>
      <c r="C111" s="116"/>
      <c r="D111" s="52">
        <f>IF(AND(ISNUMBER(SEARCH("1B",A110))),1,IF(AND(ISNUMBER(SEARCH("2B",A110))),2,IF(AND(ISNUMBER(SEARCH("3B",A110))),3,IF(AND(ISNUMBER(SEARCH("4B",A110))),4,IF(ISNUMBER(SEARCH("5B",A110)),5,0)))))</f>
        <v>0</v>
      </c>
      <c r="E111" s="117">
        <v>1</v>
      </c>
      <c r="F111" s="117"/>
      <c r="G111" s="52">
        <v>0</v>
      </c>
      <c r="H111" s="30">
        <f ca="1">--TRIM(RIGHT(SUBSTITUTE(LEFT(A110,_xlfn.AGGREGATE(16,6,FIND({0,1,2,3,4,5,6,7,8,9},A110,ROW(INDIRECT("1:"&amp;LEN(A110)))),1))," ",REPT(" ",LEN(A110))),LEN(A110)))</f>
        <v>42</v>
      </c>
      <c r="I111" s="17" t="s">
        <v>119</v>
      </c>
      <c r="J111" s="18"/>
    </row>
    <row r="112" spans="1:10" ht="20.25" hidden="1" customHeight="1" x14ac:dyDescent="0.4">
      <c r="A112" s="118" t="s">
        <v>117</v>
      </c>
      <c r="B112" s="118"/>
      <c r="C112" s="28" t="s">
        <v>127</v>
      </c>
      <c r="D112" s="28" t="s">
        <v>128</v>
      </c>
      <c r="E112" s="118" t="s">
        <v>118</v>
      </c>
      <c r="F112" s="118"/>
      <c r="G112" s="29" t="s">
        <v>116</v>
      </c>
      <c r="H112" s="29"/>
      <c r="I112" s="20" t="s">
        <v>129</v>
      </c>
      <c r="J112" s="19">
        <f ca="1">H111*25%</f>
        <v>10.5</v>
      </c>
    </row>
    <row r="113" spans="1:11" ht="20.25" hidden="1" customHeight="1" x14ac:dyDescent="0.4">
      <c r="A113" s="119" t="s">
        <v>130</v>
      </c>
      <c r="B113" s="119"/>
      <c r="C113" s="30">
        <v>0</v>
      </c>
      <c r="D113" s="5">
        <f ca="1">((100/H111)*C113)/100</f>
        <v>0</v>
      </c>
      <c r="E113" s="120">
        <f ca="1">(((C113/H111*10)+(C114/H111*15)+(25/(E111+G111+H111)*C115)+(5/(H111)*C116)+(2.5/(H111)*C117)+(2.5/(H111)*C118)+(5/H111*C119)+(10/H111*C120)+(2.5/H111*C121)+(2.5/H111*C122)+(10/H111*C123)+(10/H111*C124))/100)</f>
        <v>0</v>
      </c>
      <c r="F113" s="121"/>
      <c r="G113" s="119" t="str">
        <f ca="1">I110</f>
        <v>Work not yet Started.</v>
      </c>
      <c r="H113" s="119"/>
      <c r="I113" s="20" t="s">
        <v>120</v>
      </c>
      <c r="J113" s="24">
        <f ca="1">H111*50%</f>
        <v>21</v>
      </c>
    </row>
    <row r="114" spans="1:11" ht="21" hidden="1" x14ac:dyDescent="0.4">
      <c r="A114" s="119" t="s">
        <v>101</v>
      </c>
      <c r="B114" s="119"/>
      <c r="C114" s="32">
        <v>0</v>
      </c>
      <c r="D114" s="5">
        <f ca="1">((100/H111)*C114)/100</f>
        <v>0</v>
      </c>
      <c r="E114" s="122"/>
      <c r="F114" s="123"/>
      <c r="G114" s="119"/>
      <c r="H114" s="119"/>
      <c r="I114" s="20" t="s">
        <v>121</v>
      </c>
      <c r="J114" s="24">
        <f ca="1">H111</f>
        <v>42</v>
      </c>
    </row>
    <row r="115" spans="1:11" ht="21" hidden="1" customHeight="1" x14ac:dyDescent="0.4">
      <c r="A115" s="119" t="s">
        <v>131</v>
      </c>
      <c r="B115" s="119"/>
      <c r="C115" s="30">
        <v>0</v>
      </c>
      <c r="D115" s="5">
        <f ca="1">((100/(E111+G111+H111))*C115)/100</f>
        <v>0</v>
      </c>
      <c r="E115" s="122"/>
      <c r="F115" s="123"/>
      <c r="G115" s="119"/>
      <c r="H115" s="119"/>
      <c r="I115" s="20" t="s">
        <v>122</v>
      </c>
      <c r="J115" s="25">
        <f ca="1">(IF(D111&gt;1,(H111/(D111+2)),H111*0.2))</f>
        <v>8.4</v>
      </c>
    </row>
    <row r="116" spans="1:11" ht="21" hidden="1" customHeight="1" x14ac:dyDescent="0.4">
      <c r="A116" s="119" t="s">
        <v>132</v>
      </c>
      <c r="B116" s="119"/>
      <c r="C116" s="30">
        <v>0</v>
      </c>
      <c r="D116" s="5">
        <f ca="1">((100/H111)*C116)/100</f>
        <v>0</v>
      </c>
      <c r="E116" s="122"/>
      <c r="F116" s="123"/>
      <c r="G116" s="119"/>
      <c r="H116" s="119"/>
      <c r="I116" s="20" t="s">
        <v>123</v>
      </c>
      <c r="J116" s="25">
        <f ca="1">(IF(D111&gt;1,(H111/(D111+2)+J115),H111*0.2+J115))</f>
        <v>16.8</v>
      </c>
    </row>
    <row r="117" spans="1:11" ht="21" hidden="1" customHeight="1" x14ac:dyDescent="0.4">
      <c r="A117" s="126" t="s">
        <v>133</v>
      </c>
      <c r="B117" s="127"/>
      <c r="C117" s="30">
        <v>0</v>
      </c>
      <c r="D117" s="5">
        <f ca="1">((100/H111)*C117)/100</f>
        <v>0</v>
      </c>
      <c r="E117" s="122"/>
      <c r="F117" s="123"/>
      <c r="G117" s="119"/>
      <c r="H117" s="119"/>
      <c r="I117" s="20" t="s">
        <v>134</v>
      </c>
      <c r="J117" s="25">
        <f>(IF(D111&gt;1,(H111/(D111+2)+J116),0))</f>
        <v>0</v>
      </c>
    </row>
    <row r="118" spans="1:11" ht="21" hidden="1" customHeight="1" x14ac:dyDescent="0.4">
      <c r="A118" s="126" t="s">
        <v>164</v>
      </c>
      <c r="B118" s="127"/>
      <c r="C118" s="30">
        <v>0</v>
      </c>
      <c r="D118" s="5">
        <f ca="1">((100/H111)*C118)/100</f>
        <v>0</v>
      </c>
      <c r="E118" s="122"/>
      <c r="F118" s="123"/>
      <c r="G118" s="119"/>
      <c r="H118" s="119"/>
      <c r="I118" s="20" t="s">
        <v>135</v>
      </c>
      <c r="J118" s="25">
        <f>(IF(D111&gt;2,(H111/(D111+2)+J117),0))</f>
        <v>0</v>
      </c>
    </row>
    <row r="119" spans="1:11" ht="57.75" hidden="1" customHeight="1" x14ac:dyDescent="0.4">
      <c r="A119" s="126" t="s">
        <v>161</v>
      </c>
      <c r="B119" s="127"/>
      <c r="C119" s="30">
        <v>0</v>
      </c>
      <c r="D119" s="5">
        <f ca="1">((100/(H111))*C119)/100</f>
        <v>0</v>
      </c>
      <c r="E119" s="122"/>
      <c r="F119" s="123"/>
      <c r="G119" s="119"/>
      <c r="H119" s="119"/>
      <c r="I119" s="20" t="s">
        <v>137</v>
      </c>
      <c r="J119" s="26">
        <f>(IF(D111&gt;3,(H111/(D111+2)+J118),0))</f>
        <v>0</v>
      </c>
    </row>
    <row r="120" spans="1:11" ht="21" hidden="1" x14ac:dyDescent="0.4">
      <c r="A120" s="119" t="s">
        <v>136</v>
      </c>
      <c r="B120" s="119"/>
      <c r="C120" s="30">
        <v>0</v>
      </c>
      <c r="D120" s="5">
        <f ca="1">((100/(H111))*C120)/100</f>
        <v>0</v>
      </c>
      <c r="E120" s="122"/>
      <c r="F120" s="123"/>
      <c r="G120" s="119"/>
      <c r="H120" s="119"/>
      <c r="I120" s="20" t="s">
        <v>138</v>
      </c>
      <c r="J120" s="25">
        <f>(IF(D111&gt;4,(H111/(D111+2)+J119),0))</f>
        <v>0</v>
      </c>
    </row>
    <row r="121" spans="1:11" ht="21" hidden="1" customHeight="1" x14ac:dyDescent="0.4">
      <c r="A121" s="119" t="s">
        <v>163</v>
      </c>
      <c r="B121" s="119"/>
      <c r="C121" s="30">
        <v>0</v>
      </c>
      <c r="D121" s="5">
        <f ca="1">((100/H111)*C121)/100</f>
        <v>0</v>
      </c>
      <c r="E121" s="122"/>
      <c r="F121" s="123"/>
      <c r="G121" s="119"/>
      <c r="H121" s="119"/>
      <c r="I121" s="20" t="s">
        <v>124</v>
      </c>
      <c r="J121" s="25">
        <f ca="1">(IF(D111=1,(H111/(D111+3)+J116),IF(D111=0,(H111*0.3+J116),IF(D111&gt;1,0))))</f>
        <v>29.4</v>
      </c>
    </row>
    <row r="122" spans="1:11" ht="21.6" hidden="1" thickBot="1" x14ac:dyDescent="0.45">
      <c r="A122" s="119" t="s">
        <v>162</v>
      </c>
      <c r="B122" s="119"/>
      <c r="C122" s="30">
        <v>0</v>
      </c>
      <c r="D122" s="5">
        <f ca="1">((100/H111)*C122)/100</f>
        <v>0</v>
      </c>
      <c r="E122" s="122"/>
      <c r="F122" s="123"/>
      <c r="G122" s="119"/>
      <c r="H122" s="119"/>
      <c r="I122" s="22" t="s">
        <v>125</v>
      </c>
      <c r="J122" s="27">
        <f ca="1">(IF(D111&gt;1.5,(H111/(D111+2)+J116+MAX(0,J117-J116)+MAX(0,J118-J117)+MAX(0,J119-J118)+MAX(0,J120-J119)+MAX(0,J121-J120)),IF(D111=1,(H111/(D111+3)+J121),IF(D111=0,H111*0.3+J121))))</f>
        <v>42</v>
      </c>
    </row>
    <row r="123" spans="1:11" ht="21" hidden="1" x14ac:dyDescent="0.3">
      <c r="A123" s="119" t="s">
        <v>139</v>
      </c>
      <c r="B123" s="119"/>
      <c r="C123" s="30">
        <v>0</v>
      </c>
      <c r="D123" s="5">
        <f ca="1">((100/(H111))*C123)/100</f>
        <v>0</v>
      </c>
      <c r="E123" s="122"/>
      <c r="F123" s="123"/>
      <c r="G123" s="119"/>
      <c r="H123" s="119"/>
    </row>
    <row r="124" spans="1:11" ht="21" hidden="1" x14ac:dyDescent="0.3">
      <c r="A124" s="119" t="s">
        <v>140</v>
      </c>
      <c r="B124" s="119"/>
      <c r="C124" s="30">
        <v>0</v>
      </c>
      <c r="D124" s="5">
        <f ca="1">((100/(H111))*C124)/100</f>
        <v>0</v>
      </c>
      <c r="E124" s="124"/>
      <c r="F124" s="125"/>
      <c r="G124" s="119"/>
      <c r="H124" s="119"/>
    </row>
    <row r="125" spans="1:11" ht="36.75" customHeight="1" x14ac:dyDescent="0.4">
      <c r="A125" s="128" t="s">
        <v>126</v>
      </c>
      <c r="B125" s="129"/>
      <c r="C125" s="129"/>
      <c r="D125" s="129"/>
      <c r="E125" s="129"/>
      <c r="F125" s="129"/>
      <c r="G125" s="141">
        <f ca="1">AVERAGE(E65,E81,E97,E113)</f>
        <v>0</v>
      </c>
      <c r="H125" s="142"/>
      <c r="I125" s="20"/>
      <c r="J125" s="21"/>
      <c r="K125" s="21"/>
    </row>
    <row r="126" spans="1:11" ht="21" x14ac:dyDescent="0.3">
      <c r="A126" s="150" t="s">
        <v>69</v>
      </c>
      <c r="B126" s="151"/>
      <c r="C126" s="151"/>
      <c r="D126" s="151"/>
      <c r="E126" s="151"/>
      <c r="F126" s="151"/>
      <c r="G126" s="151"/>
      <c r="H126" s="152"/>
    </row>
    <row r="127" spans="1:11" ht="43.8" customHeight="1" x14ac:dyDescent="0.3">
      <c r="A127" s="153" t="s">
        <v>70</v>
      </c>
      <c r="B127" s="154"/>
      <c r="C127" s="147" t="s">
        <v>105</v>
      </c>
      <c r="D127" s="148"/>
      <c r="E127" s="153" t="s">
        <v>141</v>
      </c>
      <c r="F127" s="154" t="s">
        <v>4</v>
      </c>
      <c r="G127" s="171" t="s">
        <v>154</v>
      </c>
      <c r="H127" s="171"/>
    </row>
    <row r="128" spans="1:11" ht="44.25" customHeight="1" x14ac:dyDescent="0.3">
      <c r="A128" s="153" t="s">
        <v>151</v>
      </c>
      <c r="B128" s="154"/>
      <c r="C128" s="147" t="s">
        <v>349</v>
      </c>
      <c r="D128" s="148"/>
      <c r="E128" s="153" t="s">
        <v>152</v>
      </c>
      <c r="F128" s="154" t="s">
        <v>4</v>
      </c>
      <c r="G128" s="133" t="s">
        <v>142</v>
      </c>
      <c r="H128" s="133"/>
    </row>
    <row r="129" spans="1:150 16226:16383" ht="21" x14ac:dyDescent="0.3">
      <c r="A129" s="153" t="s">
        <v>71</v>
      </c>
      <c r="B129" s="154"/>
      <c r="C129" s="96">
        <v>500000</v>
      </c>
      <c r="D129" s="98"/>
      <c r="E129" s="153" t="s">
        <v>99</v>
      </c>
      <c r="F129" s="154" t="s">
        <v>4</v>
      </c>
      <c r="G129" s="147" t="s">
        <v>106</v>
      </c>
      <c r="H129" s="148"/>
    </row>
    <row r="130" spans="1:150 16226:16383" ht="21" x14ac:dyDescent="0.3">
      <c r="A130" s="150" t="s">
        <v>68</v>
      </c>
      <c r="B130" s="151"/>
      <c r="C130" s="151"/>
      <c r="D130" s="151"/>
      <c r="E130" s="151"/>
      <c r="F130" s="151"/>
      <c r="G130" s="151"/>
      <c r="H130" s="152"/>
    </row>
    <row r="131" spans="1:150 16226:16383" ht="20.25" customHeight="1" x14ac:dyDescent="0.3">
      <c r="A131" s="153" t="s">
        <v>8</v>
      </c>
      <c r="B131" s="179"/>
      <c r="C131" s="179"/>
      <c r="D131" s="179"/>
      <c r="E131" s="179"/>
      <c r="F131" s="154"/>
      <c r="G131" s="143">
        <v>410.63</v>
      </c>
      <c r="H131" s="144"/>
    </row>
    <row r="132" spans="1:150 16226:16383" ht="20.25" customHeight="1" x14ac:dyDescent="0.3">
      <c r="A132" s="153" t="s">
        <v>27</v>
      </c>
      <c r="B132" s="179"/>
      <c r="C132" s="179"/>
      <c r="D132" s="179"/>
      <c r="E132" s="179"/>
      <c r="F132" s="154" t="s">
        <v>4</v>
      </c>
      <c r="G132" s="149">
        <v>4580.08</v>
      </c>
      <c r="H132" s="149"/>
    </row>
    <row r="133" spans="1:150 16226:16383" ht="20.25" customHeight="1" x14ac:dyDescent="0.3">
      <c r="A133" s="153" t="s">
        <v>107</v>
      </c>
      <c r="B133" s="179"/>
      <c r="C133" s="179"/>
      <c r="D133" s="179"/>
      <c r="E133" s="179"/>
      <c r="F133" s="154" t="s">
        <v>4</v>
      </c>
      <c r="G133" s="149">
        <v>6400</v>
      </c>
      <c r="H133" s="149"/>
    </row>
    <row r="134" spans="1:150 16226:16383" ht="21" hidden="1" x14ac:dyDescent="0.3">
      <c r="A134" s="145" t="s">
        <v>239</v>
      </c>
      <c r="B134" s="146"/>
      <c r="C134" s="146"/>
      <c r="D134" s="146"/>
      <c r="E134" s="146"/>
      <c r="F134" s="146"/>
      <c r="G134" s="146"/>
      <c r="H134" s="132"/>
    </row>
    <row r="135" spans="1:150 16226:16383" s="3" customFormat="1" ht="21" hidden="1" x14ac:dyDescent="0.3">
      <c r="A135" s="110" t="s">
        <v>148</v>
      </c>
      <c r="B135" s="111"/>
      <c r="C135" s="110" t="s">
        <v>149</v>
      </c>
      <c r="D135" s="111"/>
      <c r="E135" s="110" t="s">
        <v>147</v>
      </c>
      <c r="F135" s="111"/>
      <c r="G135" s="110" t="s">
        <v>160</v>
      </c>
      <c r="H135" s="11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1" hidden="1" x14ac:dyDescent="0.3">
      <c r="A136" s="108"/>
      <c r="B136" s="109"/>
      <c r="C136" s="108"/>
      <c r="D136" s="109"/>
      <c r="E136" s="108"/>
      <c r="F136" s="109"/>
      <c r="G136" s="108"/>
      <c r="H136" s="10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1" hidden="1" x14ac:dyDescent="0.3">
      <c r="A137" s="108"/>
      <c r="B137" s="109"/>
      <c r="C137" s="108"/>
      <c r="D137" s="109"/>
      <c r="E137" s="108"/>
      <c r="F137" s="109"/>
      <c r="G137" s="108"/>
      <c r="H137" s="10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1" hidden="1" x14ac:dyDescent="0.3">
      <c r="A138" s="110" t="s">
        <v>150</v>
      </c>
      <c r="B138" s="111"/>
      <c r="C138" s="110" t="s">
        <v>92</v>
      </c>
      <c r="D138" s="111"/>
      <c r="E138" s="110">
        <f>SUM(F136:F137)</f>
        <v>0</v>
      </c>
      <c r="F138" s="111"/>
      <c r="G138" s="110">
        <f>SUM(H136:H137)</f>
        <v>0</v>
      </c>
      <c r="H138" s="111">
        <f>SUM(H136:H137)</f>
        <v>0</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ht="21" x14ac:dyDescent="0.3">
      <c r="A139" s="145" t="s">
        <v>227</v>
      </c>
      <c r="B139" s="146"/>
      <c r="C139" s="146"/>
      <c r="D139" s="146"/>
      <c r="E139" s="146"/>
      <c r="F139" s="146"/>
      <c r="G139" s="146"/>
      <c r="H139" s="132"/>
    </row>
    <row r="140" spans="1:150 16226:16383" s="3" customFormat="1" ht="21" x14ac:dyDescent="0.3">
      <c r="A140" s="110" t="s">
        <v>148</v>
      </c>
      <c r="B140" s="111"/>
      <c r="C140" s="110" t="s">
        <v>149</v>
      </c>
      <c r="D140" s="111"/>
      <c r="E140" s="110" t="s">
        <v>147</v>
      </c>
      <c r="F140" s="111"/>
      <c r="G140" s="110" t="s">
        <v>160</v>
      </c>
      <c r="H140" s="11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1" x14ac:dyDescent="0.3">
      <c r="A141" s="108" t="s">
        <v>328</v>
      </c>
      <c r="B141" s="109"/>
      <c r="C141" s="110" t="s">
        <v>92</v>
      </c>
      <c r="D141" s="111"/>
      <c r="E141" s="108">
        <f>COUNT(E152:E159)*35+COUNT(E161:E164,E166:E168)*7</f>
        <v>329</v>
      </c>
      <c r="F141" s="109"/>
      <c r="G141" s="108">
        <f>SUM(H152:H159)*35+SUM(H161:H164,H166:H168)*7</f>
        <v>280943.68301999994</v>
      </c>
      <c r="H141" s="109"/>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1" x14ac:dyDescent="0.3">
      <c r="A142" s="108" t="s">
        <v>336</v>
      </c>
      <c r="B142" s="109"/>
      <c r="C142" s="110" t="s">
        <v>92</v>
      </c>
      <c r="D142" s="111"/>
      <c r="E142" s="108">
        <f>COUNT(E172:E179)*35+COUNT(E181,E183:E188)*7</f>
        <v>329</v>
      </c>
      <c r="F142" s="109"/>
      <c r="G142" s="108">
        <f>SUM(H172:H179)*35+SUM(H181,H183:H188)*7</f>
        <v>290341.76371199999</v>
      </c>
      <c r="H142" s="109"/>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1" x14ac:dyDescent="0.3">
      <c r="A143" s="108" t="s">
        <v>337</v>
      </c>
      <c r="B143" s="109"/>
      <c r="C143" s="110" t="s">
        <v>92</v>
      </c>
      <c r="D143" s="111"/>
      <c r="E143" s="108">
        <f>COUNT(E192:E199)*35+COUNT(E201,E203:E208)*7</f>
        <v>329</v>
      </c>
      <c r="F143" s="109"/>
      <c r="G143" s="108">
        <f>SUM(H192:H199)*35+SUM(H201,H203:H208)*7</f>
        <v>208364.26993200002</v>
      </c>
      <c r="H143" s="10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1" x14ac:dyDescent="0.3">
      <c r="A144" s="108" t="s">
        <v>340</v>
      </c>
      <c r="B144" s="109"/>
      <c r="C144" s="110" t="s">
        <v>92</v>
      </c>
      <c r="D144" s="111"/>
      <c r="E144" s="108">
        <f>COUNT(E212:E219)*35+COUNT(E221:E224,E226:E228)*7</f>
        <v>329</v>
      </c>
      <c r="F144" s="109"/>
      <c r="G144" s="108">
        <f>SUM(H212:H219)*35+SUM(H221:H224,H226:H228)*7</f>
        <v>208439.61793199999</v>
      </c>
      <c r="H144" s="10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1" x14ac:dyDescent="0.3">
      <c r="A145" s="85" t="s">
        <v>357</v>
      </c>
      <c r="B145" s="86"/>
      <c r="C145" s="87" t="s">
        <v>92</v>
      </c>
      <c r="D145" s="88"/>
      <c r="E145" s="85">
        <f>COUNT(H232:H239)*35+COUNT(H241,H243:H248)*7</f>
        <v>329</v>
      </c>
      <c r="F145" s="86"/>
      <c r="G145" s="85">
        <f>SUM(H232:H239)*35+SUM(H241,H243:H248)*7</f>
        <v>290341.76371199999</v>
      </c>
      <c r="H145" s="86"/>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1" x14ac:dyDescent="0.3">
      <c r="A146" s="110" t="s">
        <v>240</v>
      </c>
      <c r="B146" s="111"/>
      <c r="C146" s="110" t="s">
        <v>92</v>
      </c>
      <c r="D146" s="111"/>
      <c r="E146" s="110">
        <f>SUM(E141:F145)</f>
        <v>1645</v>
      </c>
      <c r="F146" s="111"/>
      <c r="G146" s="110">
        <f>SUM(G141:H145)</f>
        <v>1278431.0983079998</v>
      </c>
      <c r="H146" s="11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ht="21" x14ac:dyDescent="0.3">
      <c r="A147" s="130" t="s">
        <v>146</v>
      </c>
      <c r="B147" s="131"/>
      <c r="C147" s="131"/>
      <c r="D147" s="131"/>
      <c r="E147" s="131"/>
      <c r="F147" s="131"/>
      <c r="G147" s="131"/>
      <c r="H147" s="132"/>
    </row>
    <row r="148" spans="1:150 16226:16383" ht="66" customHeight="1" x14ac:dyDescent="0.3">
      <c r="A148" s="53" t="s">
        <v>228</v>
      </c>
      <c r="B148" s="31" t="s">
        <v>229</v>
      </c>
      <c r="C148" s="34" t="s">
        <v>230</v>
      </c>
      <c r="D148" s="31" t="s">
        <v>86</v>
      </c>
      <c r="E148" s="31" t="s">
        <v>331</v>
      </c>
      <c r="F148" s="34" t="s">
        <v>231</v>
      </c>
      <c r="G148" s="31" t="s">
        <v>88</v>
      </c>
      <c r="H148" s="31" t="s">
        <v>87</v>
      </c>
      <c r="I148" s="33">
        <v>10.763999999999999</v>
      </c>
    </row>
    <row r="149" spans="1:150 16226:16383" s="3" customFormat="1" ht="21" x14ac:dyDescent="0.3">
      <c r="A149" s="99" t="s">
        <v>328</v>
      </c>
      <c r="B149" s="100"/>
      <c r="C149" s="100"/>
      <c r="D149" s="100"/>
      <c r="E149" s="100"/>
      <c r="F149" s="100"/>
      <c r="G149" s="100"/>
      <c r="H149" s="10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1" x14ac:dyDescent="0.3">
      <c r="A150" s="99" t="s">
        <v>329</v>
      </c>
      <c r="B150" s="100"/>
      <c r="C150" s="100"/>
      <c r="D150" s="100"/>
      <c r="E150" s="100"/>
      <c r="F150" s="100"/>
      <c r="G150" s="100"/>
      <c r="H150" s="10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40.5" customHeight="1" x14ac:dyDescent="0.3">
      <c r="A151" s="99" t="s">
        <v>330</v>
      </c>
      <c r="B151" s="100"/>
      <c r="C151" s="100"/>
      <c r="D151" s="100"/>
      <c r="E151" s="100"/>
      <c r="F151" s="100"/>
      <c r="G151" s="100"/>
      <c r="H151" s="101"/>
      <c r="I151" s="1">
        <f>6+4+4+4+4+4+4+5</f>
        <v>35</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1" x14ac:dyDescent="0.3">
      <c r="A152" s="114">
        <v>1</v>
      </c>
      <c r="B152" s="114"/>
      <c r="C152" s="78" t="s">
        <v>92</v>
      </c>
      <c r="D152" s="79" t="s">
        <v>333</v>
      </c>
      <c r="E152" s="80">
        <f>(64.535)*10.764</f>
        <v>694.65473999999995</v>
      </c>
      <c r="F152" s="80">
        <f>(6.466)*10.764</f>
        <v>69.600024000000005</v>
      </c>
      <c r="G152" s="81">
        <v>0</v>
      </c>
      <c r="H152" s="81">
        <f>E152+F152+(IF(G152&lt;101,G152,IF(G152&lt;201,G152/2,IF(G152&lt;=301,G152/3,G152/4))))</f>
        <v>764.25476399999991</v>
      </c>
      <c r="I152" s="76">
        <f>3.2*5.64+2.13*3.05+3.05*3.65+3.2*3.96+2.28*(1.38+1.38)+3.15+2.6*1.05+1.53*1.29</f>
        <v>62.4955</v>
      </c>
      <c r="J152" s="1">
        <f>2.85*1.22</f>
        <v>3.4769999999999999</v>
      </c>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1" x14ac:dyDescent="0.3">
      <c r="A153" s="112">
        <f>A152+1</f>
        <v>2</v>
      </c>
      <c r="B153" s="113"/>
      <c r="C153" s="78" t="s">
        <v>92</v>
      </c>
      <c r="D153" s="79" t="s">
        <v>333</v>
      </c>
      <c r="E153" s="80">
        <f>(64.535)*10.764</f>
        <v>694.65473999999995</v>
      </c>
      <c r="F153" s="80">
        <f>(6.466)*10.764</f>
        <v>69.600024000000005</v>
      </c>
      <c r="G153" s="81">
        <v>0</v>
      </c>
      <c r="H153" s="81">
        <f t="shared" ref="H153:H159" si="0">E153+F153+(IF(G153&lt;101,G153,IF(G153&lt;201,G153/2,IF(G153&lt;=301,G153/3,G153/4))))</f>
        <v>764.25476399999991</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1" x14ac:dyDescent="0.3">
      <c r="A154" s="112">
        <f t="shared" ref="A154:A159" si="1">A153+1</f>
        <v>3</v>
      </c>
      <c r="B154" s="113"/>
      <c r="C154" s="78" t="s">
        <v>92</v>
      </c>
      <c r="D154" s="79" t="s">
        <v>332</v>
      </c>
      <c r="E154" s="80">
        <f>(100.683)*10.764</f>
        <v>1083.751812</v>
      </c>
      <c r="F154" s="80">
        <f>(8.994)*10.764</f>
        <v>96.811415999999994</v>
      </c>
      <c r="G154" s="81">
        <v>0</v>
      </c>
      <c r="H154" s="81">
        <f t="shared" si="0"/>
        <v>1180.563228</v>
      </c>
      <c r="I154" s="1">
        <f>3.35*6.4+3.35*2.44+3.2*3.96+3.35*4.72+3.96*3.54+1.53*(2.44+2.44+2.44)+3*1.05+4.5*0.9+2.9*1.05</f>
        <v>93.561000000000007</v>
      </c>
      <c r="J154" s="1">
        <f>3.35*1.53+2.29*1.16</f>
        <v>7.7819000000000003</v>
      </c>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3">
      <c r="A155" s="112">
        <f t="shared" si="1"/>
        <v>4</v>
      </c>
      <c r="B155" s="113"/>
      <c r="C155" s="78" t="s">
        <v>92</v>
      </c>
      <c r="D155" s="79" t="s">
        <v>332</v>
      </c>
      <c r="E155" s="80">
        <f>(100.683)*10.764</f>
        <v>1083.751812</v>
      </c>
      <c r="F155" s="80">
        <f>(8.994)*10.764</f>
        <v>96.811415999999994</v>
      </c>
      <c r="G155" s="81">
        <v>0</v>
      </c>
      <c r="H155" s="81">
        <f t="shared" si="0"/>
        <v>1180.563228</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
      <c r="A156" s="112">
        <f t="shared" si="1"/>
        <v>5</v>
      </c>
      <c r="B156" s="113"/>
      <c r="C156" s="78" t="s">
        <v>92</v>
      </c>
      <c r="D156" s="79" t="s">
        <v>333</v>
      </c>
      <c r="E156" s="80">
        <f>(59.055)*10.764</f>
        <v>635.66801999999996</v>
      </c>
      <c r="F156" s="80">
        <f>(6.058)*10.764</f>
        <v>65.208311999999992</v>
      </c>
      <c r="G156" s="81">
        <v>0</v>
      </c>
      <c r="H156" s="81">
        <f t="shared" si="0"/>
        <v>700.87633199999993</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3">
      <c r="A157" s="112">
        <f t="shared" si="1"/>
        <v>6</v>
      </c>
      <c r="B157" s="113"/>
      <c r="C157" s="78" t="s">
        <v>92</v>
      </c>
      <c r="D157" s="79" t="s">
        <v>333</v>
      </c>
      <c r="E157" s="80">
        <f>(59.055)*10.764</f>
        <v>635.66801999999996</v>
      </c>
      <c r="F157" s="80">
        <f>(6.058)*10.764</f>
        <v>65.208311999999992</v>
      </c>
      <c r="G157" s="81">
        <v>0</v>
      </c>
      <c r="H157" s="81">
        <f t="shared" si="0"/>
        <v>700.87633199999993</v>
      </c>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3">
      <c r="A158" s="112">
        <f t="shared" si="1"/>
        <v>7</v>
      </c>
      <c r="B158" s="113"/>
      <c r="C158" s="78" t="s">
        <v>92</v>
      </c>
      <c r="D158" s="79" t="s">
        <v>333</v>
      </c>
      <c r="E158" s="80">
        <f>(64.245)*10.764</f>
        <v>691.53318000000002</v>
      </c>
      <c r="F158" s="80">
        <f>(6.108)*10.764</f>
        <v>65.746511999999996</v>
      </c>
      <c r="G158" s="81">
        <v>0</v>
      </c>
      <c r="H158" s="81">
        <f t="shared" si="0"/>
        <v>757.27969200000007</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3">
      <c r="A159" s="112">
        <f t="shared" si="1"/>
        <v>8</v>
      </c>
      <c r="B159" s="113"/>
      <c r="C159" s="78" t="s">
        <v>92</v>
      </c>
      <c r="D159" s="79" t="s">
        <v>333</v>
      </c>
      <c r="E159" s="80">
        <f>(64.245)*10.764</f>
        <v>691.53318000000002</v>
      </c>
      <c r="F159" s="80">
        <f>(6.108)*10.764</f>
        <v>65.746511999999996</v>
      </c>
      <c r="G159" s="81">
        <v>0</v>
      </c>
      <c r="H159" s="81">
        <f t="shared" si="0"/>
        <v>757.27969200000007</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1" x14ac:dyDescent="0.3">
      <c r="A160" s="103" t="s">
        <v>334</v>
      </c>
      <c r="B160" s="104"/>
      <c r="C160" s="104"/>
      <c r="D160" s="104"/>
      <c r="E160" s="104"/>
      <c r="F160" s="104"/>
      <c r="G160" s="104"/>
      <c r="H160" s="105"/>
      <c r="I160" s="1">
        <f>7</f>
        <v>7</v>
      </c>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3">
      <c r="A161" s="114">
        <v>1</v>
      </c>
      <c r="B161" s="114"/>
      <c r="C161" s="78" t="s">
        <v>92</v>
      </c>
      <c r="D161" s="79" t="s">
        <v>333</v>
      </c>
      <c r="E161" s="80">
        <f>(64.535)*10.764</f>
        <v>694.65473999999995</v>
      </c>
      <c r="F161" s="80">
        <f>(6.466)*10.764</f>
        <v>69.600024000000005</v>
      </c>
      <c r="G161" s="81">
        <v>0</v>
      </c>
      <c r="H161" s="81">
        <f>E161+F161+(IF(G161&lt;101,G161,IF(G161&lt;201,G161/2,IF(G161&lt;=301,G161/3,G161/4))))</f>
        <v>764.25476399999991</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1" x14ac:dyDescent="0.3">
      <c r="A162" s="112">
        <f>A161+1</f>
        <v>2</v>
      </c>
      <c r="B162" s="113"/>
      <c r="C162" s="78" t="s">
        <v>92</v>
      </c>
      <c r="D162" s="79" t="s">
        <v>333</v>
      </c>
      <c r="E162" s="80">
        <f>(64.535)*10.764</f>
        <v>694.65473999999995</v>
      </c>
      <c r="F162" s="80">
        <f>(6.466)*10.764</f>
        <v>69.600024000000005</v>
      </c>
      <c r="G162" s="81">
        <v>0</v>
      </c>
      <c r="H162" s="81">
        <f t="shared" ref="H162:H168" si="2">E162+F162+(IF(G162&lt;101,G162,IF(G162&lt;201,G162/2,IF(G162&lt;=301,G162/3,G162/4))))</f>
        <v>764.25476399999991</v>
      </c>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1" x14ac:dyDescent="0.3">
      <c r="A163" s="112">
        <f t="shared" ref="A163:A168" si="3">A162+1</f>
        <v>3</v>
      </c>
      <c r="B163" s="113"/>
      <c r="C163" s="78" t="s">
        <v>92</v>
      </c>
      <c r="D163" s="79" t="s">
        <v>332</v>
      </c>
      <c r="E163" s="80">
        <f>(100.683)*10.764</f>
        <v>1083.751812</v>
      </c>
      <c r="F163" s="80">
        <f>(8.994)*10.764</f>
        <v>96.811415999999994</v>
      </c>
      <c r="G163" s="81">
        <v>0</v>
      </c>
      <c r="H163" s="81">
        <f t="shared" si="2"/>
        <v>1180.563228</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3">
      <c r="A164" s="83">
        <f t="shared" si="3"/>
        <v>4</v>
      </c>
      <c r="B164" s="84"/>
      <c r="C164" s="78" t="s">
        <v>92</v>
      </c>
      <c r="D164" s="54" t="s">
        <v>332</v>
      </c>
      <c r="E164" s="33">
        <f>(100.683)*10.764</f>
        <v>1083.751812</v>
      </c>
      <c r="F164" s="33">
        <f>(8.994)*10.764</f>
        <v>96.811415999999994</v>
      </c>
      <c r="G164" s="6">
        <v>0</v>
      </c>
      <c r="H164" s="6">
        <f t="shared" si="2"/>
        <v>1180.563228</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3">
      <c r="A165" s="83">
        <f t="shared" si="3"/>
        <v>5</v>
      </c>
      <c r="B165" s="84"/>
      <c r="C165" s="89" t="s">
        <v>335</v>
      </c>
      <c r="D165" s="90"/>
      <c r="E165" s="90"/>
      <c r="F165" s="90"/>
      <c r="G165" s="90"/>
      <c r="H165" s="9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3">
      <c r="A166" s="83">
        <f t="shared" si="3"/>
        <v>6</v>
      </c>
      <c r="B166" s="84"/>
      <c r="C166" s="78" t="s">
        <v>92</v>
      </c>
      <c r="D166" s="54" t="s">
        <v>333</v>
      </c>
      <c r="E166" s="33">
        <f>(59.055)*10.764</f>
        <v>635.66801999999996</v>
      </c>
      <c r="F166" s="33">
        <f>(6.058)*10.764</f>
        <v>65.208311999999992</v>
      </c>
      <c r="G166" s="6">
        <v>0</v>
      </c>
      <c r="H166" s="6">
        <f t="shared" si="2"/>
        <v>700.87633199999993</v>
      </c>
      <c r="I166" s="1">
        <f>9900000/H166</f>
        <v>14125.173797422511</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3">
      <c r="A167" s="83">
        <f t="shared" si="3"/>
        <v>7</v>
      </c>
      <c r="B167" s="84"/>
      <c r="C167" s="78" t="s">
        <v>92</v>
      </c>
      <c r="D167" s="54" t="s">
        <v>333</v>
      </c>
      <c r="E167" s="33">
        <f>(64.245)*10.764</f>
        <v>691.53318000000002</v>
      </c>
      <c r="F167" s="33">
        <f>(6.108)*10.764</f>
        <v>65.746511999999996</v>
      </c>
      <c r="G167" s="6">
        <v>0</v>
      </c>
      <c r="H167" s="6">
        <f t="shared" si="2"/>
        <v>757.27969200000007</v>
      </c>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3">
      <c r="A168" s="83">
        <f t="shared" si="3"/>
        <v>8</v>
      </c>
      <c r="B168" s="84"/>
      <c r="C168" s="78" t="s">
        <v>92</v>
      </c>
      <c r="D168" s="54" t="s">
        <v>333</v>
      </c>
      <c r="E168" s="33">
        <f>(64.245)*10.764</f>
        <v>691.53318000000002</v>
      </c>
      <c r="F168" s="33">
        <f>(6.108)*10.764</f>
        <v>65.746511999999996</v>
      </c>
      <c r="G168" s="6">
        <v>0</v>
      </c>
      <c r="H168" s="6">
        <f t="shared" si="2"/>
        <v>757.27969200000007</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1" x14ac:dyDescent="0.3">
      <c r="A169" s="99" t="s">
        <v>336</v>
      </c>
      <c r="B169" s="100"/>
      <c r="C169" s="100"/>
      <c r="D169" s="100"/>
      <c r="E169" s="100"/>
      <c r="F169" s="100"/>
      <c r="G169" s="100"/>
      <c r="H169" s="10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1" x14ac:dyDescent="0.3">
      <c r="A170" s="99" t="s">
        <v>329</v>
      </c>
      <c r="B170" s="100"/>
      <c r="C170" s="100"/>
      <c r="D170" s="100"/>
      <c r="E170" s="100"/>
      <c r="F170" s="100"/>
      <c r="G170" s="100"/>
      <c r="H170" s="10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39.75" customHeight="1" x14ac:dyDescent="0.3">
      <c r="A171" s="99" t="s">
        <v>330</v>
      </c>
      <c r="B171" s="100"/>
      <c r="C171" s="100"/>
      <c r="D171" s="100"/>
      <c r="E171" s="100"/>
      <c r="F171" s="100"/>
      <c r="G171" s="100"/>
      <c r="H171" s="10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1" x14ac:dyDescent="0.3">
      <c r="A172" s="102">
        <v>1</v>
      </c>
      <c r="B172" s="102"/>
      <c r="C172" s="78" t="s">
        <v>92</v>
      </c>
      <c r="D172" s="54" t="s">
        <v>333</v>
      </c>
      <c r="E172" s="33">
        <f>(57.03)*10.764</f>
        <v>613.87091999999996</v>
      </c>
      <c r="F172" s="33">
        <f>(5.01)*10.764</f>
        <v>53.927639999999997</v>
      </c>
      <c r="G172" s="6">
        <v>0</v>
      </c>
      <c r="H172" s="6">
        <f>E172+F172+(IF(G172&lt;101,G172,IF(G172&lt;201,G172/2,IF(G172&lt;=301,G172/3,G172/4))))</f>
        <v>667.79855999999995</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1" x14ac:dyDescent="0.3">
      <c r="A173" s="83">
        <f>A172+1</f>
        <v>2</v>
      </c>
      <c r="B173" s="84"/>
      <c r="C173" s="78" t="s">
        <v>92</v>
      </c>
      <c r="D173" s="54" t="s">
        <v>333</v>
      </c>
      <c r="E173" s="33">
        <f>(57.03)*10.764</f>
        <v>613.87091999999996</v>
      </c>
      <c r="F173" s="33">
        <f>(5.01)*10.764</f>
        <v>53.927639999999997</v>
      </c>
      <c r="G173" s="6">
        <v>0</v>
      </c>
      <c r="H173" s="6">
        <f t="shared" ref="H173:H179" si="4">E173+F173+(IF(G173&lt;101,G173,IF(G173&lt;201,G173/2,IF(G173&lt;=301,G173/3,G173/4))))</f>
        <v>667.79855999999995</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1" x14ac:dyDescent="0.3">
      <c r="A174" s="83">
        <f t="shared" ref="A174:A179" si="5">A173+1</f>
        <v>3</v>
      </c>
      <c r="B174" s="84"/>
      <c r="C174" s="78" t="s">
        <v>92</v>
      </c>
      <c r="D174" s="54" t="s">
        <v>332</v>
      </c>
      <c r="E174" s="33">
        <f>(93.014)*10.764</f>
        <v>1001.2026959999999</v>
      </c>
      <c r="F174" s="33">
        <f>(7.498)*10.764</f>
        <v>80.708472</v>
      </c>
      <c r="G174" s="6">
        <v>0</v>
      </c>
      <c r="H174" s="6">
        <f t="shared" si="4"/>
        <v>1081.9111679999999</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customHeight="1" x14ac:dyDescent="0.3">
      <c r="A175" s="83">
        <f t="shared" si="5"/>
        <v>4</v>
      </c>
      <c r="B175" s="84"/>
      <c r="C175" s="78" t="s">
        <v>92</v>
      </c>
      <c r="D175" s="54" t="s">
        <v>332</v>
      </c>
      <c r="E175" s="33">
        <f>(93.014)*10.764</f>
        <v>1001.2026959999999</v>
      </c>
      <c r="F175" s="33">
        <f>(7.498)*10.764</f>
        <v>80.708472</v>
      </c>
      <c r="G175" s="6">
        <v>0</v>
      </c>
      <c r="H175" s="6">
        <f t="shared" si="4"/>
        <v>1081.9111679999999</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customHeight="1" x14ac:dyDescent="0.3">
      <c r="A176" s="83">
        <f t="shared" si="5"/>
        <v>5</v>
      </c>
      <c r="B176" s="84"/>
      <c r="C176" s="78" t="s">
        <v>92</v>
      </c>
      <c r="D176" s="54" t="s">
        <v>333</v>
      </c>
      <c r="E176" s="33">
        <f>(64.535)*10.764</f>
        <v>694.65473999999995</v>
      </c>
      <c r="F176" s="33">
        <f>(6.466)*10.764</f>
        <v>69.600024000000005</v>
      </c>
      <c r="G176" s="6">
        <v>0</v>
      </c>
      <c r="H176" s="6">
        <f t="shared" si="4"/>
        <v>764.25476399999991</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customHeight="1" x14ac:dyDescent="0.3">
      <c r="A177" s="83">
        <f t="shared" si="5"/>
        <v>6</v>
      </c>
      <c r="B177" s="84"/>
      <c r="C177" s="78" t="s">
        <v>92</v>
      </c>
      <c r="D177" s="54" t="s">
        <v>333</v>
      </c>
      <c r="E177" s="33">
        <f>(64.535)*10.764</f>
        <v>694.65473999999995</v>
      </c>
      <c r="F177" s="33">
        <f>(6.466)*10.764</f>
        <v>69.600024000000005</v>
      </c>
      <c r="G177" s="6">
        <v>0</v>
      </c>
      <c r="H177" s="6">
        <f t="shared" si="4"/>
        <v>764.25476399999991</v>
      </c>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customHeight="1" x14ac:dyDescent="0.3">
      <c r="A178" s="83">
        <f t="shared" si="5"/>
        <v>7</v>
      </c>
      <c r="B178" s="84"/>
      <c r="C178" s="78" t="s">
        <v>92</v>
      </c>
      <c r="D178" s="54" t="s">
        <v>332</v>
      </c>
      <c r="E178" s="33">
        <f>(85.821)*10.764</f>
        <v>923.77724399999988</v>
      </c>
      <c r="F178" s="33">
        <f>(6.908)*10.764</f>
        <v>74.357712000000006</v>
      </c>
      <c r="G178" s="6">
        <v>0</v>
      </c>
      <c r="H178" s="6">
        <f t="shared" si="4"/>
        <v>998.13495599999987</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customHeight="1" x14ac:dyDescent="0.3">
      <c r="A179" s="83">
        <f t="shared" si="5"/>
        <v>8</v>
      </c>
      <c r="B179" s="84"/>
      <c r="C179" s="78" t="s">
        <v>92</v>
      </c>
      <c r="D179" s="54" t="s">
        <v>332</v>
      </c>
      <c r="E179" s="33">
        <f>(85.821)*10.764</f>
        <v>923.77724399999988</v>
      </c>
      <c r="F179" s="33">
        <f>(6.908)*10.764</f>
        <v>74.357712000000006</v>
      </c>
      <c r="G179" s="6">
        <v>0</v>
      </c>
      <c r="H179" s="6">
        <f t="shared" si="4"/>
        <v>998.13495599999987</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1" x14ac:dyDescent="0.3">
      <c r="A180" s="99" t="s">
        <v>334</v>
      </c>
      <c r="B180" s="100"/>
      <c r="C180" s="100"/>
      <c r="D180" s="100"/>
      <c r="E180" s="100"/>
      <c r="F180" s="100"/>
      <c r="G180" s="100"/>
      <c r="H180" s="10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1" x14ac:dyDescent="0.3">
      <c r="A181" s="102">
        <v>1</v>
      </c>
      <c r="B181" s="102"/>
      <c r="C181" s="78" t="s">
        <v>92</v>
      </c>
      <c r="D181" s="54" t="s">
        <v>333</v>
      </c>
      <c r="E181" s="33">
        <f>(57.03)*10.764</f>
        <v>613.87091999999996</v>
      </c>
      <c r="F181" s="33">
        <f>(5.01)*10.764</f>
        <v>53.927639999999997</v>
      </c>
      <c r="G181" s="6">
        <v>0</v>
      </c>
      <c r="H181" s="6">
        <f>E181+F181+(IF(G181&lt;101,G181,IF(G181&lt;201,G181/2,IF(G181&lt;=301,G181/3,G181/4))))</f>
        <v>667.79855999999995</v>
      </c>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1" x14ac:dyDescent="0.3">
      <c r="A182" s="83">
        <f>A181+1</f>
        <v>2</v>
      </c>
      <c r="B182" s="84"/>
      <c r="C182" s="89" t="s">
        <v>335</v>
      </c>
      <c r="D182" s="90"/>
      <c r="E182" s="90"/>
      <c r="F182" s="90"/>
      <c r="G182" s="90"/>
      <c r="H182" s="9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1" x14ac:dyDescent="0.3">
      <c r="A183" s="83">
        <f t="shared" ref="A183:A188" si="6">A182+1</f>
        <v>3</v>
      </c>
      <c r="B183" s="84"/>
      <c r="C183" s="78" t="s">
        <v>92</v>
      </c>
      <c r="D183" s="54" t="s">
        <v>332</v>
      </c>
      <c r="E183" s="33">
        <f>(93.014)*10.764</f>
        <v>1001.2026959999999</v>
      </c>
      <c r="F183" s="33">
        <f>(7.498)*10.764</f>
        <v>80.708472</v>
      </c>
      <c r="G183" s="6">
        <v>0</v>
      </c>
      <c r="H183" s="6">
        <f t="shared" ref="H183:H188" si="7">E183+F183+(IF(G183&lt;101,G183,IF(G183&lt;201,G183/2,IF(G183&lt;=301,G183/3,G183/4))))</f>
        <v>1081.9111679999999</v>
      </c>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customHeight="1" x14ac:dyDescent="0.3">
      <c r="A184" s="83">
        <f t="shared" si="6"/>
        <v>4</v>
      </c>
      <c r="B184" s="84"/>
      <c r="C184" s="78" t="s">
        <v>92</v>
      </c>
      <c r="D184" s="54" t="s">
        <v>332</v>
      </c>
      <c r="E184" s="33">
        <f>(93.014)*10.764</f>
        <v>1001.2026959999999</v>
      </c>
      <c r="F184" s="33">
        <f>(7.498)*10.764</f>
        <v>80.708472</v>
      </c>
      <c r="G184" s="6">
        <v>0</v>
      </c>
      <c r="H184" s="6">
        <f t="shared" si="7"/>
        <v>1081.9111679999999</v>
      </c>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customHeight="1" x14ac:dyDescent="0.3">
      <c r="A185" s="83">
        <f t="shared" si="6"/>
        <v>5</v>
      </c>
      <c r="B185" s="84"/>
      <c r="C185" s="78" t="s">
        <v>92</v>
      </c>
      <c r="D185" s="54" t="s">
        <v>333</v>
      </c>
      <c r="E185" s="33">
        <f>(64.535)*10.764</f>
        <v>694.65473999999995</v>
      </c>
      <c r="F185" s="33">
        <f>(6.466)*10.764</f>
        <v>69.600024000000005</v>
      </c>
      <c r="G185" s="6">
        <v>0</v>
      </c>
      <c r="H185" s="6">
        <f t="shared" si="7"/>
        <v>764.25476399999991</v>
      </c>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customHeight="1" x14ac:dyDescent="0.3">
      <c r="A186" s="83">
        <f t="shared" si="6"/>
        <v>6</v>
      </c>
      <c r="B186" s="84"/>
      <c r="C186" s="78" t="s">
        <v>92</v>
      </c>
      <c r="D186" s="54" t="s">
        <v>333</v>
      </c>
      <c r="E186" s="33">
        <f>(64.535)*10.764</f>
        <v>694.65473999999995</v>
      </c>
      <c r="F186" s="33">
        <f>(6.466)*10.764</f>
        <v>69.600024000000005</v>
      </c>
      <c r="G186" s="6">
        <v>0</v>
      </c>
      <c r="H186" s="6">
        <f t="shared" si="7"/>
        <v>764.25476399999991</v>
      </c>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customHeight="1" x14ac:dyDescent="0.3">
      <c r="A187" s="83">
        <f t="shared" si="6"/>
        <v>7</v>
      </c>
      <c r="B187" s="84"/>
      <c r="C187" s="78" t="s">
        <v>92</v>
      </c>
      <c r="D187" s="54" t="s">
        <v>332</v>
      </c>
      <c r="E187" s="33">
        <f>(85.821)*10.764</f>
        <v>923.77724399999988</v>
      </c>
      <c r="F187" s="33">
        <f>(6.908)*10.764</f>
        <v>74.357712000000006</v>
      </c>
      <c r="G187" s="6">
        <v>0</v>
      </c>
      <c r="H187" s="6">
        <f t="shared" si="7"/>
        <v>998.13495599999987</v>
      </c>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customHeight="1" x14ac:dyDescent="0.3">
      <c r="A188" s="83">
        <f t="shared" si="6"/>
        <v>8</v>
      </c>
      <c r="B188" s="84"/>
      <c r="C188" s="78" t="s">
        <v>92</v>
      </c>
      <c r="D188" s="54" t="s">
        <v>332</v>
      </c>
      <c r="E188" s="33">
        <f>(85.821)*10.764</f>
        <v>923.77724399999988</v>
      </c>
      <c r="F188" s="33">
        <f>(6.908)*10.764</f>
        <v>74.357712000000006</v>
      </c>
      <c r="G188" s="6">
        <v>0</v>
      </c>
      <c r="H188" s="6">
        <f t="shared" si="7"/>
        <v>998.13495599999987</v>
      </c>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1" x14ac:dyDescent="0.3">
      <c r="A189" s="99" t="s">
        <v>337</v>
      </c>
      <c r="B189" s="100"/>
      <c r="C189" s="100"/>
      <c r="D189" s="100"/>
      <c r="E189" s="100"/>
      <c r="F189" s="100"/>
      <c r="G189" s="100"/>
      <c r="H189" s="10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1" x14ac:dyDescent="0.3">
      <c r="A190" s="99" t="s">
        <v>338</v>
      </c>
      <c r="B190" s="100"/>
      <c r="C190" s="100"/>
      <c r="D190" s="100"/>
      <c r="E190" s="100"/>
      <c r="F190" s="100"/>
      <c r="G190" s="100"/>
      <c r="H190" s="10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40.5" customHeight="1" x14ac:dyDescent="0.3">
      <c r="A191" s="99" t="s">
        <v>330</v>
      </c>
      <c r="B191" s="100"/>
      <c r="C191" s="100"/>
      <c r="D191" s="100"/>
      <c r="E191" s="100"/>
      <c r="F191" s="100"/>
      <c r="G191" s="100"/>
      <c r="H191" s="10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1" x14ac:dyDescent="0.3">
      <c r="A192" s="102">
        <v>1</v>
      </c>
      <c r="B192" s="102"/>
      <c r="C192" s="78" t="s">
        <v>92</v>
      </c>
      <c r="D192" s="54" t="s">
        <v>339</v>
      </c>
      <c r="E192" s="33">
        <f>(39.89)*10.764</f>
        <v>429.37595999999996</v>
      </c>
      <c r="F192" s="33">
        <f>(2.915)*10.764</f>
        <v>31.37706</v>
      </c>
      <c r="G192" s="6">
        <v>0</v>
      </c>
      <c r="H192" s="6">
        <f>E192+F192+(IF(G192&lt;101,G192,IF(G192&lt;201,G192/2,IF(G192&lt;=301,G192/3,G192/4))))</f>
        <v>460.75301999999999</v>
      </c>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1" x14ac:dyDescent="0.3">
      <c r="A193" s="83">
        <f>A192+1</f>
        <v>2</v>
      </c>
      <c r="B193" s="84"/>
      <c r="C193" s="78" t="s">
        <v>92</v>
      </c>
      <c r="D193" s="54" t="s">
        <v>339</v>
      </c>
      <c r="E193" s="33">
        <f>(39.89)*10.764</f>
        <v>429.37595999999996</v>
      </c>
      <c r="F193" s="33">
        <f>(2.915)*10.764</f>
        <v>31.37706</v>
      </c>
      <c r="G193" s="6">
        <v>0</v>
      </c>
      <c r="H193" s="6">
        <f t="shared" ref="H193:H199" si="8">E193+F193+(IF(G193&lt;101,G193,IF(G193&lt;201,G193/2,IF(G193&lt;=301,G193/3,G193/4))))</f>
        <v>460.75301999999999</v>
      </c>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1" x14ac:dyDescent="0.3">
      <c r="A194" s="83">
        <f t="shared" ref="A194:A199" si="9">A193+1</f>
        <v>3</v>
      </c>
      <c r="B194" s="84"/>
      <c r="C194" s="78" t="s">
        <v>92</v>
      </c>
      <c r="D194" s="54" t="s">
        <v>333</v>
      </c>
      <c r="E194" s="33">
        <f>(58.951)*10.764</f>
        <v>634.54856399999994</v>
      </c>
      <c r="F194" s="33">
        <f>(5.675)*10.764</f>
        <v>61.085699999999996</v>
      </c>
      <c r="G194" s="6">
        <v>0</v>
      </c>
      <c r="H194" s="6">
        <f t="shared" si="8"/>
        <v>695.63426399999992</v>
      </c>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customHeight="1" x14ac:dyDescent="0.3">
      <c r="A195" s="83">
        <f t="shared" si="9"/>
        <v>4</v>
      </c>
      <c r="B195" s="84"/>
      <c r="C195" s="78" t="s">
        <v>92</v>
      </c>
      <c r="D195" s="54" t="s">
        <v>333</v>
      </c>
      <c r="E195" s="33">
        <f>(58.951)*10.764</f>
        <v>634.54856399999994</v>
      </c>
      <c r="F195" s="33">
        <f>(5.675)*10.764</f>
        <v>61.085699999999996</v>
      </c>
      <c r="G195" s="6">
        <v>0</v>
      </c>
      <c r="H195" s="6">
        <f t="shared" si="8"/>
        <v>695.63426399999992</v>
      </c>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customHeight="1" x14ac:dyDescent="0.3">
      <c r="A196" s="83">
        <f t="shared" si="9"/>
        <v>5</v>
      </c>
      <c r="B196" s="84"/>
      <c r="C196" s="78" t="s">
        <v>92</v>
      </c>
      <c r="D196" s="54" t="s">
        <v>333</v>
      </c>
      <c r="E196" s="33">
        <f>(57.03)*10.764</f>
        <v>613.87091999999996</v>
      </c>
      <c r="F196" s="33">
        <f>(5.01)*10.764</f>
        <v>53.927639999999997</v>
      </c>
      <c r="G196" s="6">
        <v>0</v>
      </c>
      <c r="H196" s="6">
        <f t="shared" si="8"/>
        <v>667.79855999999995</v>
      </c>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customHeight="1" x14ac:dyDescent="0.3">
      <c r="A197" s="83">
        <f t="shared" si="9"/>
        <v>6</v>
      </c>
      <c r="B197" s="84"/>
      <c r="C197" s="78" t="s">
        <v>92</v>
      </c>
      <c r="D197" s="54" t="s">
        <v>333</v>
      </c>
      <c r="E197" s="33">
        <f>(57.03)*10.764</f>
        <v>613.87091999999996</v>
      </c>
      <c r="F197" s="33">
        <f>(5.01)*10.764</f>
        <v>53.927639999999997</v>
      </c>
      <c r="G197" s="6">
        <v>0</v>
      </c>
      <c r="H197" s="6">
        <f t="shared" si="8"/>
        <v>667.79855999999995</v>
      </c>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customHeight="1" x14ac:dyDescent="0.3">
      <c r="A198" s="83">
        <f t="shared" si="9"/>
        <v>7</v>
      </c>
      <c r="B198" s="84"/>
      <c r="C198" s="78" t="s">
        <v>92</v>
      </c>
      <c r="D198" s="54" t="s">
        <v>333</v>
      </c>
      <c r="E198" s="33">
        <f>(58.951)*10.764</f>
        <v>634.54856399999994</v>
      </c>
      <c r="F198" s="33">
        <f>(5.675)*10.764</f>
        <v>61.085699999999996</v>
      </c>
      <c r="G198" s="6">
        <v>0</v>
      </c>
      <c r="H198" s="6">
        <f t="shared" si="8"/>
        <v>695.63426399999992</v>
      </c>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customHeight="1" x14ac:dyDescent="0.3">
      <c r="A199" s="83">
        <f t="shared" si="9"/>
        <v>8</v>
      </c>
      <c r="B199" s="84"/>
      <c r="C199" s="78" t="s">
        <v>92</v>
      </c>
      <c r="D199" s="54" t="s">
        <v>333</v>
      </c>
      <c r="E199" s="33">
        <f>(58.951)*10.764</f>
        <v>634.54856399999994</v>
      </c>
      <c r="F199" s="33">
        <f>(5.675)*10.764</f>
        <v>61.085699999999996</v>
      </c>
      <c r="G199" s="6">
        <v>0</v>
      </c>
      <c r="H199" s="6">
        <f t="shared" si="8"/>
        <v>695.63426399999992</v>
      </c>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1" x14ac:dyDescent="0.3">
      <c r="A200" s="99" t="s">
        <v>334</v>
      </c>
      <c r="B200" s="100"/>
      <c r="C200" s="100"/>
      <c r="D200" s="100"/>
      <c r="E200" s="100"/>
      <c r="F200" s="100"/>
      <c r="G200" s="100"/>
      <c r="H200" s="10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customHeight="1" x14ac:dyDescent="0.3">
      <c r="A201" s="102">
        <v>1</v>
      </c>
      <c r="B201" s="102"/>
      <c r="C201" s="78" t="s">
        <v>92</v>
      </c>
      <c r="D201" s="54" t="s">
        <v>339</v>
      </c>
      <c r="E201" s="33">
        <f>(38.89)*10.764</f>
        <v>418.61195999999995</v>
      </c>
      <c r="F201" s="33">
        <f>(2.915)*10.764</f>
        <v>31.37706</v>
      </c>
      <c r="G201" s="6">
        <v>0</v>
      </c>
      <c r="H201" s="6">
        <f>E201+F201+(IF(G201&lt;101,G201,IF(G201&lt;201,G201/2,IF(G201&lt;=301,G201/3,G201/4))))</f>
        <v>449.98901999999998</v>
      </c>
      <c r="I201" s="1"/>
      <c r="J201" s="1"/>
      <c r="K201" s="1"/>
      <c r="L201" s="1"/>
      <c r="M201" s="1"/>
      <c r="N201" s="1"/>
      <c r="O201" s="1"/>
      <c r="P201" s="1"/>
      <c r="Q201" s="1"/>
      <c r="R201" s="1"/>
      <c r="S201" s="1"/>
      <c r="T201" s="23" t="str">
        <f t="shared" ref="T201:T208" ca="1" si="10">U201&amp;""&amp;",..,"&amp;""&amp;V201</f>
        <v>71201,..,3701</v>
      </c>
      <c r="U201" s="23">
        <f ca="1">(SUMPRODUCT(MID(0&amp;(LEFT(A200,SUM(LEN(A200)-LEN(SUBSTITUTE(A200,{"0","1","2","3"},""))))), LARGE(INDEX(ISNUMBER(--MID((LEFT(A200,SUM(LEN(A200)-LEN(SUBSTITUTE(A200,{"0","1","2","3"},""))))), ROW(INDIRECT("1:"&amp;LEN((LEFT(A200,SUM(LEN(A200)-LEN(SUBSTITUTE(A200,{"0","1","2","3"},"")))))))), 1)) * ROW(INDIRECT("1:"&amp;LEN((LEFT(A200,SUM(LEN(A200)-LEN(SUBSTITUTE(A200,{"0","1","2","3"},"")))))))), 0), ROW(INDIRECT("1:"&amp;LEN((LEFT(A200,SUM(LEN(A200)-LEN(SUBSTITUTE(A200,{"0","1","2","3"},"")))))))))+1, 1) * 10^ROW(INDIRECT("1:"&amp;LEN((LEFT(A200,SUM(LEN(A200)-LEN(SUBSTITUTE(A200,{"0","1","2","3"},""))))))))/10))*100+1</f>
        <v>71201</v>
      </c>
      <c r="V201" s="23">
        <f ca="1">(SUMPRODUCT(MID(0&amp;(--TRIM(RIGHT(SUBSTITUTE(LEFT(A200,_xlfn.AGGREGATE(16,6,FIND({0,1,2,3,4,5,6,7,8,9},A200,ROW(INDIRECT("1:"&amp;LEN(A200)))),1)),"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3701</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customHeight="1" x14ac:dyDescent="0.3">
      <c r="A202" s="83">
        <f>A201+1</f>
        <v>2</v>
      </c>
      <c r="B202" s="84"/>
      <c r="C202" s="89" t="s">
        <v>335</v>
      </c>
      <c r="D202" s="90"/>
      <c r="E202" s="90"/>
      <c r="F202" s="90"/>
      <c r="G202" s="90"/>
      <c r="H202" s="91"/>
      <c r="I202" s="1"/>
      <c r="J202" s="1"/>
      <c r="K202" s="1"/>
      <c r="L202" s="1"/>
      <c r="M202" s="1"/>
      <c r="N202" s="1"/>
      <c r="O202" s="1"/>
      <c r="P202" s="1"/>
      <c r="Q202" s="1"/>
      <c r="R202" s="1"/>
      <c r="S202" s="1"/>
      <c r="T202" s="23" t="str">
        <f t="shared" ca="1" si="10"/>
        <v>71202,..,3702</v>
      </c>
      <c r="U202" s="23">
        <f ca="1">U201+1</f>
        <v>71202</v>
      </c>
      <c r="V202" s="23">
        <f ca="1">V201+1</f>
        <v>3702</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customHeight="1" x14ac:dyDescent="0.3">
      <c r="A203" s="83">
        <f t="shared" ref="A203:A208" si="11">A202+1</f>
        <v>3</v>
      </c>
      <c r="B203" s="84"/>
      <c r="C203" s="78" t="s">
        <v>92</v>
      </c>
      <c r="D203" s="54" t="s">
        <v>333</v>
      </c>
      <c r="E203" s="33">
        <f>(58.951)*10.764</f>
        <v>634.54856399999994</v>
      </c>
      <c r="F203" s="33">
        <f>(5.675)*10.764</f>
        <v>61.085699999999996</v>
      </c>
      <c r="G203" s="6">
        <v>0</v>
      </c>
      <c r="H203" s="6">
        <f t="shared" ref="H203:H208" si="12">E203+F203+(IF(G203&lt;101,G203,IF(G203&lt;201,G203/2,IF(G203&lt;=301,G203/3,G203/4))))</f>
        <v>695.63426399999992</v>
      </c>
      <c r="I203" s="1"/>
      <c r="J203" s="1"/>
      <c r="K203" s="1"/>
      <c r="L203" s="1"/>
      <c r="M203" s="1"/>
      <c r="N203" s="1"/>
      <c r="O203" s="1"/>
      <c r="P203" s="1"/>
      <c r="Q203" s="1"/>
      <c r="R203" s="1"/>
      <c r="S203" s="1"/>
      <c r="T203" s="23" t="str">
        <f t="shared" ca="1" si="10"/>
        <v>71203,..,3703</v>
      </c>
      <c r="U203" s="23">
        <f t="shared" ref="U203:V208" ca="1" si="13">U202+1</f>
        <v>71203</v>
      </c>
      <c r="V203" s="23">
        <f t="shared" ca="1" si="13"/>
        <v>3703</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customHeight="1" x14ac:dyDescent="0.3">
      <c r="A204" s="83">
        <f t="shared" si="11"/>
        <v>4</v>
      </c>
      <c r="B204" s="84"/>
      <c r="C204" s="78" t="s">
        <v>92</v>
      </c>
      <c r="D204" s="54" t="s">
        <v>333</v>
      </c>
      <c r="E204" s="33">
        <f>(58.951)*10.764</f>
        <v>634.54856399999994</v>
      </c>
      <c r="F204" s="33">
        <f>(5.675)*10.764</f>
        <v>61.085699999999996</v>
      </c>
      <c r="G204" s="6">
        <v>0</v>
      </c>
      <c r="H204" s="6">
        <f t="shared" si="12"/>
        <v>695.63426399999992</v>
      </c>
      <c r="I204" s="1"/>
      <c r="J204" s="1"/>
      <c r="K204" s="1"/>
      <c r="L204" s="1"/>
      <c r="M204" s="1"/>
      <c r="N204" s="1"/>
      <c r="O204" s="1"/>
      <c r="P204" s="1"/>
      <c r="Q204" s="1"/>
      <c r="R204" s="1"/>
      <c r="S204" s="1"/>
      <c r="T204" s="23" t="str">
        <f t="shared" ca="1" si="10"/>
        <v>71204,..,3704</v>
      </c>
      <c r="U204" s="23">
        <f t="shared" ca="1" si="13"/>
        <v>71204</v>
      </c>
      <c r="V204" s="23">
        <f t="shared" ca="1" si="13"/>
        <v>3704</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customHeight="1" x14ac:dyDescent="0.3">
      <c r="A205" s="83">
        <f t="shared" si="11"/>
        <v>5</v>
      </c>
      <c r="B205" s="84"/>
      <c r="C205" s="78" t="s">
        <v>92</v>
      </c>
      <c r="D205" s="54" t="s">
        <v>333</v>
      </c>
      <c r="E205" s="33">
        <f>(57.03)*10.764</f>
        <v>613.87091999999996</v>
      </c>
      <c r="F205" s="33">
        <f>(5.01)*10.764</f>
        <v>53.927639999999997</v>
      </c>
      <c r="G205" s="6">
        <v>0</v>
      </c>
      <c r="H205" s="6">
        <f t="shared" si="12"/>
        <v>667.79855999999995</v>
      </c>
      <c r="I205" s="1"/>
      <c r="J205" s="1"/>
      <c r="K205" s="1"/>
      <c r="L205" s="1"/>
      <c r="M205" s="1"/>
      <c r="N205" s="1"/>
      <c r="O205" s="1"/>
      <c r="P205" s="1"/>
      <c r="Q205" s="1"/>
      <c r="R205" s="1"/>
      <c r="S205" s="1"/>
      <c r="T205" s="23" t="str">
        <f t="shared" ca="1" si="10"/>
        <v>71205,..,3705</v>
      </c>
      <c r="U205" s="23">
        <f t="shared" ca="1" si="13"/>
        <v>71205</v>
      </c>
      <c r="V205" s="23">
        <f t="shared" ca="1" si="13"/>
        <v>3705</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customHeight="1" x14ac:dyDescent="0.3">
      <c r="A206" s="83">
        <f t="shared" si="11"/>
        <v>6</v>
      </c>
      <c r="B206" s="84"/>
      <c r="C206" s="78" t="s">
        <v>92</v>
      </c>
      <c r="D206" s="54" t="s">
        <v>333</v>
      </c>
      <c r="E206" s="33">
        <f>(57.03)*10.764</f>
        <v>613.87091999999996</v>
      </c>
      <c r="F206" s="33">
        <f>(5.01)*10.764</f>
        <v>53.927639999999997</v>
      </c>
      <c r="G206" s="6">
        <v>0</v>
      </c>
      <c r="H206" s="6">
        <f t="shared" si="12"/>
        <v>667.79855999999995</v>
      </c>
      <c r="I206" s="1"/>
      <c r="J206" s="1"/>
      <c r="K206" s="1"/>
      <c r="L206" s="1"/>
      <c r="M206" s="1"/>
      <c r="N206" s="1"/>
      <c r="O206" s="1"/>
      <c r="P206" s="1"/>
      <c r="Q206" s="1"/>
      <c r="R206" s="1"/>
      <c r="S206" s="1"/>
      <c r="T206" s="23" t="str">
        <f t="shared" ca="1" si="10"/>
        <v>71206,..,3706</v>
      </c>
      <c r="U206" s="23">
        <f t="shared" ca="1" si="13"/>
        <v>71206</v>
      </c>
      <c r="V206" s="23">
        <f t="shared" ca="1" si="13"/>
        <v>3706</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s="3" customFormat="1" ht="20.25" customHeight="1" x14ac:dyDescent="0.3">
      <c r="A207" s="83">
        <f t="shared" si="11"/>
        <v>7</v>
      </c>
      <c r="B207" s="84"/>
      <c r="C207" s="78" t="s">
        <v>92</v>
      </c>
      <c r="D207" s="54" t="s">
        <v>333</v>
      </c>
      <c r="E207" s="33">
        <f>(58.951)*10.764</f>
        <v>634.54856399999994</v>
      </c>
      <c r="F207" s="33">
        <f>(5.675)*10.764</f>
        <v>61.085699999999996</v>
      </c>
      <c r="G207" s="6">
        <v>0</v>
      </c>
      <c r="H207" s="6">
        <f t="shared" si="12"/>
        <v>695.63426399999992</v>
      </c>
      <c r="I207" s="1"/>
      <c r="J207" s="1"/>
      <c r="K207" s="1"/>
      <c r="L207" s="1"/>
      <c r="M207" s="1"/>
      <c r="N207" s="1"/>
      <c r="O207" s="1"/>
      <c r="P207" s="1"/>
      <c r="Q207" s="1"/>
      <c r="R207" s="1"/>
      <c r="S207" s="1"/>
      <c r="T207" s="23" t="str">
        <f t="shared" ca="1" si="10"/>
        <v>71207,..,3707</v>
      </c>
      <c r="U207" s="23">
        <f t="shared" ca="1" si="13"/>
        <v>71207</v>
      </c>
      <c r="V207" s="23">
        <f t="shared" ca="1" si="13"/>
        <v>3707</v>
      </c>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WZB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row>
    <row r="208" spans="1:150 16226:16383" s="3" customFormat="1" ht="20.25" customHeight="1" x14ac:dyDescent="0.3">
      <c r="A208" s="83">
        <f t="shared" si="11"/>
        <v>8</v>
      </c>
      <c r="B208" s="84"/>
      <c r="C208" s="78" t="s">
        <v>92</v>
      </c>
      <c r="D208" s="54" t="s">
        <v>333</v>
      </c>
      <c r="E208" s="33">
        <f>(58.951)*10.764</f>
        <v>634.54856399999994</v>
      </c>
      <c r="F208" s="33">
        <f>(5.675)*10.764</f>
        <v>61.085699999999996</v>
      </c>
      <c r="G208" s="6">
        <v>0</v>
      </c>
      <c r="H208" s="6">
        <f t="shared" si="12"/>
        <v>695.63426399999992</v>
      </c>
      <c r="I208" s="1"/>
      <c r="J208" s="1"/>
      <c r="K208" s="1"/>
      <c r="L208" s="1"/>
      <c r="M208" s="1"/>
      <c r="N208" s="1"/>
      <c r="O208" s="1"/>
      <c r="P208" s="1"/>
      <c r="Q208" s="1"/>
      <c r="R208" s="1"/>
      <c r="S208" s="1"/>
      <c r="T208" s="23" t="str">
        <f t="shared" ca="1" si="10"/>
        <v>71208,..,3708</v>
      </c>
      <c r="U208" s="23">
        <f t="shared" ca="1" si="13"/>
        <v>71208</v>
      </c>
      <c r="V208" s="23">
        <f t="shared" ca="1" si="13"/>
        <v>3708</v>
      </c>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WZB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row>
    <row r="209" spans="1:150 16226:16383" s="3" customFormat="1" ht="21" x14ac:dyDescent="0.3">
      <c r="A209" s="99" t="s">
        <v>340</v>
      </c>
      <c r="B209" s="100"/>
      <c r="C209" s="100"/>
      <c r="D209" s="100"/>
      <c r="E209" s="100"/>
      <c r="F209" s="100"/>
      <c r="G209" s="100"/>
      <c r="H209" s="10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WZB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row>
    <row r="210" spans="1:150 16226:16383" s="3" customFormat="1" ht="21" x14ac:dyDescent="0.3">
      <c r="A210" s="99" t="s">
        <v>338</v>
      </c>
      <c r="B210" s="100"/>
      <c r="C210" s="100"/>
      <c r="D210" s="100"/>
      <c r="E210" s="100"/>
      <c r="F210" s="100"/>
      <c r="G210" s="100"/>
      <c r="H210" s="10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WZB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row>
    <row r="211" spans="1:150 16226:16383" s="3" customFormat="1" ht="42" customHeight="1" x14ac:dyDescent="0.3">
      <c r="A211" s="99" t="s">
        <v>330</v>
      </c>
      <c r="B211" s="100"/>
      <c r="C211" s="100"/>
      <c r="D211" s="100"/>
      <c r="E211" s="100"/>
      <c r="F211" s="100"/>
      <c r="G211" s="100"/>
      <c r="H211" s="10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WZB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row>
    <row r="212" spans="1:150 16226:16383" s="3" customFormat="1" ht="20.25" customHeight="1" x14ac:dyDescent="0.3">
      <c r="A212" s="102">
        <v>1</v>
      </c>
      <c r="B212" s="102"/>
      <c r="C212" s="78" t="s">
        <v>92</v>
      </c>
      <c r="D212" s="54" t="s">
        <v>333</v>
      </c>
      <c r="E212" s="33">
        <f>(57.03)*10.764</f>
        <v>613.87091999999996</v>
      </c>
      <c r="F212" s="33">
        <f>(5.01)*10.764</f>
        <v>53.927639999999997</v>
      </c>
      <c r="G212" s="6">
        <v>0</v>
      </c>
      <c r="H212" s="6">
        <f>E212+F212+(IF(G212&lt;101,G212,IF(G212&lt;201,G212/2,IF(G212&lt;=301,G212/3,G212/4))))</f>
        <v>667.79855999999995</v>
      </c>
      <c r="I212" s="1"/>
      <c r="J212" s="1"/>
      <c r="K212" s="1"/>
      <c r="L212" s="1"/>
      <c r="M212" s="1"/>
      <c r="N212" s="1"/>
      <c r="O212" s="1"/>
      <c r="P212" s="1"/>
      <c r="Q212" s="1"/>
      <c r="R212" s="1"/>
      <c r="S212" s="1"/>
      <c r="T212" s="23" t="str">
        <f t="shared" ref="T212:T219" ca="1" si="14">U212&amp;""&amp;",..,"&amp;""&amp;V212</f>
        <v>168101,..,4201</v>
      </c>
      <c r="U212" s="23">
        <f ca="1">(SUMPRODUCT(MID(0&amp;(LEFT(A211,SUM(LEN(A211)-LEN(SUBSTITUTE(A211,{"0","1","2","3"},""))))), LARGE(INDEX(ISNUMBER(--MID((LEFT(A211,SUM(LEN(A211)-LEN(SUBSTITUTE(A211,{"0","1","2","3"},""))))), ROW(INDIRECT("1:"&amp;LEN((LEFT(A211,SUM(LEN(A211)-LEN(SUBSTITUTE(A211,{"0","1","2","3"},"")))))))), 1)) * ROW(INDIRECT("1:"&amp;LEN((LEFT(A211,SUM(LEN(A211)-LEN(SUBSTITUTE(A211,{"0","1","2","3"},"")))))))), 0), ROW(INDIRECT("1:"&amp;LEN((LEFT(A211,SUM(LEN(A211)-LEN(SUBSTITUTE(A211,{"0","1","2","3"},"")))))))))+1, 1) * 10^ROW(INDIRECT("1:"&amp;LEN((LEFT(A211,SUM(LEN(A211)-LEN(SUBSTITUTE(A211,{"0","1","2","3"},""))))))))/10))*100+1</f>
        <v>168101</v>
      </c>
      <c r="V212" s="23">
        <f ca="1">(SUMPRODUCT(MID(0&amp;(--TRIM(RIGHT(SUBSTITUTE(LEFT(A211,_xlfn.AGGREGATE(16,6,FIND({0,1,2,3,4,5,6,7,8,9},A211,ROW(INDIRECT("1:"&amp;LEN(A211)))),1)),"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",LEN(A211))),LEN(A211)))))))/10))*100+1</f>
        <v>4201</v>
      </c>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WZB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row>
    <row r="213" spans="1:150 16226:16383" s="3" customFormat="1" ht="20.25" customHeight="1" x14ac:dyDescent="0.3">
      <c r="A213" s="83">
        <f>A212+1</f>
        <v>2</v>
      </c>
      <c r="B213" s="84"/>
      <c r="C213" s="78" t="s">
        <v>92</v>
      </c>
      <c r="D213" s="54" t="s">
        <v>333</v>
      </c>
      <c r="E213" s="33">
        <f>(57.03)*10.764</f>
        <v>613.87091999999996</v>
      </c>
      <c r="F213" s="33">
        <f>(5.01)*10.764</f>
        <v>53.927639999999997</v>
      </c>
      <c r="G213" s="6">
        <v>0</v>
      </c>
      <c r="H213" s="6">
        <f t="shared" ref="H213:H219" si="15">E213+F213+(IF(G213&lt;101,G213,IF(G213&lt;201,G213/2,IF(G213&lt;=301,G213/3,G213/4))))</f>
        <v>667.79855999999995</v>
      </c>
      <c r="I213" s="1"/>
      <c r="J213" s="1"/>
      <c r="K213" s="1"/>
      <c r="L213" s="1"/>
      <c r="M213" s="1"/>
      <c r="N213" s="1"/>
      <c r="O213" s="1"/>
      <c r="P213" s="1"/>
      <c r="Q213" s="1"/>
      <c r="R213" s="1"/>
      <c r="S213" s="1"/>
      <c r="T213" s="23" t="str">
        <f t="shared" ca="1" si="14"/>
        <v>168102,..,4202</v>
      </c>
      <c r="U213" s="23">
        <f ca="1">U212+1</f>
        <v>168102</v>
      </c>
      <c r="V213" s="23">
        <f ca="1">V212+1</f>
        <v>4202</v>
      </c>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WZB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row>
    <row r="214" spans="1:150 16226:16383" s="3" customFormat="1" ht="20.25" customHeight="1" x14ac:dyDescent="0.3">
      <c r="A214" s="83">
        <f t="shared" ref="A214:A219" si="16">A213+1</f>
        <v>3</v>
      </c>
      <c r="B214" s="84"/>
      <c r="C214" s="78" t="s">
        <v>92</v>
      </c>
      <c r="D214" s="54" t="s">
        <v>333</v>
      </c>
      <c r="E214" s="33">
        <f>(58.951)*10.764</f>
        <v>634.54856399999994</v>
      </c>
      <c r="F214" s="33">
        <f>(5.675)*10.764</f>
        <v>61.085699999999996</v>
      </c>
      <c r="G214" s="6">
        <v>0</v>
      </c>
      <c r="H214" s="6">
        <f t="shared" si="15"/>
        <v>695.63426399999992</v>
      </c>
      <c r="I214" s="1"/>
      <c r="J214" s="1"/>
      <c r="K214" s="1"/>
      <c r="L214" s="1"/>
      <c r="M214" s="1"/>
      <c r="N214" s="1"/>
      <c r="O214" s="1"/>
      <c r="P214" s="1"/>
      <c r="Q214" s="1"/>
      <c r="R214" s="1"/>
      <c r="S214" s="1"/>
      <c r="T214" s="23" t="str">
        <f t="shared" ca="1" si="14"/>
        <v>168103,..,4203</v>
      </c>
      <c r="U214" s="23">
        <f t="shared" ref="U214:V219" ca="1" si="17">U213+1</f>
        <v>168103</v>
      </c>
      <c r="V214" s="23">
        <f t="shared" ca="1" si="17"/>
        <v>4203</v>
      </c>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WZB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row>
    <row r="215" spans="1:150 16226:16383" s="3" customFormat="1" ht="20.25" customHeight="1" x14ac:dyDescent="0.3">
      <c r="A215" s="83">
        <f t="shared" si="16"/>
        <v>4</v>
      </c>
      <c r="B215" s="84"/>
      <c r="C215" s="78" t="s">
        <v>92</v>
      </c>
      <c r="D215" s="54" t="s">
        <v>333</v>
      </c>
      <c r="E215" s="33">
        <f>(58.951)*10.764</f>
        <v>634.54856399999994</v>
      </c>
      <c r="F215" s="33">
        <f>(5.675)*10.764</f>
        <v>61.085699999999996</v>
      </c>
      <c r="G215" s="6">
        <v>0</v>
      </c>
      <c r="H215" s="6">
        <f t="shared" si="15"/>
        <v>695.63426399999992</v>
      </c>
      <c r="I215" s="1"/>
      <c r="J215" s="1"/>
      <c r="K215" s="1"/>
      <c r="L215" s="1"/>
      <c r="M215" s="1"/>
      <c r="N215" s="1"/>
      <c r="O215" s="1"/>
      <c r="P215" s="1"/>
      <c r="Q215" s="1"/>
      <c r="R215" s="1"/>
      <c r="S215" s="1"/>
      <c r="T215" s="23" t="str">
        <f t="shared" ca="1" si="14"/>
        <v>168104,..,4204</v>
      </c>
      <c r="U215" s="23">
        <f t="shared" ca="1" si="17"/>
        <v>168104</v>
      </c>
      <c r="V215" s="23">
        <f t="shared" ca="1" si="17"/>
        <v>4204</v>
      </c>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WZB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row>
    <row r="216" spans="1:150 16226:16383" s="3" customFormat="1" ht="20.25" customHeight="1" x14ac:dyDescent="0.3">
      <c r="A216" s="83">
        <f t="shared" si="16"/>
        <v>5</v>
      </c>
      <c r="B216" s="84"/>
      <c r="C216" s="78" t="s">
        <v>92</v>
      </c>
      <c r="D216" s="54" t="s">
        <v>339</v>
      </c>
      <c r="E216" s="33">
        <f>(39.89)*10.764</f>
        <v>429.37595999999996</v>
      </c>
      <c r="F216" s="33">
        <f>(2.915)*10.764</f>
        <v>31.37706</v>
      </c>
      <c r="G216" s="6">
        <v>0</v>
      </c>
      <c r="H216" s="6">
        <f t="shared" si="15"/>
        <v>460.75301999999999</v>
      </c>
      <c r="I216" s="1"/>
      <c r="J216" s="1"/>
      <c r="K216" s="1"/>
      <c r="L216" s="1"/>
      <c r="M216" s="1"/>
      <c r="N216" s="1"/>
      <c r="O216" s="1"/>
      <c r="P216" s="1"/>
      <c r="Q216" s="1"/>
      <c r="R216" s="1"/>
      <c r="S216" s="1"/>
      <c r="T216" s="23" t="str">
        <f t="shared" ca="1" si="14"/>
        <v>168105,..,4205</v>
      </c>
      <c r="U216" s="23">
        <f t="shared" ca="1" si="17"/>
        <v>168105</v>
      </c>
      <c r="V216" s="23">
        <f t="shared" ca="1" si="17"/>
        <v>4205</v>
      </c>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WZB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row>
    <row r="217" spans="1:150 16226:16383" s="3" customFormat="1" ht="20.25" customHeight="1" x14ac:dyDescent="0.3">
      <c r="A217" s="83">
        <f t="shared" si="16"/>
        <v>6</v>
      </c>
      <c r="B217" s="84"/>
      <c r="C217" s="78" t="s">
        <v>92</v>
      </c>
      <c r="D217" s="54" t="s">
        <v>339</v>
      </c>
      <c r="E217" s="33">
        <f>(39.89)*10.764</f>
        <v>429.37595999999996</v>
      </c>
      <c r="F217" s="33">
        <f>(2.915)*10.764</f>
        <v>31.37706</v>
      </c>
      <c r="G217" s="6">
        <v>0</v>
      </c>
      <c r="H217" s="6">
        <f t="shared" si="15"/>
        <v>460.75301999999999</v>
      </c>
      <c r="I217" s="1"/>
      <c r="J217" s="1"/>
      <c r="K217" s="1"/>
      <c r="L217" s="1"/>
      <c r="M217" s="1"/>
      <c r="N217" s="1"/>
      <c r="O217" s="1"/>
      <c r="P217" s="1"/>
      <c r="Q217" s="1"/>
      <c r="R217" s="1"/>
      <c r="S217" s="1"/>
      <c r="T217" s="23" t="str">
        <f t="shared" ca="1" si="14"/>
        <v>168106,..,4206</v>
      </c>
      <c r="U217" s="23">
        <f t="shared" ca="1" si="17"/>
        <v>168106</v>
      </c>
      <c r="V217" s="23">
        <f t="shared" ca="1" si="17"/>
        <v>4206</v>
      </c>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WZB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row>
    <row r="218" spans="1:150 16226:16383" s="3" customFormat="1" ht="20.25" customHeight="1" x14ac:dyDescent="0.3">
      <c r="A218" s="83">
        <f t="shared" si="16"/>
        <v>7</v>
      </c>
      <c r="B218" s="84"/>
      <c r="C218" s="78" t="s">
        <v>92</v>
      </c>
      <c r="D218" s="54" t="s">
        <v>333</v>
      </c>
      <c r="E218" s="33">
        <f>(58.951)*10.764</f>
        <v>634.54856399999994</v>
      </c>
      <c r="F218" s="33">
        <f>(5.675)*10.764</f>
        <v>61.085699999999996</v>
      </c>
      <c r="G218" s="6">
        <v>0</v>
      </c>
      <c r="H218" s="6">
        <f t="shared" si="15"/>
        <v>695.63426399999992</v>
      </c>
      <c r="I218" s="1"/>
      <c r="J218" s="1"/>
      <c r="K218" s="1"/>
      <c r="L218" s="1"/>
      <c r="M218" s="1"/>
      <c r="N218" s="1"/>
      <c r="O218" s="1"/>
      <c r="P218" s="1"/>
      <c r="Q218" s="1"/>
      <c r="R218" s="1"/>
      <c r="S218" s="1"/>
      <c r="T218" s="23" t="str">
        <f t="shared" ca="1" si="14"/>
        <v>168107,..,4207</v>
      </c>
      <c r="U218" s="23">
        <f t="shared" ca="1" si="17"/>
        <v>168107</v>
      </c>
      <c r="V218" s="23">
        <f t="shared" ca="1" si="17"/>
        <v>4207</v>
      </c>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WZB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row>
    <row r="219" spans="1:150 16226:16383" s="3" customFormat="1" ht="20.25" customHeight="1" x14ac:dyDescent="0.3">
      <c r="A219" s="83">
        <f t="shared" si="16"/>
        <v>8</v>
      </c>
      <c r="B219" s="84"/>
      <c r="C219" s="78" t="s">
        <v>92</v>
      </c>
      <c r="D219" s="54" t="s">
        <v>333</v>
      </c>
      <c r="E219" s="33">
        <f>(58.951)*10.764</f>
        <v>634.54856399999994</v>
      </c>
      <c r="F219" s="33">
        <f>(5.675)*10.764</f>
        <v>61.085699999999996</v>
      </c>
      <c r="G219" s="6">
        <v>0</v>
      </c>
      <c r="H219" s="6">
        <f t="shared" si="15"/>
        <v>695.63426399999992</v>
      </c>
      <c r="I219" s="1"/>
      <c r="J219" s="1"/>
      <c r="K219" s="1"/>
      <c r="L219" s="1"/>
      <c r="M219" s="1"/>
      <c r="N219" s="1"/>
      <c r="O219" s="1"/>
      <c r="P219" s="1"/>
      <c r="Q219" s="1"/>
      <c r="R219" s="1"/>
      <c r="S219" s="1"/>
      <c r="T219" s="23" t="str">
        <f t="shared" ca="1" si="14"/>
        <v>168108,..,4208</v>
      </c>
      <c r="U219" s="23">
        <f t="shared" ca="1" si="17"/>
        <v>168108</v>
      </c>
      <c r="V219" s="23">
        <f t="shared" ca="1" si="17"/>
        <v>4208</v>
      </c>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WZB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row>
    <row r="220" spans="1:150 16226:16383" s="3" customFormat="1" ht="21" x14ac:dyDescent="0.3">
      <c r="A220" s="99" t="s">
        <v>334</v>
      </c>
      <c r="B220" s="100"/>
      <c r="C220" s="100"/>
      <c r="D220" s="100"/>
      <c r="E220" s="100"/>
      <c r="F220" s="100"/>
      <c r="G220" s="100"/>
      <c r="H220" s="10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WZB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row>
    <row r="221" spans="1:150 16226:16383" s="3" customFormat="1" ht="20.25" customHeight="1" x14ac:dyDescent="0.3">
      <c r="A221" s="102">
        <v>1</v>
      </c>
      <c r="B221" s="102"/>
      <c r="C221" s="78" t="s">
        <v>92</v>
      </c>
      <c r="D221" s="54" t="s">
        <v>333</v>
      </c>
      <c r="E221" s="33">
        <f>(57.03)*10.764</f>
        <v>613.87091999999996</v>
      </c>
      <c r="F221" s="33">
        <f>(5.01)*10.764</f>
        <v>53.927639999999997</v>
      </c>
      <c r="G221" s="6">
        <v>0</v>
      </c>
      <c r="H221" s="6">
        <f>E221+F221+(IF(G221&lt;101,G221,IF(G221&lt;201,G221/2,IF(G221&lt;=301,G221/3,G221/4))))</f>
        <v>667.79855999999995</v>
      </c>
      <c r="I221" s="1"/>
      <c r="J221" s="1"/>
      <c r="K221" s="1"/>
      <c r="L221" s="1"/>
      <c r="M221" s="1"/>
      <c r="N221" s="1"/>
      <c r="O221" s="1"/>
      <c r="P221" s="1"/>
      <c r="Q221" s="1"/>
      <c r="R221" s="1"/>
      <c r="S221" s="1"/>
      <c r="T221" s="23" t="str">
        <f t="shared" ref="T221:T228" ca="1" si="18">U221&amp;""&amp;",..,"&amp;""&amp;V221</f>
        <v>71201,..,3701</v>
      </c>
      <c r="U221" s="23">
        <f ca="1">(SUMPRODUCT(MID(0&amp;(LEFT(A220,SUM(LEN(A220)-LEN(SUBSTITUTE(A220,{"0","1","2","3"},""))))), LARGE(INDEX(ISNUMBER(--MID((LEFT(A220,SUM(LEN(A220)-LEN(SUBSTITUTE(A220,{"0","1","2","3"},""))))), ROW(INDIRECT("1:"&amp;LEN((LEFT(A220,SUM(LEN(A220)-LEN(SUBSTITUTE(A220,{"0","1","2","3"},"")))))))), 1)) * ROW(INDIRECT("1:"&amp;LEN((LEFT(A220,SUM(LEN(A220)-LEN(SUBSTITUTE(A220,{"0","1","2","3"},"")))))))), 0), ROW(INDIRECT("1:"&amp;LEN((LEFT(A220,SUM(LEN(A220)-LEN(SUBSTITUTE(A220,{"0","1","2","3"},"")))))))))+1, 1) * 10^ROW(INDIRECT("1:"&amp;LEN((LEFT(A220,SUM(LEN(A220)-LEN(SUBSTITUTE(A220,{"0","1","2","3"},""))))))))/10))*100+1</f>
        <v>71201</v>
      </c>
      <c r="V221" s="23">
        <f ca="1">(SUMPRODUCT(MID(0&amp;(--TRIM(RIGHT(SUBSTITUTE(LEFT(A220,_xlfn.AGGREGATE(16,6,FIND({0,1,2,3,4,5,6,7,8,9},A220,ROW(INDIRECT("1:"&amp;LEN(A220)))),1))," ",REPT(" ",LEN(A220))),LEN(A220)))), LARGE(INDEX(ISNUMBER(--MID((--TRIM(RIGHT(SUBSTITUTE(LEFT(A220,_xlfn.AGGREGATE(16,6,FIND({0,1,2,3,4,5,6,7,8,9},A220,ROW(INDIRECT("1:"&amp;LEN(A220)))),1))," ",REPT(" ",LEN(A220))),LEN(A220)))), ROW(INDIRECT("1:"&amp;LEN((--TRIM(RIGHT(SUBSTITUTE(LEFT(A220,_xlfn.AGGREGATE(16,6,FIND({0,1,2,3,4,5,6,7,8,9},A220,ROW(INDIRECT("1:"&amp;LEN(A220)))),1))," ",REPT(" ",LEN(A220))),LEN(A220))))))), 1)) * ROW(INDIRECT("1:"&amp;LEN((--TRIM(RIGHT(SUBSTITUTE(LEFT(A220,_xlfn.AGGREGATE(16,6,FIND({0,1,2,3,4,5,6,7,8,9},A220,ROW(INDIRECT("1:"&amp;LEN(A220)))),1))," ",REPT(" ",LEN(A220))),LEN(A220))))))), 0), ROW(INDIRECT("1:"&amp;LEN((--TRIM(RIGHT(SUBSTITUTE(LEFT(A220,_xlfn.AGGREGATE(16,6,FIND({0,1,2,3,4,5,6,7,8,9},A220,ROW(INDIRECT("1:"&amp;LEN(A220)))),1))," ",REPT(" ",LEN(A220))),LEN(A220))))))))+1, 1) * 10^ROW(INDIRECT("1:"&amp;LEN((--TRIM(RIGHT(SUBSTITUTE(LEFT(A220,_xlfn.AGGREGATE(16,6,FIND({0,1,2,3,4,5,6,7,8,9},A220,ROW(INDIRECT("1:"&amp;LEN(A220)))),1))," ",REPT(" ",LEN(A220))),LEN(A220)))))))/10))*100+1</f>
        <v>3701</v>
      </c>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WZB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row>
    <row r="222" spans="1:150 16226:16383" s="3" customFormat="1" ht="20.25" customHeight="1" x14ac:dyDescent="0.3">
      <c r="A222" s="83">
        <f>A221+1</f>
        <v>2</v>
      </c>
      <c r="B222" s="84"/>
      <c r="C222" s="78" t="s">
        <v>92</v>
      </c>
      <c r="D222" s="54" t="s">
        <v>333</v>
      </c>
      <c r="E222" s="33">
        <f>(57.03)*10.764</f>
        <v>613.87091999999996</v>
      </c>
      <c r="F222" s="33">
        <f>(5.01)*10.764</f>
        <v>53.927639999999997</v>
      </c>
      <c r="G222" s="6">
        <v>0</v>
      </c>
      <c r="H222" s="6">
        <f t="shared" ref="H222:H228" si="19">E222+F222+(IF(G222&lt;101,G222,IF(G222&lt;201,G222/2,IF(G222&lt;=301,G222/3,G222/4))))</f>
        <v>667.79855999999995</v>
      </c>
      <c r="I222" s="1"/>
      <c r="J222" s="1"/>
      <c r="K222" s="1"/>
      <c r="L222" s="1"/>
      <c r="M222" s="1"/>
      <c r="N222" s="1"/>
      <c r="O222" s="1"/>
      <c r="P222" s="1"/>
      <c r="Q222" s="1"/>
      <c r="R222" s="1"/>
      <c r="S222" s="1"/>
      <c r="T222" s="23" t="str">
        <f t="shared" ca="1" si="18"/>
        <v>71202,..,3702</v>
      </c>
      <c r="U222" s="23">
        <f ca="1">U221+1</f>
        <v>71202</v>
      </c>
      <c r="V222" s="23">
        <f ca="1">V221+1</f>
        <v>3702</v>
      </c>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WZB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row>
    <row r="223" spans="1:150 16226:16383" s="3" customFormat="1" ht="20.25" customHeight="1" x14ac:dyDescent="0.3">
      <c r="A223" s="83">
        <f t="shared" ref="A223:A228" si="20">A222+1</f>
        <v>3</v>
      </c>
      <c r="B223" s="84"/>
      <c r="C223" s="78" t="s">
        <v>92</v>
      </c>
      <c r="D223" s="54" t="s">
        <v>333</v>
      </c>
      <c r="E223" s="33">
        <f>(58.951)*10.764</f>
        <v>634.54856399999994</v>
      </c>
      <c r="F223" s="33">
        <f>(5.675)*10.764</f>
        <v>61.085699999999996</v>
      </c>
      <c r="G223" s="6">
        <v>0</v>
      </c>
      <c r="H223" s="6">
        <f t="shared" si="19"/>
        <v>695.63426399999992</v>
      </c>
      <c r="I223" s="1"/>
      <c r="J223" s="1"/>
      <c r="K223" s="1"/>
      <c r="L223" s="1"/>
      <c r="M223" s="1"/>
      <c r="N223" s="1"/>
      <c r="O223" s="1"/>
      <c r="P223" s="1"/>
      <c r="Q223" s="1"/>
      <c r="R223" s="1"/>
      <c r="S223" s="1"/>
      <c r="T223" s="23" t="str">
        <f t="shared" ca="1" si="18"/>
        <v>71203,..,3703</v>
      </c>
      <c r="U223" s="23">
        <f t="shared" ref="U223:U228" ca="1" si="21">U222+1</f>
        <v>71203</v>
      </c>
      <c r="V223" s="23">
        <f t="shared" ref="V223:V228" ca="1" si="22">V222+1</f>
        <v>3703</v>
      </c>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WZB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row>
    <row r="224" spans="1:150 16226:16383" s="3" customFormat="1" ht="20.25" customHeight="1" x14ac:dyDescent="0.3">
      <c r="A224" s="83">
        <f t="shared" si="20"/>
        <v>4</v>
      </c>
      <c r="B224" s="84"/>
      <c r="C224" s="78" t="s">
        <v>92</v>
      </c>
      <c r="D224" s="54" t="s">
        <v>333</v>
      </c>
      <c r="E224" s="33">
        <f>(58.951)*10.764</f>
        <v>634.54856399999994</v>
      </c>
      <c r="F224" s="33">
        <f>(5.675)*10.764</f>
        <v>61.085699999999996</v>
      </c>
      <c r="G224" s="6">
        <v>0</v>
      </c>
      <c r="H224" s="6">
        <f t="shared" si="19"/>
        <v>695.63426399999992</v>
      </c>
      <c r="I224" s="1"/>
      <c r="J224" s="1"/>
      <c r="K224" s="1"/>
      <c r="L224" s="1"/>
      <c r="M224" s="1"/>
      <c r="N224" s="1"/>
      <c r="O224" s="1"/>
      <c r="P224" s="1"/>
      <c r="Q224" s="1"/>
      <c r="R224" s="1"/>
      <c r="S224" s="1"/>
      <c r="T224" s="23" t="str">
        <f t="shared" ca="1" si="18"/>
        <v>71204,..,3704</v>
      </c>
      <c r="U224" s="23">
        <f t="shared" ca="1" si="21"/>
        <v>71204</v>
      </c>
      <c r="V224" s="23">
        <f t="shared" ca="1" si="22"/>
        <v>3704</v>
      </c>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WZB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row>
    <row r="225" spans="1:150 16226:16383" s="3" customFormat="1" ht="20.25" customHeight="1" x14ac:dyDescent="0.3">
      <c r="A225" s="83">
        <f t="shared" si="20"/>
        <v>5</v>
      </c>
      <c r="B225" s="84"/>
      <c r="C225" s="89" t="s">
        <v>335</v>
      </c>
      <c r="D225" s="90"/>
      <c r="E225" s="90"/>
      <c r="F225" s="90"/>
      <c r="G225" s="90"/>
      <c r="H225" s="91"/>
      <c r="I225" s="1"/>
      <c r="J225" s="1"/>
      <c r="K225" s="1"/>
      <c r="L225" s="1"/>
      <c r="M225" s="1"/>
      <c r="N225" s="1"/>
      <c r="O225" s="1"/>
      <c r="P225" s="1"/>
      <c r="Q225" s="1"/>
      <c r="R225" s="1"/>
      <c r="S225" s="1"/>
      <c r="T225" s="23" t="str">
        <f t="shared" ca="1" si="18"/>
        <v>71205,..,3705</v>
      </c>
      <c r="U225" s="23">
        <f t="shared" ca="1" si="21"/>
        <v>71205</v>
      </c>
      <c r="V225" s="23">
        <f t="shared" ca="1" si="22"/>
        <v>3705</v>
      </c>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WZB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row>
    <row r="226" spans="1:150 16226:16383" s="3" customFormat="1" ht="20.25" customHeight="1" x14ac:dyDescent="0.3">
      <c r="A226" s="83">
        <f t="shared" si="20"/>
        <v>6</v>
      </c>
      <c r="B226" s="84"/>
      <c r="C226" s="78" t="s">
        <v>92</v>
      </c>
      <c r="D226" s="54" t="s">
        <v>339</v>
      </c>
      <c r="E226" s="33">
        <f>(39.89)*10.764</f>
        <v>429.37595999999996</v>
      </c>
      <c r="F226" s="33">
        <f>(2.915)*10.764</f>
        <v>31.37706</v>
      </c>
      <c r="G226" s="6">
        <v>0</v>
      </c>
      <c r="H226" s="6">
        <f t="shared" si="19"/>
        <v>460.75301999999999</v>
      </c>
      <c r="I226" s="1"/>
      <c r="J226" s="1"/>
      <c r="K226" s="1"/>
      <c r="L226" s="1"/>
      <c r="M226" s="1"/>
      <c r="N226" s="1"/>
      <c r="O226" s="1"/>
      <c r="P226" s="1"/>
      <c r="Q226" s="1"/>
      <c r="R226" s="1"/>
      <c r="S226" s="1"/>
      <c r="T226" s="23" t="str">
        <f t="shared" ca="1" si="18"/>
        <v>71206,..,3706</v>
      </c>
      <c r="U226" s="23">
        <f t="shared" ca="1" si="21"/>
        <v>71206</v>
      </c>
      <c r="V226" s="23">
        <f t="shared" ca="1" si="22"/>
        <v>3706</v>
      </c>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WZB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row>
    <row r="227" spans="1:150 16226:16383" s="3" customFormat="1" ht="20.25" customHeight="1" x14ac:dyDescent="0.3">
      <c r="A227" s="83">
        <f t="shared" si="20"/>
        <v>7</v>
      </c>
      <c r="B227" s="84"/>
      <c r="C227" s="78" t="s">
        <v>92</v>
      </c>
      <c r="D227" s="54" t="s">
        <v>333</v>
      </c>
      <c r="E227" s="33">
        <f>(58.951)*10.764</f>
        <v>634.54856399999994</v>
      </c>
      <c r="F227" s="33">
        <f>(5.675)*10.764</f>
        <v>61.085699999999996</v>
      </c>
      <c r="G227" s="6">
        <v>0</v>
      </c>
      <c r="H227" s="6">
        <f t="shared" si="19"/>
        <v>695.63426399999992</v>
      </c>
      <c r="I227" s="1"/>
      <c r="J227" s="1"/>
      <c r="K227" s="1"/>
      <c r="L227" s="1"/>
      <c r="M227" s="1"/>
      <c r="N227" s="1"/>
      <c r="O227" s="1"/>
      <c r="P227" s="1"/>
      <c r="Q227" s="1"/>
      <c r="R227" s="1"/>
      <c r="S227" s="1"/>
      <c r="T227" s="23" t="str">
        <f t="shared" ca="1" si="18"/>
        <v>71207,..,3707</v>
      </c>
      <c r="U227" s="23">
        <f t="shared" ca="1" si="21"/>
        <v>71207</v>
      </c>
      <c r="V227" s="23">
        <f t="shared" ca="1" si="22"/>
        <v>3707</v>
      </c>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WZB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row>
    <row r="228" spans="1:150 16226:16383" s="3" customFormat="1" ht="20.25" customHeight="1" x14ac:dyDescent="0.3">
      <c r="A228" s="83">
        <f t="shared" si="20"/>
        <v>8</v>
      </c>
      <c r="B228" s="84"/>
      <c r="C228" s="78" t="s">
        <v>92</v>
      </c>
      <c r="D228" s="54" t="s">
        <v>333</v>
      </c>
      <c r="E228" s="33">
        <f>(58.951)*10.764</f>
        <v>634.54856399999994</v>
      </c>
      <c r="F228" s="33">
        <f>(5.675)*10.764</f>
        <v>61.085699999999996</v>
      </c>
      <c r="G228" s="6">
        <v>0</v>
      </c>
      <c r="H228" s="6">
        <f t="shared" si="19"/>
        <v>695.63426399999992</v>
      </c>
      <c r="I228" s="1"/>
      <c r="J228" s="1"/>
      <c r="K228" s="1"/>
      <c r="L228" s="1"/>
      <c r="M228" s="1"/>
      <c r="N228" s="1"/>
      <c r="O228" s="1"/>
      <c r="P228" s="1"/>
      <c r="Q228" s="1"/>
      <c r="R228" s="1"/>
      <c r="S228" s="1"/>
      <c r="T228" s="23" t="str">
        <f t="shared" ca="1" si="18"/>
        <v>71208,..,3708</v>
      </c>
      <c r="U228" s="23">
        <f t="shared" ca="1" si="21"/>
        <v>71208</v>
      </c>
      <c r="V228" s="23">
        <f t="shared" ca="1" si="22"/>
        <v>3708</v>
      </c>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WZB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row>
    <row r="229" spans="1:150 16226:16383" s="3" customFormat="1" ht="21" x14ac:dyDescent="0.3">
      <c r="A229" s="103" t="s">
        <v>357</v>
      </c>
      <c r="B229" s="104"/>
      <c r="C229" s="104"/>
      <c r="D229" s="104"/>
      <c r="E229" s="104"/>
      <c r="F229" s="104"/>
      <c r="G229" s="104"/>
      <c r="H229" s="105"/>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WZB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row>
    <row r="230" spans="1:150 16226:16383" s="3" customFormat="1" ht="21" x14ac:dyDescent="0.3">
      <c r="A230" s="99" t="s">
        <v>338</v>
      </c>
      <c r="B230" s="100"/>
      <c r="C230" s="100"/>
      <c r="D230" s="100"/>
      <c r="E230" s="100"/>
      <c r="F230" s="100"/>
      <c r="G230" s="100"/>
      <c r="H230" s="10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row>
    <row r="231" spans="1:150 16226:16383" s="3" customFormat="1" ht="42" customHeight="1" x14ac:dyDescent="0.3">
      <c r="A231" s="99" t="s">
        <v>330</v>
      </c>
      <c r="B231" s="100"/>
      <c r="C231" s="100"/>
      <c r="D231" s="100"/>
      <c r="E231" s="100"/>
      <c r="F231" s="100"/>
      <c r="G231" s="100"/>
      <c r="H231" s="101"/>
      <c r="I231" s="1">
        <f>6+4+4+4+4+4+4+5</f>
        <v>35</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row>
    <row r="232" spans="1:150 16226:16383" s="3" customFormat="1" ht="20.25" customHeight="1" x14ac:dyDescent="0.3">
      <c r="A232" s="102">
        <v>1</v>
      </c>
      <c r="B232" s="102"/>
      <c r="C232" s="78" t="s">
        <v>92</v>
      </c>
      <c r="D232" s="54" t="s">
        <v>333</v>
      </c>
      <c r="E232" s="33">
        <f>(57.03)*10.764</f>
        <v>613.87091999999996</v>
      </c>
      <c r="F232" s="33">
        <f>(5.01)*10.764</f>
        <v>53.927639999999997</v>
      </c>
      <c r="G232" s="6">
        <v>0</v>
      </c>
      <c r="H232" s="6">
        <f>E232+F232+(IF(G232&lt;101,G232,IF(G232&lt;201,G232/2,IF(G232&lt;=301,G232/3,G232/4))))</f>
        <v>667.79855999999995</v>
      </c>
      <c r="I232" s="1"/>
      <c r="J232" s="1"/>
      <c r="K232" s="1"/>
      <c r="L232" s="1"/>
      <c r="M232" s="1"/>
      <c r="N232" s="1"/>
      <c r="O232" s="1"/>
      <c r="P232" s="1"/>
      <c r="Q232" s="1"/>
      <c r="R232" s="1"/>
      <c r="S232" s="1"/>
      <c r="T232" s="23" t="str">
        <f t="shared" ref="T232:T239" ca="1" si="23">U232&amp;""&amp;",..,"&amp;""&amp;V232</f>
        <v>168101,..,4201</v>
      </c>
      <c r="U232" s="23">
        <f ca="1">(SUMPRODUCT(MID(0&amp;(LEFT(A231,SUM(LEN(A231)-LEN(SUBSTITUTE(A231,{"0","1","2","3"},""))))), LARGE(INDEX(ISNUMBER(--MID((LEFT(A231,SUM(LEN(A231)-LEN(SUBSTITUTE(A231,{"0","1","2","3"},""))))), ROW(INDIRECT("1:"&amp;LEN((LEFT(A231,SUM(LEN(A231)-LEN(SUBSTITUTE(A231,{"0","1","2","3"},"")))))))), 1)) * ROW(INDIRECT("1:"&amp;LEN((LEFT(A231,SUM(LEN(A231)-LEN(SUBSTITUTE(A231,{"0","1","2","3"},"")))))))), 0), ROW(INDIRECT("1:"&amp;LEN((LEFT(A231,SUM(LEN(A231)-LEN(SUBSTITUTE(A231,{"0","1","2","3"},"")))))))))+1, 1) * 10^ROW(INDIRECT("1:"&amp;LEN((LEFT(A231,SUM(LEN(A231)-LEN(SUBSTITUTE(A231,{"0","1","2","3"},""))))))))/10))*100+1</f>
        <v>168101</v>
      </c>
      <c r="V232" s="23">
        <f ca="1">(SUMPRODUCT(MID(0&amp;(--TRIM(RIGHT(SUBSTITUTE(LEFT(A231,_xlfn.AGGREGATE(16,6,FIND({0,1,2,3,4,5,6,7,8,9},A231,ROW(INDIRECT("1:"&amp;LEN(A231)))),1))," ",REPT(" ",LEN(A231))),LEN(A231)))), LARGE(INDEX(ISNUMBER(--MID((--TRIM(RIGHT(SUBSTITUTE(LEFT(A231,_xlfn.AGGREGATE(16,6,FIND({0,1,2,3,4,5,6,7,8,9},A231,ROW(INDIRECT("1:"&amp;LEN(A231)))),1))," ",REPT(" ",LEN(A231))),LEN(A231)))), ROW(INDIRECT("1:"&amp;LEN((--TRIM(RIGHT(SUBSTITUTE(LEFT(A231,_xlfn.AGGREGATE(16,6,FIND({0,1,2,3,4,5,6,7,8,9},A231,ROW(INDIRECT("1:"&amp;LEN(A231)))),1))," ",REPT(" ",LEN(A231))),LEN(A231))))))), 1)) * ROW(INDIRECT("1:"&amp;LEN((--TRIM(RIGHT(SUBSTITUTE(LEFT(A231,_xlfn.AGGREGATE(16,6,FIND({0,1,2,3,4,5,6,7,8,9},A231,ROW(INDIRECT("1:"&amp;LEN(A231)))),1))," ",REPT(" ",LEN(A231))),LEN(A231))))))), 0), ROW(INDIRECT("1:"&amp;LEN((--TRIM(RIGHT(SUBSTITUTE(LEFT(A231,_xlfn.AGGREGATE(16,6,FIND({0,1,2,3,4,5,6,7,8,9},A231,ROW(INDIRECT("1:"&amp;LEN(A231)))),1))," ",REPT(" ",LEN(A231))),LEN(A231))))))))+1, 1) * 10^ROW(INDIRECT("1:"&amp;LEN((--TRIM(RIGHT(SUBSTITUTE(LEFT(A231,_xlfn.AGGREGATE(16,6,FIND({0,1,2,3,4,5,6,7,8,9},A231,ROW(INDIRECT("1:"&amp;LEN(A231)))),1))," ",REPT(" ",LEN(A231))),LEN(A231)))))))/10))*100+1</f>
        <v>4201</v>
      </c>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row>
    <row r="233" spans="1:150 16226:16383" s="3" customFormat="1" ht="20.25" customHeight="1" x14ac:dyDescent="0.3">
      <c r="A233" s="83">
        <f>A232+1</f>
        <v>2</v>
      </c>
      <c r="B233" s="84"/>
      <c r="C233" s="78" t="s">
        <v>92</v>
      </c>
      <c r="D233" s="54" t="s">
        <v>333</v>
      </c>
      <c r="E233" s="33">
        <f>(57.03)*10.764</f>
        <v>613.87091999999996</v>
      </c>
      <c r="F233" s="33">
        <f>(5.01)*10.764</f>
        <v>53.927639999999997</v>
      </c>
      <c r="G233" s="6">
        <v>0</v>
      </c>
      <c r="H233" s="6">
        <f t="shared" ref="H233:H239" si="24">E233+F233+(IF(G233&lt;101,G233,IF(G233&lt;201,G233/2,IF(G233&lt;=301,G233/3,G233/4))))</f>
        <v>667.79855999999995</v>
      </c>
      <c r="I233" s="1"/>
      <c r="J233" s="1"/>
      <c r="K233" s="1"/>
      <c r="L233" s="1"/>
      <c r="M233" s="1"/>
      <c r="N233" s="1"/>
      <c r="O233" s="1"/>
      <c r="P233" s="1"/>
      <c r="Q233" s="1"/>
      <c r="R233" s="1"/>
      <c r="S233" s="1"/>
      <c r="T233" s="23" t="str">
        <f t="shared" ca="1" si="23"/>
        <v>168102,..,4202</v>
      </c>
      <c r="U233" s="23">
        <f ca="1">U232+1</f>
        <v>168102</v>
      </c>
      <c r="V233" s="23">
        <f ca="1">V232+1</f>
        <v>4202</v>
      </c>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row>
    <row r="234" spans="1:150 16226:16383" s="3" customFormat="1" ht="20.25" customHeight="1" x14ac:dyDescent="0.3">
      <c r="A234" s="83">
        <f t="shared" ref="A234:A239" si="25">A233+1</f>
        <v>3</v>
      </c>
      <c r="B234" s="84"/>
      <c r="C234" s="78" t="s">
        <v>92</v>
      </c>
      <c r="D234" s="54" t="s">
        <v>332</v>
      </c>
      <c r="E234" s="33">
        <f>(93.014)*10.764</f>
        <v>1001.2026959999999</v>
      </c>
      <c r="F234" s="33">
        <f>(7.498)*10.764</f>
        <v>80.708472</v>
      </c>
      <c r="G234" s="6">
        <v>0</v>
      </c>
      <c r="H234" s="6">
        <f t="shared" si="24"/>
        <v>1081.9111679999999</v>
      </c>
      <c r="I234" s="1"/>
      <c r="J234" s="1"/>
      <c r="K234" s="1"/>
      <c r="L234" s="1"/>
      <c r="M234" s="1"/>
      <c r="N234" s="1"/>
      <c r="O234" s="1"/>
      <c r="P234" s="1"/>
      <c r="Q234" s="1"/>
      <c r="R234" s="1"/>
      <c r="S234" s="1"/>
      <c r="T234" s="23" t="str">
        <f t="shared" ca="1" si="23"/>
        <v>168103,..,4203</v>
      </c>
      <c r="U234" s="23">
        <f t="shared" ref="U234:V234" ca="1" si="26">U233+1</f>
        <v>168103</v>
      </c>
      <c r="V234" s="23">
        <f t="shared" ca="1" si="26"/>
        <v>4203</v>
      </c>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row>
    <row r="235" spans="1:150 16226:16383" s="3" customFormat="1" ht="20.25" customHeight="1" x14ac:dyDescent="0.3">
      <c r="A235" s="83">
        <f t="shared" si="25"/>
        <v>4</v>
      </c>
      <c r="B235" s="84"/>
      <c r="C235" s="78" t="s">
        <v>92</v>
      </c>
      <c r="D235" s="54" t="s">
        <v>332</v>
      </c>
      <c r="E235" s="33">
        <f>(93.014)*10.764</f>
        <v>1001.2026959999999</v>
      </c>
      <c r="F235" s="33">
        <f>(7.498)*10.764</f>
        <v>80.708472</v>
      </c>
      <c r="G235" s="6">
        <v>0</v>
      </c>
      <c r="H235" s="6">
        <f t="shared" si="24"/>
        <v>1081.9111679999999</v>
      </c>
      <c r="I235" s="1"/>
      <c r="J235" s="1"/>
      <c r="K235" s="1"/>
      <c r="L235" s="1"/>
      <c r="M235" s="1"/>
      <c r="N235" s="1"/>
      <c r="O235" s="1"/>
      <c r="P235" s="1"/>
      <c r="Q235" s="1"/>
      <c r="R235" s="1"/>
      <c r="S235" s="1"/>
      <c r="T235" s="23" t="str">
        <f t="shared" ca="1" si="23"/>
        <v>168104,..,4204</v>
      </c>
      <c r="U235" s="23">
        <f t="shared" ref="U235:V235" ca="1" si="27">U234+1</f>
        <v>168104</v>
      </c>
      <c r="V235" s="23">
        <f t="shared" ca="1" si="27"/>
        <v>4204</v>
      </c>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row>
    <row r="236" spans="1:150 16226:16383" s="3" customFormat="1" ht="20.25" customHeight="1" x14ac:dyDescent="0.3">
      <c r="A236" s="83">
        <f t="shared" si="25"/>
        <v>5</v>
      </c>
      <c r="B236" s="84"/>
      <c r="C236" s="78" t="s">
        <v>92</v>
      </c>
      <c r="D236" s="54" t="s">
        <v>333</v>
      </c>
      <c r="E236" s="33">
        <f>(64.535)*10.764</f>
        <v>694.65473999999995</v>
      </c>
      <c r="F236" s="33">
        <f>(6.466)*10.764</f>
        <v>69.600024000000005</v>
      </c>
      <c r="G236" s="6">
        <v>0</v>
      </c>
      <c r="H236" s="6">
        <f t="shared" si="24"/>
        <v>764.25476399999991</v>
      </c>
      <c r="I236" s="1"/>
      <c r="J236" s="1"/>
      <c r="K236" s="1"/>
      <c r="L236" s="1"/>
      <c r="M236" s="1"/>
      <c r="N236" s="1"/>
      <c r="O236" s="1"/>
      <c r="P236" s="1"/>
      <c r="Q236" s="1"/>
      <c r="R236" s="1"/>
      <c r="S236" s="1"/>
      <c r="T236" s="23" t="str">
        <f t="shared" ca="1" si="23"/>
        <v>168105,..,4205</v>
      </c>
      <c r="U236" s="23">
        <f t="shared" ref="U236:V236" ca="1" si="28">U235+1</f>
        <v>168105</v>
      </c>
      <c r="V236" s="23">
        <f t="shared" ca="1" si="28"/>
        <v>4205</v>
      </c>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row>
    <row r="237" spans="1:150 16226:16383" s="3" customFormat="1" ht="20.25" customHeight="1" x14ac:dyDescent="0.3">
      <c r="A237" s="83">
        <f t="shared" si="25"/>
        <v>6</v>
      </c>
      <c r="B237" s="84"/>
      <c r="C237" s="78" t="s">
        <v>92</v>
      </c>
      <c r="D237" s="54" t="s">
        <v>333</v>
      </c>
      <c r="E237" s="33">
        <f>(64.535)*10.764</f>
        <v>694.65473999999995</v>
      </c>
      <c r="F237" s="33">
        <f>(6.466)*10.764</f>
        <v>69.600024000000005</v>
      </c>
      <c r="G237" s="6">
        <v>0</v>
      </c>
      <c r="H237" s="6">
        <f t="shared" si="24"/>
        <v>764.25476399999991</v>
      </c>
      <c r="I237" s="1"/>
      <c r="J237" s="1"/>
      <c r="K237" s="1"/>
      <c r="L237" s="1"/>
      <c r="M237" s="1"/>
      <c r="N237" s="1"/>
      <c r="O237" s="1"/>
      <c r="P237" s="1"/>
      <c r="Q237" s="1"/>
      <c r="R237" s="1"/>
      <c r="S237" s="1"/>
      <c r="T237" s="23" t="str">
        <f t="shared" ca="1" si="23"/>
        <v>168106,..,4206</v>
      </c>
      <c r="U237" s="23">
        <f t="shared" ref="U237:V237" ca="1" si="29">U236+1</f>
        <v>168106</v>
      </c>
      <c r="V237" s="23">
        <f t="shared" ca="1" si="29"/>
        <v>4206</v>
      </c>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row>
    <row r="238" spans="1:150 16226:16383" s="3" customFormat="1" ht="20.25" customHeight="1" x14ac:dyDescent="0.3">
      <c r="A238" s="83">
        <f t="shared" si="25"/>
        <v>7</v>
      </c>
      <c r="B238" s="84"/>
      <c r="C238" s="78" t="s">
        <v>92</v>
      </c>
      <c r="D238" s="54" t="s">
        <v>332</v>
      </c>
      <c r="E238" s="33">
        <f>(85.821)*10.764</f>
        <v>923.77724399999988</v>
      </c>
      <c r="F238" s="33">
        <f>(6.908)*10.764</f>
        <v>74.357712000000006</v>
      </c>
      <c r="G238" s="6">
        <v>0</v>
      </c>
      <c r="H238" s="6">
        <f t="shared" si="24"/>
        <v>998.13495599999987</v>
      </c>
      <c r="I238" s="1"/>
      <c r="J238" s="1"/>
      <c r="K238" s="1"/>
      <c r="L238" s="1"/>
      <c r="M238" s="1"/>
      <c r="N238" s="1"/>
      <c r="O238" s="1"/>
      <c r="P238" s="1"/>
      <c r="Q238" s="1"/>
      <c r="R238" s="1"/>
      <c r="S238" s="1"/>
      <c r="T238" s="23" t="str">
        <f t="shared" ca="1" si="23"/>
        <v>168107,..,4207</v>
      </c>
      <c r="U238" s="23">
        <f t="shared" ref="U238:V238" ca="1" si="30">U237+1</f>
        <v>168107</v>
      </c>
      <c r="V238" s="23">
        <f t="shared" ca="1" si="30"/>
        <v>4207</v>
      </c>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row>
    <row r="239" spans="1:150 16226:16383" s="3" customFormat="1" ht="20.25" customHeight="1" x14ac:dyDescent="0.3">
      <c r="A239" s="83">
        <f t="shared" si="25"/>
        <v>8</v>
      </c>
      <c r="B239" s="84"/>
      <c r="C239" s="78" t="s">
        <v>92</v>
      </c>
      <c r="D239" s="54" t="s">
        <v>332</v>
      </c>
      <c r="E239" s="33">
        <f>(85.821)*10.764</f>
        <v>923.77724399999988</v>
      </c>
      <c r="F239" s="33">
        <f>(6.908)*10.764</f>
        <v>74.357712000000006</v>
      </c>
      <c r="G239" s="6">
        <v>0</v>
      </c>
      <c r="H239" s="6">
        <f t="shared" si="24"/>
        <v>998.13495599999987</v>
      </c>
      <c r="I239" s="1"/>
      <c r="J239" s="1"/>
      <c r="K239" s="1"/>
      <c r="L239" s="1"/>
      <c r="M239" s="1"/>
      <c r="N239" s="1"/>
      <c r="O239" s="1"/>
      <c r="P239" s="1"/>
      <c r="Q239" s="1"/>
      <c r="R239" s="1"/>
      <c r="S239" s="1"/>
      <c r="T239" s="23" t="str">
        <f t="shared" ca="1" si="23"/>
        <v>168108,..,4208</v>
      </c>
      <c r="U239" s="23">
        <f t="shared" ref="U239:V239" ca="1" si="31">U238+1</f>
        <v>168108</v>
      </c>
      <c r="V239" s="23">
        <f t="shared" ca="1" si="31"/>
        <v>4208</v>
      </c>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row>
    <row r="240" spans="1:150 16226:16383" s="3" customFormat="1" ht="21" x14ac:dyDescent="0.3">
      <c r="A240" s="99" t="s">
        <v>361</v>
      </c>
      <c r="B240" s="100"/>
      <c r="C240" s="100"/>
      <c r="D240" s="100"/>
      <c r="E240" s="100"/>
      <c r="F240" s="100"/>
      <c r="G240" s="100"/>
      <c r="H240" s="10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row>
    <row r="241" spans="1:150 16226:16383" s="3" customFormat="1" ht="20.25" customHeight="1" x14ac:dyDescent="0.3">
      <c r="A241" s="102">
        <v>1</v>
      </c>
      <c r="B241" s="102"/>
      <c r="C241" s="78" t="s">
        <v>92</v>
      </c>
      <c r="D241" s="54" t="s">
        <v>333</v>
      </c>
      <c r="E241" s="33">
        <f>(57.03)*10.764</f>
        <v>613.87091999999996</v>
      </c>
      <c r="F241" s="33">
        <f>(5.01)*10.764</f>
        <v>53.927639999999997</v>
      </c>
      <c r="G241" s="6">
        <v>0</v>
      </c>
      <c r="H241" s="6">
        <f>E241+F241+(IF(G241&lt;101,G241,IF(G241&lt;201,G241/2,IF(G241&lt;=301,G241/3,G241/4))))</f>
        <v>667.79855999999995</v>
      </c>
      <c r="I241" s="1"/>
      <c r="J241" s="1"/>
      <c r="K241" s="1"/>
      <c r="L241" s="1"/>
      <c r="M241" s="1"/>
      <c r="N241" s="1"/>
      <c r="O241" s="1"/>
      <c r="P241" s="1"/>
      <c r="Q241" s="1"/>
      <c r="R241" s="1"/>
      <c r="S241" s="1"/>
      <c r="T241" s="23" t="str">
        <f t="shared" ref="T241:T248" ca="1" si="32">U241&amp;""&amp;",..,"&amp;""&amp;V241</f>
        <v>71201,..,3701</v>
      </c>
      <c r="U241" s="23">
        <f ca="1">(SUMPRODUCT(MID(0&amp;(LEFT(A240,SUM(LEN(A240)-LEN(SUBSTITUTE(A240,{"0","1","2","3"},""))))), LARGE(INDEX(ISNUMBER(--MID((LEFT(A240,SUM(LEN(A240)-LEN(SUBSTITUTE(A240,{"0","1","2","3"},""))))), ROW(INDIRECT("1:"&amp;LEN((LEFT(A240,SUM(LEN(A240)-LEN(SUBSTITUTE(A240,{"0","1","2","3"},"")))))))), 1)) * ROW(INDIRECT("1:"&amp;LEN((LEFT(A240,SUM(LEN(A240)-LEN(SUBSTITUTE(A240,{"0","1","2","3"},"")))))))), 0), ROW(INDIRECT("1:"&amp;LEN((LEFT(A240,SUM(LEN(A240)-LEN(SUBSTITUTE(A240,{"0","1","2","3"},"")))))))))+1, 1) * 10^ROW(INDIRECT("1:"&amp;LEN((LEFT(A240,SUM(LEN(A240)-LEN(SUBSTITUTE(A240,{"0","1","2","3"},""))))))))/10))*100+1</f>
        <v>71201</v>
      </c>
      <c r="V241" s="23">
        <f ca="1">(SUMPRODUCT(MID(0&amp;(--TRIM(RIGHT(SUBSTITUTE(LEFT(A240,_xlfn.AGGREGATE(16,6,FIND({0,1,2,3,4,5,6,7,8,9},A240,ROW(INDIRECT("1:"&amp;LEN(A240)))),1))," ",REPT(" ",LEN(A240))),LEN(A240)))), LARGE(INDEX(ISNUMBER(--MID((--TRIM(RIGHT(SUBSTITUTE(LEFT(A240,_xlfn.AGGREGATE(16,6,FIND({0,1,2,3,4,5,6,7,8,9},A240,ROW(INDIRECT("1:"&amp;LEN(A240)))),1))," ",REPT(" ",LEN(A240))),LEN(A240)))), ROW(INDIRECT("1:"&amp;LEN((--TRIM(RIGHT(SUBSTITUTE(LEFT(A240,_xlfn.AGGREGATE(16,6,FIND({0,1,2,3,4,5,6,7,8,9},A240,ROW(INDIRECT("1:"&amp;LEN(A240)))),1))," ",REPT(" ",LEN(A240))),LEN(A240))))))), 1)) * ROW(INDIRECT("1:"&amp;LEN((--TRIM(RIGHT(SUBSTITUTE(LEFT(A240,_xlfn.AGGREGATE(16,6,FIND({0,1,2,3,4,5,6,7,8,9},A240,ROW(INDIRECT("1:"&amp;LEN(A240)))),1))," ",REPT(" ",LEN(A240))),LEN(A240))))))), 0), ROW(INDIRECT("1:"&amp;LEN((--TRIM(RIGHT(SUBSTITUTE(LEFT(A240,_xlfn.AGGREGATE(16,6,FIND({0,1,2,3,4,5,6,7,8,9},A240,ROW(INDIRECT("1:"&amp;LEN(A240)))),1))," ",REPT(" ",LEN(A240))),LEN(A240))))))))+1, 1) * 10^ROW(INDIRECT("1:"&amp;LEN((--TRIM(RIGHT(SUBSTITUTE(LEFT(A240,_xlfn.AGGREGATE(16,6,FIND({0,1,2,3,4,5,6,7,8,9},A240,ROW(INDIRECT("1:"&amp;LEN(A240)))),1))," ",REPT(" ",LEN(A240))),LEN(A240)))))))/10))*100+1</f>
        <v>3701</v>
      </c>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row>
    <row r="242" spans="1:150 16226:16383" s="3" customFormat="1" ht="20.25" customHeight="1" x14ac:dyDescent="0.3">
      <c r="A242" s="83">
        <f>A241+1</f>
        <v>2</v>
      </c>
      <c r="B242" s="84"/>
      <c r="C242" s="89" t="s">
        <v>335</v>
      </c>
      <c r="D242" s="90"/>
      <c r="E242" s="90"/>
      <c r="F242" s="90"/>
      <c r="G242" s="90"/>
      <c r="H242" s="91"/>
      <c r="I242" s="1"/>
      <c r="J242" s="1"/>
      <c r="K242" s="1"/>
      <c r="L242" s="1"/>
      <c r="M242" s="1"/>
      <c r="N242" s="1"/>
      <c r="O242" s="1"/>
      <c r="P242" s="1"/>
      <c r="Q242" s="1"/>
      <c r="R242" s="1"/>
      <c r="S242" s="1"/>
      <c r="T242" s="23" t="str">
        <f t="shared" ca="1" si="32"/>
        <v>71202,..,3702</v>
      </c>
      <c r="U242" s="23">
        <f ca="1">U241+1</f>
        <v>71202</v>
      </c>
      <c r="V242" s="23">
        <f ca="1">V241+1</f>
        <v>3702</v>
      </c>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row>
    <row r="243" spans="1:150 16226:16383" s="3" customFormat="1" ht="20.25" customHeight="1" x14ac:dyDescent="0.3">
      <c r="A243" s="83">
        <f t="shared" ref="A243:A248" si="33">A242+1</f>
        <v>3</v>
      </c>
      <c r="B243" s="84"/>
      <c r="C243" s="78" t="s">
        <v>92</v>
      </c>
      <c r="D243" s="54" t="s">
        <v>332</v>
      </c>
      <c r="E243" s="33">
        <f>(93.014)*10.764</f>
        <v>1001.2026959999999</v>
      </c>
      <c r="F243" s="33">
        <f>(7.498)*10.764</f>
        <v>80.708472</v>
      </c>
      <c r="G243" s="6">
        <v>0</v>
      </c>
      <c r="H243" s="6">
        <f t="shared" ref="H243:H245" si="34">E243+F243+(IF(G243&lt;101,G243,IF(G243&lt;201,G243/2,IF(G243&lt;=301,G243/3,G243/4))))</f>
        <v>1081.9111679999999</v>
      </c>
      <c r="I243" s="1"/>
      <c r="J243" s="1"/>
      <c r="K243" s="1"/>
      <c r="L243" s="1"/>
      <c r="M243" s="1"/>
      <c r="N243" s="1"/>
      <c r="O243" s="1"/>
      <c r="P243" s="1"/>
      <c r="Q243" s="1"/>
      <c r="R243" s="1"/>
      <c r="S243" s="1"/>
      <c r="T243" s="23" t="str">
        <f t="shared" ca="1" si="32"/>
        <v>71203,..,3703</v>
      </c>
      <c r="U243" s="23">
        <f t="shared" ref="U243:V248" ca="1" si="35">U242+1</f>
        <v>71203</v>
      </c>
      <c r="V243" s="23">
        <f t="shared" ca="1" si="35"/>
        <v>3703</v>
      </c>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row>
    <row r="244" spans="1:150 16226:16383" s="3" customFormat="1" ht="20.25" customHeight="1" x14ac:dyDescent="0.3">
      <c r="A244" s="83">
        <f t="shared" si="33"/>
        <v>4</v>
      </c>
      <c r="B244" s="84"/>
      <c r="C244" s="78" t="s">
        <v>92</v>
      </c>
      <c r="D244" s="54" t="s">
        <v>332</v>
      </c>
      <c r="E244" s="33">
        <f>(93.014)*10.764</f>
        <v>1001.2026959999999</v>
      </c>
      <c r="F244" s="33">
        <f>(7.498)*10.764</f>
        <v>80.708472</v>
      </c>
      <c r="G244" s="6">
        <v>0</v>
      </c>
      <c r="H244" s="6">
        <f t="shared" si="34"/>
        <v>1081.9111679999999</v>
      </c>
      <c r="I244" s="1"/>
      <c r="J244" s="1"/>
      <c r="K244" s="1"/>
      <c r="L244" s="1"/>
      <c r="M244" s="1"/>
      <c r="N244" s="1"/>
      <c r="O244" s="1"/>
      <c r="P244" s="1"/>
      <c r="Q244" s="1"/>
      <c r="R244" s="1"/>
      <c r="S244" s="1"/>
      <c r="T244" s="23" t="str">
        <f t="shared" ca="1" si="32"/>
        <v>71204,..,3704</v>
      </c>
      <c r="U244" s="23">
        <f t="shared" ca="1" si="35"/>
        <v>71204</v>
      </c>
      <c r="V244" s="23">
        <f t="shared" ca="1" si="35"/>
        <v>3704</v>
      </c>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row>
    <row r="245" spans="1:150 16226:16383" s="3" customFormat="1" ht="20.25" customHeight="1" x14ac:dyDescent="0.3">
      <c r="A245" s="83">
        <f t="shared" si="33"/>
        <v>5</v>
      </c>
      <c r="B245" s="84"/>
      <c r="C245" s="78" t="s">
        <v>92</v>
      </c>
      <c r="D245" s="54" t="s">
        <v>333</v>
      </c>
      <c r="E245" s="33">
        <f>(64.535)*10.764</f>
        <v>694.65473999999995</v>
      </c>
      <c r="F245" s="33">
        <f>(6.466)*10.764</f>
        <v>69.600024000000005</v>
      </c>
      <c r="G245" s="6">
        <v>0</v>
      </c>
      <c r="H245" s="6">
        <f t="shared" si="34"/>
        <v>764.25476399999991</v>
      </c>
      <c r="I245" s="1"/>
      <c r="J245" s="1"/>
      <c r="K245" s="1"/>
      <c r="L245" s="1"/>
      <c r="M245" s="1"/>
      <c r="N245" s="1"/>
      <c r="O245" s="1"/>
      <c r="P245" s="1"/>
      <c r="Q245" s="1"/>
      <c r="R245" s="1"/>
      <c r="S245" s="1"/>
      <c r="T245" s="23" t="str">
        <f t="shared" ca="1" si="32"/>
        <v>71205,..,3705</v>
      </c>
      <c r="U245" s="23">
        <f t="shared" ca="1" si="35"/>
        <v>71205</v>
      </c>
      <c r="V245" s="23">
        <f t="shared" ca="1" si="35"/>
        <v>3705</v>
      </c>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row>
    <row r="246" spans="1:150 16226:16383" s="3" customFormat="1" ht="20.25" customHeight="1" x14ac:dyDescent="0.3">
      <c r="A246" s="83">
        <f t="shared" si="33"/>
        <v>6</v>
      </c>
      <c r="B246" s="84"/>
      <c r="C246" s="78" t="s">
        <v>92</v>
      </c>
      <c r="D246" s="54" t="s">
        <v>333</v>
      </c>
      <c r="E246" s="33">
        <f>(64.535)*10.764</f>
        <v>694.65473999999995</v>
      </c>
      <c r="F246" s="33">
        <f>(6.466)*10.764</f>
        <v>69.600024000000005</v>
      </c>
      <c r="G246" s="6">
        <v>0</v>
      </c>
      <c r="H246" s="6">
        <f t="shared" ref="H246:H248" si="36">E246+F246+(IF(G246&lt;101,G246,IF(G246&lt;201,G246/2,IF(G246&lt;=301,G246/3,G246/4))))</f>
        <v>764.25476399999991</v>
      </c>
      <c r="I246" s="1"/>
      <c r="J246" s="1"/>
      <c r="K246" s="1"/>
      <c r="L246" s="1"/>
      <c r="M246" s="1"/>
      <c r="N246" s="1"/>
      <c r="O246" s="1"/>
      <c r="P246" s="1"/>
      <c r="Q246" s="1"/>
      <c r="R246" s="1"/>
      <c r="S246" s="1"/>
      <c r="T246" s="23" t="str">
        <f t="shared" ca="1" si="32"/>
        <v>71206,..,3706</v>
      </c>
      <c r="U246" s="23">
        <f t="shared" ca="1" si="35"/>
        <v>71206</v>
      </c>
      <c r="V246" s="23">
        <f t="shared" ca="1" si="35"/>
        <v>3706</v>
      </c>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row>
    <row r="247" spans="1:150 16226:16383" s="3" customFormat="1" ht="20.25" customHeight="1" x14ac:dyDescent="0.3">
      <c r="A247" s="83">
        <f t="shared" si="33"/>
        <v>7</v>
      </c>
      <c r="B247" s="84"/>
      <c r="C247" s="78" t="s">
        <v>92</v>
      </c>
      <c r="D247" s="54" t="s">
        <v>332</v>
      </c>
      <c r="E247" s="33">
        <f>(85.821)*10.764</f>
        <v>923.77724399999988</v>
      </c>
      <c r="F247" s="33">
        <f>(6.908)*10.764</f>
        <v>74.357712000000006</v>
      </c>
      <c r="G247" s="6">
        <v>0</v>
      </c>
      <c r="H247" s="6">
        <f t="shared" si="36"/>
        <v>998.13495599999987</v>
      </c>
      <c r="I247" s="1"/>
      <c r="J247" s="1"/>
      <c r="K247" s="1"/>
      <c r="L247" s="1"/>
      <c r="M247" s="1"/>
      <c r="N247" s="1"/>
      <c r="O247" s="1"/>
      <c r="P247" s="1"/>
      <c r="Q247" s="1"/>
      <c r="R247" s="1"/>
      <c r="S247" s="1"/>
      <c r="T247" s="23" t="str">
        <f t="shared" ca="1" si="32"/>
        <v>71207,..,3707</v>
      </c>
      <c r="U247" s="23">
        <f t="shared" ca="1" si="35"/>
        <v>71207</v>
      </c>
      <c r="V247" s="23">
        <f t="shared" ca="1" si="35"/>
        <v>3707</v>
      </c>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row>
    <row r="248" spans="1:150 16226:16383" s="3" customFormat="1" ht="20.25" customHeight="1" x14ac:dyDescent="0.3">
      <c r="A248" s="83">
        <f t="shared" si="33"/>
        <v>8</v>
      </c>
      <c r="B248" s="84"/>
      <c r="C248" s="78" t="s">
        <v>92</v>
      </c>
      <c r="D248" s="54" t="s">
        <v>332</v>
      </c>
      <c r="E248" s="33">
        <f>(85.821)*10.764</f>
        <v>923.77724399999988</v>
      </c>
      <c r="F248" s="33">
        <f>(6.908)*10.764</f>
        <v>74.357712000000006</v>
      </c>
      <c r="G248" s="6">
        <v>0</v>
      </c>
      <c r="H248" s="6">
        <f t="shared" si="36"/>
        <v>998.13495599999987</v>
      </c>
      <c r="I248" s="1"/>
      <c r="J248" s="1"/>
      <c r="K248" s="1"/>
      <c r="L248" s="1"/>
      <c r="M248" s="1"/>
      <c r="N248" s="1"/>
      <c r="O248" s="1"/>
      <c r="P248" s="1"/>
      <c r="Q248" s="1"/>
      <c r="R248" s="1"/>
      <c r="S248" s="1"/>
      <c r="T248" s="23" t="str">
        <f t="shared" ca="1" si="32"/>
        <v>71208,..,3708</v>
      </c>
      <c r="U248" s="23">
        <f t="shared" ca="1" si="35"/>
        <v>71208</v>
      </c>
      <c r="V248" s="23">
        <f t="shared" ca="1" si="35"/>
        <v>3708</v>
      </c>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row>
    <row r="249" spans="1:150 16226:16383" ht="21" x14ac:dyDescent="0.3">
      <c r="A249" s="115" t="s">
        <v>66</v>
      </c>
      <c r="B249" s="115"/>
      <c r="C249" s="115"/>
      <c r="D249" s="115"/>
      <c r="E249" s="115"/>
      <c r="F249" s="115"/>
      <c r="G249" s="115"/>
      <c r="H249" s="115"/>
    </row>
    <row r="250" spans="1:150 16226:16383" ht="21" x14ac:dyDescent="0.3">
      <c r="A250" s="2" t="s">
        <v>232</v>
      </c>
      <c r="B250" s="96" t="s">
        <v>358</v>
      </c>
      <c r="C250" s="97"/>
      <c r="D250" s="97"/>
      <c r="E250" s="97"/>
      <c r="F250" s="97"/>
      <c r="G250" s="97"/>
      <c r="H250" s="98"/>
    </row>
    <row r="251" spans="1:150 16226:16383" ht="21" x14ac:dyDescent="0.3">
      <c r="A251" s="2" t="s">
        <v>232</v>
      </c>
      <c r="B251" s="96" t="s">
        <v>233</v>
      </c>
      <c r="C251" s="97"/>
      <c r="D251" s="97"/>
      <c r="E251" s="97"/>
      <c r="F251" s="97"/>
      <c r="G251" s="97"/>
      <c r="H251" s="98"/>
    </row>
    <row r="252" spans="1:150 16226:16383" ht="21" x14ac:dyDescent="0.3">
      <c r="A252" s="2" t="s">
        <v>232</v>
      </c>
      <c r="B252" s="96" t="s">
        <v>367</v>
      </c>
      <c r="C252" s="97"/>
      <c r="D252" s="97"/>
      <c r="E252" s="97"/>
      <c r="F252" s="97"/>
      <c r="G252" s="97"/>
      <c r="H252" s="98"/>
    </row>
    <row r="253" spans="1:150 16226:16383" ht="21" x14ac:dyDescent="0.3">
      <c r="A253" s="2" t="s">
        <v>232</v>
      </c>
      <c r="B253" s="96" t="s">
        <v>234</v>
      </c>
      <c r="C253" s="97"/>
      <c r="D253" s="97"/>
      <c r="E253" s="97"/>
      <c r="F253" s="97"/>
      <c r="G253" s="97"/>
      <c r="H253" s="98"/>
    </row>
    <row r="254" spans="1:150 16226:16383" ht="21" x14ac:dyDescent="0.3">
      <c r="A254" s="2" t="s">
        <v>232</v>
      </c>
      <c r="B254" s="96" t="s">
        <v>235</v>
      </c>
      <c r="C254" s="97"/>
      <c r="D254" s="97"/>
      <c r="E254" s="97"/>
      <c r="F254" s="97"/>
      <c r="G254" s="97"/>
      <c r="H254" s="98"/>
    </row>
    <row r="255" spans="1:150 16226:16383" ht="46.5" hidden="1" customHeight="1" x14ac:dyDescent="0.3">
      <c r="A255" s="2" t="s">
        <v>232</v>
      </c>
      <c r="B255" s="172" t="s">
        <v>236</v>
      </c>
      <c r="C255" s="97"/>
      <c r="D255" s="97"/>
      <c r="E255" s="97"/>
      <c r="F255" s="97"/>
      <c r="G255" s="97"/>
      <c r="H255" s="98"/>
    </row>
    <row r="256" spans="1:150 16226:16383" ht="24.75" customHeight="1" x14ac:dyDescent="0.3">
      <c r="A256" s="2" t="s">
        <v>232</v>
      </c>
      <c r="B256" s="96" t="s">
        <v>366</v>
      </c>
      <c r="C256" s="97"/>
      <c r="D256" s="97"/>
      <c r="E256" s="97"/>
      <c r="F256" s="97"/>
      <c r="G256" s="97"/>
      <c r="H256" s="98"/>
    </row>
    <row r="257" spans="1:8" ht="46.5" hidden="1" customHeight="1" x14ac:dyDescent="0.3">
      <c r="A257" s="2" t="s">
        <v>232</v>
      </c>
      <c r="B257" s="172" t="s">
        <v>236</v>
      </c>
      <c r="C257" s="97"/>
      <c r="D257" s="97"/>
      <c r="E257" s="97"/>
      <c r="F257" s="97"/>
      <c r="G257" s="97"/>
      <c r="H257" s="98"/>
    </row>
    <row r="258" spans="1:8" ht="21" x14ac:dyDescent="0.3">
      <c r="A258" s="158" t="s">
        <v>72</v>
      </c>
      <c r="B258" s="158"/>
      <c r="C258" s="158"/>
      <c r="D258" s="158"/>
      <c r="E258" s="158"/>
      <c r="F258" s="158"/>
      <c r="G258" s="158"/>
      <c r="H258" s="158"/>
    </row>
    <row r="259" spans="1:8" ht="21" x14ac:dyDescent="0.3">
      <c r="A259" s="140" t="s">
        <v>67</v>
      </c>
      <c r="B259" s="140"/>
      <c r="C259" s="140"/>
      <c r="D259" s="147" t="str">
        <f>C3</f>
        <v>Green Terraces &amp;
Tower 4 &amp; 5, Green Terraces, Godrej City, Panvel</v>
      </c>
      <c r="E259" s="164"/>
      <c r="F259" s="164"/>
      <c r="G259" s="164"/>
      <c r="H259" s="148"/>
    </row>
    <row r="260" spans="1:8" ht="84.75" customHeight="1" x14ac:dyDescent="0.3">
      <c r="A260" s="140" t="s">
        <v>102</v>
      </c>
      <c r="B260" s="140"/>
      <c r="C260" s="140"/>
      <c r="D260" s="96" t="str">
        <f>C9</f>
        <v>Green Terraces, Godrej City, Panvel 41/1 (pt), 42/2 (pt), 42/3, 42/4 (pt), 43 (pt), 44/4 (pt) at Khanavale, Panvel, Raigarh, 410221, and Tower 4, Green Terraces, Godrej City, Panvel 3 3/1 (Pt) at Khanavale, Panvel, Raigarh, 410221</v>
      </c>
      <c r="E260" s="97"/>
      <c r="F260" s="97"/>
      <c r="G260" s="97"/>
      <c r="H260" s="98"/>
    </row>
    <row r="261" spans="1:8" ht="20.25" customHeight="1" x14ac:dyDescent="0.3">
      <c r="A261" s="165" t="s">
        <v>108</v>
      </c>
      <c r="B261" s="165"/>
      <c r="C261" s="165"/>
      <c r="D261" s="166" t="str">
        <f>G3</f>
        <v>28/09/2025 @ 05:02PM</v>
      </c>
      <c r="E261" s="97"/>
      <c r="F261" s="97"/>
      <c r="G261" s="97"/>
      <c r="H261" s="98"/>
    </row>
    <row r="262" spans="1:8" ht="21" x14ac:dyDescent="0.3">
      <c r="A262" s="10"/>
      <c r="B262" s="11"/>
      <c r="C262" s="11"/>
      <c r="D262" s="11"/>
      <c r="E262" s="11"/>
      <c r="F262" s="11"/>
      <c r="G262" s="11"/>
      <c r="H262" s="7"/>
    </row>
    <row r="263" spans="1:8" ht="21" x14ac:dyDescent="0.3">
      <c r="A263" s="12"/>
      <c r="B263" s="13"/>
      <c r="C263" s="13"/>
      <c r="D263" s="13"/>
      <c r="E263" s="13"/>
      <c r="F263" s="13"/>
      <c r="G263" s="13"/>
      <c r="H263" s="8"/>
    </row>
    <row r="264" spans="1:8" ht="21" x14ac:dyDescent="0.3">
      <c r="A264" s="12"/>
      <c r="B264" s="13"/>
      <c r="C264" s="13"/>
      <c r="D264" s="13"/>
      <c r="E264" s="13"/>
      <c r="F264" s="13"/>
      <c r="G264" s="13"/>
      <c r="H264" s="8"/>
    </row>
    <row r="265" spans="1:8" ht="21" x14ac:dyDescent="0.3">
      <c r="A265" s="12"/>
      <c r="B265" s="13"/>
      <c r="C265" s="13"/>
      <c r="D265" s="13"/>
      <c r="E265" s="13"/>
      <c r="F265" s="13"/>
      <c r="G265" s="13"/>
      <c r="H265" s="8"/>
    </row>
    <row r="266" spans="1:8" ht="21" x14ac:dyDescent="0.3">
      <c r="A266" s="12"/>
      <c r="B266" s="13"/>
      <c r="C266" s="13"/>
      <c r="D266" s="13"/>
      <c r="E266" s="13"/>
      <c r="F266" s="13"/>
      <c r="G266" s="13"/>
      <c r="H266" s="8"/>
    </row>
    <row r="267" spans="1:8" ht="21" x14ac:dyDescent="0.3">
      <c r="A267" s="12"/>
      <c r="B267" s="13"/>
      <c r="C267" s="13"/>
      <c r="D267" s="13"/>
      <c r="E267" s="13"/>
      <c r="F267" s="13"/>
      <c r="G267" s="13"/>
      <c r="H267" s="8"/>
    </row>
    <row r="268" spans="1:8" ht="21" x14ac:dyDescent="0.3">
      <c r="A268" s="12"/>
      <c r="B268" s="13"/>
      <c r="C268" s="13"/>
      <c r="D268" s="13"/>
      <c r="E268" s="13"/>
      <c r="F268" s="13"/>
      <c r="G268" s="13"/>
      <c r="H268" s="8"/>
    </row>
    <row r="269" spans="1:8" ht="21" x14ac:dyDescent="0.3">
      <c r="A269" s="12"/>
      <c r="B269" s="13"/>
      <c r="C269" s="13"/>
      <c r="D269" s="13"/>
      <c r="E269" s="13"/>
      <c r="F269" s="13"/>
      <c r="G269" s="13"/>
      <c r="H269" s="8"/>
    </row>
    <row r="270" spans="1:8" ht="21" x14ac:dyDescent="0.3">
      <c r="A270" s="12"/>
      <c r="B270" s="13"/>
      <c r="C270" s="13"/>
      <c r="D270" s="13"/>
      <c r="E270" s="13"/>
      <c r="F270" s="13"/>
      <c r="G270" s="13"/>
      <c r="H270" s="8"/>
    </row>
    <row r="271" spans="1:8" ht="21" x14ac:dyDescent="0.3">
      <c r="A271" s="12"/>
      <c r="B271" s="13"/>
      <c r="C271" s="13"/>
      <c r="D271" s="13"/>
      <c r="E271" s="13"/>
      <c r="F271" s="13"/>
      <c r="G271" s="13"/>
      <c r="H271" s="8"/>
    </row>
    <row r="272" spans="1:8" ht="21" x14ac:dyDescent="0.3">
      <c r="A272" s="12"/>
      <c r="B272" s="13"/>
      <c r="C272" s="13"/>
      <c r="D272" s="13"/>
      <c r="E272" s="13"/>
      <c r="F272" s="13"/>
      <c r="G272" s="13"/>
      <c r="H272" s="8"/>
    </row>
    <row r="273" spans="1:8" ht="21" x14ac:dyDescent="0.3">
      <c r="A273" s="12"/>
      <c r="B273" s="13"/>
      <c r="C273" s="13"/>
      <c r="D273" s="13"/>
      <c r="E273" s="13"/>
      <c r="F273" s="13"/>
      <c r="G273" s="13"/>
      <c r="H273" s="8"/>
    </row>
    <row r="274" spans="1:8" ht="21" x14ac:dyDescent="0.3">
      <c r="A274" s="12"/>
      <c r="B274" s="13"/>
      <c r="C274" s="13"/>
      <c r="D274" s="13"/>
      <c r="E274" s="13"/>
      <c r="F274" s="13"/>
      <c r="G274" s="13"/>
      <c r="H274" s="8"/>
    </row>
    <row r="275" spans="1:8" ht="21" x14ac:dyDescent="0.3">
      <c r="A275" s="12"/>
      <c r="B275" s="13"/>
      <c r="C275" s="13"/>
      <c r="D275" s="13"/>
      <c r="E275" s="13"/>
      <c r="F275" s="13"/>
      <c r="G275" s="13"/>
      <c r="H275" s="8"/>
    </row>
    <row r="276" spans="1:8" ht="21" x14ac:dyDescent="0.3">
      <c r="A276" s="12"/>
      <c r="B276" s="13"/>
      <c r="C276" s="13"/>
      <c r="D276" s="13"/>
      <c r="E276" s="13"/>
      <c r="F276" s="13"/>
      <c r="G276" s="13"/>
      <c r="H276" s="8"/>
    </row>
    <row r="277" spans="1:8" ht="21" x14ac:dyDescent="0.3">
      <c r="A277" s="12"/>
      <c r="B277" s="13"/>
      <c r="C277" s="13"/>
      <c r="D277" s="13"/>
      <c r="E277" s="13"/>
      <c r="F277" s="13"/>
      <c r="G277" s="13"/>
      <c r="H277" s="8"/>
    </row>
    <row r="278" spans="1:8" ht="21" x14ac:dyDescent="0.3">
      <c r="A278" s="12"/>
      <c r="B278" s="13"/>
      <c r="C278" s="13"/>
      <c r="D278" s="13"/>
      <c r="E278" s="13"/>
      <c r="F278" s="13"/>
      <c r="G278" s="13"/>
      <c r="H278" s="8"/>
    </row>
    <row r="279" spans="1:8" ht="21" x14ac:dyDescent="0.3">
      <c r="A279" s="12"/>
      <c r="B279" s="13"/>
      <c r="C279" s="13"/>
      <c r="D279" s="13"/>
      <c r="E279" s="13"/>
      <c r="F279" s="13"/>
      <c r="G279" s="13"/>
      <c r="H279" s="8"/>
    </row>
    <row r="280" spans="1:8" ht="21" x14ac:dyDescent="0.3">
      <c r="A280" s="12"/>
      <c r="B280" s="13"/>
      <c r="C280" s="13"/>
      <c r="D280" s="13"/>
      <c r="E280" s="13"/>
      <c r="F280" s="13"/>
      <c r="G280" s="13"/>
      <c r="H280" s="8"/>
    </row>
    <row r="281" spans="1:8" ht="21" x14ac:dyDescent="0.3">
      <c r="A281" s="12"/>
      <c r="B281" s="13"/>
      <c r="C281" s="13"/>
      <c r="D281" s="13"/>
      <c r="E281" s="13"/>
      <c r="F281" s="13"/>
      <c r="G281" s="13"/>
      <c r="H281" s="8"/>
    </row>
    <row r="282" spans="1:8" ht="21" x14ac:dyDescent="0.3">
      <c r="A282" s="12"/>
      <c r="B282" s="13"/>
      <c r="C282" s="13"/>
      <c r="D282" s="13"/>
      <c r="E282" s="13"/>
      <c r="F282" s="13"/>
      <c r="G282" s="13"/>
      <c r="H282" s="8"/>
    </row>
    <row r="283" spans="1:8" ht="21" x14ac:dyDescent="0.3">
      <c r="A283" s="12"/>
      <c r="B283" s="13"/>
      <c r="C283" s="13"/>
      <c r="D283" s="13"/>
      <c r="E283" s="13"/>
      <c r="F283" s="13"/>
      <c r="G283" s="13"/>
      <c r="H283" s="8"/>
    </row>
    <row r="284" spans="1:8" ht="21" x14ac:dyDescent="0.3">
      <c r="A284" s="12"/>
      <c r="B284" s="13"/>
      <c r="C284" s="13"/>
      <c r="D284" s="13"/>
      <c r="E284" s="13"/>
      <c r="F284" s="13"/>
      <c r="G284" s="13"/>
      <c r="H284" s="8"/>
    </row>
    <row r="285" spans="1:8" ht="21" x14ac:dyDescent="0.3">
      <c r="A285" s="12"/>
      <c r="B285" s="13"/>
      <c r="C285" s="13"/>
      <c r="D285" s="13"/>
      <c r="E285" s="13"/>
      <c r="F285" s="13"/>
      <c r="G285" s="13"/>
      <c r="H285" s="8"/>
    </row>
    <row r="286" spans="1:8" ht="21" x14ac:dyDescent="0.3">
      <c r="A286" s="12"/>
      <c r="B286" s="13"/>
      <c r="C286" s="13"/>
      <c r="D286" s="13"/>
      <c r="E286" s="13"/>
      <c r="F286" s="13"/>
      <c r="G286" s="13"/>
      <c r="H286" s="8"/>
    </row>
    <row r="287" spans="1:8" ht="21" x14ac:dyDescent="0.3">
      <c r="A287" s="12"/>
      <c r="B287" s="13"/>
      <c r="C287" s="13"/>
      <c r="D287" s="13"/>
      <c r="E287" s="13"/>
      <c r="F287" s="13"/>
      <c r="G287" s="13"/>
      <c r="H287" s="8"/>
    </row>
    <row r="288" spans="1:8" ht="21" x14ac:dyDescent="0.3">
      <c r="A288" s="12"/>
      <c r="B288" s="13"/>
      <c r="C288" s="13"/>
      <c r="D288" s="13"/>
      <c r="E288" s="13"/>
      <c r="F288" s="13"/>
      <c r="G288" s="13"/>
      <c r="H288" s="8"/>
    </row>
    <row r="289" spans="1:8" ht="21" x14ac:dyDescent="0.3">
      <c r="A289" s="12"/>
      <c r="B289" s="13"/>
      <c r="C289" s="13"/>
      <c r="D289" s="13"/>
      <c r="E289" s="13"/>
      <c r="F289" s="13"/>
      <c r="G289" s="13"/>
      <c r="H289" s="8"/>
    </row>
    <row r="290" spans="1:8" ht="21" x14ac:dyDescent="0.3">
      <c r="A290" s="12"/>
      <c r="B290" s="13"/>
      <c r="C290" s="13"/>
      <c r="D290" s="13"/>
      <c r="E290" s="13"/>
      <c r="F290" s="13"/>
      <c r="G290" s="13"/>
      <c r="H290" s="8"/>
    </row>
    <row r="291" spans="1:8" ht="21" x14ac:dyDescent="0.3">
      <c r="A291" s="12"/>
      <c r="B291" s="13"/>
      <c r="C291" s="13"/>
      <c r="D291" s="13"/>
      <c r="E291" s="13"/>
      <c r="F291" s="13"/>
      <c r="G291" s="13"/>
      <c r="H291" s="8"/>
    </row>
    <row r="292" spans="1:8" ht="21" x14ac:dyDescent="0.3">
      <c r="A292" s="12"/>
      <c r="B292" s="13"/>
      <c r="C292" s="13"/>
      <c r="D292" s="13"/>
      <c r="E292" s="13"/>
      <c r="F292" s="13"/>
      <c r="G292" s="13"/>
      <c r="H292" s="8"/>
    </row>
    <row r="293" spans="1:8" ht="21" x14ac:dyDescent="0.3">
      <c r="A293" s="12"/>
      <c r="B293" s="13"/>
      <c r="C293" s="13"/>
      <c r="D293" s="13"/>
      <c r="E293" s="13"/>
      <c r="F293" s="13"/>
      <c r="G293" s="13"/>
      <c r="H293" s="8"/>
    </row>
    <row r="294" spans="1:8" ht="21" x14ac:dyDescent="0.3">
      <c r="A294" s="12"/>
      <c r="B294" s="13"/>
      <c r="C294" s="13"/>
      <c r="D294" s="13"/>
      <c r="E294" s="13"/>
      <c r="F294" s="13"/>
      <c r="G294" s="13"/>
      <c r="H294" s="8"/>
    </row>
    <row r="295" spans="1:8" ht="21" x14ac:dyDescent="0.3">
      <c r="A295" s="12"/>
      <c r="B295" s="13"/>
      <c r="C295" s="13"/>
      <c r="D295" s="13"/>
      <c r="E295" s="13"/>
      <c r="F295" s="13"/>
      <c r="G295" s="13"/>
      <c r="H295" s="8"/>
    </row>
    <row r="296" spans="1:8" ht="21" x14ac:dyDescent="0.3">
      <c r="A296" s="14"/>
      <c r="B296" s="15"/>
      <c r="C296" s="15"/>
      <c r="D296" s="15"/>
      <c r="E296" s="15"/>
      <c r="F296" s="15"/>
      <c r="G296" s="15"/>
      <c r="H296" s="9"/>
    </row>
    <row r="297" spans="1:8" ht="21" x14ac:dyDescent="0.3">
      <c r="A297" s="115" t="s">
        <v>156</v>
      </c>
      <c r="B297" s="115"/>
      <c r="C297" s="115"/>
      <c r="D297" s="115"/>
      <c r="E297" s="115"/>
      <c r="F297" s="115"/>
      <c r="G297" s="115"/>
      <c r="H297" s="115"/>
    </row>
    <row r="298" spans="1:8" ht="21" x14ac:dyDescent="0.3">
      <c r="A298" s="10"/>
      <c r="B298" s="11"/>
      <c r="C298" s="11"/>
      <c r="D298" s="11"/>
      <c r="E298" s="11"/>
      <c r="F298" s="11"/>
      <c r="G298" s="11"/>
      <c r="H298" s="7"/>
    </row>
    <row r="299" spans="1:8" ht="21" x14ac:dyDescent="0.3">
      <c r="A299" s="12"/>
      <c r="B299" s="13"/>
      <c r="C299" s="13"/>
      <c r="D299" s="13"/>
      <c r="E299" s="13"/>
      <c r="F299" s="13"/>
      <c r="G299" s="13"/>
      <c r="H299" s="8"/>
    </row>
    <row r="300" spans="1:8" ht="21" x14ac:dyDescent="0.3">
      <c r="A300" s="12"/>
      <c r="B300" s="13"/>
      <c r="C300" s="13"/>
      <c r="D300" s="13"/>
      <c r="E300" s="13"/>
      <c r="F300" s="13"/>
      <c r="G300" s="13"/>
      <c r="H300" s="8"/>
    </row>
    <row r="301" spans="1:8" ht="21" x14ac:dyDescent="0.3">
      <c r="A301" s="12"/>
      <c r="B301" s="13"/>
      <c r="C301" s="13"/>
      <c r="D301" s="13"/>
      <c r="E301" s="13"/>
      <c r="F301" s="13"/>
      <c r="G301" s="13"/>
      <c r="H301" s="8"/>
    </row>
    <row r="302" spans="1:8" ht="21" x14ac:dyDescent="0.3">
      <c r="A302" s="12"/>
      <c r="B302" s="13"/>
      <c r="C302" s="13"/>
      <c r="D302" s="13"/>
      <c r="E302" s="13"/>
      <c r="F302" s="13"/>
      <c r="G302" s="13"/>
      <c r="H302" s="8"/>
    </row>
    <row r="303" spans="1:8" ht="21" x14ac:dyDescent="0.3">
      <c r="A303" s="12"/>
      <c r="B303" s="13"/>
      <c r="C303" s="13"/>
      <c r="D303" s="13"/>
      <c r="E303" s="13"/>
      <c r="F303" s="13"/>
      <c r="G303" s="13"/>
      <c r="H303" s="8"/>
    </row>
    <row r="304" spans="1:8" ht="21" x14ac:dyDescent="0.3">
      <c r="A304" s="12"/>
      <c r="B304" s="13"/>
      <c r="C304" s="13"/>
      <c r="D304" s="13"/>
      <c r="E304" s="13"/>
      <c r="F304" s="13"/>
      <c r="G304" s="13"/>
      <c r="H304" s="8"/>
    </row>
    <row r="305" spans="1:8" ht="21" x14ac:dyDescent="0.3">
      <c r="A305" s="12"/>
      <c r="B305" s="13"/>
      <c r="C305" s="13"/>
      <c r="D305" s="13"/>
      <c r="E305" s="13"/>
      <c r="F305" s="13"/>
      <c r="G305" s="13"/>
      <c r="H305" s="8"/>
    </row>
    <row r="306" spans="1:8" ht="21" x14ac:dyDescent="0.3">
      <c r="A306" s="12"/>
      <c r="B306" s="13"/>
      <c r="C306" s="13"/>
      <c r="D306" s="13"/>
      <c r="E306" s="13"/>
      <c r="F306" s="13"/>
      <c r="G306" s="13"/>
      <c r="H306" s="8"/>
    </row>
    <row r="307" spans="1:8" ht="21" x14ac:dyDescent="0.3">
      <c r="A307" s="12"/>
      <c r="B307" s="13"/>
      <c r="C307" s="13"/>
      <c r="D307" s="13"/>
      <c r="E307" s="13"/>
      <c r="F307" s="13"/>
      <c r="G307" s="13"/>
      <c r="H307" s="8"/>
    </row>
    <row r="308" spans="1:8" ht="21" x14ac:dyDescent="0.3">
      <c r="A308" s="12"/>
      <c r="B308" s="13"/>
      <c r="C308" s="13"/>
      <c r="D308" s="13"/>
      <c r="E308" s="13"/>
      <c r="F308" s="13"/>
      <c r="G308" s="13"/>
      <c r="H308" s="8"/>
    </row>
    <row r="309" spans="1:8" ht="21" x14ac:dyDescent="0.3">
      <c r="A309" s="12"/>
      <c r="B309" s="13"/>
      <c r="C309" s="13"/>
      <c r="D309" s="13"/>
      <c r="E309" s="13"/>
      <c r="F309" s="13"/>
      <c r="G309" s="13"/>
      <c r="H309" s="8"/>
    </row>
    <row r="310" spans="1:8" ht="21" x14ac:dyDescent="0.3">
      <c r="A310" s="12"/>
      <c r="B310" s="13"/>
      <c r="C310" s="13"/>
      <c r="D310" s="13"/>
      <c r="E310" s="13"/>
      <c r="F310" s="13"/>
      <c r="G310" s="13"/>
      <c r="H310" s="8"/>
    </row>
    <row r="311" spans="1:8" ht="21" x14ac:dyDescent="0.3">
      <c r="A311" s="12"/>
      <c r="B311" s="13"/>
      <c r="C311" s="13"/>
      <c r="D311" s="13"/>
      <c r="E311" s="13"/>
      <c r="F311" s="13"/>
      <c r="G311" s="13"/>
      <c r="H311" s="8"/>
    </row>
    <row r="312" spans="1:8" ht="21" x14ac:dyDescent="0.3">
      <c r="A312" s="12"/>
      <c r="B312" s="13"/>
      <c r="C312" s="13"/>
      <c r="D312" s="13"/>
      <c r="E312" s="13"/>
      <c r="F312" s="13"/>
      <c r="G312" s="13"/>
      <c r="H312" s="8"/>
    </row>
    <row r="313" spans="1:8" ht="21" x14ac:dyDescent="0.3">
      <c r="A313" s="12"/>
      <c r="B313" s="13"/>
      <c r="C313" s="13"/>
      <c r="D313" s="13"/>
      <c r="E313" s="13"/>
      <c r="F313" s="13"/>
      <c r="G313" s="13"/>
      <c r="H313" s="8"/>
    </row>
    <row r="314" spans="1:8" ht="21" x14ac:dyDescent="0.3">
      <c r="A314" s="12"/>
      <c r="B314" s="13"/>
      <c r="C314" s="13"/>
      <c r="D314" s="13"/>
      <c r="E314" s="13"/>
      <c r="F314" s="13"/>
      <c r="G314" s="13"/>
      <c r="H314" s="8"/>
    </row>
    <row r="315" spans="1:8" ht="21" x14ac:dyDescent="0.3">
      <c r="A315" s="12"/>
      <c r="B315" s="13"/>
      <c r="C315" s="13"/>
      <c r="D315" s="13"/>
      <c r="E315" s="13"/>
      <c r="F315" s="13"/>
      <c r="G315" s="13"/>
      <c r="H315" s="8"/>
    </row>
    <row r="316" spans="1:8" ht="21" x14ac:dyDescent="0.3">
      <c r="A316" s="12"/>
      <c r="B316" s="13"/>
      <c r="C316" s="13"/>
      <c r="D316" s="13"/>
      <c r="E316" s="13"/>
      <c r="F316" s="13"/>
      <c r="G316" s="13"/>
      <c r="H316" s="8"/>
    </row>
    <row r="317" spans="1:8" ht="21" x14ac:dyDescent="0.3">
      <c r="A317" s="12"/>
      <c r="B317" s="13"/>
      <c r="C317" s="13"/>
      <c r="D317" s="13"/>
      <c r="E317" s="13"/>
      <c r="F317" s="13"/>
      <c r="G317" s="13"/>
      <c r="H317" s="8"/>
    </row>
    <row r="318" spans="1:8" ht="21" x14ac:dyDescent="0.3">
      <c r="A318" s="12"/>
      <c r="B318" s="13"/>
      <c r="C318" s="13"/>
      <c r="D318" s="13"/>
      <c r="E318" s="13"/>
      <c r="F318" s="13"/>
      <c r="G318" s="13"/>
      <c r="H318" s="8"/>
    </row>
    <row r="319" spans="1:8" ht="21" x14ac:dyDescent="0.3">
      <c r="A319" s="12"/>
      <c r="B319" s="13"/>
      <c r="C319" s="13"/>
      <c r="D319" s="13"/>
      <c r="E319" s="13"/>
      <c r="F319" s="13"/>
      <c r="G319" s="13"/>
      <c r="H319" s="8"/>
    </row>
    <row r="320" spans="1:8" ht="21" x14ac:dyDescent="0.3">
      <c r="A320" s="12"/>
      <c r="B320" s="13"/>
      <c r="C320" s="13"/>
      <c r="D320" s="13"/>
      <c r="E320" s="13"/>
      <c r="F320" s="13"/>
      <c r="G320" s="13"/>
      <c r="H320" s="8"/>
    </row>
    <row r="321" spans="1:8" ht="21" x14ac:dyDescent="0.3">
      <c r="A321" s="12"/>
      <c r="B321" s="13"/>
      <c r="C321" s="13"/>
      <c r="D321" s="13"/>
      <c r="E321" s="13"/>
      <c r="F321" s="13"/>
      <c r="G321" s="13"/>
      <c r="H321" s="8"/>
    </row>
    <row r="322" spans="1:8" ht="21" x14ac:dyDescent="0.3">
      <c r="A322" s="12"/>
      <c r="B322" s="13"/>
      <c r="C322" s="13"/>
      <c r="D322" s="13"/>
      <c r="E322" s="13"/>
      <c r="F322" s="13"/>
      <c r="G322" s="13"/>
      <c r="H322" s="8"/>
    </row>
    <row r="323" spans="1:8" ht="21" x14ac:dyDescent="0.3">
      <c r="A323" s="12"/>
      <c r="B323" s="13"/>
      <c r="C323" s="13"/>
      <c r="D323" s="13"/>
      <c r="E323" s="13"/>
      <c r="F323" s="13"/>
      <c r="G323" s="13"/>
      <c r="H323" s="8"/>
    </row>
    <row r="324" spans="1:8" ht="21" x14ac:dyDescent="0.3">
      <c r="A324" s="12"/>
      <c r="B324" s="13"/>
      <c r="C324" s="13"/>
      <c r="D324" s="13"/>
      <c r="E324" s="13"/>
      <c r="F324" s="13"/>
      <c r="G324" s="13"/>
      <c r="H324" s="8"/>
    </row>
    <row r="325" spans="1:8" ht="21" x14ac:dyDescent="0.3">
      <c r="A325" s="12"/>
      <c r="B325" s="13"/>
      <c r="C325" s="13"/>
      <c r="D325" s="13"/>
      <c r="E325" s="13"/>
      <c r="F325" s="13"/>
      <c r="G325" s="13"/>
      <c r="H325" s="8"/>
    </row>
    <row r="326" spans="1:8" ht="21" x14ac:dyDescent="0.3">
      <c r="A326" s="12"/>
      <c r="B326" s="13"/>
      <c r="C326" s="13"/>
      <c r="D326" s="13"/>
      <c r="E326" s="13"/>
      <c r="F326" s="13"/>
      <c r="G326" s="13"/>
      <c r="H326" s="8"/>
    </row>
    <row r="327" spans="1:8" ht="21" x14ac:dyDescent="0.3">
      <c r="A327" s="12"/>
      <c r="B327" s="13"/>
      <c r="C327" s="13"/>
      <c r="D327" s="13"/>
      <c r="E327" s="13"/>
      <c r="F327" s="13"/>
      <c r="G327" s="13"/>
      <c r="H327" s="8"/>
    </row>
    <row r="328" spans="1:8" ht="21" x14ac:dyDescent="0.3">
      <c r="A328" s="12"/>
      <c r="B328" s="13"/>
      <c r="C328" s="13"/>
      <c r="D328" s="13"/>
      <c r="E328" s="13"/>
      <c r="F328" s="13"/>
      <c r="G328" s="13"/>
      <c r="H328" s="8"/>
    </row>
    <row r="329" spans="1:8" ht="21" x14ac:dyDescent="0.3">
      <c r="A329" s="12"/>
      <c r="B329" s="13"/>
      <c r="C329" s="13"/>
      <c r="D329" s="13"/>
      <c r="E329" s="13"/>
      <c r="F329" s="13"/>
      <c r="G329" s="13"/>
      <c r="H329" s="8"/>
    </row>
    <row r="330" spans="1:8" ht="21" x14ac:dyDescent="0.3">
      <c r="A330" s="12"/>
      <c r="B330" s="13"/>
      <c r="C330" s="13"/>
      <c r="D330" s="13"/>
      <c r="E330" s="13"/>
      <c r="F330" s="13"/>
      <c r="G330" s="13"/>
      <c r="H330" s="8"/>
    </row>
    <row r="331" spans="1:8" ht="21" x14ac:dyDescent="0.3">
      <c r="A331" s="12"/>
      <c r="B331" s="13"/>
      <c r="C331" s="13"/>
      <c r="D331" s="13"/>
      <c r="E331" s="13"/>
      <c r="F331" s="13"/>
      <c r="G331" s="13"/>
      <c r="H331" s="8"/>
    </row>
    <row r="332" spans="1:8" ht="21" x14ac:dyDescent="0.3">
      <c r="A332" s="12"/>
      <c r="B332" s="13"/>
      <c r="C332" s="13"/>
      <c r="D332" s="13"/>
      <c r="E332" s="13"/>
      <c r="F332" s="13"/>
      <c r="G332" s="13"/>
      <c r="H332" s="8"/>
    </row>
    <row r="333" spans="1:8" ht="21" x14ac:dyDescent="0.3">
      <c r="A333" s="12"/>
      <c r="B333" s="13"/>
      <c r="C333" s="13"/>
      <c r="D333" s="13"/>
      <c r="E333" s="13"/>
      <c r="F333" s="13"/>
      <c r="G333" s="13"/>
      <c r="H333" s="8"/>
    </row>
    <row r="334" spans="1:8" ht="21" x14ac:dyDescent="0.3">
      <c r="A334" s="12"/>
      <c r="B334" s="13"/>
      <c r="C334" s="13"/>
      <c r="D334" s="13"/>
      <c r="E334" s="13"/>
      <c r="F334" s="13"/>
      <c r="G334" s="13"/>
      <c r="H334" s="8"/>
    </row>
    <row r="335" spans="1:8" ht="21" x14ac:dyDescent="0.3">
      <c r="A335" s="12"/>
      <c r="B335" s="13"/>
      <c r="C335" s="13"/>
      <c r="D335" s="13"/>
      <c r="E335" s="13"/>
      <c r="F335" s="13"/>
      <c r="G335" s="13"/>
      <c r="H335" s="8"/>
    </row>
    <row r="336" spans="1:8" ht="21" x14ac:dyDescent="0.3">
      <c r="A336" s="12"/>
      <c r="B336" s="13"/>
      <c r="C336" s="13"/>
      <c r="D336" s="13"/>
      <c r="E336" s="13"/>
      <c r="F336" s="13"/>
      <c r="G336" s="13"/>
      <c r="H336" s="8"/>
    </row>
    <row r="337" spans="1:8" ht="21" x14ac:dyDescent="0.3">
      <c r="A337" s="12"/>
      <c r="B337" s="13"/>
      <c r="C337" s="13"/>
      <c r="D337" s="13"/>
      <c r="E337" s="13"/>
      <c r="F337" s="13"/>
      <c r="G337" s="13"/>
      <c r="H337" s="8"/>
    </row>
    <row r="338" spans="1:8" ht="21" x14ac:dyDescent="0.3">
      <c r="A338" s="12"/>
      <c r="B338" s="13"/>
      <c r="C338" s="13"/>
      <c r="D338" s="13"/>
      <c r="E338" s="13"/>
      <c r="F338" s="13"/>
      <c r="G338" s="13"/>
      <c r="H338" s="8"/>
    </row>
    <row r="339" spans="1:8" ht="21" x14ac:dyDescent="0.3">
      <c r="A339" s="14"/>
      <c r="B339" s="15"/>
      <c r="C339" s="15"/>
      <c r="D339" s="15"/>
      <c r="E339" s="15"/>
      <c r="F339" s="15"/>
      <c r="G339" s="15"/>
      <c r="H339" s="9"/>
    </row>
    <row r="340" spans="1:8" ht="21" x14ac:dyDescent="0.3">
      <c r="A340" s="150" t="s">
        <v>73</v>
      </c>
      <c r="B340" s="151"/>
      <c r="C340" s="151"/>
      <c r="D340" s="151"/>
      <c r="E340" s="151"/>
      <c r="F340" s="151"/>
      <c r="G340" s="151"/>
      <c r="H340" s="152"/>
    </row>
    <row r="341" spans="1:8" ht="21" x14ac:dyDescent="0.3">
      <c r="A341" s="10"/>
      <c r="B341" s="11"/>
      <c r="C341" s="11"/>
      <c r="D341" s="11"/>
      <c r="E341" s="11"/>
      <c r="F341" s="11"/>
      <c r="G341" s="11"/>
      <c r="H341" s="7"/>
    </row>
    <row r="342" spans="1:8" ht="21" x14ac:dyDescent="0.3">
      <c r="A342" s="12"/>
      <c r="B342" s="13"/>
      <c r="C342" s="13"/>
      <c r="D342" s="13"/>
      <c r="E342" s="13"/>
      <c r="F342" s="13"/>
      <c r="G342" s="13"/>
      <c r="H342" s="8"/>
    </row>
    <row r="343" spans="1:8" ht="21" x14ac:dyDescent="0.3">
      <c r="A343" s="12"/>
      <c r="B343" s="13"/>
      <c r="C343" s="13"/>
      <c r="D343" s="13"/>
      <c r="E343" s="13"/>
      <c r="F343" s="13"/>
      <c r="G343" s="13"/>
      <c r="H343" s="8"/>
    </row>
    <row r="344" spans="1:8" ht="21" x14ac:dyDescent="0.3">
      <c r="A344" s="12"/>
      <c r="B344" s="13"/>
      <c r="C344" s="13"/>
      <c r="D344" s="13"/>
      <c r="E344" s="13"/>
      <c r="F344" s="13"/>
      <c r="G344" s="13"/>
      <c r="H344" s="8"/>
    </row>
    <row r="345" spans="1:8" ht="21" x14ac:dyDescent="0.3">
      <c r="A345" s="12"/>
      <c r="B345" s="13"/>
      <c r="C345" s="13"/>
      <c r="D345" s="13"/>
      <c r="E345" s="13"/>
      <c r="F345" s="13"/>
      <c r="G345" s="13"/>
      <c r="H345" s="8"/>
    </row>
    <row r="346" spans="1:8" ht="21" x14ac:dyDescent="0.3">
      <c r="A346" s="12"/>
      <c r="B346" s="13"/>
      <c r="C346" s="13"/>
      <c r="D346" s="13"/>
      <c r="E346" s="13"/>
      <c r="F346" s="13"/>
      <c r="G346" s="13"/>
      <c r="H346" s="8"/>
    </row>
    <row r="347" spans="1:8" ht="21" x14ac:dyDescent="0.3">
      <c r="A347" s="12"/>
      <c r="B347" s="13"/>
      <c r="C347" s="13"/>
      <c r="D347" s="13"/>
      <c r="E347" s="13"/>
      <c r="F347" s="13"/>
      <c r="G347" s="13"/>
      <c r="H347" s="8"/>
    </row>
    <row r="348" spans="1:8" ht="21" x14ac:dyDescent="0.3">
      <c r="A348" s="12"/>
      <c r="B348" s="13"/>
      <c r="C348" s="13"/>
      <c r="D348" s="13"/>
      <c r="E348" s="13"/>
      <c r="F348" s="13"/>
      <c r="G348" s="13"/>
      <c r="H348" s="8"/>
    </row>
    <row r="349" spans="1:8" ht="21" x14ac:dyDescent="0.3">
      <c r="A349" s="12"/>
      <c r="B349" s="13"/>
      <c r="C349" s="13"/>
      <c r="D349" s="13"/>
      <c r="E349" s="13"/>
      <c r="F349" s="13"/>
      <c r="G349" s="13"/>
      <c r="H349" s="8"/>
    </row>
    <row r="350" spans="1:8" ht="21" x14ac:dyDescent="0.3">
      <c r="A350" s="12"/>
      <c r="B350" s="13"/>
      <c r="C350" s="13"/>
      <c r="D350" s="13"/>
      <c r="E350" s="13"/>
      <c r="F350" s="13"/>
      <c r="G350" s="13"/>
      <c r="H350" s="8"/>
    </row>
    <row r="351" spans="1:8" ht="21" x14ac:dyDescent="0.3">
      <c r="A351" s="12"/>
      <c r="B351" s="13"/>
      <c r="C351" s="13"/>
      <c r="D351" s="13"/>
      <c r="E351" s="13"/>
      <c r="F351" s="13"/>
      <c r="G351" s="13"/>
      <c r="H351" s="8"/>
    </row>
    <row r="352" spans="1:8" ht="21" x14ac:dyDescent="0.3">
      <c r="A352" s="12"/>
      <c r="B352" s="13"/>
      <c r="C352" s="13"/>
      <c r="D352" s="13"/>
      <c r="E352" s="13"/>
      <c r="F352" s="13"/>
      <c r="G352" s="13"/>
      <c r="H352" s="8"/>
    </row>
    <row r="353" spans="1:8" ht="21" x14ac:dyDescent="0.3">
      <c r="A353" s="12"/>
      <c r="B353" s="13"/>
      <c r="C353" s="13"/>
      <c r="D353" s="13"/>
      <c r="E353" s="13"/>
      <c r="F353" s="13"/>
      <c r="G353" s="13"/>
      <c r="H353" s="8"/>
    </row>
    <row r="354" spans="1:8" ht="21" x14ac:dyDescent="0.3">
      <c r="A354" s="12"/>
      <c r="B354" s="13"/>
      <c r="C354" s="13"/>
      <c r="D354" s="13"/>
      <c r="E354" s="13"/>
      <c r="F354" s="13"/>
      <c r="G354" s="13"/>
      <c r="H354" s="8"/>
    </row>
    <row r="355" spans="1:8" ht="21" x14ac:dyDescent="0.3">
      <c r="A355" s="12"/>
      <c r="B355" s="13"/>
      <c r="C355" s="13"/>
      <c r="D355" s="13"/>
      <c r="E355" s="13"/>
      <c r="F355" s="13"/>
      <c r="G355" s="13"/>
      <c r="H355" s="8"/>
    </row>
    <row r="356" spans="1:8" ht="21" x14ac:dyDescent="0.3">
      <c r="A356" s="12"/>
      <c r="B356" s="13"/>
      <c r="C356" s="13"/>
      <c r="D356" s="13"/>
      <c r="E356" s="13"/>
      <c r="F356" s="13"/>
      <c r="G356" s="13"/>
      <c r="H356" s="8"/>
    </row>
    <row r="357" spans="1:8" ht="21" x14ac:dyDescent="0.3">
      <c r="A357" s="12"/>
      <c r="B357" s="13"/>
      <c r="C357" s="13"/>
      <c r="D357" s="13"/>
      <c r="E357" s="13"/>
      <c r="F357" s="13"/>
      <c r="G357" s="13"/>
      <c r="H357" s="8"/>
    </row>
    <row r="358" spans="1:8" ht="21" x14ac:dyDescent="0.3">
      <c r="A358" s="12"/>
      <c r="B358" s="13"/>
      <c r="C358" s="13"/>
      <c r="D358" s="13"/>
      <c r="E358" s="13"/>
      <c r="F358" s="13"/>
      <c r="G358" s="13"/>
      <c r="H358" s="8"/>
    </row>
    <row r="359" spans="1:8" ht="21" x14ac:dyDescent="0.3">
      <c r="A359" s="12"/>
      <c r="B359" s="13"/>
      <c r="C359" s="13"/>
      <c r="D359" s="13"/>
      <c r="E359" s="13"/>
      <c r="F359" s="13"/>
      <c r="G359" s="13"/>
      <c r="H359" s="8"/>
    </row>
    <row r="360" spans="1:8" ht="21" x14ac:dyDescent="0.3">
      <c r="A360" s="12"/>
      <c r="B360" s="13"/>
      <c r="C360" s="13"/>
      <c r="D360" s="13"/>
      <c r="E360" s="13"/>
      <c r="F360" s="13"/>
      <c r="G360" s="13"/>
      <c r="H360" s="8"/>
    </row>
    <row r="361" spans="1:8" ht="21" x14ac:dyDescent="0.3">
      <c r="A361" s="12"/>
      <c r="B361" s="13"/>
      <c r="C361" s="13"/>
      <c r="D361" s="13"/>
      <c r="E361" s="13"/>
      <c r="F361" s="13"/>
      <c r="G361" s="13"/>
      <c r="H361" s="8"/>
    </row>
    <row r="362" spans="1:8" ht="21" x14ac:dyDescent="0.3">
      <c r="A362" s="12"/>
      <c r="B362" s="13"/>
      <c r="C362" s="13"/>
      <c r="D362" s="13"/>
      <c r="E362" s="13"/>
      <c r="F362" s="13"/>
      <c r="G362" s="13"/>
      <c r="H362" s="8"/>
    </row>
    <row r="363" spans="1:8" ht="21" x14ac:dyDescent="0.3">
      <c r="A363" s="12"/>
      <c r="B363" s="13"/>
      <c r="C363" s="13"/>
      <c r="D363" s="13"/>
      <c r="E363" s="13"/>
      <c r="F363" s="13"/>
      <c r="G363" s="13"/>
      <c r="H363" s="8"/>
    </row>
    <row r="364" spans="1:8" ht="21" x14ac:dyDescent="0.3">
      <c r="A364" s="12"/>
      <c r="B364" s="13"/>
      <c r="C364" s="13"/>
      <c r="D364" s="13"/>
      <c r="E364" s="13"/>
      <c r="F364" s="13"/>
      <c r="G364" s="13"/>
      <c r="H364" s="8"/>
    </row>
    <row r="365" spans="1:8" ht="21" x14ac:dyDescent="0.3">
      <c r="A365" s="12"/>
      <c r="B365" s="13"/>
      <c r="C365" s="13"/>
      <c r="D365" s="13"/>
      <c r="E365" s="13"/>
      <c r="F365" s="13"/>
      <c r="G365" s="13"/>
      <c r="H365" s="8"/>
    </row>
    <row r="366" spans="1:8" ht="21" x14ac:dyDescent="0.3">
      <c r="A366" s="115" t="s">
        <v>23</v>
      </c>
      <c r="B366" s="115"/>
      <c r="C366" s="115"/>
      <c r="D366" s="115"/>
      <c r="E366" s="115"/>
      <c r="F366" s="115"/>
      <c r="G366" s="115"/>
      <c r="H366" s="115"/>
    </row>
    <row r="367" spans="1:8" ht="21" x14ac:dyDescent="0.3">
      <c r="A367" s="92" t="s">
        <v>74</v>
      </c>
      <c r="B367" s="159"/>
      <c r="C367" s="159"/>
      <c r="D367" s="159"/>
      <c r="E367" s="159"/>
      <c r="F367" s="159"/>
      <c r="G367" s="159"/>
      <c r="H367" s="93"/>
    </row>
    <row r="368" spans="1:8" ht="21" x14ac:dyDescent="0.3">
      <c r="A368" s="160" t="s">
        <v>75</v>
      </c>
      <c r="B368" s="161"/>
      <c r="C368" s="161"/>
      <c r="D368" s="161"/>
      <c r="E368" s="161"/>
      <c r="F368" s="161"/>
      <c r="G368" s="161"/>
      <c r="H368" s="162"/>
    </row>
    <row r="369" spans="1:8" ht="45" customHeight="1" x14ac:dyDescent="0.3">
      <c r="A369" s="160" t="s">
        <v>76</v>
      </c>
      <c r="B369" s="161"/>
      <c r="C369" s="161"/>
      <c r="D369" s="161"/>
      <c r="E369" s="161"/>
      <c r="F369" s="161"/>
      <c r="G369" s="161"/>
      <c r="H369" s="162"/>
    </row>
    <row r="370" spans="1:8" ht="42.75" customHeight="1" x14ac:dyDescent="0.3">
      <c r="A370" s="160" t="s">
        <v>77</v>
      </c>
      <c r="B370" s="161"/>
      <c r="C370" s="161"/>
      <c r="D370" s="161"/>
      <c r="E370" s="161"/>
      <c r="F370" s="161"/>
      <c r="G370" s="161"/>
      <c r="H370" s="162"/>
    </row>
    <row r="371" spans="1:8" ht="21" x14ac:dyDescent="0.3">
      <c r="A371" s="160" t="s">
        <v>78</v>
      </c>
      <c r="B371" s="161"/>
      <c r="C371" s="161"/>
      <c r="D371" s="161"/>
      <c r="E371" s="161"/>
      <c r="F371" s="161"/>
      <c r="G371" s="161"/>
      <c r="H371" s="162"/>
    </row>
    <row r="372" spans="1:8" ht="21" x14ac:dyDescent="0.3">
      <c r="A372" s="160" t="s">
        <v>79</v>
      </c>
      <c r="B372" s="161"/>
      <c r="C372" s="161"/>
      <c r="D372" s="161"/>
      <c r="E372" s="161"/>
      <c r="F372" s="161"/>
      <c r="G372" s="161"/>
      <c r="H372" s="162"/>
    </row>
    <row r="373" spans="1:8" ht="45" customHeight="1" x14ac:dyDescent="0.3">
      <c r="A373" s="160" t="s">
        <v>80</v>
      </c>
      <c r="B373" s="161"/>
      <c r="C373" s="161"/>
      <c r="D373" s="161"/>
      <c r="E373" s="161"/>
      <c r="F373" s="161"/>
      <c r="G373" s="161"/>
      <c r="H373" s="162"/>
    </row>
    <row r="374" spans="1:8" ht="45" customHeight="1" x14ac:dyDescent="0.3">
      <c r="A374" s="160" t="s">
        <v>81</v>
      </c>
      <c r="B374" s="161"/>
      <c r="C374" s="161"/>
      <c r="D374" s="161"/>
      <c r="E374" s="161"/>
      <c r="F374" s="161"/>
      <c r="G374" s="161"/>
      <c r="H374" s="162"/>
    </row>
    <row r="375" spans="1:8" ht="21" x14ac:dyDescent="0.3">
      <c r="A375" s="94" t="s">
        <v>82</v>
      </c>
      <c r="B375" s="163"/>
      <c r="C375" s="163"/>
      <c r="D375" s="163"/>
      <c r="E375" s="163"/>
      <c r="F375" s="163"/>
      <c r="G375" s="163"/>
      <c r="H375" s="95"/>
    </row>
    <row r="376" spans="1:8" ht="64.2" customHeight="1" x14ac:dyDescent="0.3">
      <c r="A376" s="167" t="s">
        <v>352</v>
      </c>
      <c r="B376" s="168"/>
      <c r="C376" s="169" t="s">
        <v>365</v>
      </c>
      <c r="D376" s="170"/>
      <c r="E376" s="167" t="s">
        <v>353</v>
      </c>
      <c r="F376" s="168"/>
      <c r="G376" s="157"/>
      <c r="H376" s="157"/>
    </row>
  </sheetData>
  <mergeCells count="454">
    <mergeCell ref="A122:B122"/>
    <mergeCell ref="A123:B123"/>
    <mergeCell ref="A124:B124"/>
    <mergeCell ref="A127:B127"/>
    <mergeCell ref="C127:D127"/>
    <mergeCell ref="C128:D128"/>
    <mergeCell ref="C129:D129"/>
    <mergeCell ref="E129:F129"/>
    <mergeCell ref="A131:F131"/>
    <mergeCell ref="A128:B128"/>
    <mergeCell ref="G48:H48"/>
    <mergeCell ref="A49:B49"/>
    <mergeCell ref="D49:F49"/>
    <mergeCell ref="G49:H49"/>
    <mergeCell ref="A51:B51"/>
    <mergeCell ref="A53:B53"/>
    <mergeCell ref="A56:B56"/>
    <mergeCell ref="A52:B52"/>
    <mergeCell ref="C51:H51"/>
    <mergeCell ref="C52:F52"/>
    <mergeCell ref="C53:F53"/>
    <mergeCell ref="C54:F54"/>
    <mergeCell ref="A54:B55"/>
    <mergeCell ref="C55:H55"/>
    <mergeCell ref="J38:K38"/>
    <mergeCell ref="M38:N38"/>
    <mergeCell ref="C38:E38"/>
    <mergeCell ref="F38:H38"/>
    <mergeCell ref="C39:E39"/>
    <mergeCell ref="F39:H39"/>
    <mergeCell ref="F40:H40"/>
    <mergeCell ref="C40:E40"/>
    <mergeCell ref="A41:B41"/>
    <mergeCell ref="C41:E41"/>
    <mergeCell ref="F41:H41"/>
    <mergeCell ref="A39:B39"/>
    <mergeCell ref="A40:B40"/>
    <mergeCell ref="A43:B43"/>
    <mergeCell ref="A38:B38"/>
    <mergeCell ref="A42:B42"/>
    <mergeCell ref="C42:E42"/>
    <mergeCell ref="F42:H42"/>
    <mergeCell ref="C43:H43"/>
    <mergeCell ref="E34:F34"/>
    <mergeCell ref="E35:F35"/>
    <mergeCell ref="E36:F36"/>
    <mergeCell ref="A34:B34"/>
    <mergeCell ref="A35:B35"/>
    <mergeCell ref="A36:B36"/>
    <mergeCell ref="C34:D34"/>
    <mergeCell ref="C35:D35"/>
    <mergeCell ref="C36:D36"/>
    <mergeCell ref="G34:H34"/>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A22:B22"/>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E81:F92"/>
    <mergeCell ref="G81:H92"/>
    <mergeCell ref="A82:B82"/>
    <mergeCell ref="A83:B83"/>
    <mergeCell ref="A84:B84"/>
    <mergeCell ref="A85:B85"/>
    <mergeCell ref="A86:B86"/>
    <mergeCell ref="A87:B87"/>
    <mergeCell ref="A88:B88"/>
    <mergeCell ref="A89:B89"/>
    <mergeCell ref="A90:B90"/>
    <mergeCell ref="A91:B91"/>
    <mergeCell ref="A92:B92"/>
    <mergeCell ref="A66:B66"/>
    <mergeCell ref="C27:D27"/>
    <mergeCell ref="A73:B73"/>
    <mergeCell ref="A74:B74"/>
    <mergeCell ref="A75:B75"/>
    <mergeCell ref="A76:B76"/>
    <mergeCell ref="A67:B67"/>
    <mergeCell ref="A68:B68"/>
    <mergeCell ref="A70:B70"/>
    <mergeCell ref="B257:H257"/>
    <mergeCell ref="B251:H251"/>
    <mergeCell ref="B250:H250"/>
    <mergeCell ref="B254:H254"/>
    <mergeCell ref="B253:H253"/>
    <mergeCell ref="B252:H252"/>
    <mergeCell ref="B255:H255"/>
    <mergeCell ref="B256:H256"/>
    <mergeCell ref="A249:H249"/>
    <mergeCell ref="E65:F76"/>
    <mergeCell ref="A226:B226"/>
    <mergeCell ref="A224:B224"/>
    <mergeCell ref="E141:F141"/>
    <mergeCell ref="C140:D140"/>
    <mergeCell ref="E144:F144"/>
    <mergeCell ref="A221:B221"/>
    <mergeCell ref="C144:D144"/>
    <mergeCell ref="E146:F146"/>
    <mergeCell ref="A126:H126"/>
    <mergeCell ref="G127:H127"/>
    <mergeCell ref="A112:B112"/>
    <mergeCell ref="E112:F112"/>
    <mergeCell ref="A113:B113"/>
    <mergeCell ref="E113:F124"/>
    <mergeCell ref="G113:H124"/>
    <mergeCell ref="A114:B114"/>
    <mergeCell ref="A115:B115"/>
    <mergeCell ref="A116:B116"/>
    <mergeCell ref="A117:B117"/>
    <mergeCell ref="A118:B118"/>
    <mergeCell ref="A119:B119"/>
    <mergeCell ref="A120:B120"/>
    <mergeCell ref="A121:B121"/>
    <mergeCell ref="G14:H14"/>
    <mergeCell ref="G16:H16"/>
    <mergeCell ref="G17:H17"/>
    <mergeCell ref="G15:H15"/>
    <mergeCell ref="G18:H18"/>
    <mergeCell ref="G19:H19"/>
    <mergeCell ref="G46:H46"/>
    <mergeCell ref="G31:H31"/>
    <mergeCell ref="G22:H22"/>
    <mergeCell ref="G36:H36"/>
    <mergeCell ref="G35:H35"/>
    <mergeCell ref="A13:H13"/>
    <mergeCell ref="C26:D26"/>
    <mergeCell ref="G376:H376"/>
    <mergeCell ref="A258:H258"/>
    <mergeCell ref="D260:H260"/>
    <mergeCell ref="A367:H367"/>
    <mergeCell ref="A373:H373"/>
    <mergeCell ref="A374:H374"/>
    <mergeCell ref="A375:H375"/>
    <mergeCell ref="A368:H368"/>
    <mergeCell ref="A369:H369"/>
    <mergeCell ref="A370:H370"/>
    <mergeCell ref="A371:H371"/>
    <mergeCell ref="A260:C260"/>
    <mergeCell ref="A366:H366"/>
    <mergeCell ref="A372:H372"/>
    <mergeCell ref="A340:H340"/>
    <mergeCell ref="D259:H259"/>
    <mergeCell ref="A261:C261"/>
    <mergeCell ref="D261:H261"/>
    <mergeCell ref="A297:H297"/>
    <mergeCell ref="E376:F376"/>
    <mergeCell ref="A376:B376"/>
    <mergeCell ref="C376:D376"/>
    <mergeCell ref="E128:F128"/>
    <mergeCell ref="G128:H128"/>
    <mergeCell ref="A1:H1"/>
    <mergeCell ref="A259:C259"/>
    <mergeCell ref="G27:H27"/>
    <mergeCell ref="G28:H28"/>
    <mergeCell ref="A37:H37"/>
    <mergeCell ref="A44:H44"/>
    <mergeCell ref="A50:H50"/>
    <mergeCell ref="A134:H134"/>
    <mergeCell ref="G132:H132"/>
    <mergeCell ref="G7:H7"/>
    <mergeCell ref="G47:H47"/>
    <mergeCell ref="G45:H45"/>
    <mergeCell ref="A25:H25"/>
    <mergeCell ref="G26:H26"/>
    <mergeCell ref="G20:H20"/>
    <mergeCell ref="G21:H21"/>
    <mergeCell ref="A9:A11"/>
    <mergeCell ref="G6:H6"/>
    <mergeCell ref="A5:H5"/>
    <mergeCell ref="A33:H33"/>
    <mergeCell ref="G30:H30"/>
    <mergeCell ref="G29:H29"/>
    <mergeCell ref="A225:B225"/>
    <mergeCell ref="A227:B227"/>
    <mergeCell ref="A228:B228"/>
    <mergeCell ref="A223:B223"/>
    <mergeCell ref="A222:B222"/>
    <mergeCell ref="A220:H220"/>
    <mergeCell ref="G129:H129"/>
    <mergeCell ref="G133:H133"/>
    <mergeCell ref="A130:H130"/>
    <mergeCell ref="A129:B129"/>
    <mergeCell ref="A132:F132"/>
    <mergeCell ref="A133:F133"/>
    <mergeCell ref="C137:D137"/>
    <mergeCell ref="A191:H191"/>
    <mergeCell ref="A146:B146"/>
    <mergeCell ref="G146:H146"/>
    <mergeCell ref="A139:H139"/>
    <mergeCell ref="A140:B140"/>
    <mergeCell ref="E140:F140"/>
    <mergeCell ref="A197:B197"/>
    <mergeCell ref="A198:B198"/>
    <mergeCell ref="A199:B199"/>
    <mergeCell ref="A192:B192"/>
    <mergeCell ref="C141:D141"/>
    <mergeCell ref="C146:D146"/>
    <mergeCell ref="A60:B60"/>
    <mergeCell ref="C56:F56"/>
    <mergeCell ref="C57:F57"/>
    <mergeCell ref="C59:F59"/>
    <mergeCell ref="C60:F60"/>
    <mergeCell ref="A193:B193"/>
    <mergeCell ref="A194:B194"/>
    <mergeCell ref="A195:B195"/>
    <mergeCell ref="A196:B196"/>
    <mergeCell ref="A77:H77"/>
    <mergeCell ref="A78:C79"/>
    <mergeCell ref="E78:F78"/>
    <mergeCell ref="G125:H125"/>
    <mergeCell ref="G65:H76"/>
    <mergeCell ref="A61:H61"/>
    <mergeCell ref="A64:B64"/>
    <mergeCell ref="A65:B65"/>
    <mergeCell ref="E64:F64"/>
    <mergeCell ref="E62:F62"/>
    <mergeCell ref="E63:F63"/>
    <mergeCell ref="A62:C63"/>
    <mergeCell ref="A71:B71"/>
    <mergeCell ref="E110:F110"/>
    <mergeCell ref="E111:F111"/>
    <mergeCell ref="A109:H109"/>
    <mergeCell ref="A110:C111"/>
    <mergeCell ref="C18:D18"/>
    <mergeCell ref="C19:D19"/>
    <mergeCell ref="C20:D20"/>
    <mergeCell ref="C21:D21"/>
    <mergeCell ref="C22:D22"/>
    <mergeCell ref="C24:H24"/>
    <mergeCell ref="C23:H23"/>
    <mergeCell ref="A69:B69"/>
    <mergeCell ref="A72:B72"/>
    <mergeCell ref="E79:F79"/>
    <mergeCell ref="A80:B80"/>
    <mergeCell ref="E80:F80"/>
    <mergeCell ref="A81:B81"/>
    <mergeCell ref="A45:B45"/>
    <mergeCell ref="A46:B46"/>
    <mergeCell ref="A47:B47"/>
    <mergeCell ref="D46:F46"/>
    <mergeCell ref="D45:F45"/>
    <mergeCell ref="D47:F47"/>
    <mergeCell ref="A48:B48"/>
    <mergeCell ref="D48:F48"/>
    <mergeCell ref="A59:B59"/>
    <mergeCell ref="A125:F125"/>
    <mergeCell ref="A147:H147"/>
    <mergeCell ref="E135:F135"/>
    <mergeCell ref="E136:F136"/>
    <mergeCell ref="E137:F137"/>
    <mergeCell ref="E138:F138"/>
    <mergeCell ref="A135:B135"/>
    <mergeCell ref="A136:B136"/>
    <mergeCell ref="A137:B137"/>
    <mergeCell ref="C135:D135"/>
    <mergeCell ref="A138:B138"/>
    <mergeCell ref="C136:D136"/>
    <mergeCell ref="G135:H135"/>
    <mergeCell ref="G136:H136"/>
    <mergeCell ref="G137:H137"/>
    <mergeCell ref="G138:H138"/>
    <mergeCell ref="C138:D138"/>
    <mergeCell ref="G140:H140"/>
    <mergeCell ref="A141:B141"/>
    <mergeCell ref="G141:H141"/>
    <mergeCell ref="A144:B144"/>
    <mergeCell ref="G144:H144"/>
    <mergeCell ref="G131:H131"/>
    <mergeCell ref="E127:F127"/>
    <mergeCell ref="A93:H93"/>
    <mergeCell ref="A94:C95"/>
    <mergeCell ref="E94:F94"/>
    <mergeCell ref="E95:F95"/>
    <mergeCell ref="A96:B96"/>
    <mergeCell ref="E96:F96"/>
    <mergeCell ref="A97:B97"/>
    <mergeCell ref="E97:F108"/>
    <mergeCell ref="G97:H108"/>
    <mergeCell ref="A98:B98"/>
    <mergeCell ref="A99:B99"/>
    <mergeCell ref="A100:B100"/>
    <mergeCell ref="A101:B101"/>
    <mergeCell ref="A102:B102"/>
    <mergeCell ref="A103:B103"/>
    <mergeCell ref="A104:B104"/>
    <mergeCell ref="A105:B105"/>
    <mergeCell ref="A106:B106"/>
    <mergeCell ref="A107:B107"/>
    <mergeCell ref="A108:B108"/>
    <mergeCell ref="A149:H149"/>
    <mergeCell ref="A150:H150"/>
    <mergeCell ref="A151:H151"/>
    <mergeCell ref="A152:B152"/>
    <mergeCell ref="A153:B153"/>
    <mergeCell ref="A154:B154"/>
    <mergeCell ref="A155:B155"/>
    <mergeCell ref="A156:B156"/>
    <mergeCell ref="A157:B157"/>
    <mergeCell ref="A158:B158"/>
    <mergeCell ref="A159:B159"/>
    <mergeCell ref="A160:H160"/>
    <mergeCell ref="A161:B161"/>
    <mergeCell ref="A162:B162"/>
    <mergeCell ref="A163:B163"/>
    <mergeCell ref="A164:B164"/>
    <mergeCell ref="A165:B165"/>
    <mergeCell ref="A166:B166"/>
    <mergeCell ref="A167:B167"/>
    <mergeCell ref="A168:B168"/>
    <mergeCell ref="C165:H165"/>
    <mergeCell ref="A170:H170"/>
    <mergeCell ref="A169:H169"/>
    <mergeCell ref="A171:H171"/>
    <mergeCell ref="A172:B172"/>
    <mergeCell ref="A173:B173"/>
    <mergeCell ref="A174:B174"/>
    <mergeCell ref="A184:B184"/>
    <mergeCell ref="A185:B185"/>
    <mergeCell ref="A186:B186"/>
    <mergeCell ref="A187:B187"/>
    <mergeCell ref="A188:B188"/>
    <mergeCell ref="C182:H182"/>
    <mergeCell ref="A189:H189"/>
    <mergeCell ref="A190:H190"/>
    <mergeCell ref="A175:B175"/>
    <mergeCell ref="A176:B176"/>
    <mergeCell ref="A177:B177"/>
    <mergeCell ref="A178:B178"/>
    <mergeCell ref="A179:B179"/>
    <mergeCell ref="A180:H180"/>
    <mergeCell ref="A181:B181"/>
    <mergeCell ref="A182:B182"/>
    <mergeCell ref="A183:B183"/>
    <mergeCell ref="A200:H200"/>
    <mergeCell ref="A201:B201"/>
    <mergeCell ref="A202:B202"/>
    <mergeCell ref="A203:B203"/>
    <mergeCell ref="A204:B204"/>
    <mergeCell ref="A205:B205"/>
    <mergeCell ref="A206:B206"/>
    <mergeCell ref="A207:B207"/>
    <mergeCell ref="A208:B208"/>
    <mergeCell ref="C202:H202"/>
    <mergeCell ref="A235:B235"/>
    <mergeCell ref="A236:B236"/>
    <mergeCell ref="A237:B237"/>
    <mergeCell ref="I3:N3"/>
    <mergeCell ref="A209:H209"/>
    <mergeCell ref="A210:H210"/>
    <mergeCell ref="C225:H225"/>
    <mergeCell ref="A142:B142"/>
    <mergeCell ref="C142:D142"/>
    <mergeCell ref="E142:F142"/>
    <mergeCell ref="G142:H142"/>
    <mergeCell ref="A143:B143"/>
    <mergeCell ref="C143:D143"/>
    <mergeCell ref="E143:F143"/>
    <mergeCell ref="G143:H143"/>
    <mergeCell ref="A211:H211"/>
    <mergeCell ref="A212:B212"/>
    <mergeCell ref="A213:B213"/>
    <mergeCell ref="A214:B214"/>
    <mergeCell ref="A215:B215"/>
    <mergeCell ref="A216:B216"/>
    <mergeCell ref="A217:B217"/>
    <mergeCell ref="A218:B218"/>
    <mergeCell ref="A219:B219"/>
    <mergeCell ref="A246:B246"/>
    <mergeCell ref="A247:B247"/>
    <mergeCell ref="A248:B248"/>
    <mergeCell ref="A145:B145"/>
    <mergeCell ref="C145:D145"/>
    <mergeCell ref="E145:F145"/>
    <mergeCell ref="G145:H145"/>
    <mergeCell ref="C242:H242"/>
    <mergeCell ref="A57:B58"/>
    <mergeCell ref="C58:H58"/>
    <mergeCell ref="A238:B238"/>
    <mergeCell ref="A239:B239"/>
    <mergeCell ref="A240:H240"/>
    <mergeCell ref="A241:B241"/>
    <mergeCell ref="A242:B242"/>
    <mergeCell ref="A243:B243"/>
    <mergeCell ref="A244:B244"/>
    <mergeCell ref="A245:B245"/>
    <mergeCell ref="A229:H229"/>
    <mergeCell ref="A230:H230"/>
    <mergeCell ref="A231:H231"/>
    <mergeCell ref="A232:B232"/>
    <mergeCell ref="A233:B233"/>
    <mergeCell ref="A234:B234"/>
  </mergeCells>
  <phoneticPr fontId="27" type="noConversion"/>
  <dataValidations count="7">
    <dataValidation type="list" allowBlank="1" showInputMessage="1" showErrorMessage="1" sqref="G6:H6" xr:uid="{00000000-0002-0000-0000-000000000000}">
      <formula1>"Mr.Vinayak,Ms. Priyanka Panchal, Mr. Gaurav Pawar, Mr.Manish,Mr.Vaibhav Gite,Miss Ankita Mohite,Mr Suraj Khare"</formula1>
    </dataValidation>
    <dataValidation type="list" allowBlank="1" showInputMessage="1" showErrorMessage="1" sqref="G26:H26" xr:uid="{00000000-0002-0000-0000-000001000000}">
      <formula1>"Middle,Upper"</formula1>
    </dataValidation>
    <dataValidation type="list" allowBlank="1" showInputMessage="1" showErrorMessage="1" sqref="C129" xr:uid="{00000000-0002-0000-0000-000002000000}">
      <formula1>"300000,350000,400000,500000,600000,700000,800000,900000,1000000,1200000,1400000,1500000,1600000"</formula1>
    </dataValidation>
    <dataValidation type="list" allowBlank="1" showInputMessage="1" showErrorMessage="1" sqref="F148" xr:uid="{00000000-0002-0000-0000-000003000000}">
      <formula1>"Fungible area,Balcony Area,Chajja Area,Cornice Area,AP Area,WS Area"</formula1>
    </dataValidation>
    <dataValidation type="list" allowBlank="1" showInputMessage="1" showErrorMessage="1" sqref="C27:D27" xr:uid="{00000000-0002-0000-0000-000004000000}">
      <formula1>"Bitumen,Concrete"</formula1>
    </dataValidation>
    <dataValidation type="list" allowBlank="1" showInputMessage="1" showErrorMessage="1" sqref="C51:H51 G35:H35" xr:uid="{00000000-0002-0000-0000-000005000000}">
      <formula1>"Yes,No"</formula1>
    </dataValidation>
    <dataValidation type="list" allowBlank="1" showInputMessage="1" showErrorMessage="1" sqref="C148" xr:uid="{00000000-0002-0000-0000-000006000000}">
      <formula1>"Sale /         Rehab /           PAP,Sale / Mhada,Sale / Landowner"</formula1>
    </dataValidation>
  </dataValidations>
  <hyperlinks>
    <hyperlink ref="I24" r:id="rId1" location="amenities" display="https://godrejhomz.com/godrej-green-terraces/?source=google&amp;medium=ppc&amp;keyword=godrej%20green%20terraces&amp;matchtype=p&amp;device=c&amp;&amp;location=&amp;gad_source=1&amp;gclid=Cj0KCQiAgJa6BhCOARIsAMiL7V8kZjkijBp9UfFp4MOSjmzd6o1LKRnu2QA3QlhBHRDC7G6hFpZbrA8aAhoDEALw_wcB#amenities" xr:uid="{00000000-0004-0000-0000-000000000000}"/>
    <hyperlink ref="C23" r:id="rId2" xr:uid="{00000000-0004-0000-0000-000001000000}"/>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3" manualBreakCount="3">
    <brk id="257" max="8" man="1"/>
    <brk id="296" max="16383" man="1"/>
    <brk id="339"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zoomScale="70" zoomScaleNormal="70" workbookViewId="0">
      <selection activeCell="A3" sqref="A3:XFD18"/>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15" t="s">
        <v>65</v>
      </c>
      <c r="B3" s="115"/>
      <c r="C3" s="115"/>
      <c r="D3" s="115"/>
      <c r="E3" s="115"/>
      <c r="F3" s="115"/>
      <c r="G3" s="115"/>
      <c r="H3" s="115"/>
      <c r="I3" s="115"/>
    </row>
    <row r="4" spans="1:11" s="1" customFormat="1" ht="20.25" customHeight="1" x14ac:dyDescent="0.4">
      <c r="A4" s="189">
        <v>1</v>
      </c>
      <c r="B4" s="189"/>
      <c r="C4" s="189"/>
      <c r="D4" s="190" t="s">
        <v>4</v>
      </c>
      <c r="E4" s="30" t="s">
        <v>113</v>
      </c>
      <c r="F4" s="117" t="s">
        <v>100</v>
      </c>
      <c r="G4" s="117"/>
      <c r="H4" s="30" t="s">
        <v>114</v>
      </c>
      <c r="I4" s="30" t="s">
        <v>115</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89"/>
      <c r="B5" s="189"/>
      <c r="C5" s="189"/>
      <c r="D5" s="190"/>
      <c r="E5" s="30">
        <v>3</v>
      </c>
      <c r="F5" s="117">
        <v>1</v>
      </c>
      <c r="G5" s="117"/>
      <c r="H5" s="30">
        <v>0</v>
      </c>
      <c r="I5" s="30">
        <f ca="1">--TRIM(RIGHT(SUBSTITUTE(LEFT(A4,_xlfn.AGGREGATE(16,6,FIND({0,1,2,3,4,5,6,7,8,9},A4,ROW(INDIRECT("1:"&amp;LEN(A4)))),1))," ",REPT(" ",LEN(A4))),LEN(A4)))</f>
        <v>1</v>
      </c>
      <c r="J5" s="17" t="s">
        <v>119</v>
      </c>
      <c r="K5" s="18"/>
    </row>
    <row r="6" spans="1:11" s="1" customFormat="1" ht="20.25" customHeight="1" x14ac:dyDescent="0.4">
      <c r="A6" s="118" t="s">
        <v>117</v>
      </c>
      <c r="B6" s="118"/>
      <c r="C6" s="118" t="s">
        <v>127</v>
      </c>
      <c r="D6" s="118"/>
      <c r="E6" s="28" t="s">
        <v>128</v>
      </c>
      <c r="F6" s="118" t="s">
        <v>118</v>
      </c>
      <c r="G6" s="118"/>
      <c r="H6" s="29" t="s">
        <v>116</v>
      </c>
      <c r="I6" s="29"/>
      <c r="J6" s="20" t="s">
        <v>129</v>
      </c>
      <c r="K6" s="19">
        <f ca="1">I5*25%</f>
        <v>0.25</v>
      </c>
    </row>
    <row r="7" spans="1:11" s="1" customFormat="1" ht="20.25" customHeight="1" x14ac:dyDescent="0.4">
      <c r="A7" s="119" t="s">
        <v>130</v>
      </c>
      <c r="B7" s="119"/>
      <c r="C7" s="117">
        <f ca="1">K8</f>
        <v>1</v>
      </c>
      <c r="D7" s="117"/>
      <c r="E7" s="5">
        <f ca="1">((100/I5)*C7)/100</f>
        <v>1</v>
      </c>
      <c r="F7" s="119">
        <f ca="1">(((C7/I5*5)+(C8/I5*20)+(25/(F5+H5+I5)*C9)+(5/(I5)*C10)+(2.5/(I5)*C11)+(2.5/(I5)*C12)+(5/I5*C13)+(10/I5*C14)+(2.5/I5*C15)+(2.5/I5*C16)+(10/I5*C17)+(10/I5*C18))/100)</f>
        <v>0.25</v>
      </c>
      <c r="G7" s="119"/>
      <c r="H7" s="119" t="str">
        <f ca="1">J4</f>
        <v>Excavation work Completed. Plinth work completed</v>
      </c>
      <c r="I7" s="119"/>
      <c r="J7" s="20" t="s">
        <v>120</v>
      </c>
      <c r="K7" s="24">
        <f ca="1">I5*50%</f>
        <v>0.5</v>
      </c>
    </row>
    <row r="8" spans="1:11" s="1" customFormat="1" ht="21" x14ac:dyDescent="0.4">
      <c r="A8" s="119" t="s">
        <v>101</v>
      </c>
      <c r="B8" s="119"/>
      <c r="C8" s="188">
        <f ca="1">K16</f>
        <v>1</v>
      </c>
      <c r="D8" s="117"/>
      <c r="E8" s="5">
        <f ca="1">((100/I5)*C8)/100</f>
        <v>1</v>
      </c>
      <c r="F8" s="119"/>
      <c r="G8" s="119"/>
      <c r="H8" s="119"/>
      <c r="I8" s="119"/>
      <c r="J8" s="20" t="s">
        <v>121</v>
      </c>
      <c r="K8" s="24">
        <f ca="1">I5</f>
        <v>1</v>
      </c>
    </row>
    <row r="9" spans="1:11" s="1" customFormat="1" ht="21" customHeight="1" x14ac:dyDescent="0.4">
      <c r="A9" s="119" t="s">
        <v>131</v>
      </c>
      <c r="B9" s="119"/>
      <c r="C9" s="117">
        <v>0</v>
      </c>
      <c r="D9" s="117"/>
      <c r="E9" s="5">
        <f ca="1">((100/(F5+H5+I5))*C9)/100</f>
        <v>0</v>
      </c>
      <c r="F9" s="119"/>
      <c r="G9" s="119"/>
      <c r="H9" s="119"/>
      <c r="I9" s="119"/>
      <c r="J9" s="20" t="s">
        <v>122</v>
      </c>
      <c r="K9" s="25">
        <f ca="1">(IF(E5&gt;1,(I5/(E5+2)),I5*0.2))</f>
        <v>0.2</v>
      </c>
    </row>
    <row r="10" spans="1:11" s="1" customFormat="1" ht="21" customHeight="1" x14ac:dyDescent="0.4">
      <c r="A10" s="119" t="s">
        <v>132</v>
      </c>
      <c r="B10" s="119"/>
      <c r="C10" s="117">
        <v>0</v>
      </c>
      <c r="D10" s="117"/>
      <c r="E10" s="5">
        <f ca="1">((100/I5)*C10)/100</f>
        <v>0</v>
      </c>
      <c r="F10" s="119"/>
      <c r="G10" s="119"/>
      <c r="H10" s="119"/>
      <c r="I10" s="119"/>
      <c r="J10" s="20" t="s">
        <v>123</v>
      </c>
      <c r="K10" s="25">
        <f ca="1">(IF(E5&gt;1,(I5/(E5+2)+K9),I5*0.2+K9))</f>
        <v>0.4</v>
      </c>
    </row>
    <row r="11" spans="1:11" s="1" customFormat="1" ht="21" customHeight="1" x14ac:dyDescent="0.4">
      <c r="A11" s="126" t="s">
        <v>133</v>
      </c>
      <c r="B11" s="127"/>
      <c r="C11" s="117">
        <v>0</v>
      </c>
      <c r="D11" s="117"/>
      <c r="E11" s="5">
        <f ca="1">((100/I5)*C11)/100</f>
        <v>0</v>
      </c>
      <c r="F11" s="119"/>
      <c r="G11" s="119"/>
      <c r="H11" s="119"/>
      <c r="I11" s="119"/>
      <c r="J11" s="20" t="s">
        <v>134</v>
      </c>
      <c r="K11" s="25">
        <f ca="1">(IF(E5&gt;1,(I5/(E5+2)+K10),0))</f>
        <v>0.60000000000000009</v>
      </c>
    </row>
    <row r="12" spans="1:11" s="1" customFormat="1" ht="21" customHeight="1" x14ac:dyDescent="0.4">
      <c r="A12" s="126" t="s">
        <v>164</v>
      </c>
      <c r="B12" s="127"/>
      <c r="C12" s="117">
        <v>0</v>
      </c>
      <c r="D12" s="117"/>
      <c r="E12" s="5">
        <f ca="1">((100/I5)*C12)/100</f>
        <v>0</v>
      </c>
      <c r="F12" s="119"/>
      <c r="G12" s="119"/>
      <c r="H12" s="119"/>
      <c r="I12" s="119"/>
      <c r="J12" s="20" t="s">
        <v>135</v>
      </c>
      <c r="K12" s="25">
        <f ca="1">(IF(E5&gt;2,(I5/(E5+2)+K11),0))</f>
        <v>0.8</v>
      </c>
    </row>
    <row r="13" spans="1:11" s="1" customFormat="1" ht="57.75" customHeight="1" x14ac:dyDescent="0.4">
      <c r="A13" s="126" t="s">
        <v>161</v>
      </c>
      <c r="B13" s="127"/>
      <c r="C13" s="117">
        <v>0</v>
      </c>
      <c r="D13" s="117"/>
      <c r="E13" s="5">
        <f ca="1">((100/(I5))*C13)/100</f>
        <v>0</v>
      </c>
      <c r="F13" s="119"/>
      <c r="G13" s="119"/>
      <c r="H13" s="119"/>
      <c r="I13" s="119"/>
      <c r="J13" s="20" t="s">
        <v>137</v>
      </c>
      <c r="K13" s="26">
        <f>(IF(E5&gt;3,(I5/(E5+2)+K12),0))</f>
        <v>0</v>
      </c>
    </row>
    <row r="14" spans="1:11" s="1" customFormat="1" ht="21" x14ac:dyDescent="0.4">
      <c r="A14" s="119" t="s">
        <v>136</v>
      </c>
      <c r="B14" s="119"/>
      <c r="C14" s="117">
        <v>0</v>
      </c>
      <c r="D14" s="117"/>
      <c r="E14" s="5">
        <f ca="1">((100/(I5))*C14)/100</f>
        <v>0</v>
      </c>
      <c r="F14" s="119"/>
      <c r="G14" s="119"/>
      <c r="H14" s="119"/>
      <c r="I14" s="119"/>
      <c r="J14" s="20" t="s">
        <v>138</v>
      </c>
      <c r="K14" s="25">
        <f>(IF(E5&gt;4,(I5/(E5+2)+K13),0))</f>
        <v>0</v>
      </c>
    </row>
    <row r="15" spans="1:11" s="1" customFormat="1" ht="21" customHeight="1" x14ac:dyDescent="0.4">
      <c r="A15" s="119" t="s">
        <v>163</v>
      </c>
      <c r="B15" s="119"/>
      <c r="C15" s="117">
        <v>0</v>
      </c>
      <c r="D15" s="117"/>
      <c r="E15" s="5">
        <f ca="1">((100/I5)*C15)/100</f>
        <v>0</v>
      </c>
      <c r="F15" s="119"/>
      <c r="G15" s="119"/>
      <c r="H15" s="119"/>
      <c r="I15" s="119"/>
      <c r="J15" s="20" t="s">
        <v>124</v>
      </c>
      <c r="K15" s="25">
        <f>(IF(E5=1,(I5/(E5+3)+K10),IF(E5=0,(I5*0.3+K10),IF(E5&gt;1,0))))</f>
        <v>0</v>
      </c>
    </row>
    <row r="16" spans="1:11" s="1" customFormat="1" ht="21.6" thickBot="1" x14ac:dyDescent="0.45">
      <c r="A16" s="119" t="s">
        <v>162</v>
      </c>
      <c r="B16" s="119"/>
      <c r="C16" s="117">
        <v>0</v>
      </c>
      <c r="D16" s="117"/>
      <c r="E16" s="5">
        <f ca="1">((100/I5)*C16)/100</f>
        <v>0</v>
      </c>
      <c r="F16" s="119"/>
      <c r="G16" s="119"/>
      <c r="H16" s="119"/>
      <c r="I16" s="119"/>
      <c r="J16" s="22" t="s">
        <v>125</v>
      </c>
      <c r="K16" s="27">
        <f ca="1">(IF(E5&gt;1.5,(I5/(E5+2)+K10+MAX(0,K11-K10)+MAX(0,K12-K11)+MAX(0,K13-K12)+MAX(0,K14-K13)+MAX(0,K15-K14)),IF(E5=1,(I5/(E5+3)+K15),IF(E5=0,I5*0.3+K15))))</f>
        <v>1</v>
      </c>
    </row>
    <row r="17" spans="1:9" s="1" customFormat="1" ht="21" x14ac:dyDescent="0.3">
      <c r="A17" s="119" t="s">
        <v>139</v>
      </c>
      <c r="B17" s="119"/>
      <c r="C17" s="117">
        <v>0</v>
      </c>
      <c r="D17" s="117"/>
      <c r="E17" s="5">
        <f ca="1">((100/(I5))*C17)/100</f>
        <v>0</v>
      </c>
      <c r="F17" s="119"/>
      <c r="G17" s="119"/>
      <c r="H17" s="119"/>
      <c r="I17" s="119"/>
    </row>
    <row r="18" spans="1:9" s="1" customFormat="1" ht="21" x14ac:dyDescent="0.3">
      <c r="A18" s="119" t="s">
        <v>140</v>
      </c>
      <c r="B18" s="119"/>
      <c r="C18" s="117">
        <v>0</v>
      </c>
      <c r="D18" s="117"/>
      <c r="E18" s="5">
        <f ca="1">((100/(I5))*C18)/100</f>
        <v>0</v>
      </c>
      <c r="F18" s="119"/>
      <c r="G18" s="119"/>
      <c r="H18" s="119"/>
      <c r="I18" s="119"/>
    </row>
    <row r="23" spans="1:9" x14ac:dyDescent="0.3">
      <c r="B23" s="187" t="s">
        <v>165</v>
      </c>
      <c r="C23" s="187"/>
      <c r="D23" s="187"/>
      <c r="E23" s="187"/>
      <c r="F23" s="187"/>
      <c r="G23" s="187"/>
    </row>
    <row r="24" spans="1:9" ht="14.4" customHeight="1" x14ac:dyDescent="0.3">
      <c r="B24" s="182" t="s">
        <v>166</v>
      </c>
      <c r="C24" s="182" t="s">
        <v>167</v>
      </c>
      <c r="D24" s="185" t="s">
        <v>168</v>
      </c>
      <c r="E24" s="186" t="s">
        <v>169</v>
      </c>
      <c r="F24" s="183" t="s">
        <v>170</v>
      </c>
      <c r="G24" s="182" t="s">
        <v>171</v>
      </c>
    </row>
    <row r="25" spans="1:9" x14ac:dyDescent="0.3">
      <c r="B25" s="182"/>
      <c r="C25" s="182"/>
      <c r="D25" s="185"/>
      <c r="E25" s="186"/>
      <c r="F25" s="183"/>
      <c r="G25" s="182"/>
    </row>
    <row r="26" spans="1:9" x14ac:dyDescent="0.3">
      <c r="B26" s="37" t="s">
        <v>172</v>
      </c>
      <c r="C26" s="38">
        <v>10</v>
      </c>
      <c r="D26" s="38">
        <v>1</v>
      </c>
      <c r="E26" s="39"/>
      <c r="F26" s="40">
        <f>((E26/D26)*0.05)*100</f>
        <v>0</v>
      </c>
      <c r="G26" s="40">
        <f t="shared" ref="G26:G37" si="0">((E26/D26)*(C26/100))*100</f>
        <v>0</v>
      </c>
    </row>
    <row r="27" spans="1:9" x14ac:dyDescent="0.3">
      <c r="B27" s="37" t="s">
        <v>173</v>
      </c>
      <c r="C27" s="39">
        <v>10</v>
      </c>
      <c r="D27" s="39">
        <v>1</v>
      </c>
      <c r="E27" s="39"/>
      <c r="F27" s="40">
        <f>((E27/D27)*0.05)*100</f>
        <v>0</v>
      </c>
      <c r="G27" s="40">
        <f t="shared" si="0"/>
        <v>0</v>
      </c>
    </row>
    <row r="28" spans="1:9" x14ac:dyDescent="0.3">
      <c r="B28" s="37" t="s">
        <v>174</v>
      </c>
      <c r="C28" s="39">
        <v>15</v>
      </c>
      <c r="D28" s="39">
        <v>1</v>
      </c>
      <c r="E28" s="39"/>
      <c r="F28" s="40">
        <f>((E28/D28)*0.15)*100</f>
        <v>0</v>
      </c>
      <c r="G28" s="40">
        <f t="shared" si="0"/>
        <v>0</v>
      </c>
    </row>
    <row r="29" spans="1:9" x14ac:dyDescent="0.3">
      <c r="B29" s="41" t="s">
        <v>175</v>
      </c>
      <c r="C29" s="39">
        <v>25</v>
      </c>
      <c r="D29" s="39">
        <v>40</v>
      </c>
      <c r="E29" s="39"/>
      <c r="F29" s="40">
        <f>((E29/D29)*0.25)*100</f>
        <v>0</v>
      </c>
      <c r="G29" s="40">
        <f t="shared" si="0"/>
        <v>0</v>
      </c>
    </row>
    <row r="30" spans="1:9" x14ac:dyDescent="0.3">
      <c r="B30" s="41" t="s">
        <v>176</v>
      </c>
      <c r="C30" s="39">
        <v>5</v>
      </c>
      <c r="D30" s="39">
        <v>39</v>
      </c>
      <c r="E30" s="39"/>
      <c r="F30" s="40">
        <f>((E30/D30)*0.05)*100</f>
        <v>0</v>
      </c>
      <c r="G30" s="40">
        <f t="shared" si="0"/>
        <v>0</v>
      </c>
    </row>
    <row r="31" spans="1:9" ht="28.8" x14ac:dyDescent="0.3">
      <c r="B31" s="41" t="s">
        <v>177</v>
      </c>
      <c r="C31" s="39">
        <v>2.5</v>
      </c>
      <c r="D31" s="39">
        <v>39</v>
      </c>
      <c r="E31" s="39"/>
      <c r="F31" s="40">
        <f>((E31/D31)*0.025)*100</f>
        <v>0</v>
      </c>
      <c r="G31" s="40">
        <f t="shared" si="0"/>
        <v>0</v>
      </c>
    </row>
    <row r="32" spans="1:9" ht="28.8" x14ac:dyDescent="0.3">
      <c r="B32" s="41" t="s">
        <v>178</v>
      </c>
      <c r="C32" s="39">
        <v>2.5</v>
      </c>
      <c r="D32" s="39">
        <v>39</v>
      </c>
      <c r="E32" s="39"/>
      <c r="F32" s="40">
        <f>((E32/D32)*0.025)*100</f>
        <v>0</v>
      </c>
      <c r="G32" s="40">
        <f t="shared" si="0"/>
        <v>0</v>
      </c>
    </row>
    <row r="33" spans="1:7" ht="43.2" x14ac:dyDescent="0.3">
      <c r="B33" s="42" t="s">
        <v>179</v>
      </c>
      <c r="C33" s="39">
        <v>5</v>
      </c>
      <c r="D33" s="39">
        <v>39</v>
      </c>
      <c r="E33" s="39"/>
      <c r="F33" s="40">
        <f>((E33/D33)*0.05)*100</f>
        <v>0</v>
      </c>
      <c r="G33" s="40">
        <f t="shared" si="0"/>
        <v>0</v>
      </c>
    </row>
    <row r="34" spans="1:7" ht="28.8" x14ac:dyDescent="0.3">
      <c r="B34" s="42" t="s">
        <v>180</v>
      </c>
      <c r="C34" s="39">
        <v>5</v>
      </c>
      <c r="D34" s="39">
        <v>39</v>
      </c>
      <c r="E34" s="39"/>
      <c r="F34" s="40">
        <f>((E34/D34)*0.1)*100</f>
        <v>0</v>
      </c>
      <c r="G34" s="40">
        <f t="shared" si="0"/>
        <v>0</v>
      </c>
    </row>
    <row r="35" spans="1:7" ht="28.8" x14ac:dyDescent="0.3">
      <c r="B35" s="42" t="s">
        <v>181</v>
      </c>
      <c r="C35" s="39">
        <v>5</v>
      </c>
      <c r="D35" s="39">
        <v>39</v>
      </c>
      <c r="E35" s="39"/>
      <c r="F35" s="40">
        <f>((E35/D35)*0.05)*100</f>
        <v>0</v>
      </c>
      <c r="G35" s="40">
        <f t="shared" si="0"/>
        <v>0</v>
      </c>
    </row>
    <row r="36" spans="1:7" ht="43.2" x14ac:dyDescent="0.3">
      <c r="B36" s="42" t="s">
        <v>182</v>
      </c>
      <c r="C36" s="39">
        <v>10</v>
      </c>
      <c r="D36" s="39">
        <v>39</v>
      </c>
      <c r="E36" s="39"/>
      <c r="F36" s="40">
        <f>((E36/D36)*0.1)*100</f>
        <v>0</v>
      </c>
      <c r="G36" s="40">
        <f t="shared" si="0"/>
        <v>0</v>
      </c>
    </row>
    <row r="37" spans="1:7" ht="43.2" x14ac:dyDescent="0.3">
      <c r="B37" s="42" t="s">
        <v>183</v>
      </c>
      <c r="C37" s="39">
        <v>5</v>
      </c>
      <c r="D37" s="39">
        <v>39</v>
      </c>
      <c r="E37" s="39"/>
      <c r="F37" s="40">
        <f>((E37/D37)*0.1)*100</f>
        <v>0</v>
      </c>
      <c r="G37" s="40">
        <f t="shared" si="0"/>
        <v>0</v>
      </c>
    </row>
    <row r="38" spans="1:7" ht="15.6" x14ac:dyDescent="0.3">
      <c r="B38" s="43" t="s">
        <v>184</v>
      </c>
      <c r="C38" s="44">
        <f>SUM(C26:C37)</f>
        <v>100</v>
      </c>
      <c r="D38" s="43"/>
      <c r="E38" s="43"/>
      <c r="F38" s="44">
        <f>SUM(F26:F37)</f>
        <v>0</v>
      </c>
      <c r="G38" s="44">
        <f>SUM(G26:G37)</f>
        <v>0</v>
      </c>
    </row>
    <row r="39" spans="1:7" x14ac:dyDescent="0.3">
      <c r="B39" s="183" t="s">
        <v>185</v>
      </c>
      <c r="C39" s="183"/>
      <c r="D39" s="183"/>
      <c r="E39" s="183"/>
      <c r="F39" s="183"/>
      <c r="G39" s="183"/>
    </row>
    <row r="40" spans="1:7" x14ac:dyDescent="0.3">
      <c r="B40" s="184" t="s">
        <v>186</v>
      </c>
      <c r="C40" s="184"/>
      <c r="D40" s="184"/>
      <c r="E40" s="184" t="s">
        <v>187</v>
      </c>
      <c r="F40" s="184"/>
      <c r="G40" s="184"/>
    </row>
    <row r="41" spans="1:7" x14ac:dyDescent="0.3">
      <c r="B41" s="180" t="s">
        <v>188</v>
      </c>
      <c r="C41" s="180"/>
      <c r="D41" s="180"/>
      <c r="E41" s="180" t="s">
        <v>189</v>
      </c>
      <c r="F41" s="180"/>
      <c r="G41" s="180"/>
    </row>
    <row r="42" spans="1:7" x14ac:dyDescent="0.3">
      <c r="B42" s="180" t="s">
        <v>190</v>
      </c>
      <c r="C42" s="180"/>
      <c r="D42" s="180"/>
      <c r="E42" s="180" t="s">
        <v>191</v>
      </c>
      <c r="F42" s="180"/>
      <c r="G42" s="180"/>
    </row>
    <row r="43" spans="1:7" x14ac:dyDescent="0.3">
      <c r="B43" s="181" t="s">
        <v>192</v>
      </c>
      <c r="C43" s="181"/>
      <c r="D43" s="181"/>
      <c r="E43" s="181" t="s">
        <v>193</v>
      </c>
      <c r="F43" s="181"/>
      <c r="G43" s="181"/>
    </row>
    <row r="45" spans="1:7" ht="15" thickBot="1" x14ac:dyDescent="0.35"/>
    <row r="46" spans="1:7" ht="16.8" thickTop="1" thickBot="1" x14ac:dyDescent="0.35">
      <c r="A46" s="45" t="s">
        <v>194</v>
      </c>
      <c r="B46" s="45" t="s">
        <v>166</v>
      </c>
      <c r="C46" s="46" t="s">
        <v>195</v>
      </c>
      <c r="D46" s="46" t="s">
        <v>196</v>
      </c>
      <c r="E46" s="46" t="s">
        <v>197</v>
      </c>
    </row>
    <row r="47" spans="1:7" ht="30" thickTop="1" thickBot="1" x14ac:dyDescent="0.35">
      <c r="A47" s="47">
        <v>1</v>
      </c>
      <c r="B47" s="48" t="s">
        <v>198</v>
      </c>
      <c r="C47" s="49">
        <v>0</v>
      </c>
      <c r="D47" s="50">
        <v>0.1</v>
      </c>
      <c r="E47" s="49">
        <v>0.1</v>
      </c>
    </row>
    <row r="48" spans="1:7" ht="15.6" thickTop="1" thickBot="1" x14ac:dyDescent="0.35">
      <c r="A48" s="47">
        <v>2</v>
      </c>
      <c r="B48" s="48" t="s">
        <v>199</v>
      </c>
      <c r="C48" s="49" t="s">
        <v>200</v>
      </c>
      <c r="D48" s="50" t="s">
        <v>201</v>
      </c>
      <c r="E48" s="49">
        <v>0.3</v>
      </c>
    </row>
    <row r="49" spans="1:5" ht="58.8" thickTop="1" thickBot="1" x14ac:dyDescent="0.35">
      <c r="A49" s="47">
        <v>3</v>
      </c>
      <c r="B49" s="48" t="s">
        <v>202</v>
      </c>
      <c r="C49" s="49" t="s">
        <v>203</v>
      </c>
      <c r="D49" s="50" t="s">
        <v>204</v>
      </c>
      <c r="E49" s="49">
        <v>0.45</v>
      </c>
    </row>
    <row r="50" spans="1:5" ht="73.2" thickTop="1" thickBot="1" x14ac:dyDescent="0.35">
      <c r="A50" s="47">
        <v>4</v>
      </c>
      <c r="B50" s="48" t="s">
        <v>205</v>
      </c>
      <c r="C50" s="49" t="s">
        <v>206</v>
      </c>
      <c r="D50" s="50" t="s">
        <v>207</v>
      </c>
      <c r="E50" s="49">
        <v>0.7</v>
      </c>
    </row>
    <row r="51" spans="1:5" ht="58.8" thickTop="1" thickBot="1" x14ac:dyDescent="0.35">
      <c r="A51" s="47">
        <v>5</v>
      </c>
      <c r="B51" s="48" t="s">
        <v>208</v>
      </c>
      <c r="C51" s="49" t="s">
        <v>209</v>
      </c>
      <c r="D51" s="50" t="s">
        <v>210</v>
      </c>
      <c r="E51" s="49">
        <v>0.75</v>
      </c>
    </row>
    <row r="52" spans="1:5" ht="73.2" thickTop="1" thickBot="1" x14ac:dyDescent="0.35">
      <c r="A52" s="47">
        <v>6</v>
      </c>
      <c r="B52" s="48" t="s">
        <v>211</v>
      </c>
      <c r="C52" s="49" t="s">
        <v>212</v>
      </c>
      <c r="D52" s="50" t="s">
        <v>213</v>
      </c>
      <c r="E52" s="49">
        <v>0.8</v>
      </c>
    </row>
    <row r="53" spans="1:5" ht="102" thickTop="1" thickBot="1" x14ac:dyDescent="0.35">
      <c r="A53" s="47">
        <v>7</v>
      </c>
      <c r="B53" s="48" t="s">
        <v>214</v>
      </c>
      <c r="C53" s="49" t="s">
        <v>215</v>
      </c>
      <c r="D53" s="50" t="s">
        <v>216</v>
      </c>
      <c r="E53" s="49">
        <v>0.85</v>
      </c>
    </row>
    <row r="54" spans="1:5" ht="174" thickTop="1" thickBot="1" x14ac:dyDescent="0.35">
      <c r="A54" s="47">
        <v>8</v>
      </c>
      <c r="B54" s="48" t="s">
        <v>217</v>
      </c>
      <c r="C54" s="49" t="s">
        <v>218</v>
      </c>
      <c r="D54" s="50" t="s">
        <v>219</v>
      </c>
      <c r="E54" s="49">
        <v>0.95</v>
      </c>
    </row>
    <row r="55" spans="1:5" ht="87.6" thickTop="1" thickBot="1" x14ac:dyDescent="0.35">
      <c r="A55" s="47">
        <v>9</v>
      </c>
      <c r="B55" s="48" t="s">
        <v>220</v>
      </c>
      <c r="C55" s="49" t="s">
        <v>221</v>
      </c>
      <c r="D55" s="50" t="s">
        <v>222</v>
      </c>
      <c r="E55" s="49">
        <v>1</v>
      </c>
    </row>
    <row r="56" spans="1:5" ht="15" thickTop="1" x14ac:dyDescent="0.3"/>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39">
        <v>1</v>
      </c>
      <c r="C2" s="57" t="s">
        <v>241</v>
      </c>
    </row>
    <row r="3" spans="2:3" x14ac:dyDescent="0.3">
      <c r="B3" s="39">
        <v>2</v>
      </c>
      <c r="C3" s="58" t="s">
        <v>242</v>
      </c>
    </row>
    <row r="4" spans="2:3" x14ac:dyDescent="0.3">
      <c r="B4" s="39">
        <v>3</v>
      </c>
      <c r="C4" s="39" t="s">
        <v>243</v>
      </c>
    </row>
    <row r="5" spans="2:3" x14ac:dyDescent="0.3">
      <c r="B5" s="39">
        <v>4</v>
      </c>
      <c r="C5" s="58" t="s">
        <v>244</v>
      </c>
    </row>
    <row r="6" spans="2:3" x14ac:dyDescent="0.3">
      <c r="B6" s="39">
        <v>5</v>
      </c>
      <c r="C6" s="39" t="s">
        <v>245</v>
      </c>
    </row>
    <row r="7" spans="2:3" x14ac:dyDescent="0.3">
      <c r="B7" s="39">
        <v>6</v>
      </c>
      <c r="C7" s="58" t="s">
        <v>246</v>
      </c>
    </row>
    <row r="8" spans="2:3" ht="72" x14ac:dyDescent="0.3">
      <c r="B8" s="39">
        <v>7</v>
      </c>
      <c r="C8" s="58" t="s">
        <v>247</v>
      </c>
    </row>
    <row r="9" spans="2:3" x14ac:dyDescent="0.3">
      <c r="B9" s="39">
        <v>8</v>
      </c>
      <c r="C9" s="39" t="s">
        <v>248</v>
      </c>
    </row>
    <row r="10" spans="2:3" x14ac:dyDescent="0.3">
      <c r="B10" s="39">
        <v>9</v>
      </c>
      <c r="C10" s="39" t="s">
        <v>249</v>
      </c>
    </row>
    <row r="11" spans="2:3" x14ac:dyDescent="0.3">
      <c r="B11" s="39">
        <v>10</v>
      </c>
      <c r="C11" s="39" t="s">
        <v>250</v>
      </c>
    </row>
    <row r="12" spans="2:3" x14ac:dyDescent="0.3">
      <c r="B12" s="39">
        <v>11</v>
      </c>
      <c r="C12" s="39" t="s">
        <v>251</v>
      </c>
    </row>
    <row r="13" spans="2:3" x14ac:dyDescent="0.3">
      <c r="B13" s="39">
        <v>12</v>
      </c>
      <c r="C13" s="39" t="s">
        <v>252</v>
      </c>
    </row>
    <row r="14" spans="2:3" x14ac:dyDescent="0.3">
      <c r="B14" s="39">
        <v>13</v>
      </c>
      <c r="C14" s="39" t="s">
        <v>253</v>
      </c>
    </row>
    <row r="15" spans="2:3" x14ac:dyDescent="0.3">
      <c r="B15" s="39">
        <v>14</v>
      </c>
      <c r="C15" s="39" t="s">
        <v>243</v>
      </c>
    </row>
    <row r="16" spans="2:3" x14ac:dyDescent="0.3">
      <c r="B16" s="39">
        <v>15</v>
      </c>
      <c r="C16" s="39" t="s">
        <v>236</v>
      </c>
    </row>
    <row r="17" spans="2:3" x14ac:dyDescent="0.3">
      <c r="B17" s="59">
        <v>16</v>
      </c>
      <c r="C17" s="60" t="s">
        <v>254</v>
      </c>
    </row>
    <row r="18" spans="2:3" x14ac:dyDescent="0.3">
      <c r="B18" s="61">
        <v>17</v>
      </c>
      <c r="C18" s="60" t="s">
        <v>255</v>
      </c>
    </row>
    <row r="19" spans="2:3" x14ac:dyDescent="0.3">
      <c r="B19" s="62">
        <v>18</v>
      </c>
      <c r="C19" s="39" t="s">
        <v>256</v>
      </c>
    </row>
    <row r="20" spans="2:3" x14ac:dyDescent="0.3">
      <c r="B20" s="61">
        <v>19</v>
      </c>
      <c r="C20" s="39" t="s">
        <v>257</v>
      </c>
    </row>
    <row r="21" spans="2:3" x14ac:dyDescent="0.3">
      <c r="B21" s="39">
        <v>20</v>
      </c>
      <c r="C21" s="39" t="s">
        <v>258</v>
      </c>
    </row>
    <row r="22" spans="2:3" x14ac:dyDescent="0.3">
      <c r="B22" s="61">
        <v>21</v>
      </c>
      <c r="C22" s="39" t="s">
        <v>256</v>
      </c>
    </row>
    <row r="23" spans="2:3" s="64" customFormat="1" ht="28.8" x14ac:dyDescent="0.3">
      <c r="B23" s="63">
        <v>22</v>
      </c>
      <c r="C23" s="57" t="s">
        <v>259</v>
      </c>
    </row>
    <row r="24" spans="2:3" s="64" customFormat="1" ht="28.8" x14ac:dyDescent="0.3">
      <c r="B24" s="65">
        <v>23</v>
      </c>
      <c r="C24" s="57" t="s">
        <v>260</v>
      </c>
    </row>
    <row r="25" spans="2:3" x14ac:dyDescent="0.3">
      <c r="B25" s="39">
        <v>24</v>
      </c>
      <c r="C25" s="39" t="s">
        <v>261</v>
      </c>
    </row>
    <row r="26" spans="2:3" x14ac:dyDescent="0.3">
      <c r="B26" s="61">
        <v>25</v>
      </c>
      <c r="C26" s="39" t="s">
        <v>262</v>
      </c>
    </row>
    <row r="27" spans="2:3" x14ac:dyDescent="0.3">
      <c r="B27" s="65">
        <v>26</v>
      </c>
      <c r="C27" s="39" t="s">
        <v>263</v>
      </c>
    </row>
    <row r="28" spans="2:3" x14ac:dyDescent="0.3">
      <c r="B28" s="61">
        <v>27</v>
      </c>
      <c r="C28" s="39" t="s">
        <v>264</v>
      </c>
    </row>
    <row r="29" spans="2:3" ht="43.2" x14ac:dyDescent="0.3">
      <c r="B29" s="66">
        <v>28</v>
      </c>
      <c r="C29" s="58" t="s">
        <v>265</v>
      </c>
    </row>
    <row r="30" spans="2:3" x14ac:dyDescent="0.3">
      <c r="B30" s="65">
        <v>29</v>
      </c>
      <c r="C30" s="39" t="s">
        <v>266</v>
      </c>
    </row>
    <row r="31" spans="2:3" ht="28.8" x14ac:dyDescent="0.3">
      <c r="B31" s="65">
        <v>30</v>
      </c>
      <c r="C31" s="58" t="s">
        <v>294</v>
      </c>
    </row>
    <row r="32" spans="2:3" x14ac:dyDescent="0.3">
      <c r="B32" s="65">
        <v>31</v>
      </c>
      <c r="C32" s="39" t="s">
        <v>295</v>
      </c>
    </row>
    <row r="33" spans="2:3" x14ac:dyDescent="0.3">
      <c r="B33" s="65">
        <v>32</v>
      </c>
      <c r="C33" s="39" t="s">
        <v>296</v>
      </c>
    </row>
    <row r="34" spans="2:3" ht="28.8" x14ac:dyDescent="0.3">
      <c r="B34" s="65">
        <v>33</v>
      </c>
      <c r="C34" s="60" t="s">
        <v>297</v>
      </c>
    </row>
    <row r="35" spans="2:3" x14ac:dyDescent="0.3">
      <c r="B35" s="65">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7"/>
    <col min="2" max="2" width="12.33203125" style="67" customWidth="1"/>
    <col min="3" max="16384" width="9.109375" style="67"/>
  </cols>
  <sheetData>
    <row r="2" spans="1:12" x14ac:dyDescent="0.3">
      <c r="B2" s="68" t="s">
        <v>267</v>
      </c>
      <c r="C2" s="191"/>
      <c r="D2" s="191"/>
    </row>
    <row r="3" spans="1:12" x14ac:dyDescent="0.3">
      <c r="D3" s="69"/>
      <c r="E3" s="69"/>
      <c r="F3" s="69"/>
      <c r="G3" s="69"/>
      <c r="H3" s="69"/>
      <c r="I3" s="69"/>
    </row>
    <row r="4" spans="1:12" x14ac:dyDescent="0.3">
      <c r="A4" s="68" t="s">
        <v>268</v>
      </c>
      <c r="B4" s="56" t="s">
        <v>269</v>
      </c>
      <c r="C4" s="192" t="s">
        <v>270</v>
      </c>
      <c r="D4" s="192"/>
      <c r="E4" s="192"/>
      <c r="F4" s="56"/>
      <c r="G4" s="193" t="s">
        <v>271</v>
      </c>
      <c r="H4" s="193"/>
      <c r="I4" s="193"/>
      <c r="J4" s="194" t="s">
        <v>272</v>
      </c>
      <c r="K4" s="194"/>
      <c r="L4" s="194"/>
    </row>
    <row r="5" spans="1:12" x14ac:dyDescent="0.3">
      <c r="A5" s="68"/>
      <c r="B5" s="56"/>
      <c r="C5" s="56" t="s">
        <v>273</v>
      </c>
      <c r="D5" s="56" t="s">
        <v>274</v>
      </c>
      <c r="E5" s="56" t="s">
        <v>275</v>
      </c>
      <c r="F5" s="56"/>
      <c r="G5" s="56" t="s">
        <v>273</v>
      </c>
      <c r="H5" s="56" t="s">
        <v>274</v>
      </c>
      <c r="I5" s="56" t="s">
        <v>275</v>
      </c>
      <c r="J5" s="56" t="s">
        <v>273</v>
      </c>
      <c r="K5" s="56" t="s">
        <v>274</v>
      </c>
      <c r="L5" s="56" t="s">
        <v>275</v>
      </c>
    </row>
    <row r="6" spans="1:12" x14ac:dyDescent="0.3">
      <c r="B6" s="55" t="s">
        <v>276</v>
      </c>
      <c r="C6" s="55"/>
      <c r="D6" s="55"/>
      <c r="E6" s="55">
        <f>C6*D6</f>
        <v>0</v>
      </c>
      <c r="F6" s="55" t="s">
        <v>277</v>
      </c>
      <c r="G6" s="55"/>
      <c r="H6" s="55"/>
      <c r="I6" s="55">
        <f>G6*H6</f>
        <v>0</v>
      </c>
      <c r="J6" s="55"/>
      <c r="K6" s="55"/>
      <c r="L6" s="55">
        <f>J6*K6</f>
        <v>0</v>
      </c>
    </row>
    <row r="7" spans="1:12" x14ac:dyDescent="0.3">
      <c r="B7" s="55"/>
      <c r="C7" s="55"/>
      <c r="D7" s="55"/>
      <c r="E7" s="55">
        <f t="shared" ref="E7:E41" si="0">C7*D7</f>
        <v>0</v>
      </c>
      <c r="F7" s="55" t="s">
        <v>277</v>
      </c>
      <c r="G7" s="55"/>
      <c r="H7" s="55"/>
      <c r="I7" s="55">
        <f t="shared" ref="I7:I35" si="1">G7*H7</f>
        <v>0</v>
      </c>
      <c r="J7" s="55"/>
      <c r="K7" s="55"/>
      <c r="L7" s="55">
        <f t="shared" ref="L7:L35" si="2">J7*K7</f>
        <v>0</v>
      </c>
    </row>
    <row r="8" spans="1:12" x14ac:dyDescent="0.3">
      <c r="B8" s="55"/>
      <c r="C8" s="55"/>
      <c r="D8" s="55"/>
      <c r="E8" s="55">
        <f t="shared" si="0"/>
        <v>0</v>
      </c>
      <c r="F8" s="55"/>
      <c r="G8" s="55"/>
      <c r="H8" s="55"/>
      <c r="I8" s="55">
        <f t="shared" si="1"/>
        <v>0</v>
      </c>
      <c r="J8" s="55"/>
      <c r="K8" s="55"/>
      <c r="L8" s="55">
        <f t="shared" si="2"/>
        <v>0</v>
      </c>
    </row>
    <row r="9" spans="1:12" x14ac:dyDescent="0.3">
      <c r="B9" s="55"/>
      <c r="C9" s="55"/>
      <c r="D9" s="55"/>
      <c r="E9" s="55">
        <f t="shared" si="0"/>
        <v>0</v>
      </c>
      <c r="F9" s="55" t="s">
        <v>278</v>
      </c>
      <c r="G9" s="55"/>
      <c r="H9" s="55"/>
      <c r="I9" s="55">
        <f t="shared" si="1"/>
        <v>0</v>
      </c>
      <c r="J9" s="55"/>
      <c r="K9" s="55"/>
      <c r="L9" s="55">
        <f t="shared" si="2"/>
        <v>0</v>
      </c>
    </row>
    <row r="10" spans="1:12" x14ac:dyDescent="0.3">
      <c r="B10" s="55" t="s">
        <v>279</v>
      </c>
      <c r="C10" s="55"/>
      <c r="D10" s="55"/>
      <c r="E10" s="55">
        <f t="shared" si="0"/>
        <v>0</v>
      </c>
      <c r="F10" s="55" t="s">
        <v>278</v>
      </c>
      <c r="G10" s="55"/>
      <c r="H10" s="55"/>
      <c r="I10" s="55">
        <f t="shared" si="1"/>
        <v>0</v>
      </c>
      <c r="J10" s="55"/>
      <c r="K10" s="55"/>
      <c r="L10" s="55">
        <f t="shared" si="2"/>
        <v>0</v>
      </c>
    </row>
    <row r="11" spans="1:12" x14ac:dyDescent="0.3">
      <c r="B11" s="55"/>
      <c r="C11" s="55"/>
      <c r="D11" s="55"/>
      <c r="E11" s="55">
        <f t="shared" si="0"/>
        <v>0</v>
      </c>
      <c r="F11" s="55" t="s">
        <v>280</v>
      </c>
      <c r="G11" s="55"/>
      <c r="H11" s="55"/>
      <c r="I11" s="55">
        <f t="shared" si="1"/>
        <v>0</v>
      </c>
      <c r="J11" s="55"/>
      <c r="K11" s="55"/>
      <c r="L11" s="55">
        <f t="shared" si="2"/>
        <v>0</v>
      </c>
    </row>
    <row r="12" spans="1:12" x14ac:dyDescent="0.3">
      <c r="B12" s="55"/>
      <c r="C12" s="55"/>
      <c r="D12" s="55"/>
      <c r="E12" s="55">
        <f t="shared" si="0"/>
        <v>0</v>
      </c>
      <c r="F12" s="55"/>
      <c r="G12" s="55"/>
      <c r="H12" s="55"/>
      <c r="I12" s="55">
        <f t="shared" si="1"/>
        <v>0</v>
      </c>
      <c r="J12" s="55"/>
      <c r="K12" s="55"/>
      <c r="L12" s="55">
        <f t="shared" si="2"/>
        <v>0</v>
      </c>
    </row>
    <row r="13" spans="1:12" x14ac:dyDescent="0.3">
      <c r="B13" s="55"/>
      <c r="C13" s="55"/>
      <c r="D13" s="55"/>
      <c r="E13" s="55">
        <f t="shared" si="0"/>
        <v>0</v>
      </c>
      <c r="F13" s="55"/>
      <c r="G13" s="55"/>
      <c r="H13" s="55"/>
      <c r="I13" s="55">
        <f t="shared" si="1"/>
        <v>0</v>
      </c>
      <c r="J13" s="55"/>
      <c r="K13" s="55"/>
      <c r="L13" s="55">
        <f t="shared" si="2"/>
        <v>0</v>
      </c>
    </row>
    <row r="14" spans="1:12" x14ac:dyDescent="0.3">
      <c r="B14" s="55" t="s">
        <v>281</v>
      </c>
      <c r="C14" s="55"/>
      <c r="D14" s="55"/>
      <c r="E14" s="55">
        <f t="shared" si="0"/>
        <v>0</v>
      </c>
      <c r="F14" s="55" t="s">
        <v>278</v>
      </c>
      <c r="G14" s="55"/>
      <c r="H14" s="55"/>
      <c r="I14" s="55">
        <f t="shared" si="1"/>
        <v>0</v>
      </c>
      <c r="J14" s="55"/>
      <c r="K14" s="55"/>
      <c r="L14" s="55">
        <f t="shared" si="2"/>
        <v>0</v>
      </c>
    </row>
    <row r="15" spans="1:12" x14ac:dyDescent="0.3">
      <c r="B15" s="55"/>
      <c r="C15" s="55"/>
      <c r="D15" s="55"/>
      <c r="E15" s="55">
        <f t="shared" si="0"/>
        <v>0</v>
      </c>
      <c r="F15" s="55" t="s">
        <v>280</v>
      </c>
      <c r="G15" s="55"/>
      <c r="H15" s="55"/>
      <c r="I15" s="55">
        <f t="shared" si="1"/>
        <v>0</v>
      </c>
      <c r="J15" s="55"/>
      <c r="K15" s="55"/>
      <c r="L15" s="55">
        <f t="shared" si="2"/>
        <v>0</v>
      </c>
    </row>
    <row r="16" spans="1:12" x14ac:dyDescent="0.3">
      <c r="B16" s="55"/>
      <c r="C16" s="55"/>
      <c r="D16" s="55"/>
      <c r="E16" s="55">
        <f t="shared" si="0"/>
        <v>0</v>
      </c>
      <c r="F16" s="55"/>
      <c r="G16" s="55"/>
      <c r="H16" s="55"/>
      <c r="I16" s="55">
        <f t="shared" si="1"/>
        <v>0</v>
      </c>
      <c r="J16" s="55"/>
      <c r="K16" s="55"/>
      <c r="L16" s="55">
        <f t="shared" si="2"/>
        <v>0</v>
      </c>
    </row>
    <row r="17" spans="2:12" x14ac:dyDescent="0.3">
      <c r="B17" s="55"/>
      <c r="C17" s="55"/>
      <c r="D17" s="55"/>
      <c r="E17" s="55">
        <f t="shared" si="0"/>
        <v>0</v>
      </c>
      <c r="F17" s="55"/>
      <c r="G17" s="55"/>
      <c r="H17" s="55"/>
      <c r="I17" s="55">
        <f t="shared" si="1"/>
        <v>0</v>
      </c>
      <c r="J17" s="55"/>
      <c r="K17" s="55"/>
      <c r="L17" s="55">
        <f t="shared" si="2"/>
        <v>0</v>
      </c>
    </row>
    <row r="18" spans="2:12" x14ac:dyDescent="0.3">
      <c r="B18" s="55" t="s">
        <v>282</v>
      </c>
      <c r="C18" s="55"/>
      <c r="D18" s="55"/>
      <c r="E18" s="55">
        <f t="shared" si="0"/>
        <v>0</v>
      </c>
      <c r="F18" s="55" t="s">
        <v>278</v>
      </c>
      <c r="G18" s="55"/>
      <c r="H18" s="55"/>
      <c r="I18" s="55">
        <f t="shared" si="1"/>
        <v>0</v>
      </c>
      <c r="J18" s="55"/>
      <c r="K18" s="55"/>
      <c r="L18" s="55">
        <f t="shared" si="2"/>
        <v>0</v>
      </c>
    </row>
    <row r="19" spans="2:12" x14ac:dyDescent="0.3">
      <c r="B19" s="55"/>
      <c r="C19" s="55"/>
      <c r="D19" s="55"/>
      <c r="E19" s="55">
        <f t="shared" si="0"/>
        <v>0</v>
      </c>
      <c r="F19" s="55" t="s">
        <v>280</v>
      </c>
      <c r="G19" s="55"/>
      <c r="H19" s="55"/>
      <c r="I19" s="55">
        <f t="shared" si="1"/>
        <v>0</v>
      </c>
      <c r="J19" s="55"/>
      <c r="K19" s="55"/>
      <c r="L19" s="55">
        <f t="shared" si="2"/>
        <v>0</v>
      </c>
    </row>
    <row r="20" spans="2:12" x14ac:dyDescent="0.3">
      <c r="B20" s="55"/>
      <c r="C20" s="55"/>
      <c r="D20" s="55"/>
      <c r="E20" s="55">
        <f t="shared" si="0"/>
        <v>0</v>
      </c>
      <c r="F20" s="55"/>
      <c r="G20" s="55"/>
      <c r="H20" s="55"/>
      <c r="I20" s="55">
        <f t="shared" si="1"/>
        <v>0</v>
      </c>
      <c r="J20" s="55"/>
      <c r="K20" s="55"/>
      <c r="L20" s="55">
        <f t="shared" si="2"/>
        <v>0</v>
      </c>
    </row>
    <row r="21" spans="2:12" x14ac:dyDescent="0.3">
      <c r="B21" s="55" t="s">
        <v>283</v>
      </c>
      <c r="C21" s="55"/>
      <c r="D21" s="55"/>
      <c r="E21" s="55">
        <f t="shared" si="0"/>
        <v>0</v>
      </c>
      <c r="F21" s="55" t="s">
        <v>278</v>
      </c>
      <c r="G21" s="55"/>
      <c r="H21" s="55"/>
      <c r="I21" s="55">
        <f t="shared" si="1"/>
        <v>0</v>
      </c>
      <c r="J21" s="55"/>
      <c r="K21" s="55"/>
      <c r="L21" s="55">
        <f t="shared" si="2"/>
        <v>0</v>
      </c>
    </row>
    <row r="22" spans="2:12" x14ac:dyDescent="0.3">
      <c r="B22" s="55"/>
      <c r="C22" s="55"/>
      <c r="D22" s="55"/>
      <c r="E22" s="55">
        <f t="shared" si="0"/>
        <v>0</v>
      </c>
      <c r="F22" s="55" t="s">
        <v>280</v>
      </c>
      <c r="G22" s="55"/>
      <c r="H22" s="55"/>
      <c r="I22" s="55">
        <f t="shared" si="1"/>
        <v>0</v>
      </c>
      <c r="J22" s="55"/>
      <c r="K22" s="55"/>
      <c r="L22" s="55">
        <f t="shared" si="2"/>
        <v>0</v>
      </c>
    </row>
    <row r="23" spans="2:12" x14ac:dyDescent="0.3">
      <c r="B23" s="55"/>
      <c r="C23" s="55"/>
      <c r="D23" s="55"/>
      <c r="E23" s="55">
        <f t="shared" si="0"/>
        <v>0</v>
      </c>
      <c r="F23" s="55"/>
      <c r="G23" s="55"/>
      <c r="H23" s="55"/>
      <c r="I23" s="55">
        <f t="shared" si="1"/>
        <v>0</v>
      </c>
      <c r="J23" s="55"/>
      <c r="K23" s="55"/>
      <c r="L23" s="55">
        <f t="shared" si="2"/>
        <v>0</v>
      </c>
    </row>
    <row r="24" spans="2:12" x14ac:dyDescent="0.3">
      <c r="B24" s="55" t="s">
        <v>284</v>
      </c>
      <c r="C24" s="55"/>
      <c r="D24" s="55"/>
      <c r="E24" s="55">
        <f t="shared" si="0"/>
        <v>0</v>
      </c>
      <c r="F24" s="55" t="s">
        <v>285</v>
      </c>
      <c r="G24" s="55"/>
      <c r="H24" s="55"/>
      <c r="I24" s="55">
        <f t="shared" si="1"/>
        <v>0</v>
      </c>
      <c r="J24" s="55"/>
      <c r="K24" s="55"/>
      <c r="L24" s="55">
        <f t="shared" si="2"/>
        <v>0</v>
      </c>
    </row>
    <row r="25" spans="2:12" x14ac:dyDescent="0.3">
      <c r="B25" s="55"/>
      <c r="C25" s="55"/>
      <c r="D25" s="55"/>
      <c r="E25" s="55">
        <f t="shared" si="0"/>
        <v>0</v>
      </c>
      <c r="F25" s="55" t="s">
        <v>285</v>
      </c>
      <c r="G25" s="55"/>
      <c r="H25" s="55"/>
      <c r="I25" s="55">
        <f t="shared" si="1"/>
        <v>0</v>
      </c>
      <c r="J25" s="55"/>
      <c r="K25" s="55"/>
      <c r="L25" s="55">
        <f t="shared" si="2"/>
        <v>0</v>
      </c>
    </row>
    <row r="26" spans="2:12" x14ac:dyDescent="0.3">
      <c r="B26" s="55"/>
      <c r="C26" s="55"/>
      <c r="D26" s="55"/>
      <c r="E26" s="55">
        <f t="shared" si="0"/>
        <v>0</v>
      </c>
      <c r="F26" s="55" t="s">
        <v>285</v>
      </c>
      <c r="G26" s="55"/>
      <c r="H26" s="55"/>
      <c r="I26" s="55">
        <f t="shared" si="1"/>
        <v>0</v>
      </c>
      <c r="J26" s="55"/>
      <c r="K26" s="55"/>
      <c r="L26" s="55">
        <f t="shared" si="2"/>
        <v>0</v>
      </c>
    </row>
    <row r="27" spans="2:12" x14ac:dyDescent="0.3">
      <c r="B27" s="55"/>
      <c r="C27" s="55"/>
      <c r="D27" s="55"/>
      <c r="E27" s="55">
        <f t="shared" si="0"/>
        <v>0</v>
      </c>
      <c r="F27" s="55" t="s">
        <v>285</v>
      </c>
      <c r="G27" s="55"/>
      <c r="H27" s="55"/>
      <c r="I27" s="55">
        <f t="shared" si="1"/>
        <v>0</v>
      </c>
      <c r="J27" s="55"/>
      <c r="K27" s="55"/>
      <c r="L27" s="55">
        <f t="shared" si="2"/>
        <v>0</v>
      </c>
    </row>
    <row r="28" spans="2:12" x14ac:dyDescent="0.3">
      <c r="B28" s="55" t="s">
        <v>286</v>
      </c>
      <c r="C28" s="55"/>
      <c r="D28" s="55"/>
      <c r="E28" s="55">
        <f t="shared" si="0"/>
        <v>0</v>
      </c>
      <c r="F28" s="55" t="s">
        <v>285</v>
      </c>
      <c r="G28" s="55"/>
      <c r="H28" s="55"/>
      <c r="I28" s="55">
        <f t="shared" si="1"/>
        <v>0</v>
      </c>
      <c r="J28" s="55"/>
      <c r="K28" s="55"/>
      <c r="L28" s="55">
        <f t="shared" si="2"/>
        <v>0</v>
      </c>
    </row>
    <row r="29" spans="2:12" x14ac:dyDescent="0.3">
      <c r="B29" s="55" t="s">
        <v>287</v>
      </c>
      <c r="C29" s="55"/>
      <c r="D29" s="55"/>
      <c r="E29" s="55">
        <f t="shared" si="0"/>
        <v>0</v>
      </c>
      <c r="F29" s="55" t="s">
        <v>285</v>
      </c>
      <c r="G29" s="55"/>
      <c r="H29" s="55"/>
      <c r="I29" s="55">
        <f t="shared" si="1"/>
        <v>0</v>
      </c>
      <c r="J29" s="55"/>
      <c r="K29" s="55"/>
      <c r="L29" s="55">
        <f t="shared" si="2"/>
        <v>0</v>
      </c>
    </row>
    <row r="30" spans="2:12" x14ac:dyDescent="0.3">
      <c r="B30" s="55" t="s">
        <v>288</v>
      </c>
      <c r="C30" s="55"/>
      <c r="D30" s="55"/>
      <c r="E30" s="55">
        <f t="shared" si="0"/>
        <v>0</v>
      </c>
      <c r="F30" s="55"/>
      <c r="G30" s="55"/>
      <c r="H30" s="55"/>
      <c r="I30" s="55">
        <f t="shared" si="1"/>
        <v>0</v>
      </c>
      <c r="J30" s="55"/>
      <c r="K30" s="55"/>
      <c r="L30" s="55">
        <f t="shared" si="2"/>
        <v>0</v>
      </c>
    </row>
    <row r="31" spans="2:12" x14ac:dyDescent="0.3">
      <c r="B31" s="55"/>
      <c r="C31" s="55"/>
      <c r="D31" s="55"/>
      <c r="E31" s="55">
        <f t="shared" si="0"/>
        <v>0</v>
      </c>
      <c r="F31" s="55"/>
      <c r="G31" s="55"/>
      <c r="H31" s="55"/>
      <c r="I31" s="55">
        <f t="shared" si="1"/>
        <v>0</v>
      </c>
      <c r="J31" s="55"/>
      <c r="K31" s="55"/>
      <c r="L31" s="55">
        <f t="shared" si="2"/>
        <v>0</v>
      </c>
    </row>
    <row r="32" spans="2:12" x14ac:dyDescent="0.3">
      <c r="B32" s="55"/>
      <c r="C32" s="55"/>
      <c r="D32" s="55"/>
      <c r="E32" s="55">
        <f t="shared" si="0"/>
        <v>0</v>
      </c>
      <c r="F32" s="55"/>
      <c r="G32" s="55"/>
      <c r="H32" s="55"/>
      <c r="I32" s="55">
        <f t="shared" si="1"/>
        <v>0</v>
      </c>
      <c r="J32" s="55"/>
      <c r="K32" s="55"/>
      <c r="L32" s="55">
        <f t="shared" si="2"/>
        <v>0</v>
      </c>
    </row>
    <row r="33" spans="2:12" x14ac:dyDescent="0.3">
      <c r="B33" s="55" t="s">
        <v>289</v>
      </c>
      <c r="C33" s="55"/>
      <c r="D33" s="55"/>
      <c r="E33" s="55">
        <f t="shared" si="0"/>
        <v>0</v>
      </c>
      <c r="F33" s="55"/>
      <c r="G33" s="55"/>
      <c r="H33" s="55"/>
      <c r="I33" s="55">
        <f t="shared" si="1"/>
        <v>0</v>
      </c>
      <c r="J33" s="55"/>
      <c r="K33" s="55"/>
      <c r="L33" s="55">
        <f t="shared" si="2"/>
        <v>0</v>
      </c>
    </row>
    <row r="34" spans="2:12" x14ac:dyDescent="0.3">
      <c r="B34" s="55" t="s">
        <v>290</v>
      </c>
      <c r="C34" s="55"/>
      <c r="D34" s="55"/>
      <c r="E34" s="55">
        <f t="shared" si="0"/>
        <v>0</v>
      </c>
      <c r="F34" s="55"/>
      <c r="G34" s="55"/>
      <c r="H34" s="55"/>
      <c r="I34" s="55">
        <f t="shared" si="1"/>
        <v>0</v>
      </c>
      <c r="J34" s="55"/>
      <c r="K34" s="55"/>
      <c r="L34" s="55">
        <f t="shared" si="2"/>
        <v>0</v>
      </c>
    </row>
    <row r="35" spans="2:12" x14ac:dyDescent="0.3">
      <c r="B35" s="55" t="s">
        <v>291</v>
      </c>
      <c r="C35" s="55"/>
      <c r="D35" s="55"/>
      <c r="E35" s="55">
        <f t="shared" si="0"/>
        <v>0</v>
      </c>
      <c r="F35" s="55"/>
      <c r="G35" s="55"/>
      <c r="H35" s="55"/>
      <c r="I35" s="55">
        <f t="shared" si="1"/>
        <v>0</v>
      </c>
      <c r="J35" s="55"/>
      <c r="K35" s="55"/>
      <c r="L35" s="55">
        <f t="shared" si="2"/>
        <v>0</v>
      </c>
    </row>
    <row r="36" spans="2:12" x14ac:dyDescent="0.3">
      <c r="B36" s="55" t="s">
        <v>292</v>
      </c>
      <c r="C36" s="55"/>
      <c r="D36" s="55"/>
      <c r="E36" s="55">
        <f t="shared" si="0"/>
        <v>0</v>
      </c>
      <c r="F36" s="55"/>
      <c r="G36" s="55"/>
      <c r="H36" s="55"/>
      <c r="I36" s="55">
        <f>G36*H36</f>
        <v>0</v>
      </c>
      <c r="J36" s="55"/>
      <c r="K36" s="55"/>
      <c r="L36" s="55">
        <f>J36*K36</f>
        <v>0</v>
      </c>
    </row>
    <row r="37" spans="2:12" x14ac:dyDescent="0.3">
      <c r="B37" s="55"/>
      <c r="C37" s="55"/>
      <c r="D37" s="55"/>
      <c r="E37" s="55">
        <f t="shared" si="0"/>
        <v>0</v>
      </c>
      <c r="F37" s="55"/>
      <c r="G37" s="55"/>
      <c r="H37" s="55"/>
      <c r="I37" s="55">
        <f t="shared" ref="I37:I38" si="3">G37*H37</f>
        <v>0</v>
      </c>
      <c r="J37" s="55"/>
      <c r="K37" s="55"/>
      <c r="L37" s="55">
        <f t="shared" ref="L37:L38" si="4">J37*K37</f>
        <v>0</v>
      </c>
    </row>
    <row r="38" spans="2:12" x14ac:dyDescent="0.3">
      <c r="B38" s="55" t="s">
        <v>293</v>
      </c>
      <c r="C38" s="55"/>
      <c r="D38" s="55"/>
      <c r="E38" s="55">
        <f t="shared" si="0"/>
        <v>0</v>
      </c>
      <c r="F38" s="55"/>
      <c r="G38" s="55"/>
      <c r="H38" s="55"/>
      <c r="I38" s="55">
        <f t="shared" si="3"/>
        <v>0</v>
      </c>
      <c r="J38" s="55"/>
      <c r="K38" s="55"/>
      <c r="L38" s="55">
        <f t="shared" si="4"/>
        <v>0</v>
      </c>
    </row>
    <row r="39" spans="2:12" x14ac:dyDescent="0.3">
      <c r="B39" s="55"/>
      <c r="C39" s="55"/>
      <c r="D39" s="55"/>
      <c r="E39" s="55">
        <f t="shared" si="0"/>
        <v>0</v>
      </c>
      <c r="F39" s="55"/>
      <c r="G39" s="55"/>
      <c r="H39" s="55"/>
      <c r="I39" s="55">
        <f>G39*H39</f>
        <v>0</v>
      </c>
      <c r="J39" s="55"/>
      <c r="K39" s="55"/>
      <c r="L39" s="55">
        <f>J39*K39</f>
        <v>0</v>
      </c>
    </row>
    <row r="40" spans="2:12" x14ac:dyDescent="0.3">
      <c r="B40" s="55"/>
      <c r="C40" s="55"/>
      <c r="D40" s="55"/>
      <c r="E40" s="55">
        <f t="shared" si="0"/>
        <v>0</v>
      </c>
      <c r="F40" s="55"/>
      <c r="G40" s="55"/>
      <c r="H40" s="55"/>
      <c r="I40" s="55">
        <f>G40*H40</f>
        <v>0</v>
      </c>
      <c r="J40" s="55"/>
      <c r="K40" s="55"/>
      <c r="L40" s="55">
        <f>J40*K40</f>
        <v>0</v>
      </c>
    </row>
    <row r="41" spans="2:12" x14ac:dyDescent="0.3">
      <c r="B41" s="55"/>
      <c r="C41" s="55"/>
      <c r="D41" s="55"/>
      <c r="E41" s="55">
        <f t="shared" si="0"/>
        <v>0</v>
      </c>
      <c r="F41" s="55"/>
      <c r="G41" s="55"/>
      <c r="H41" s="55"/>
      <c r="I41" s="55">
        <f>G41*H41</f>
        <v>0</v>
      </c>
      <c r="J41" s="55"/>
      <c r="K41" s="55"/>
      <c r="L41" s="55">
        <f>J41*K41</f>
        <v>0</v>
      </c>
    </row>
    <row r="42" spans="2:12" x14ac:dyDescent="0.3">
      <c r="B42" s="55" t="s">
        <v>150</v>
      </c>
      <c r="C42" s="55"/>
      <c r="D42" s="55">
        <f>E42*10.764</f>
        <v>0</v>
      </c>
      <c r="E42" s="70">
        <f>SUM(E6:E41)</f>
        <v>0</v>
      </c>
      <c r="F42" s="55"/>
      <c r="G42" s="55"/>
      <c r="H42" s="55">
        <f>I42*10.764</f>
        <v>0</v>
      </c>
      <c r="I42" s="71">
        <f>SUM(I6:I41)</f>
        <v>0</v>
      </c>
      <c r="J42" s="55"/>
      <c r="K42" s="55">
        <f>L42*10.764</f>
        <v>0</v>
      </c>
      <c r="L42" s="72">
        <f>SUM(L6:L41)</f>
        <v>0</v>
      </c>
    </row>
    <row r="44" spans="2:12" x14ac:dyDescent="0.3">
      <c r="D44" s="67">
        <f>D42+H42</f>
        <v>0</v>
      </c>
      <c r="E44" s="6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2025-09-29T11:14:56Z</cp:lastPrinted>
  <dcterms:created xsi:type="dcterms:W3CDTF">2010-11-23T11:42:48Z</dcterms:created>
  <dcterms:modified xsi:type="dcterms:W3CDTF">2025-09-29T11:14:56Z</dcterms:modified>
</cp:coreProperties>
</file>