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Sept 2025\New folder\"/>
    </mc:Choice>
  </mc:AlternateContent>
  <bookViews>
    <workbookView xWindow="0" yWindow="0" windowWidth="19200" windowHeight="6640" tabRatio="725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Report!$A$1:$H$369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0" i="1" l="1"/>
  <c r="C126" i="1" l="1"/>
  <c r="C66" i="1" l="1"/>
  <c r="C108" i="1" l="1"/>
  <c r="J89" i="1" l="1"/>
  <c r="J88" i="1"/>
  <c r="J87" i="1"/>
  <c r="J86" i="1"/>
  <c r="J83" i="1" l="1"/>
  <c r="C82" i="1" s="1"/>
  <c r="J81" i="1"/>
  <c r="J82" i="1"/>
  <c r="D91" i="1"/>
  <c r="D89" i="1"/>
  <c r="D87" i="1"/>
  <c r="D85" i="1"/>
  <c r="J84" i="1"/>
  <c r="J85" i="1" s="1"/>
  <c r="J90" i="1" s="1"/>
  <c r="J91" i="1" s="1"/>
  <c r="C83" i="1" s="1"/>
  <c r="D90" i="1"/>
  <c r="D88" i="1"/>
  <c r="D86" i="1"/>
  <c r="D84" i="1"/>
  <c r="C124" i="1"/>
  <c r="E82" i="1" l="1"/>
  <c r="D83" i="1"/>
  <c r="G82" i="1"/>
  <c r="D82" i="1"/>
  <c r="J165" i="1"/>
  <c r="J164" i="1"/>
  <c r="J163" i="1"/>
  <c r="J162" i="1"/>
  <c r="J103" i="1"/>
  <c r="J102" i="1"/>
  <c r="J101" i="1"/>
  <c r="J100" i="1"/>
  <c r="I78" i="1" l="1"/>
  <c r="C80" i="1" s="1"/>
  <c r="J137" i="1"/>
  <c r="J136" i="1"/>
  <c r="J135" i="1"/>
  <c r="J134" i="1"/>
  <c r="J121" i="1" l="1"/>
  <c r="J120" i="1"/>
  <c r="J119" i="1"/>
  <c r="J118" i="1"/>
  <c r="J116" i="1" l="1"/>
  <c r="J115" i="1"/>
  <c r="C114" i="1" s="1"/>
  <c r="J114" i="1"/>
  <c r="J113" i="1"/>
  <c r="D123" i="1"/>
  <c r="D122" i="1"/>
  <c r="D121" i="1"/>
  <c r="D120" i="1"/>
  <c r="D119" i="1"/>
  <c r="D118" i="1"/>
  <c r="D117" i="1"/>
  <c r="D116" i="1"/>
  <c r="G210" i="1"/>
  <c r="G252" i="1"/>
  <c r="G245" i="1"/>
  <c r="G238" i="1"/>
  <c r="G231" i="1"/>
  <c r="G217" i="1"/>
  <c r="J117" i="1" l="1"/>
  <c r="J122" i="1" s="1"/>
  <c r="J123" i="1" s="1"/>
  <c r="C115" i="1" s="1"/>
  <c r="E114" i="1" s="1"/>
  <c r="D255" i="1"/>
  <c r="F255" i="1" s="1"/>
  <c r="D252" i="1"/>
  <c r="D254" i="1"/>
  <c r="F254" i="1" s="1"/>
  <c r="D253" i="1"/>
  <c r="F253" i="1" s="1"/>
  <c r="D248" i="1"/>
  <c r="F248" i="1" s="1"/>
  <c r="D247" i="1"/>
  <c r="F247" i="1" s="1"/>
  <c r="D246" i="1"/>
  <c r="F246" i="1" s="1"/>
  <c r="D245" i="1"/>
  <c r="F245" i="1" s="1"/>
  <c r="D241" i="1"/>
  <c r="F241" i="1" s="1"/>
  <c r="D238" i="1"/>
  <c r="D240" i="1"/>
  <c r="F240" i="1" s="1"/>
  <c r="D239" i="1"/>
  <c r="F239" i="1" s="1"/>
  <c r="P245" i="1"/>
  <c r="O238" i="1"/>
  <c r="O252" i="1"/>
  <c r="P252" i="1"/>
  <c r="P238" i="1"/>
  <c r="O245" i="1"/>
  <c r="D115" i="1" l="1"/>
  <c r="D114" i="1"/>
  <c r="I108" i="1" s="1"/>
  <c r="G114" i="1"/>
  <c r="D63" i="1" s="1"/>
  <c r="E194" i="1"/>
  <c r="E192" i="1"/>
  <c r="F238" i="1"/>
  <c r="G192" i="1" s="1"/>
  <c r="E193" i="1"/>
  <c r="C192" i="1"/>
  <c r="C194" i="1"/>
  <c r="I255" i="1"/>
  <c r="F252" i="1"/>
  <c r="G194" i="1" s="1"/>
  <c r="C193" i="1"/>
  <c r="G193" i="1"/>
  <c r="O253" i="1"/>
  <c r="N252" i="1"/>
  <c r="P253" i="1"/>
  <c r="P254" i="1" s="1"/>
  <c r="P255" i="1" s="1"/>
  <c r="O246" i="1"/>
  <c r="N245" i="1"/>
  <c r="P246" i="1"/>
  <c r="P247" i="1" s="1"/>
  <c r="P248" i="1" s="1"/>
  <c r="O239" i="1"/>
  <c r="N238" i="1"/>
  <c r="P239" i="1"/>
  <c r="P240" i="1" s="1"/>
  <c r="P241" i="1" s="1"/>
  <c r="D234" i="1"/>
  <c r="F234" i="1" s="1"/>
  <c r="D231" i="1"/>
  <c r="D233" i="1"/>
  <c r="F233" i="1" s="1"/>
  <c r="D232" i="1"/>
  <c r="F232" i="1" s="1"/>
  <c r="D227" i="1"/>
  <c r="D226" i="1"/>
  <c r="F226" i="1" s="1"/>
  <c r="I226" i="1" s="1"/>
  <c r="D225" i="1"/>
  <c r="F225" i="1" s="1"/>
  <c r="I225" i="1" s="1"/>
  <c r="D224" i="1"/>
  <c r="F227" i="1"/>
  <c r="I227" i="1" s="1"/>
  <c r="G224" i="1"/>
  <c r="D220" i="1"/>
  <c r="F220" i="1" s="1"/>
  <c r="D219" i="1"/>
  <c r="F219" i="1" s="1"/>
  <c r="D218" i="1"/>
  <c r="F218" i="1" s="1"/>
  <c r="D217" i="1"/>
  <c r="D213" i="1"/>
  <c r="F213" i="1" s="1"/>
  <c r="D210" i="1"/>
  <c r="D212" i="1"/>
  <c r="F212" i="1" s="1"/>
  <c r="D211" i="1"/>
  <c r="F211" i="1" s="1"/>
  <c r="D205" i="1"/>
  <c r="D204" i="1"/>
  <c r="D203" i="1"/>
  <c r="D206" i="1"/>
  <c r="E7" i="1"/>
  <c r="P210" i="1"/>
  <c r="P224" i="1"/>
  <c r="P217" i="1"/>
  <c r="P231" i="1"/>
  <c r="O224" i="1"/>
  <c r="O210" i="1"/>
  <c r="O231" i="1"/>
  <c r="O217" i="1"/>
  <c r="F210" i="1" l="1"/>
  <c r="C188" i="1"/>
  <c r="E188" i="1"/>
  <c r="F224" i="1"/>
  <c r="I224" i="1" s="1"/>
  <c r="C190" i="1"/>
  <c r="E190" i="1"/>
  <c r="C195" i="1"/>
  <c r="C187" i="1"/>
  <c r="E195" i="1"/>
  <c r="E187" i="1"/>
  <c r="F231" i="1"/>
  <c r="G191" i="1" s="1"/>
  <c r="C191" i="1"/>
  <c r="E191" i="1"/>
  <c r="F217" i="1"/>
  <c r="G189" i="1" s="1"/>
  <c r="C189" i="1"/>
  <c r="E189" i="1"/>
  <c r="G188" i="1"/>
  <c r="O254" i="1"/>
  <c r="N253" i="1"/>
  <c r="O247" i="1"/>
  <c r="N246" i="1"/>
  <c r="O240" i="1"/>
  <c r="N239" i="1"/>
  <c r="O232" i="1"/>
  <c r="N231" i="1"/>
  <c r="P232" i="1"/>
  <c r="P233" i="1" s="1"/>
  <c r="P234" i="1" s="1"/>
  <c r="O225" i="1"/>
  <c r="N224" i="1"/>
  <c r="P225" i="1"/>
  <c r="P226" i="1" s="1"/>
  <c r="P227" i="1" s="1"/>
  <c r="O218" i="1"/>
  <c r="N217" i="1"/>
  <c r="P218" i="1"/>
  <c r="P219" i="1" s="1"/>
  <c r="P220" i="1" s="1"/>
  <c r="O211" i="1"/>
  <c r="N210" i="1"/>
  <c r="P211" i="1"/>
  <c r="P212" i="1" s="1"/>
  <c r="P213" i="1" s="1"/>
  <c r="G190" i="1" l="1"/>
  <c r="O255" i="1"/>
  <c r="N255" i="1" s="1"/>
  <c r="N254" i="1"/>
  <c r="O248" i="1"/>
  <c r="N248" i="1" s="1"/>
  <c r="N247" i="1"/>
  <c r="O241" i="1"/>
  <c r="N241" i="1" s="1"/>
  <c r="N240" i="1"/>
  <c r="O233" i="1"/>
  <c r="N232" i="1"/>
  <c r="O226" i="1"/>
  <c r="N225" i="1"/>
  <c r="O219" i="1"/>
  <c r="N218" i="1"/>
  <c r="O212" i="1"/>
  <c r="N211" i="1"/>
  <c r="J151" i="1"/>
  <c r="J150" i="1"/>
  <c r="J75" i="1"/>
  <c r="J74" i="1"/>
  <c r="O234" i="1" l="1"/>
  <c r="N234" i="1" s="1"/>
  <c r="N233" i="1"/>
  <c r="O227" i="1"/>
  <c r="N227" i="1" s="1"/>
  <c r="N226" i="1"/>
  <c r="O220" i="1"/>
  <c r="N220" i="1" s="1"/>
  <c r="N219" i="1"/>
  <c r="O213" i="1"/>
  <c r="N213" i="1" s="1"/>
  <c r="N212" i="1"/>
  <c r="D146" i="1"/>
  <c r="J144" i="1"/>
  <c r="J146" i="1"/>
  <c r="D153" i="1"/>
  <c r="D149" i="1"/>
  <c r="J145" i="1"/>
  <c r="C144" i="1" s="1"/>
  <c r="J143" i="1"/>
  <c r="D151" i="1"/>
  <c r="D147" i="1"/>
  <c r="D150" i="1"/>
  <c r="D152" i="1"/>
  <c r="D148" i="1"/>
  <c r="D70" i="1"/>
  <c r="D76" i="1"/>
  <c r="J68" i="1"/>
  <c r="D77" i="1"/>
  <c r="D73" i="1"/>
  <c r="J69" i="1"/>
  <c r="C68" i="1" s="1"/>
  <c r="D68" i="1" s="1"/>
  <c r="J67" i="1"/>
  <c r="D72" i="1"/>
  <c r="D75" i="1"/>
  <c r="D71" i="1"/>
  <c r="J70" i="1"/>
  <c r="J71" i="1" s="1"/>
  <c r="D74" i="1"/>
  <c r="G46" i="1"/>
  <c r="G47" i="1" s="1"/>
  <c r="H155" i="1"/>
  <c r="O203" i="1"/>
  <c r="J159" i="1" l="1"/>
  <c r="C158" i="1" s="1"/>
  <c r="D158" i="1" s="1"/>
  <c r="J157" i="1"/>
  <c r="D164" i="1"/>
  <c r="D160" i="1"/>
  <c r="D167" i="1"/>
  <c r="D165" i="1"/>
  <c r="D163" i="1"/>
  <c r="D161" i="1"/>
  <c r="J160" i="1"/>
  <c r="J161" i="1" s="1"/>
  <c r="J166" i="1" s="1"/>
  <c r="J167" i="1" s="1"/>
  <c r="C159" i="1" s="1"/>
  <c r="J158" i="1"/>
  <c r="D166" i="1"/>
  <c r="D162" i="1"/>
  <c r="J97" i="1"/>
  <c r="C96" i="1" s="1"/>
  <c r="D100" i="1"/>
  <c r="J95" i="1"/>
  <c r="D105" i="1"/>
  <c r="D103" i="1"/>
  <c r="D101" i="1"/>
  <c r="D99" i="1"/>
  <c r="J98" i="1"/>
  <c r="J99" i="1" s="1"/>
  <c r="J104" i="1" s="1"/>
  <c r="J105" i="1" s="1"/>
  <c r="C97" i="1" s="1"/>
  <c r="D97" i="1" s="1"/>
  <c r="D104" i="1"/>
  <c r="D98" i="1"/>
  <c r="J96" i="1"/>
  <c r="D102" i="1"/>
  <c r="D139" i="1"/>
  <c r="D137" i="1"/>
  <c r="D135" i="1"/>
  <c r="D133" i="1"/>
  <c r="J130" i="1"/>
  <c r="J129" i="1"/>
  <c r="D138" i="1"/>
  <c r="D136" i="1"/>
  <c r="D134" i="1"/>
  <c r="D132" i="1"/>
  <c r="J132" i="1"/>
  <c r="J133" i="1" s="1"/>
  <c r="J138" i="1" s="1"/>
  <c r="J139" i="1" s="1"/>
  <c r="C131" i="1" s="1"/>
  <c r="E130" i="1" s="1"/>
  <c r="J131" i="1"/>
  <c r="C130" i="1" s="1"/>
  <c r="D130" i="1" s="1"/>
  <c r="J147" i="1"/>
  <c r="J76" i="1"/>
  <c r="J148" i="1"/>
  <c r="J149" i="1" s="1"/>
  <c r="J72" i="1"/>
  <c r="J73" i="1" s="1"/>
  <c r="A258" i="1"/>
  <c r="A259" i="1" s="1"/>
  <c r="A260" i="1" s="1"/>
  <c r="A261" i="1" s="1"/>
  <c r="A262" i="1" s="1"/>
  <c r="A263" i="1" s="1"/>
  <c r="E96" i="1" l="1"/>
  <c r="G96" i="1"/>
  <c r="E158" i="1"/>
  <c r="I154" i="1" s="1"/>
  <c r="C156" i="1" s="1"/>
  <c r="D159" i="1"/>
  <c r="G158" i="1"/>
  <c r="D96" i="1"/>
  <c r="D131" i="1"/>
  <c r="G130" i="1"/>
  <c r="I124" i="1"/>
  <c r="J152" i="1"/>
  <c r="J153" i="1" s="1"/>
  <c r="C145" i="1" s="1"/>
  <c r="D144" i="1"/>
  <c r="J77" i="1"/>
  <c r="C69" i="1" s="1"/>
  <c r="P203" i="1"/>
  <c r="I92" i="1" l="1"/>
  <c r="C94" i="1" s="1"/>
  <c r="E144" i="1"/>
  <c r="I140" i="1" s="1"/>
  <c r="C142" i="1" s="1"/>
  <c r="D145" i="1"/>
  <c r="G144" i="1"/>
  <c r="E68" i="1"/>
  <c r="I64" i="1" s="1"/>
  <c r="D69" i="1"/>
  <c r="G68" i="1"/>
  <c r="N203" i="1"/>
  <c r="F168" i="1" l="1"/>
  <c r="C13" i="1" l="1"/>
  <c r="E40" i="1" l="1"/>
  <c r="E41" i="1" s="1"/>
  <c r="F206" i="1" l="1"/>
  <c r="F205" i="1"/>
  <c r="F204" i="1"/>
  <c r="F203" i="1"/>
  <c r="I203" i="1" s="1"/>
  <c r="E3" i="1"/>
  <c r="G195" i="1" l="1"/>
  <c r="G187" i="1"/>
  <c r="O204" i="1"/>
  <c r="P204" i="1" l="1"/>
  <c r="P205" i="1" s="1"/>
  <c r="P206" i="1" s="1"/>
  <c r="O205" i="1"/>
  <c r="G203" i="1"/>
  <c r="E24" i="1"/>
  <c r="E22" i="1"/>
  <c r="N204" i="1" l="1"/>
  <c r="N205" i="1"/>
  <c r="O206" i="1"/>
  <c r="N206" i="1" s="1"/>
  <c r="F6" i="5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G12" i="5" l="1"/>
  <c r="D280" i="1" l="1"/>
  <c r="F184" i="1"/>
  <c r="D53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<sst xmlns="http://schemas.openxmlformats.org/spreadsheetml/2006/main" count="595" uniqueCount="256">
  <si>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</si>
  <si>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</si>
  <si>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</si>
  <si>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</si>
  <si>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</si>
  <si>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</si>
  <si>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</si>
  <si>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</si>
  <si>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</si>
  <si>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</si>
  <si>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</si>
  <si>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</si>
  <si>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</si>
  <si>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</si>
  <si>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</si>
  <si>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</si>
  <si>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</si>
  <si>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</si>
  <si>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</si>
  <si>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</si>
  <si>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</si>
  <si>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</si>
  <si>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</si>
  <si>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</si>
  <si>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</si>
  <si>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</si>
  <si>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</si>
  <si>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</si>
  <si>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</si>
  <si>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</si>
  <si>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</si>
  <si>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</si>
  <si>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</si>
  <si>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</si>
  <si>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</si>
  <si>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</si>
  <si>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</si>
  <si>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</si>
  <si>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</si>
  <si>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</si>
  <si>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</si>
  <si>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</si>
  <si>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</si>
  <si>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</si>
  <si>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</si>
  <si>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</si>
  <si>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</si>
  <si>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</si>
  <si>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</si>
  <si>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</si>
  <si>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</si>
  <si>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</si>
  <si>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</si>
  <si>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</si>
  <si>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</si>
  <si>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</si>
  <si>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</si>
  <si>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</si>
  <si>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</si>
  <si>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</si>
  <si>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</si>
  <si>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</si>
  <si>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</si>
  <si>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</si>
  <si>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</si>
  <si>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</si>
  <si>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</si>
  <si>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</si>
  <si>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</si>
  <si>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</si>
  <si>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</si>
  <si>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</si>
  <si>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</si>
  <si>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</si>
  <si>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</si>
  <si>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</si>
  <si>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</si>
  <si>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</si>
  <si>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</si>
  <si>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</si>
  <si>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</si>
  <si>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</si>
  <si>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</si>
  <si>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</si>
  <si>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</si>
  <si>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</si>
  <si>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</si>
  <si>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</si>
  <si>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</si>
  <si>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</si>
  <si>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</si>
  <si>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</si>
  <si>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</si>
  <si>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</si>
  <si>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</si>
  <si>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</si>
  <si>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</si>
  <si>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</si>
  <si>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</si>
  <si>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</si>
  <si>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</si>
  <si>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</si>
  <si>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</si>
  <si>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</si>
  <si>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</si>
  <si>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</si>
  <si>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</si>
  <si>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</si>
  <si>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</si>
  <si>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</si>
  <si>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</si>
  <si>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</si>
  <si>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</si>
  <si>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</si>
  <si>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</si>
  <si>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</si>
  <si>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</si>
  <si>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</si>
  <si>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</si>
  <si>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</si>
  <si>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</si>
  <si>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</si>
  <si>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</si>
  <si>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</si>
  <si>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</si>
  <si>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</si>
  <si>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</si>
  <si>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</si>
  <si>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</si>
  <si>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</si>
  <si>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</si>
  <si>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</si>
  <si>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</si>
  <si>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</si>
  <si>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</si>
  <si>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</si>
  <si>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</si>
  <si>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</si>
  <si>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</si>
  <si>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</si>
  <si>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</si>
  <si>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</si>
  <si>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</si>
  <si>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</si>
  <si>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</si>
  <si>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</si>
  <si>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</si>
  <si>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</si>
  <si>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</si>
  <si>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</si>
  <si>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</si>
  <si>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</si>
  <si>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</si>
  <si>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</si>
  <si>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</si>
  <si>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</si>
  <si>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Saleable area
Loading :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</si>
  <si>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</si>
  <si>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</si>
  <si>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</si>
  <si>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</si>
  <si>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</si>
  <si>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</si>
  <si>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</si>
  <si>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</si>
  <si>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</si>
  <si>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</si>
  <si>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</si>
  <si>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</si>
  <si>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</si>
  <si>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</si>
  <si>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</si>
  <si>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</si>
  <si>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</si>
  <si>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</si>
  <si>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</si>
  <si>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</si>
  <si>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</si>
  <si>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</si>
  <si>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</si>
  <si>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</si>
  <si>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</si>
  <si>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</si>
  <si>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</si>
  <si>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</si>
  <si>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</si>
  <si>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Axis Sanpada</t>
  </si>
  <si>
    <t>CTS No</t>
  </si>
  <si>
    <t>Patels Glory</t>
  </si>
  <si>
    <t>Ambarnath</t>
  </si>
  <si>
    <t>Thane</t>
  </si>
  <si>
    <t>Pale Gaon</t>
  </si>
  <si>
    <t>A.N.P/NRV/BP/21-22/335/9168/44</t>
  </si>
  <si>
    <t>Basement Floor For Parking</t>
  </si>
  <si>
    <t>Ground, 1st, 2nd, 3rd, 4th, 5th, 6th, 7th Floor</t>
  </si>
  <si>
    <t>2BHK</t>
  </si>
  <si>
    <t>1BHK</t>
  </si>
  <si>
    <t>We considered Gross carpet area = Net carpet + Enclose balcony + A.P Area.</t>
  </si>
  <si>
    <t>Building Type - A, B, C, D, E, F, G, H</t>
  </si>
  <si>
    <t>Approved Plans, CC, Cost Sheet</t>
  </si>
  <si>
    <r>
      <rPr>
        <sz val="12"/>
        <color theme="1"/>
        <rFont val="Times New Roman"/>
        <family val="1"/>
      </rPr>
      <t>P51700030230</t>
    </r>
    <r>
      <rPr>
        <sz val="12"/>
        <color rgb="FFFF0000"/>
        <rFont val="Times New Roman"/>
        <family val="1"/>
      </rPr>
      <t xml:space="preserve">
</t>
    </r>
  </si>
  <si>
    <t xml:space="preserve">Residential </t>
  </si>
  <si>
    <t>Type A</t>
  </si>
  <si>
    <t>Type B</t>
  </si>
  <si>
    <t>Type C</t>
  </si>
  <si>
    <t>Type D</t>
  </si>
  <si>
    <t>Type E</t>
  </si>
  <si>
    <t>Type F</t>
  </si>
  <si>
    <t>Type G</t>
  </si>
  <si>
    <t xml:space="preserve">Type H </t>
  </si>
  <si>
    <t>Flats -  256</t>
  </si>
  <si>
    <t>Jainam Residency</t>
  </si>
  <si>
    <t>Swanand Bliss</t>
  </si>
  <si>
    <t>Open Plot</t>
  </si>
  <si>
    <t>Patel Signature</t>
  </si>
  <si>
    <t>Pale Road</t>
  </si>
  <si>
    <t>3.5km. from Ambarnath Railway Station</t>
  </si>
  <si>
    <t>Type H</t>
  </si>
  <si>
    <t>M/s.Serene Infratech Co</t>
  </si>
  <si>
    <t>Valid Up to:  Wing A, B, C, D, E, F, G, H = Bs + G + 1st to 7th Floor</t>
  </si>
  <si>
    <t>Type A to H = Bs + G + 1st to 7th Floor</t>
  </si>
  <si>
    <t>We considered  Saleable area as per our calculation.</t>
  </si>
  <si>
    <t>58/4/3</t>
  </si>
  <si>
    <t>3,00,000/-</t>
  </si>
  <si>
    <t>Type G &amp; H = Bs + G + 1st to 7th Floor</t>
  </si>
  <si>
    <t>4000 to 4200</t>
  </si>
  <si>
    <t xml:space="preserve">Smith </t>
  </si>
  <si>
    <t xml:space="preserve">Cost Sheet </t>
  </si>
  <si>
    <t>8 Buildings</t>
  </si>
  <si>
    <t>Type D = Bs + G + 1st to 7th Floor</t>
  </si>
  <si>
    <t>Location Link</t>
  </si>
  <si>
    <t>https://goo.gl/maps/nyCXCwAEWecyVrV88</t>
  </si>
  <si>
    <t>Type H = Bs + G + 1st to 7th Floor</t>
  </si>
  <si>
    <t>Type C = Bs + G + 1st to 7th Floor</t>
  </si>
  <si>
    <t>Type A, B, C = Bs + G + 1st to 7th Floor</t>
  </si>
  <si>
    <t>1,75,000/-</t>
  </si>
  <si>
    <t xml:space="preserve">3L &amp; 1.75L </t>
  </si>
  <si>
    <t>rushikesh</t>
  </si>
  <si>
    <t>Type B = Bs + G + 1st to 7th Floor</t>
  </si>
  <si>
    <t>On Site, we meet Sales person : 7453600300.</t>
  </si>
  <si>
    <t>Type  = Bs + G + 1st to 7th Floor</t>
  </si>
  <si>
    <t>Type E, F, G &amp; H = Bs + G + 1st to 7th Floor</t>
  </si>
  <si>
    <t>Office No. 1031, Wing J, Akshar Business Park, Plot No. 03 Sector 25, Near APMC Market, Vashi, Navi Mumbai, Maharashtra 400703 TEL: 022-46090378/79/80
E mail : vsjcapf@gmail.com. Web site : www.vsjadon.com</t>
  </si>
  <si>
    <t>Mr. Sudhir Bhosale</t>
  </si>
  <si>
    <t>AMC/NRV/2023-24/1480
Approved upto : Type A, B &amp; C = 1B + Gr/St + 1st to 7th Floor</t>
  </si>
  <si>
    <t>We have updated OC for Type A, B &amp; C (On 05/03/2025).</t>
  </si>
  <si>
    <t>AMC/TPD/2025-26/68
Approved upto : Type E, F, G &amp; H = 1B + Gr/St + 1st to 7th Floor</t>
  </si>
  <si>
    <t>Type A, B, C = Bs + G + 1st to 7th Floor
Type E, F, G &amp; H = Bs + G + 1st to 7th Floor</t>
  </si>
  <si>
    <t>We have updated OC for Type E, F, G &amp; H (On 28/04/2025).</t>
  </si>
  <si>
    <t>AMC/TPD/2025-26/519
Approved upto : Type D = 1B + Gr/St + 1st to 7th Floor</t>
  </si>
  <si>
    <t>Completed</t>
  </si>
  <si>
    <t>60 Years</t>
  </si>
  <si>
    <t>Wing A, B, C, D, E to H = All work completed. OC Received.</t>
  </si>
  <si>
    <t>Recommended Rates/Other Charges of the Property have been revised on 06/08/2025.</t>
  </si>
  <si>
    <t>We have updated OC for Type D (On 28/09/2025).</t>
  </si>
  <si>
    <t>Pooja Kawale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</si>
</sst>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</numFmts>
  <fonts count="24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199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0" fillId="3" borderId="1" xfId="0" applyFill="1" applyBorder="1"/>
    <xf numFmtId="0" fontId="0" fillId="0" borderId="2" xfId="0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8" fillId="2" borderId="1" xfId="1" applyFont="1" applyFill="1" applyBorder="1" applyAlignment="1" applyProtection="1">
      <alignment horizontal="left" vertical="top"/>
      <protection locked="0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Protection="1">
      <protection hidden="1"/>
    </xf>
    <xf numFmtId="0" fontId="7" fillId="0" borderId="13" xfId="1" applyFont="1" applyBorder="1" applyProtection="1">
      <protection hidden="1"/>
    </xf>
    <xf numFmtId="0" fontId="7" fillId="0" borderId="13" xfId="1" applyFont="1" applyBorder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9" xfId="8" applyFont="1" applyFill="1" applyBorder="1" applyAlignment="1" applyProtection="1">
      <alignment horizontal="center" vertical="top" wrapText="1"/>
      <protection locked="0"/>
    </xf>
    <xf numFmtId="1" fontId="7" fillId="0" borderId="0" xfId="1" applyNumberFormat="1" applyFont="1" applyAlignment="1">
      <alignment horizontal="center" vertical="center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7" fillId="0" borderId="13" xfId="0" applyFont="1" applyBorder="1" applyProtection="1">
      <protection hidden="1"/>
    </xf>
    <xf numFmtId="0" fontId="7" fillId="0" borderId="11" xfId="1" applyFont="1" applyBorder="1" applyProtection="1">
      <protection hidden="1"/>
    </xf>
    <xf numFmtId="0" fontId="17" fillId="0" borderId="14" xfId="0" applyFont="1" applyBorder="1" applyProtection="1">
      <protection hidden="1"/>
    </xf>
    <xf numFmtId="1" fontId="0" fillId="0" borderId="13" xfId="0" applyNumberFormat="1" applyBorder="1"/>
    <xf numFmtId="1" fontId="0" fillId="0" borderId="13" xfId="0" applyNumberFormat="1" applyBorder="1" applyAlignment="1">
      <alignment horizontal="right"/>
    </xf>
    <xf numFmtId="1" fontId="0" fillId="0" borderId="15" xfId="0" applyNumberFormat="1" applyBorder="1"/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12" fillId="0" borderId="7" xfId="1" applyFont="1" applyBorder="1" applyAlignment="1" applyProtection="1">
      <alignment horizontal="center" wrapText="1"/>
      <protection locked="0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7" fillId="3" borderId="0" xfId="1" applyFont="1" applyFill="1"/>
    <xf numFmtId="14" fontId="7" fillId="3" borderId="0" xfId="1" applyNumberFormat="1" applyFont="1" applyFill="1"/>
    <xf numFmtId="0" fontId="12" fillId="0" borderId="3" xfId="1" applyFont="1" applyBorder="1" applyAlignment="1" applyProtection="1">
      <alignment horizontal="center" wrapText="1"/>
      <protection locked="0"/>
    </xf>
    <xf numFmtId="9" fontId="12" fillId="2" borderId="3" xfId="1" applyNumberFormat="1" applyFont="1" applyFill="1" applyBorder="1" applyAlignment="1" applyProtection="1">
      <alignment horizontal="center" vertical="center" wrapText="1"/>
      <protection hidden="1"/>
    </xf>
    <xf numFmtId="0" fontId="12" fillId="2" borderId="1" xfId="1" applyFont="1" applyFill="1" applyBorder="1" applyAlignment="1" applyProtection="1">
      <alignment horizontal="left" vertical="top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13" fillId="0" borderId="24" xfId="0" applyNumberFormat="1" applyFont="1" applyBorder="1" applyAlignment="1" applyProtection="1">
      <alignment vertical="top" wrapText="1"/>
      <protection locked="0"/>
    </xf>
    <xf numFmtId="1" fontId="13" fillId="0" borderId="10" xfId="0" applyNumberFormat="1" applyFont="1" applyBorder="1" applyAlignment="1" applyProtection="1">
      <alignment vertical="top" wrapText="1"/>
      <protection locked="0"/>
    </xf>
    <xf numFmtId="0" fontId="13" fillId="0" borderId="34" xfId="1" applyFont="1" applyBorder="1" applyAlignment="1" applyProtection="1">
      <alignment horizontal="center" vertical="center" wrapText="1"/>
      <protection locked="0"/>
    </xf>
    <xf numFmtId="0" fontId="13" fillId="0" borderId="35" xfId="1" applyFont="1" applyBorder="1" applyAlignment="1" applyProtection="1">
      <alignment horizontal="center" vertical="center" wrapText="1"/>
      <protection locked="0"/>
    </xf>
    <xf numFmtId="0" fontId="13" fillId="0" borderId="6" xfId="1" applyFont="1" applyBorder="1" applyAlignment="1" applyProtection="1">
      <alignment horizontal="center" vertical="center" wrapText="1"/>
      <protection locked="0"/>
    </xf>
    <xf numFmtId="0" fontId="13" fillId="0" borderId="7" xfId="1" applyFont="1" applyBorder="1" applyAlignment="1" applyProtection="1">
      <alignment horizontal="center" vertical="center" wrapText="1"/>
      <protection locked="0"/>
    </xf>
    <xf numFmtId="9" fontId="13" fillId="0" borderId="35" xfId="1" applyNumberFormat="1" applyFont="1" applyBorder="1" applyAlignment="1" applyProtection="1">
      <alignment horizontal="center" vertical="center" wrapText="1"/>
      <protection locked="0"/>
    </xf>
    <xf numFmtId="9" fontId="13" fillId="2" borderId="35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7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36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25" xfId="1" applyFont="1" applyBorder="1" applyAlignment="1" applyProtection="1">
      <alignment horizontal="left" vertical="top" wrapText="1"/>
      <protection locked="0"/>
    </xf>
    <xf numFmtId="0" fontId="13" fillId="0" borderId="18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26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1" fontId="6" fillId="0" borderId="9" xfId="0" applyNumberFormat="1" applyFont="1" applyBorder="1" applyAlignment="1" applyProtection="1">
      <alignment horizontal="center" vertical="center" wrapText="1"/>
      <protection locked="0"/>
    </xf>
    <xf numFmtId="1" fontId="6" fillId="0" borderId="10" xfId="0" applyNumberFormat="1" applyFont="1" applyBorder="1" applyAlignment="1" applyProtection="1">
      <alignment horizontal="center" vertical="center" wrapText="1"/>
      <protection locked="0"/>
    </xf>
    <xf numFmtId="1" fontId="7" fillId="0" borderId="9" xfId="0" applyNumberFormat="1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1" fontId="7" fillId="0" borderId="9" xfId="0" applyNumberFormat="1" applyFont="1" applyBorder="1" applyAlignment="1" applyProtection="1">
      <alignment horizontal="center" vertical="top" wrapText="1"/>
      <protection locked="0"/>
    </xf>
    <xf numFmtId="0" fontId="7" fillId="0" borderId="10" xfId="0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24" xfId="1" applyNumberFormat="1" applyFont="1" applyBorder="1" applyAlignment="1" applyProtection="1">
      <alignment horizontal="center" vertical="center" wrapText="1"/>
      <protection locked="0"/>
    </xf>
    <xf numFmtId="1" fontId="8" fillId="0" borderId="10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0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8" xfId="1" applyNumberFormat="1" applyFont="1" applyBorder="1" applyAlignment="1" applyProtection="1">
      <alignment horizontal="center" vertical="center" wrapText="1"/>
      <protection locked="0"/>
    </xf>
    <xf numFmtId="1" fontId="6" fillId="0" borderId="29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9" xfId="0" applyNumberFormat="1" applyFont="1" applyBorder="1" applyAlignment="1" applyProtection="1">
      <alignment horizontal="center" vertical="top" wrapText="1"/>
      <protection locked="0"/>
    </xf>
    <xf numFmtId="1" fontId="8" fillId="0" borderId="10" xfId="0" applyNumberFormat="1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8" fillId="0" borderId="22" xfId="1" applyNumberFormat="1" applyFont="1" applyBorder="1" applyAlignment="1" applyProtection="1">
      <alignment horizontal="center" vertical="top" wrapText="1"/>
      <protection locked="0"/>
    </xf>
    <xf numFmtId="1" fontId="8" fillId="0" borderId="23" xfId="1" applyNumberFormat="1" applyFont="1" applyBorder="1" applyAlignment="1" applyProtection="1">
      <alignment horizontal="center" vertical="top" wrapText="1"/>
      <protection locked="0"/>
    </xf>
    <xf numFmtId="0" fontId="8" fillId="0" borderId="25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0" fillId="2" borderId="1" xfId="1" applyFont="1" applyFill="1" applyBorder="1" applyAlignment="1" applyProtection="1">
      <alignment horizontal="left" vertical="top" wrapText="1"/>
      <protection locked="0"/>
    </xf>
    <xf numFmtId="0" fontId="10" fillId="2" borderId="1" xfId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67" fontId="10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27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0" fillId="0" borderId="9" xfId="0" applyFont="1" applyBorder="1" applyAlignment="1" applyProtection="1">
      <alignment horizontal="center" vertical="top" wrapText="1"/>
      <protection locked="0"/>
    </xf>
    <xf numFmtId="0" fontId="10" fillId="0" borderId="10" xfId="0" applyFont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9" xfId="0" applyNumberFormat="1" applyFont="1" applyBorder="1" applyAlignment="1" applyProtection="1">
      <alignment horizontal="center" vertical="center" wrapText="1"/>
      <protection locked="0"/>
    </xf>
    <xf numFmtId="1" fontId="8" fillId="0" borderId="24" xfId="0" applyNumberFormat="1" applyFont="1" applyBorder="1" applyAlignment="1" applyProtection="1">
      <alignment horizontal="center" vertical="center" wrapText="1"/>
      <protection locked="0"/>
    </xf>
    <xf numFmtId="1" fontId="8" fillId="0" borderId="10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center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5" fillId="0" borderId="1" xfId="1" applyFont="1" applyBorder="1" applyAlignment="1" applyProtection="1">
      <alignment horizontal="left" vertical="top" wrapText="1"/>
      <protection locked="0"/>
    </xf>
    <xf numFmtId="0" fontId="15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5" fillId="0" borderId="1" xfId="1" applyFont="1" applyBorder="1" applyAlignment="1" applyProtection="1">
      <alignment horizontal="left" vertical="center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9" fontId="12" fillId="2" borderId="3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3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30" xfId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1" fontId="10" fillId="0" borderId="9" xfId="0" applyNumberFormat="1" applyFont="1" applyBorder="1" applyAlignment="1" applyProtection="1">
      <alignment horizontal="center" vertical="center"/>
      <protection locked="0"/>
    </xf>
    <xf numFmtId="1" fontId="10" fillId="0" borderId="9" xfId="0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30" xfId="1" applyFont="1" applyBorder="1" applyAlignment="1" applyProtection="1">
      <alignment horizontal="center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23" fillId="0" borderId="9" xfId="9" applyBorder="1" applyAlignment="1" applyProtection="1">
      <alignment horizontal="left" vertical="top"/>
      <protection locked="0"/>
    </xf>
    <xf numFmtId="0" fontId="7" fillId="0" borderId="24" xfId="1" applyFont="1" applyBorder="1" applyAlignment="1" applyProtection="1">
      <alignment horizontal="left" vertical="top"/>
      <protection locked="0"/>
    </xf>
    <xf numFmtId="0" fontId="7" fillId="0" borderId="10" xfId="1" applyFont="1" applyBorder="1" applyAlignment="1" applyProtection="1">
      <alignment horizontal="left" vertical="top"/>
      <protection locked="0"/>
    </xf>
    <xf numFmtId="0" fontId="8" fillId="0" borderId="32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2" xfId="1" applyFont="1" applyBorder="1" applyAlignment="1" applyProtection="1">
      <alignment horizontal="left" vertical="top" wrapText="1"/>
      <protection locked="0"/>
    </xf>
    <xf numFmtId="0" fontId="13" fillId="0" borderId="33" xfId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0" fillId="3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</cellXfs>
  <cellStyles count="10">
    <cellStyle name="Comma 2" xfId="6"/>
    <cellStyle name="Excel Built-in Normal" xfId="2"/>
    <cellStyle name="Excel Built-in Normal 2" xfId="4"/>
    <cellStyle name="Hyperlink" xfId="9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40342</xdr:colOff>
      <xdr:row>346</xdr:row>
      <xdr:rowOff>175134</xdr:rowOff>
    </xdr:from>
    <xdr:to>
      <xdr:col>6</xdr:col>
      <xdr:colOff>738008</xdr:colOff>
      <xdr:row>365</xdr:row>
      <xdr:rowOff>115134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97960" y="53716840"/>
          <a:ext cx="4059430" cy="377241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44824</xdr:colOff>
      <xdr:row>327</xdr:row>
      <xdr:rowOff>20237</xdr:rowOff>
    </xdr:from>
    <xdr:to>
      <xdr:col>6</xdr:col>
      <xdr:colOff>760419</xdr:colOff>
      <xdr:row>346</xdr:row>
      <xdr:rowOff>61378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02442" y="49729531"/>
          <a:ext cx="4077359" cy="387355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974910</xdr:colOff>
      <xdr:row>289</xdr:row>
      <xdr:rowOff>33617</xdr:rowOff>
    </xdr:from>
    <xdr:to>
      <xdr:col>11</xdr:col>
      <xdr:colOff>560292</xdr:colOff>
      <xdr:row>293</xdr:row>
      <xdr:rowOff>145676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7989792" y="44083941"/>
          <a:ext cx="2398059" cy="91888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800" b="1">
              <a:ln>
                <a:noFill/>
              </a:ln>
              <a:solidFill>
                <a:srgbClr val="002060"/>
              </a:solidFill>
            </a:rPr>
            <a:t>A</a:t>
          </a:r>
        </a:p>
      </xdr:txBody>
    </xdr:sp>
    <xdr:clientData/>
  </xdr:twoCellAnchor>
  <xdr:oneCellAnchor>
    <xdr:from>
      <xdr:col>8</xdr:col>
      <xdr:colOff>878542</xdr:colOff>
      <xdr:row>289</xdr:row>
      <xdr:rowOff>72278</xdr:rowOff>
    </xdr:from>
    <xdr:ext cx="1336648" cy="405432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7403167" y="53355128"/>
          <a:ext cx="1336648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2000" b="1">
              <a:solidFill>
                <a:srgbClr val="FFFF00"/>
              </a:solidFill>
            </a:rPr>
            <a:t>Wing E</a:t>
          </a:r>
          <a:r>
            <a:rPr lang="en-IN" sz="2000" b="1" baseline="0">
              <a:solidFill>
                <a:srgbClr val="FFFF00"/>
              </a:solidFill>
            </a:rPr>
            <a:t> &amp; F</a:t>
          </a:r>
          <a:endParaRPr lang="en-IN" sz="2000" b="1">
            <a:solidFill>
              <a:srgbClr val="FFFF00"/>
            </a:solidFill>
          </a:endParaRPr>
        </a:p>
      </xdr:txBody>
    </xdr:sp>
    <xdr:clientData/>
  </xdr:oneCellAnchor>
  <xdr:oneCellAnchor>
    <xdr:from>
      <xdr:col>11</xdr:col>
      <xdr:colOff>202267</xdr:colOff>
      <xdr:row>300</xdr:row>
      <xdr:rowOff>29695</xdr:rowOff>
    </xdr:from>
    <xdr:ext cx="952633" cy="405432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9355792" y="55512820"/>
          <a:ext cx="952633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2000" b="1">
              <a:solidFill>
                <a:srgbClr val="FFFF00"/>
              </a:solidFill>
            </a:rPr>
            <a:t>Wing</a:t>
          </a:r>
          <a:r>
            <a:rPr lang="en-IN" sz="2000" b="1" baseline="0">
              <a:solidFill>
                <a:srgbClr val="FFFF00"/>
              </a:solidFill>
            </a:rPr>
            <a:t> A</a:t>
          </a:r>
          <a:endParaRPr lang="en-IN" sz="2000" b="1">
            <a:solidFill>
              <a:srgbClr val="FFFF00"/>
            </a:solidFill>
          </a:endParaRPr>
        </a:p>
      </xdr:txBody>
    </xdr:sp>
    <xdr:clientData/>
  </xdr:oneCellAnchor>
  <xdr:oneCellAnchor>
    <xdr:from>
      <xdr:col>17</xdr:col>
      <xdr:colOff>19052</xdr:colOff>
      <xdr:row>299</xdr:row>
      <xdr:rowOff>169208</xdr:rowOff>
    </xdr:from>
    <xdr:ext cx="940963" cy="405432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11363327" y="55452308"/>
          <a:ext cx="940963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2000" b="1">
              <a:solidFill>
                <a:srgbClr val="FFFF00"/>
              </a:solidFill>
            </a:rPr>
            <a:t>Wing</a:t>
          </a:r>
          <a:r>
            <a:rPr lang="en-IN" sz="2000" b="1" baseline="0">
              <a:solidFill>
                <a:srgbClr val="FFFF00"/>
              </a:solidFill>
            </a:rPr>
            <a:t> B</a:t>
          </a:r>
          <a:endParaRPr lang="en-IN" sz="2000" b="1">
            <a:solidFill>
              <a:srgbClr val="FFFF00"/>
            </a:solidFill>
          </a:endParaRPr>
        </a:p>
      </xdr:txBody>
    </xdr:sp>
    <xdr:clientData/>
  </xdr:oneCellAnchor>
  <xdr:oneCellAnchor>
    <xdr:from>
      <xdr:col>8</xdr:col>
      <xdr:colOff>121025</xdr:colOff>
      <xdr:row>309</xdr:row>
      <xdr:rowOff>31936</xdr:rowOff>
    </xdr:from>
    <xdr:ext cx="932948" cy="405432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6645650" y="57315286"/>
          <a:ext cx="932948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2000" b="1">
              <a:solidFill>
                <a:srgbClr val="FFFF00"/>
              </a:solidFill>
            </a:rPr>
            <a:t>Wing</a:t>
          </a:r>
          <a:r>
            <a:rPr lang="en-IN" sz="2000" b="1" baseline="0">
              <a:solidFill>
                <a:srgbClr val="FFFF00"/>
              </a:solidFill>
            </a:rPr>
            <a:t> C</a:t>
          </a:r>
          <a:endParaRPr lang="en-IN" sz="2000" b="1">
            <a:solidFill>
              <a:srgbClr val="FFFF00"/>
            </a:solidFill>
          </a:endParaRPr>
        </a:p>
      </xdr:txBody>
    </xdr:sp>
    <xdr:clientData/>
  </xdr:oneCellAnchor>
  <xdr:oneCellAnchor>
    <xdr:from>
      <xdr:col>8</xdr:col>
      <xdr:colOff>0</xdr:colOff>
      <xdr:row>292</xdr:row>
      <xdr:rowOff>90048</xdr:rowOff>
    </xdr:from>
    <xdr:ext cx="1336648" cy="405432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524625" y="53753898"/>
          <a:ext cx="1336648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2000" b="1">
              <a:solidFill>
                <a:sysClr val="windowText" lastClr="000000"/>
              </a:solidFill>
            </a:rPr>
            <a:t>Wing E</a:t>
          </a:r>
          <a:r>
            <a:rPr lang="en-IN" sz="2000" b="1" baseline="0">
              <a:solidFill>
                <a:sysClr val="windowText" lastClr="000000"/>
              </a:solidFill>
            </a:rPr>
            <a:t> &amp; F</a:t>
          </a:r>
          <a:endParaRPr lang="en-IN" sz="2000" b="1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11</xdr:col>
      <xdr:colOff>387366</xdr:colOff>
      <xdr:row>292</xdr:row>
      <xdr:rowOff>90048</xdr:rowOff>
    </xdr:from>
    <xdr:ext cx="960648" cy="405432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9540891" y="53753898"/>
          <a:ext cx="960648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2000" b="1">
              <a:solidFill>
                <a:sysClr val="windowText" lastClr="000000"/>
              </a:solidFill>
            </a:rPr>
            <a:t>Wing G</a:t>
          </a:r>
        </a:p>
      </xdr:txBody>
    </xdr:sp>
    <xdr:clientData/>
  </xdr:oneCellAnchor>
  <xdr:oneCellAnchor>
    <xdr:from>
      <xdr:col>16</xdr:col>
      <xdr:colOff>573758</xdr:colOff>
      <xdr:row>292</xdr:row>
      <xdr:rowOff>90048</xdr:rowOff>
    </xdr:from>
    <xdr:ext cx="958980" cy="405432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11308433" y="53753898"/>
          <a:ext cx="958980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2000" b="1">
              <a:solidFill>
                <a:sysClr val="windowText" lastClr="000000"/>
              </a:solidFill>
            </a:rPr>
            <a:t>Wing H</a:t>
          </a:r>
        </a:p>
      </xdr:txBody>
    </xdr:sp>
    <xdr:clientData/>
  </xdr:oneCellAnchor>
  <xdr:oneCellAnchor>
    <xdr:from>
      <xdr:col>9</xdr:col>
      <xdr:colOff>695325</xdr:colOff>
      <xdr:row>284</xdr:row>
      <xdr:rowOff>57150</xdr:rowOff>
    </xdr:from>
    <xdr:ext cx="771173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8382000" y="52311300"/>
          <a:ext cx="7711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rgbClr val="FFFF00"/>
              </a:solidFill>
            </a:rPr>
            <a:t>Basement</a:t>
          </a:r>
        </a:p>
      </xdr:txBody>
    </xdr:sp>
    <xdr:clientData/>
  </xdr:oneCellAnchor>
  <xdr:oneCellAnchor>
    <xdr:from>
      <xdr:col>9</xdr:col>
      <xdr:colOff>625629</xdr:colOff>
      <xdr:row>283</xdr:row>
      <xdr:rowOff>19050</xdr:rowOff>
    </xdr:from>
    <xdr:ext cx="788999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8312304" y="52073175"/>
          <a:ext cx="7889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rgbClr val="FFFF00"/>
              </a:solidFill>
            </a:rPr>
            <a:t>Ground flr</a:t>
          </a:r>
        </a:p>
      </xdr:txBody>
    </xdr:sp>
    <xdr:clientData/>
  </xdr:oneCellAnchor>
  <xdr:oneCellAnchor>
    <xdr:from>
      <xdr:col>9</xdr:col>
      <xdr:colOff>701829</xdr:colOff>
      <xdr:row>282</xdr:row>
      <xdr:rowOff>0</xdr:rowOff>
    </xdr:from>
    <xdr:ext cx="522644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8388504" y="51863625"/>
          <a:ext cx="52264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rgbClr val="FFFF00"/>
              </a:solidFill>
            </a:rPr>
            <a:t>1st flr</a:t>
          </a:r>
        </a:p>
      </xdr:txBody>
    </xdr:sp>
    <xdr:clientData/>
  </xdr:oneCellAnchor>
  <xdr:oneCellAnchor>
    <xdr:from>
      <xdr:col>11</xdr:col>
      <xdr:colOff>119914</xdr:colOff>
      <xdr:row>296</xdr:row>
      <xdr:rowOff>175403</xdr:rowOff>
    </xdr:from>
    <xdr:ext cx="771173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9730639" y="45723953"/>
          <a:ext cx="7711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rgbClr val="FFFF00"/>
              </a:solidFill>
            </a:rPr>
            <a:t>Basement</a:t>
          </a:r>
        </a:p>
      </xdr:txBody>
    </xdr:sp>
    <xdr:clientData/>
  </xdr:oneCellAnchor>
  <xdr:oneCellAnchor>
    <xdr:from>
      <xdr:col>8</xdr:col>
      <xdr:colOff>993193</xdr:colOff>
      <xdr:row>299</xdr:row>
      <xdr:rowOff>3953</xdr:rowOff>
    </xdr:from>
    <xdr:ext cx="788999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975018" y="46152578"/>
          <a:ext cx="7889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rgbClr val="FFFF00"/>
              </a:solidFill>
            </a:rPr>
            <a:t>Ground flr</a:t>
          </a:r>
        </a:p>
      </xdr:txBody>
    </xdr:sp>
    <xdr:clientData/>
  </xdr:oneCellAnchor>
  <xdr:oneCellAnchor>
    <xdr:from>
      <xdr:col>10</xdr:col>
      <xdr:colOff>183568</xdr:colOff>
      <xdr:row>294</xdr:row>
      <xdr:rowOff>32528</xdr:rowOff>
    </xdr:from>
    <xdr:ext cx="522644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9089443" y="45181028"/>
          <a:ext cx="52264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rgbClr val="FFFF00"/>
              </a:solidFill>
            </a:rPr>
            <a:t>1st flr</a:t>
          </a:r>
        </a:p>
      </xdr:txBody>
    </xdr:sp>
    <xdr:clientData/>
  </xdr:oneCellAnchor>
  <xdr:oneCellAnchor>
    <xdr:from>
      <xdr:col>10</xdr:col>
      <xdr:colOff>364543</xdr:colOff>
      <xdr:row>342</xdr:row>
      <xdr:rowOff>137303</xdr:rowOff>
    </xdr:from>
    <xdr:ext cx="788999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9270418" y="54486953"/>
          <a:ext cx="7889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rgbClr val="FFFF00"/>
              </a:solidFill>
            </a:rPr>
            <a:t>Ground flr</a:t>
          </a:r>
        </a:p>
      </xdr:txBody>
    </xdr:sp>
    <xdr:clientData/>
  </xdr:oneCellAnchor>
  <xdr:oneCellAnchor>
    <xdr:from>
      <xdr:col>10</xdr:col>
      <xdr:colOff>469318</xdr:colOff>
      <xdr:row>289</xdr:row>
      <xdr:rowOff>194453</xdr:rowOff>
    </xdr:from>
    <xdr:ext cx="788999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9375193" y="44342828"/>
          <a:ext cx="7889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rgbClr val="FFFF00"/>
              </a:solidFill>
            </a:rPr>
            <a:t>Ground flr</a:t>
          </a:r>
        </a:p>
      </xdr:txBody>
    </xdr:sp>
    <xdr:clientData/>
  </xdr:oneCellAnchor>
  <xdr:oneCellAnchor>
    <xdr:from>
      <xdr:col>10</xdr:col>
      <xdr:colOff>424714</xdr:colOff>
      <xdr:row>291</xdr:row>
      <xdr:rowOff>146828</xdr:rowOff>
    </xdr:from>
    <xdr:ext cx="771173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9330589" y="44695253"/>
          <a:ext cx="7711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rgbClr val="FFFF00"/>
              </a:solidFill>
            </a:rPr>
            <a:t>Basement</a:t>
          </a:r>
        </a:p>
      </xdr:txBody>
    </xdr:sp>
    <xdr:clientData/>
  </xdr:oneCellAnchor>
  <xdr:oneCellAnchor>
    <xdr:from>
      <xdr:col>10</xdr:col>
      <xdr:colOff>478843</xdr:colOff>
      <xdr:row>288</xdr:row>
      <xdr:rowOff>51578</xdr:rowOff>
    </xdr:from>
    <xdr:ext cx="522644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9384718" y="43999928"/>
          <a:ext cx="52264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rgbClr val="FFFF00"/>
              </a:solidFill>
            </a:rPr>
            <a:t>1st flr</a:t>
          </a:r>
        </a:p>
      </xdr:txBody>
    </xdr:sp>
    <xdr:clientData/>
  </xdr:oneCellAnchor>
  <xdr:oneCellAnchor>
    <xdr:from>
      <xdr:col>8</xdr:col>
      <xdr:colOff>739929</xdr:colOff>
      <xdr:row>306</xdr:row>
      <xdr:rowOff>142876</xdr:rowOff>
    </xdr:from>
    <xdr:ext cx="788999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 rot="262605">
          <a:off x="7721754" y="47691676"/>
          <a:ext cx="7889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rgbClr val="FFFF00"/>
              </a:solidFill>
            </a:rPr>
            <a:t>Ground flr</a:t>
          </a:r>
        </a:p>
      </xdr:txBody>
    </xdr:sp>
    <xdr:clientData/>
  </xdr:oneCellAnchor>
  <xdr:oneCellAnchor>
    <xdr:from>
      <xdr:col>8</xdr:col>
      <xdr:colOff>1120929</xdr:colOff>
      <xdr:row>303</xdr:row>
      <xdr:rowOff>19050</xdr:rowOff>
    </xdr:from>
    <xdr:ext cx="522644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 rot="291250">
          <a:off x="8102754" y="46967775"/>
          <a:ext cx="52264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rgbClr val="FFFF00"/>
              </a:solidFill>
            </a:rPr>
            <a:t>1st flr</a:t>
          </a:r>
        </a:p>
      </xdr:txBody>
    </xdr:sp>
    <xdr:clientData/>
  </xdr:oneCellAnchor>
  <xdr:oneCellAnchor>
    <xdr:from>
      <xdr:col>17</xdr:col>
      <xdr:colOff>442504</xdr:colOff>
      <xdr:row>291</xdr:row>
      <xdr:rowOff>57262</xdr:rowOff>
    </xdr:from>
    <xdr:ext cx="788999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12264710" y="42706850"/>
          <a:ext cx="7889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rgbClr val="FFFF00"/>
              </a:solidFill>
            </a:rPr>
            <a:t>Ground flr</a:t>
          </a:r>
        </a:p>
      </xdr:txBody>
    </xdr:sp>
    <xdr:clientData/>
  </xdr:oneCellAnchor>
  <xdr:oneCellAnchor>
    <xdr:from>
      <xdr:col>17</xdr:col>
      <xdr:colOff>397900</xdr:colOff>
      <xdr:row>293</xdr:row>
      <xdr:rowOff>9637</xdr:rowOff>
    </xdr:from>
    <xdr:ext cx="771173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12220106" y="43062637"/>
          <a:ext cx="7711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rgbClr val="FFFF00"/>
              </a:solidFill>
            </a:rPr>
            <a:t>Basement</a:t>
          </a:r>
        </a:p>
      </xdr:txBody>
    </xdr:sp>
    <xdr:clientData/>
  </xdr:oneCellAnchor>
  <xdr:oneCellAnchor>
    <xdr:from>
      <xdr:col>17</xdr:col>
      <xdr:colOff>533672</xdr:colOff>
      <xdr:row>288</xdr:row>
      <xdr:rowOff>170521</xdr:rowOff>
    </xdr:from>
    <xdr:ext cx="522644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12355878" y="42214992"/>
          <a:ext cx="52264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rgbClr val="FFFF00"/>
              </a:solidFill>
            </a:rPr>
            <a:t>1st flr</a:t>
          </a:r>
        </a:p>
      </xdr:txBody>
    </xdr:sp>
    <xdr:clientData/>
  </xdr:oneCellAnchor>
  <xdr:oneCellAnchor>
    <xdr:from>
      <xdr:col>12</xdr:col>
      <xdr:colOff>83916</xdr:colOff>
      <xdr:row>290</xdr:row>
      <xdr:rowOff>95682</xdr:rowOff>
    </xdr:from>
    <xdr:ext cx="788999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10505387" y="42543564"/>
          <a:ext cx="7889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rgbClr val="FFFF00"/>
              </a:solidFill>
            </a:rPr>
            <a:t>Ground flr</a:t>
          </a:r>
        </a:p>
      </xdr:txBody>
    </xdr:sp>
    <xdr:clientData/>
  </xdr:oneCellAnchor>
  <xdr:oneCellAnchor>
    <xdr:from>
      <xdr:col>12</xdr:col>
      <xdr:colOff>93441</xdr:colOff>
      <xdr:row>288</xdr:row>
      <xdr:rowOff>156913</xdr:rowOff>
    </xdr:from>
    <xdr:ext cx="522644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10514912" y="42201384"/>
          <a:ext cx="52264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rgbClr val="FFFF00"/>
              </a:solidFill>
            </a:rPr>
            <a:t>1st flr</a:t>
          </a:r>
        </a:p>
      </xdr:txBody>
    </xdr:sp>
    <xdr:clientData/>
  </xdr:oneCellAnchor>
  <xdr:oneCellAnchor>
    <xdr:from>
      <xdr:col>8</xdr:col>
      <xdr:colOff>878542</xdr:colOff>
      <xdr:row>325</xdr:row>
      <xdr:rowOff>0</xdr:rowOff>
    </xdr:from>
    <xdr:ext cx="1336648" cy="405432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8288992" y="42039428"/>
          <a:ext cx="1336648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2000" b="1">
              <a:solidFill>
                <a:srgbClr val="FFFF00"/>
              </a:solidFill>
            </a:rPr>
            <a:t>Wing E</a:t>
          </a:r>
          <a:r>
            <a:rPr lang="en-IN" sz="2000" b="1" baseline="0">
              <a:solidFill>
                <a:srgbClr val="FFFF00"/>
              </a:solidFill>
            </a:rPr>
            <a:t> &amp; F</a:t>
          </a:r>
          <a:endParaRPr lang="en-IN" sz="2000" b="1">
            <a:solidFill>
              <a:srgbClr val="FFFF00"/>
            </a:solidFill>
          </a:endParaRPr>
        </a:p>
      </xdr:txBody>
    </xdr:sp>
    <xdr:clientData/>
  </xdr:oneCellAnchor>
  <xdr:oneCellAnchor>
    <xdr:from>
      <xdr:col>11</xdr:col>
      <xdr:colOff>202267</xdr:colOff>
      <xdr:row>325</xdr:row>
      <xdr:rowOff>0</xdr:rowOff>
    </xdr:from>
    <xdr:ext cx="952633" cy="405432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10368617" y="44162195"/>
          <a:ext cx="952633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2000" b="1">
              <a:solidFill>
                <a:srgbClr val="FFFF00"/>
              </a:solidFill>
            </a:rPr>
            <a:t>Wing</a:t>
          </a:r>
          <a:r>
            <a:rPr lang="en-IN" sz="2000" b="1" baseline="0">
              <a:solidFill>
                <a:srgbClr val="FFFF00"/>
              </a:solidFill>
            </a:rPr>
            <a:t> A</a:t>
          </a:r>
          <a:endParaRPr lang="en-IN" sz="2000" b="1">
            <a:solidFill>
              <a:srgbClr val="FFFF00"/>
            </a:solidFill>
          </a:endParaRPr>
        </a:p>
      </xdr:txBody>
    </xdr:sp>
    <xdr:clientData/>
  </xdr:oneCellAnchor>
  <xdr:oneCellAnchor>
    <xdr:from>
      <xdr:col>17</xdr:col>
      <xdr:colOff>19052</xdr:colOff>
      <xdr:row>325</xdr:row>
      <xdr:rowOff>0</xdr:rowOff>
    </xdr:from>
    <xdr:ext cx="940963" cy="405432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12477752" y="44104858"/>
          <a:ext cx="940963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2000" b="1">
              <a:solidFill>
                <a:srgbClr val="FFFF00"/>
              </a:solidFill>
            </a:rPr>
            <a:t>Wing</a:t>
          </a:r>
          <a:r>
            <a:rPr lang="en-IN" sz="2000" b="1" baseline="0">
              <a:solidFill>
                <a:srgbClr val="FFFF00"/>
              </a:solidFill>
            </a:rPr>
            <a:t> B</a:t>
          </a:r>
          <a:endParaRPr lang="en-IN" sz="2000" b="1">
            <a:solidFill>
              <a:srgbClr val="FFFF00"/>
            </a:solidFill>
          </a:endParaRPr>
        </a:p>
      </xdr:txBody>
    </xdr:sp>
    <xdr:clientData/>
  </xdr:oneCellAnchor>
  <xdr:oneCellAnchor>
    <xdr:from>
      <xdr:col>8</xdr:col>
      <xdr:colOff>121025</xdr:colOff>
      <xdr:row>325</xdr:row>
      <xdr:rowOff>0</xdr:rowOff>
    </xdr:from>
    <xdr:ext cx="932948" cy="405432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7531475" y="45936086"/>
          <a:ext cx="932948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2000" b="1">
              <a:solidFill>
                <a:srgbClr val="FFFF00"/>
              </a:solidFill>
            </a:rPr>
            <a:t>Wing</a:t>
          </a:r>
          <a:r>
            <a:rPr lang="en-IN" sz="2000" b="1" baseline="0">
              <a:solidFill>
                <a:srgbClr val="FFFF00"/>
              </a:solidFill>
            </a:rPr>
            <a:t> C</a:t>
          </a:r>
          <a:endParaRPr lang="en-IN" sz="2000" b="1">
            <a:solidFill>
              <a:srgbClr val="FFFF00"/>
            </a:solidFill>
          </a:endParaRPr>
        </a:p>
      </xdr:txBody>
    </xdr:sp>
    <xdr:clientData/>
  </xdr:oneCellAnchor>
  <xdr:oneCellAnchor>
    <xdr:from>
      <xdr:col>8</xdr:col>
      <xdr:colOff>197334</xdr:colOff>
      <xdr:row>323</xdr:row>
      <xdr:rowOff>0</xdr:rowOff>
    </xdr:from>
    <xdr:ext cx="799065" cy="342786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7607784" y="40005000"/>
          <a:ext cx="799065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600" b="1">
              <a:solidFill>
                <a:sysClr val="windowText" lastClr="000000"/>
              </a:solidFill>
            </a:rPr>
            <a:t>Wing A</a:t>
          </a:r>
        </a:p>
      </xdr:txBody>
    </xdr:sp>
    <xdr:clientData/>
  </xdr:oneCellAnchor>
  <xdr:oneCellAnchor>
    <xdr:from>
      <xdr:col>10</xdr:col>
      <xdr:colOff>339026</xdr:colOff>
      <xdr:row>323</xdr:row>
      <xdr:rowOff>0</xdr:rowOff>
    </xdr:from>
    <xdr:ext cx="789768" cy="342786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9768776" y="40005000"/>
          <a:ext cx="78976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600" b="1">
              <a:solidFill>
                <a:sysClr val="windowText" lastClr="000000"/>
              </a:solidFill>
            </a:rPr>
            <a:t>Wing B</a:t>
          </a:r>
        </a:p>
      </xdr:txBody>
    </xdr:sp>
    <xdr:clientData/>
  </xdr:oneCellAnchor>
  <xdr:oneCellAnchor>
    <xdr:from>
      <xdr:col>8</xdr:col>
      <xdr:colOff>0</xdr:colOff>
      <xdr:row>325</xdr:row>
      <xdr:rowOff>0</xdr:rowOff>
    </xdr:from>
    <xdr:ext cx="1336648" cy="405432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410450" y="42647748"/>
          <a:ext cx="1336648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2000" b="1">
              <a:solidFill>
                <a:sysClr val="windowText" lastClr="000000"/>
              </a:solidFill>
            </a:rPr>
            <a:t>Wing E</a:t>
          </a:r>
          <a:r>
            <a:rPr lang="en-IN" sz="2000" b="1" baseline="0">
              <a:solidFill>
                <a:sysClr val="windowText" lastClr="000000"/>
              </a:solidFill>
            </a:rPr>
            <a:t> &amp; F</a:t>
          </a:r>
          <a:endParaRPr lang="en-IN" sz="2000" b="1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11</xdr:col>
      <xdr:colOff>387366</xdr:colOff>
      <xdr:row>325</xdr:row>
      <xdr:rowOff>0</xdr:rowOff>
    </xdr:from>
    <xdr:ext cx="960648" cy="405432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10553716" y="42647748"/>
          <a:ext cx="960648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2000" b="1">
              <a:solidFill>
                <a:sysClr val="windowText" lastClr="000000"/>
              </a:solidFill>
            </a:rPr>
            <a:t>Wing G</a:t>
          </a:r>
        </a:p>
      </xdr:txBody>
    </xdr:sp>
    <xdr:clientData/>
  </xdr:oneCellAnchor>
  <xdr:oneCellAnchor>
    <xdr:from>
      <xdr:col>16</xdr:col>
      <xdr:colOff>573758</xdr:colOff>
      <xdr:row>325</xdr:row>
      <xdr:rowOff>0</xdr:rowOff>
    </xdr:from>
    <xdr:ext cx="958980" cy="405432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12391108" y="42647748"/>
          <a:ext cx="958980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2000" b="1">
              <a:solidFill>
                <a:sysClr val="windowText" lastClr="000000"/>
              </a:solidFill>
            </a:rPr>
            <a:t>Wing H</a:t>
          </a:r>
        </a:p>
      </xdr:txBody>
    </xdr:sp>
    <xdr:clientData/>
  </xdr:oneCellAnchor>
  <xdr:oneCellAnchor>
    <xdr:from>
      <xdr:col>9</xdr:col>
      <xdr:colOff>695325</xdr:colOff>
      <xdr:row>325</xdr:row>
      <xdr:rowOff>0</xdr:rowOff>
    </xdr:from>
    <xdr:ext cx="771173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9324975" y="41040050"/>
          <a:ext cx="7711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rgbClr val="FFFF00"/>
              </a:solidFill>
            </a:rPr>
            <a:t>Basement</a:t>
          </a:r>
        </a:p>
      </xdr:txBody>
    </xdr:sp>
    <xdr:clientData/>
  </xdr:oneCellAnchor>
  <xdr:oneCellAnchor>
    <xdr:from>
      <xdr:col>9</xdr:col>
      <xdr:colOff>625629</xdr:colOff>
      <xdr:row>325</xdr:row>
      <xdr:rowOff>0</xdr:rowOff>
    </xdr:from>
    <xdr:ext cx="788999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9255279" y="40805100"/>
          <a:ext cx="7889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rgbClr val="FFFF00"/>
              </a:solidFill>
            </a:rPr>
            <a:t>Ground flr</a:t>
          </a:r>
        </a:p>
      </xdr:txBody>
    </xdr:sp>
    <xdr:clientData/>
  </xdr:oneCellAnchor>
  <xdr:oneCellAnchor>
    <xdr:from>
      <xdr:col>9</xdr:col>
      <xdr:colOff>701829</xdr:colOff>
      <xdr:row>325</xdr:row>
      <xdr:rowOff>0</xdr:rowOff>
    </xdr:from>
    <xdr:ext cx="522644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9331479" y="40595550"/>
          <a:ext cx="52264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rgbClr val="FFFF00"/>
              </a:solidFill>
            </a:rPr>
            <a:t>1st flr</a:t>
          </a:r>
        </a:p>
      </xdr:txBody>
    </xdr:sp>
    <xdr:clientData/>
  </xdr:oneCellAnchor>
  <xdr:oneCellAnchor>
    <xdr:from>
      <xdr:col>11</xdr:col>
      <xdr:colOff>119914</xdr:colOff>
      <xdr:row>325</xdr:row>
      <xdr:rowOff>0</xdr:rowOff>
    </xdr:from>
    <xdr:ext cx="771173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10286264" y="43520503"/>
          <a:ext cx="7711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rgbClr val="FFFF00"/>
              </a:solidFill>
            </a:rPr>
            <a:t>Basement</a:t>
          </a:r>
        </a:p>
      </xdr:txBody>
    </xdr:sp>
    <xdr:clientData/>
  </xdr:oneCellAnchor>
  <xdr:oneCellAnchor>
    <xdr:from>
      <xdr:col>8</xdr:col>
      <xdr:colOff>993193</xdr:colOff>
      <xdr:row>325</xdr:row>
      <xdr:rowOff>0</xdr:rowOff>
    </xdr:from>
    <xdr:ext cx="788999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8403643" y="43939603"/>
          <a:ext cx="7889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rgbClr val="FFFF00"/>
              </a:solidFill>
            </a:rPr>
            <a:t>Ground flr</a:t>
          </a:r>
        </a:p>
      </xdr:txBody>
    </xdr:sp>
    <xdr:clientData/>
  </xdr:oneCellAnchor>
  <xdr:oneCellAnchor>
    <xdr:from>
      <xdr:col>10</xdr:col>
      <xdr:colOff>183568</xdr:colOff>
      <xdr:row>325</xdr:row>
      <xdr:rowOff>0</xdr:rowOff>
    </xdr:from>
    <xdr:ext cx="522644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9613318" y="42983928"/>
          <a:ext cx="52264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rgbClr val="FFFF00"/>
              </a:solidFill>
            </a:rPr>
            <a:t>1st flr</a:t>
          </a:r>
        </a:p>
      </xdr:txBody>
    </xdr:sp>
    <xdr:clientData/>
  </xdr:oneCellAnchor>
  <xdr:oneCellAnchor>
    <xdr:from>
      <xdr:col>10</xdr:col>
      <xdr:colOff>469318</xdr:colOff>
      <xdr:row>325</xdr:row>
      <xdr:rowOff>0</xdr:rowOff>
    </xdr:from>
    <xdr:ext cx="788999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9899068" y="42161603"/>
          <a:ext cx="7889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rgbClr val="FFFF00"/>
              </a:solidFill>
            </a:rPr>
            <a:t>Ground flr</a:t>
          </a:r>
        </a:p>
      </xdr:txBody>
    </xdr:sp>
    <xdr:clientData/>
  </xdr:oneCellAnchor>
  <xdr:oneCellAnchor>
    <xdr:from>
      <xdr:col>10</xdr:col>
      <xdr:colOff>424714</xdr:colOff>
      <xdr:row>325</xdr:row>
      <xdr:rowOff>0</xdr:rowOff>
    </xdr:from>
    <xdr:ext cx="771173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9854464" y="42507678"/>
          <a:ext cx="7711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rgbClr val="FFFF00"/>
              </a:solidFill>
            </a:rPr>
            <a:t>Basement</a:t>
          </a:r>
        </a:p>
      </xdr:txBody>
    </xdr:sp>
    <xdr:clientData/>
  </xdr:oneCellAnchor>
  <xdr:oneCellAnchor>
    <xdr:from>
      <xdr:col>10</xdr:col>
      <xdr:colOff>478843</xdr:colOff>
      <xdr:row>325</xdr:row>
      <xdr:rowOff>0</xdr:rowOff>
    </xdr:from>
    <xdr:ext cx="522644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9908593" y="41821878"/>
          <a:ext cx="52264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rgbClr val="FFFF00"/>
              </a:solidFill>
            </a:rPr>
            <a:t>1st flr</a:t>
          </a:r>
        </a:p>
      </xdr:txBody>
    </xdr:sp>
    <xdr:clientData/>
  </xdr:oneCellAnchor>
  <xdr:oneCellAnchor>
    <xdr:from>
      <xdr:col>8</xdr:col>
      <xdr:colOff>739929</xdr:colOff>
      <xdr:row>325</xdr:row>
      <xdr:rowOff>0</xdr:rowOff>
    </xdr:from>
    <xdr:ext cx="788999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 rot="262605">
          <a:off x="8150379" y="45456476"/>
          <a:ext cx="7889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rgbClr val="FFFF00"/>
              </a:solidFill>
            </a:rPr>
            <a:t>Ground flr</a:t>
          </a:r>
        </a:p>
      </xdr:txBody>
    </xdr:sp>
    <xdr:clientData/>
  </xdr:oneCellAnchor>
  <xdr:oneCellAnchor>
    <xdr:from>
      <xdr:col>8</xdr:col>
      <xdr:colOff>1120929</xdr:colOff>
      <xdr:row>325</xdr:row>
      <xdr:rowOff>0</xdr:rowOff>
    </xdr:from>
    <xdr:ext cx="522644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 rot="291250">
          <a:off x="8531379" y="44742100"/>
          <a:ext cx="52264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rgbClr val="FFFF00"/>
              </a:solidFill>
            </a:rPr>
            <a:t>1st flr</a:t>
          </a:r>
        </a:p>
      </xdr:txBody>
    </xdr:sp>
    <xdr:clientData/>
  </xdr:oneCellAnchor>
  <xdr:oneCellAnchor>
    <xdr:from>
      <xdr:col>17</xdr:col>
      <xdr:colOff>442504</xdr:colOff>
      <xdr:row>325</xdr:row>
      <xdr:rowOff>0</xdr:rowOff>
    </xdr:from>
    <xdr:ext cx="788999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12901204" y="42418112"/>
          <a:ext cx="7889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rgbClr val="FFFF00"/>
              </a:solidFill>
            </a:rPr>
            <a:t>Ground flr</a:t>
          </a:r>
        </a:p>
      </xdr:txBody>
    </xdr:sp>
    <xdr:clientData/>
  </xdr:oneCellAnchor>
  <xdr:oneCellAnchor>
    <xdr:from>
      <xdr:col>17</xdr:col>
      <xdr:colOff>397900</xdr:colOff>
      <xdr:row>325</xdr:row>
      <xdr:rowOff>0</xdr:rowOff>
    </xdr:from>
    <xdr:ext cx="771173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12856600" y="42764187"/>
          <a:ext cx="77117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rgbClr val="FFFF00"/>
              </a:solidFill>
            </a:rPr>
            <a:t>Basement</a:t>
          </a:r>
        </a:p>
      </xdr:txBody>
    </xdr:sp>
    <xdr:clientData/>
  </xdr:oneCellAnchor>
  <xdr:oneCellAnchor>
    <xdr:from>
      <xdr:col>17</xdr:col>
      <xdr:colOff>533672</xdr:colOff>
      <xdr:row>325</xdr:row>
      <xdr:rowOff>0</xdr:rowOff>
    </xdr:from>
    <xdr:ext cx="522644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12992372" y="41940821"/>
          <a:ext cx="52264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rgbClr val="FFFF00"/>
              </a:solidFill>
            </a:rPr>
            <a:t>1st flr</a:t>
          </a:r>
        </a:p>
      </xdr:txBody>
    </xdr:sp>
    <xdr:clientData/>
  </xdr:oneCellAnchor>
  <xdr:oneCellAnchor>
    <xdr:from>
      <xdr:col>12</xdr:col>
      <xdr:colOff>83916</xdr:colOff>
      <xdr:row>325</xdr:row>
      <xdr:rowOff>0</xdr:rowOff>
    </xdr:from>
    <xdr:ext cx="788999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11075766" y="42259682"/>
          <a:ext cx="78899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rgbClr val="FFFF00"/>
              </a:solidFill>
            </a:rPr>
            <a:t>Ground flr</a:t>
          </a:r>
        </a:p>
      </xdr:txBody>
    </xdr:sp>
    <xdr:clientData/>
  </xdr:oneCellAnchor>
  <xdr:oneCellAnchor>
    <xdr:from>
      <xdr:col>12</xdr:col>
      <xdr:colOff>93441</xdr:colOff>
      <xdr:row>325</xdr:row>
      <xdr:rowOff>0</xdr:rowOff>
    </xdr:from>
    <xdr:ext cx="522644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11085291" y="41927213"/>
          <a:ext cx="52264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>
              <a:solidFill>
                <a:srgbClr val="FFFF00"/>
              </a:solidFill>
            </a:rPr>
            <a:t>1st flr</a:t>
          </a:r>
        </a:p>
      </xdr:txBody>
    </xdr:sp>
    <xdr:clientData/>
  </xdr:oneCellAnchor>
  <xdr:twoCellAnchor>
    <xdr:from>
      <xdr:col>8</xdr:col>
      <xdr:colOff>670560</xdr:colOff>
      <xdr:row>276</xdr:row>
      <xdr:rowOff>26670</xdr:rowOff>
    </xdr:from>
    <xdr:to>
      <xdr:col>20</xdr:col>
      <xdr:colOff>206686</xdr:colOff>
      <xdr:row>304</xdr:row>
      <xdr:rowOff>123818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8106410" y="36589970"/>
          <a:ext cx="6508426" cy="5602598"/>
          <a:chOff x="419100" y="38741350"/>
          <a:chExt cx="6479216" cy="5601328"/>
        </a:xfrm>
      </xdr:grpSpPr>
      <xdr:pic>
        <xdr:nvPicPr>
          <xdr:cNvPr id="103" name="Picture 102">
            <a:extLst>
              <a:ext uri="{FF2B5EF4-FFF2-40B4-BE49-F238E27FC236}">
                <a16:creationId xmlns:a16="http://schemas.microsoft.com/office/drawing/2014/main" id="{00000000-0008-0000-0000-00006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05277" y="41606678"/>
            <a:ext cx="205884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4" name="Picture 103">
            <a:extLst>
              <a:ext uri="{FF2B5EF4-FFF2-40B4-BE49-F238E27FC236}">
                <a16:creationId xmlns:a16="http://schemas.microsoft.com/office/drawing/2014/main" id="{00000000-0008-0000-0000-00006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29288" y="38741350"/>
            <a:ext cx="205884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5" name="Picture 104">
            <a:extLst>
              <a:ext uri="{FF2B5EF4-FFF2-40B4-BE49-F238E27FC236}">
                <a16:creationId xmlns:a16="http://schemas.microsoft.com/office/drawing/2014/main" id="{00000000-0008-0000-0000-00006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9100" y="38741350"/>
            <a:ext cx="205884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6" name="Picture 105">
            <a:extLst>
              <a:ext uri="{FF2B5EF4-FFF2-40B4-BE49-F238E27FC236}">
                <a16:creationId xmlns:a16="http://schemas.microsoft.com/office/drawing/2014/main" id="{00000000-0008-0000-0000-00006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39476" y="38741350"/>
            <a:ext cx="205884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7" name="Picture 106">
            <a:extLst>
              <a:ext uri="{FF2B5EF4-FFF2-40B4-BE49-F238E27FC236}">
                <a16:creationId xmlns:a16="http://schemas.microsoft.com/office/drawing/2014/main" id="{00000000-0008-0000-0000-00006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95089" y="41606678"/>
            <a:ext cx="205884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8" name="Picture 107">
            <a:extLst>
              <a:ext uri="{FF2B5EF4-FFF2-40B4-BE49-F238E27FC236}">
                <a16:creationId xmlns:a16="http://schemas.microsoft.com/office/drawing/2014/main" id="{00000000-0008-0000-0000-00006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315465" y="41606678"/>
            <a:ext cx="119907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09" name="TextBox 108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/>
        </xdr:nvSpPr>
        <xdr:spPr>
          <a:xfrm>
            <a:off x="2629288" y="38741350"/>
            <a:ext cx="804066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600" b="1">
                <a:solidFill>
                  <a:sysClr val="windowText" lastClr="000000"/>
                </a:solidFill>
              </a:rPr>
              <a:t>Wing D</a:t>
            </a:r>
          </a:p>
        </xdr:txBody>
      </xdr:sp>
      <xdr:sp macro="" textlink="">
        <xdr:nvSpPr>
          <xdr:cNvPr id="110" name="TextBox 109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/>
        </xdr:nvSpPr>
        <xdr:spPr>
          <a:xfrm>
            <a:off x="5525276" y="40690800"/>
            <a:ext cx="1106329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600" b="1">
                <a:solidFill>
                  <a:srgbClr val="FFFF00"/>
                </a:solidFill>
              </a:rPr>
              <a:t>Wing E &amp; F</a:t>
            </a:r>
          </a:p>
        </xdr:txBody>
      </xdr:sp>
      <xdr:sp macro="" textlink="">
        <xdr:nvSpPr>
          <xdr:cNvPr id="111" name="TextBox 110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/>
        </xdr:nvSpPr>
        <xdr:spPr>
          <a:xfrm>
            <a:off x="1377689" y="43632328"/>
            <a:ext cx="1172244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600" b="1">
                <a:solidFill>
                  <a:srgbClr val="FFFF00"/>
                </a:solidFill>
              </a:rPr>
              <a:t>Wing G</a:t>
            </a:r>
            <a:r>
              <a:rPr lang="en-IN" sz="1600" b="1" baseline="0">
                <a:solidFill>
                  <a:srgbClr val="FFFF00"/>
                </a:solidFill>
              </a:rPr>
              <a:t> &amp; H</a:t>
            </a:r>
            <a:endParaRPr lang="en-IN" sz="1600" b="1">
              <a:solidFill>
                <a:srgbClr val="FFFF00"/>
              </a:solidFill>
            </a:endParaRPr>
          </a:p>
        </xdr:txBody>
      </xdr:sp>
      <xdr:sp macro="" textlink="">
        <xdr:nvSpPr>
          <xdr:cNvPr id="112" name="TextBox 111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/>
        </xdr:nvSpPr>
        <xdr:spPr>
          <a:xfrm>
            <a:off x="3410077" y="43822828"/>
            <a:ext cx="1359283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600" b="1">
                <a:solidFill>
                  <a:srgbClr val="FFFF00"/>
                </a:solidFill>
              </a:rPr>
              <a:t>Wing A,</a:t>
            </a:r>
            <a:r>
              <a:rPr lang="en-IN" sz="1600" b="1" baseline="0">
                <a:solidFill>
                  <a:srgbClr val="FFFF00"/>
                </a:solidFill>
              </a:rPr>
              <a:t> B &amp; C</a:t>
            </a:r>
            <a:endParaRPr lang="en-IN" sz="1600" b="1">
              <a:solidFill>
                <a:srgbClr val="FFFF00"/>
              </a:solidFill>
            </a:endParaRPr>
          </a:p>
        </xdr:txBody>
      </xdr:sp>
    </xdr:grpSp>
    <xdr:clientData/>
  </xdr:twoCellAnchor>
  <xdr:twoCellAnchor>
    <xdr:from>
      <xdr:col>0</xdr:col>
      <xdr:colOff>381000</xdr:colOff>
      <xdr:row>280</xdr:row>
      <xdr:rowOff>133350</xdr:rowOff>
    </xdr:from>
    <xdr:to>
      <xdr:col>7</xdr:col>
      <xdr:colOff>830036</xdr:colOff>
      <xdr:row>318</xdr:row>
      <xdr:rowOff>103066</xdr:rowOff>
    </xdr:to>
    <xdr:grpSp>
      <xdr:nvGrpSpPr>
        <xdr:cNvPr id="22" name="Group 21"/>
        <xdr:cNvGrpSpPr/>
      </xdr:nvGrpSpPr>
      <xdr:grpSpPr>
        <a:xfrm>
          <a:off x="381000" y="37484050"/>
          <a:ext cx="6449786" cy="7443666"/>
          <a:chOff x="381000" y="37484050"/>
          <a:chExt cx="6449786" cy="7443666"/>
        </a:xfrm>
      </xdr:grpSpPr>
      <xdr:pic>
        <xdr:nvPicPr>
          <xdr:cNvPr id="85" name="Picture 84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12515" y="43127716"/>
            <a:ext cx="1353766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6" name="Picture 85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13820" y="43127716"/>
            <a:ext cx="1353766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3" name="Picture 112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19955" y="43127716"/>
            <a:ext cx="1353766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4" name="Picture 113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73062" y="40305883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5" name="Picture 114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60536" y="3748405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6" name="Picture 115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81000" y="3748405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7" name="Picture 116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70768" y="3748405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8" name="Picture 117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93526" y="40305883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9" name="Picture 118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58087" y="40305883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20" name="Picture 119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34861" y="43127716"/>
            <a:ext cx="134812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21" name="TextBox 120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/>
        </xdr:nvSpPr>
        <xdr:spPr>
          <a:xfrm>
            <a:off x="4760536" y="37484050"/>
            <a:ext cx="807691" cy="34286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600" b="1">
                <a:solidFill>
                  <a:sysClr val="windowText" lastClr="000000"/>
                </a:solidFill>
              </a:rPr>
              <a:t>Wing D</a:t>
            </a:r>
          </a:p>
        </xdr:txBody>
      </xdr:sp>
      <xdr:sp macro="" textlink="">
        <xdr:nvSpPr>
          <xdr:cNvPr id="122" name="TextBox 121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/>
        </xdr:nvSpPr>
        <xdr:spPr>
          <a:xfrm>
            <a:off x="381000" y="37484050"/>
            <a:ext cx="807691" cy="34286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600" b="1">
                <a:solidFill>
                  <a:sysClr val="windowText" lastClr="000000"/>
                </a:solidFill>
              </a:rPr>
              <a:t>Wing A</a:t>
            </a:r>
          </a:p>
        </xdr:txBody>
      </xdr:sp>
      <xdr:sp macro="" textlink="">
        <xdr:nvSpPr>
          <xdr:cNvPr id="123" name="TextBox 122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/>
        </xdr:nvSpPr>
        <xdr:spPr>
          <a:xfrm>
            <a:off x="3561368" y="37604700"/>
            <a:ext cx="845532" cy="6159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600" b="1">
                <a:solidFill>
                  <a:sysClr val="windowText" lastClr="000000"/>
                </a:solidFill>
              </a:rPr>
              <a:t>Wing B </a:t>
            </a:r>
          </a:p>
          <a:p>
            <a:r>
              <a:rPr lang="en-IN" sz="1600" b="1">
                <a:solidFill>
                  <a:sysClr val="windowText" lastClr="000000"/>
                </a:solidFill>
              </a:rPr>
              <a:t>&amp; C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nyCXCwAEWecyVrV88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326"/>
  <sheetViews>
    <sheetView tabSelected="1" view="pageBreakPreview" zoomScaleNormal="100" zoomScaleSheetLayoutView="100" zoomScalePageLayoutView="85" workbookViewId="0">
      <selection activeCell="E9" sqref="E9:H9"/>
    </sheetView>
  </sheetViews>
  <sheetFormatPr defaultColWidth="9.1796875" defaultRowHeight="15.5" x14ac:dyDescent="0.35"/>
  <cols>
    <col min="1" max="1" width="11.453125" style="17" customWidth="1"/>
    <col min="2" max="2" width="12" style="17" customWidth="1"/>
    <col min="3" max="3" width="12.81640625" style="17" customWidth="1"/>
    <col min="4" max="4" width="14.1796875" style="17" customWidth="1"/>
    <col min="5" max="7" width="11.81640625" style="17" customWidth="1"/>
    <col min="8" max="8" width="20.54296875" style="17" customWidth="1"/>
    <col min="9" max="9" width="17.453125" style="8" customWidth="1"/>
    <col min="10" max="10" width="11.453125" style="8" customWidth="1"/>
    <col min="11" max="11" width="10.54296875" style="8" bestFit="1" customWidth="1"/>
    <col min="12" max="12" width="11.81640625" style="8" bestFit="1" customWidth="1"/>
    <col min="13" max="13" width="11.81640625" style="8" customWidth="1"/>
    <col min="14" max="14" width="12.54296875" style="8" hidden="1" customWidth="1"/>
    <col min="15" max="15" width="9.81640625" style="8" hidden="1" customWidth="1"/>
    <col min="16" max="16" width="10.453125" style="8" hidden="1" customWidth="1"/>
    <col min="17" max="247" width="9.1796875" style="8"/>
    <col min="248" max="248" width="8.81640625" style="8" customWidth="1"/>
    <col min="249" max="249" width="9.81640625" style="8" customWidth="1"/>
    <col min="250" max="250" width="14.453125" style="8" customWidth="1"/>
    <col min="251" max="251" width="7.1796875" style="8" customWidth="1"/>
    <col min="252" max="252" width="5.54296875" style="8" customWidth="1"/>
    <col min="253" max="253" width="9" style="8" customWidth="1"/>
    <col min="254" max="255" width="9.81640625" style="8" customWidth="1"/>
    <col min="256" max="256" width="11.1796875" style="8" customWidth="1"/>
    <col min="257" max="257" width="2.81640625" style="8" customWidth="1"/>
    <col min="258" max="258" width="3.54296875" style="8" customWidth="1"/>
    <col min="259" max="503" width="9.1796875" style="8"/>
    <col min="504" max="504" width="8.81640625" style="8" customWidth="1"/>
    <col min="505" max="505" width="9.81640625" style="8" customWidth="1"/>
    <col min="506" max="506" width="14.453125" style="8" customWidth="1"/>
    <col min="507" max="507" width="7.1796875" style="8" customWidth="1"/>
    <col min="508" max="508" width="5.54296875" style="8" customWidth="1"/>
    <col min="509" max="509" width="9" style="8" customWidth="1"/>
    <col min="510" max="511" width="9.81640625" style="8" customWidth="1"/>
    <col min="512" max="512" width="11.1796875" style="8" customWidth="1"/>
    <col min="513" max="513" width="2.81640625" style="8" customWidth="1"/>
    <col min="514" max="514" width="3.54296875" style="8" customWidth="1"/>
    <col min="515" max="759" width="9.1796875" style="8"/>
    <col min="760" max="760" width="8.81640625" style="8" customWidth="1"/>
    <col min="761" max="761" width="9.81640625" style="8" customWidth="1"/>
    <col min="762" max="762" width="14.453125" style="8" customWidth="1"/>
    <col min="763" max="763" width="7.1796875" style="8" customWidth="1"/>
    <col min="764" max="764" width="5.54296875" style="8" customWidth="1"/>
    <col min="765" max="765" width="9" style="8" customWidth="1"/>
    <col min="766" max="767" width="9.81640625" style="8" customWidth="1"/>
    <col min="768" max="768" width="11.1796875" style="8" customWidth="1"/>
    <col min="769" max="769" width="2.81640625" style="8" customWidth="1"/>
    <col min="770" max="770" width="3.54296875" style="8" customWidth="1"/>
    <col min="771" max="1015" width="9.1796875" style="8"/>
    <col min="1016" max="1016" width="8.81640625" style="8" customWidth="1"/>
    <col min="1017" max="1017" width="9.81640625" style="8" customWidth="1"/>
    <col min="1018" max="1018" width="14.453125" style="8" customWidth="1"/>
    <col min="1019" max="1019" width="7.1796875" style="8" customWidth="1"/>
    <col min="1020" max="1020" width="5.54296875" style="8" customWidth="1"/>
    <col min="1021" max="1021" width="9" style="8" customWidth="1"/>
    <col min="1022" max="1023" width="9.81640625" style="8" customWidth="1"/>
    <col min="1024" max="1024" width="11.1796875" style="8" customWidth="1"/>
    <col min="1025" max="1025" width="2.81640625" style="8" customWidth="1"/>
    <col min="1026" max="1026" width="3.54296875" style="8" customWidth="1"/>
    <col min="1027" max="1271" width="9.1796875" style="8"/>
    <col min="1272" max="1272" width="8.81640625" style="8" customWidth="1"/>
    <col min="1273" max="1273" width="9.81640625" style="8" customWidth="1"/>
    <col min="1274" max="1274" width="14.453125" style="8" customWidth="1"/>
    <col min="1275" max="1275" width="7.1796875" style="8" customWidth="1"/>
    <col min="1276" max="1276" width="5.54296875" style="8" customWidth="1"/>
    <col min="1277" max="1277" width="9" style="8" customWidth="1"/>
    <col min="1278" max="1279" width="9.81640625" style="8" customWidth="1"/>
    <col min="1280" max="1280" width="11.1796875" style="8" customWidth="1"/>
    <col min="1281" max="1281" width="2.81640625" style="8" customWidth="1"/>
    <col min="1282" max="1282" width="3.54296875" style="8" customWidth="1"/>
    <col min="1283" max="1527" width="9.1796875" style="8"/>
    <col min="1528" max="1528" width="8.81640625" style="8" customWidth="1"/>
    <col min="1529" max="1529" width="9.81640625" style="8" customWidth="1"/>
    <col min="1530" max="1530" width="14.453125" style="8" customWidth="1"/>
    <col min="1531" max="1531" width="7.1796875" style="8" customWidth="1"/>
    <col min="1532" max="1532" width="5.54296875" style="8" customWidth="1"/>
    <col min="1533" max="1533" width="9" style="8" customWidth="1"/>
    <col min="1534" max="1535" width="9.81640625" style="8" customWidth="1"/>
    <col min="1536" max="1536" width="11.1796875" style="8" customWidth="1"/>
    <col min="1537" max="1537" width="2.81640625" style="8" customWidth="1"/>
    <col min="1538" max="1538" width="3.54296875" style="8" customWidth="1"/>
    <col min="1539" max="1783" width="9.1796875" style="8"/>
    <col min="1784" max="1784" width="8.81640625" style="8" customWidth="1"/>
    <col min="1785" max="1785" width="9.81640625" style="8" customWidth="1"/>
    <col min="1786" max="1786" width="14.453125" style="8" customWidth="1"/>
    <col min="1787" max="1787" width="7.1796875" style="8" customWidth="1"/>
    <col min="1788" max="1788" width="5.54296875" style="8" customWidth="1"/>
    <col min="1789" max="1789" width="9" style="8" customWidth="1"/>
    <col min="1790" max="1791" width="9.81640625" style="8" customWidth="1"/>
    <col min="1792" max="1792" width="11.1796875" style="8" customWidth="1"/>
    <col min="1793" max="1793" width="2.81640625" style="8" customWidth="1"/>
    <col min="1794" max="1794" width="3.54296875" style="8" customWidth="1"/>
    <col min="1795" max="2039" width="9.1796875" style="8"/>
    <col min="2040" max="2040" width="8.81640625" style="8" customWidth="1"/>
    <col min="2041" max="2041" width="9.81640625" style="8" customWidth="1"/>
    <col min="2042" max="2042" width="14.453125" style="8" customWidth="1"/>
    <col min="2043" max="2043" width="7.1796875" style="8" customWidth="1"/>
    <col min="2044" max="2044" width="5.54296875" style="8" customWidth="1"/>
    <col min="2045" max="2045" width="9" style="8" customWidth="1"/>
    <col min="2046" max="2047" width="9.81640625" style="8" customWidth="1"/>
    <col min="2048" max="2048" width="11.1796875" style="8" customWidth="1"/>
    <col min="2049" max="2049" width="2.81640625" style="8" customWidth="1"/>
    <col min="2050" max="2050" width="3.54296875" style="8" customWidth="1"/>
    <col min="2051" max="2295" width="9.1796875" style="8"/>
    <col min="2296" max="2296" width="8.81640625" style="8" customWidth="1"/>
    <col min="2297" max="2297" width="9.81640625" style="8" customWidth="1"/>
    <col min="2298" max="2298" width="14.453125" style="8" customWidth="1"/>
    <col min="2299" max="2299" width="7.1796875" style="8" customWidth="1"/>
    <col min="2300" max="2300" width="5.54296875" style="8" customWidth="1"/>
    <col min="2301" max="2301" width="9" style="8" customWidth="1"/>
    <col min="2302" max="2303" width="9.81640625" style="8" customWidth="1"/>
    <col min="2304" max="2304" width="11.1796875" style="8" customWidth="1"/>
    <col min="2305" max="2305" width="2.81640625" style="8" customWidth="1"/>
    <col min="2306" max="2306" width="3.54296875" style="8" customWidth="1"/>
    <col min="2307" max="2551" width="9.1796875" style="8"/>
    <col min="2552" max="2552" width="8.81640625" style="8" customWidth="1"/>
    <col min="2553" max="2553" width="9.81640625" style="8" customWidth="1"/>
    <col min="2554" max="2554" width="14.453125" style="8" customWidth="1"/>
    <col min="2555" max="2555" width="7.1796875" style="8" customWidth="1"/>
    <col min="2556" max="2556" width="5.54296875" style="8" customWidth="1"/>
    <col min="2557" max="2557" width="9" style="8" customWidth="1"/>
    <col min="2558" max="2559" width="9.81640625" style="8" customWidth="1"/>
    <col min="2560" max="2560" width="11.1796875" style="8" customWidth="1"/>
    <col min="2561" max="2561" width="2.81640625" style="8" customWidth="1"/>
    <col min="2562" max="2562" width="3.54296875" style="8" customWidth="1"/>
    <col min="2563" max="2807" width="9.1796875" style="8"/>
    <col min="2808" max="2808" width="8.81640625" style="8" customWidth="1"/>
    <col min="2809" max="2809" width="9.81640625" style="8" customWidth="1"/>
    <col min="2810" max="2810" width="14.453125" style="8" customWidth="1"/>
    <col min="2811" max="2811" width="7.1796875" style="8" customWidth="1"/>
    <col min="2812" max="2812" width="5.54296875" style="8" customWidth="1"/>
    <col min="2813" max="2813" width="9" style="8" customWidth="1"/>
    <col min="2814" max="2815" width="9.81640625" style="8" customWidth="1"/>
    <col min="2816" max="2816" width="11.1796875" style="8" customWidth="1"/>
    <col min="2817" max="2817" width="2.81640625" style="8" customWidth="1"/>
    <col min="2818" max="2818" width="3.54296875" style="8" customWidth="1"/>
    <col min="2819" max="3063" width="9.1796875" style="8"/>
    <col min="3064" max="3064" width="8.81640625" style="8" customWidth="1"/>
    <col min="3065" max="3065" width="9.81640625" style="8" customWidth="1"/>
    <col min="3066" max="3066" width="14.453125" style="8" customWidth="1"/>
    <col min="3067" max="3067" width="7.1796875" style="8" customWidth="1"/>
    <col min="3068" max="3068" width="5.54296875" style="8" customWidth="1"/>
    <col min="3069" max="3069" width="9" style="8" customWidth="1"/>
    <col min="3070" max="3071" width="9.81640625" style="8" customWidth="1"/>
    <col min="3072" max="3072" width="11.1796875" style="8" customWidth="1"/>
    <col min="3073" max="3073" width="2.81640625" style="8" customWidth="1"/>
    <col min="3074" max="3074" width="3.54296875" style="8" customWidth="1"/>
    <col min="3075" max="3319" width="9.1796875" style="8"/>
    <col min="3320" max="3320" width="8.81640625" style="8" customWidth="1"/>
    <col min="3321" max="3321" width="9.81640625" style="8" customWidth="1"/>
    <col min="3322" max="3322" width="14.453125" style="8" customWidth="1"/>
    <col min="3323" max="3323" width="7.1796875" style="8" customWidth="1"/>
    <col min="3324" max="3324" width="5.54296875" style="8" customWidth="1"/>
    <col min="3325" max="3325" width="9" style="8" customWidth="1"/>
    <col min="3326" max="3327" width="9.81640625" style="8" customWidth="1"/>
    <col min="3328" max="3328" width="11.1796875" style="8" customWidth="1"/>
    <col min="3329" max="3329" width="2.81640625" style="8" customWidth="1"/>
    <col min="3330" max="3330" width="3.54296875" style="8" customWidth="1"/>
    <col min="3331" max="3575" width="9.1796875" style="8"/>
    <col min="3576" max="3576" width="8.81640625" style="8" customWidth="1"/>
    <col min="3577" max="3577" width="9.81640625" style="8" customWidth="1"/>
    <col min="3578" max="3578" width="14.453125" style="8" customWidth="1"/>
    <col min="3579" max="3579" width="7.1796875" style="8" customWidth="1"/>
    <col min="3580" max="3580" width="5.54296875" style="8" customWidth="1"/>
    <col min="3581" max="3581" width="9" style="8" customWidth="1"/>
    <col min="3582" max="3583" width="9.81640625" style="8" customWidth="1"/>
    <col min="3584" max="3584" width="11.1796875" style="8" customWidth="1"/>
    <col min="3585" max="3585" width="2.81640625" style="8" customWidth="1"/>
    <col min="3586" max="3586" width="3.54296875" style="8" customWidth="1"/>
    <col min="3587" max="3831" width="9.1796875" style="8"/>
    <col min="3832" max="3832" width="8.81640625" style="8" customWidth="1"/>
    <col min="3833" max="3833" width="9.81640625" style="8" customWidth="1"/>
    <col min="3834" max="3834" width="14.453125" style="8" customWidth="1"/>
    <col min="3835" max="3835" width="7.1796875" style="8" customWidth="1"/>
    <col min="3836" max="3836" width="5.54296875" style="8" customWidth="1"/>
    <col min="3837" max="3837" width="9" style="8" customWidth="1"/>
    <col min="3838" max="3839" width="9.81640625" style="8" customWidth="1"/>
    <col min="3840" max="3840" width="11.1796875" style="8" customWidth="1"/>
    <col min="3841" max="3841" width="2.81640625" style="8" customWidth="1"/>
    <col min="3842" max="3842" width="3.54296875" style="8" customWidth="1"/>
    <col min="3843" max="4087" width="9.1796875" style="8"/>
    <col min="4088" max="4088" width="8.81640625" style="8" customWidth="1"/>
    <col min="4089" max="4089" width="9.81640625" style="8" customWidth="1"/>
    <col min="4090" max="4090" width="14.453125" style="8" customWidth="1"/>
    <col min="4091" max="4091" width="7.1796875" style="8" customWidth="1"/>
    <col min="4092" max="4092" width="5.54296875" style="8" customWidth="1"/>
    <col min="4093" max="4093" width="9" style="8" customWidth="1"/>
    <col min="4094" max="4095" width="9.81640625" style="8" customWidth="1"/>
    <col min="4096" max="4096" width="11.1796875" style="8" customWidth="1"/>
    <col min="4097" max="4097" width="2.81640625" style="8" customWidth="1"/>
    <col min="4098" max="4098" width="3.54296875" style="8" customWidth="1"/>
    <col min="4099" max="4343" width="9.1796875" style="8"/>
    <col min="4344" max="4344" width="8.81640625" style="8" customWidth="1"/>
    <col min="4345" max="4345" width="9.81640625" style="8" customWidth="1"/>
    <col min="4346" max="4346" width="14.453125" style="8" customWidth="1"/>
    <col min="4347" max="4347" width="7.1796875" style="8" customWidth="1"/>
    <col min="4348" max="4348" width="5.54296875" style="8" customWidth="1"/>
    <col min="4349" max="4349" width="9" style="8" customWidth="1"/>
    <col min="4350" max="4351" width="9.81640625" style="8" customWidth="1"/>
    <col min="4352" max="4352" width="11.1796875" style="8" customWidth="1"/>
    <col min="4353" max="4353" width="2.81640625" style="8" customWidth="1"/>
    <col min="4354" max="4354" width="3.54296875" style="8" customWidth="1"/>
    <col min="4355" max="4599" width="9.1796875" style="8"/>
    <col min="4600" max="4600" width="8.81640625" style="8" customWidth="1"/>
    <col min="4601" max="4601" width="9.81640625" style="8" customWidth="1"/>
    <col min="4602" max="4602" width="14.453125" style="8" customWidth="1"/>
    <col min="4603" max="4603" width="7.1796875" style="8" customWidth="1"/>
    <col min="4604" max="4604" width="5.54296875" style="8" customWidth="1"/>
    <col min="4605" max="4605" width="9" style="8" customWidth="1"/>
    <col min="4606" max="4607" width="9.81640625" style="8" customWidth="1"/>
    <col min="4608" max="4608" width="11.1796875" style="8" customWidth="1"/>
    <col min="4609" max="4609" width="2.81640625" style="8" customWidth="1"/>
    <col min="4610" max="4610" width="3.54296875" style="8" customWidth="1"/>
    <col min="4611" max="4855" width="9.1796875" style="8"/>
    <col min="4856" max="4856" width="8.81640625" style="8" customWidth="1"/>
    <col min="4857" max="4857" width="9.81640625" style="8" customWidth="1"/>
    <col min="4858" max="4858" width="14.453125" style="8" customWidth="1"/>
    <col min="4859" max="4859" width="7.1796875" style="8" customWidth="1"/>
    <col min="4860" max="4860" width="5.54296875" style="8" customWidth="1"/>
    <col min="4861" max="4861" width="9" style="8" customWidth="1"/>
    <col min="4862" max="4863" width="9.81640625" style="8" customWidth="1"/>
    <col min="4864" max="4864" width="11.1796875" style="8" customWidth="1"/>
    <col min="4865" max="4865" width="2.81640625" style="8" customWidth="1"/>
    <col min="4866" max="4866" width="3.54296875" style="8" customWidth="1"/>
    <col min="4867" max="5111" width="9.1796875" style="8"/>
    <col min="5112" max="5112" width="8.81640625" style="8" customWidth="1"/>
    <col min="5113" max="5113" width="9.81640625" style="8" customWidth="1"/>
    <col min="5114" max="5114" width="14.453125" style="8" customWidth="1"/>
    <col min="5115" max="5115" width="7.1796875" style="8" customWidth="1"/>
    <col min="5116" max="5116" width="5.54296875" style="8" customWidth="1"/>
    <col min="5117" max="5117" width="9" style="8" customWidth="1"/>
    <col min="5118" max="5119" width="9.81640625" style="8" customWidth="1"/>
    <col min="5120" max="5120" width="11.1796875" style="8" customWidth="1"/>
    <col min="5121" max="5121" width="2.81640625" style="8" customWidth="1"/>
    <col min="5122" max="5122" width="3.54296875" style="8" customWidth="1"/>
    <col min="5123" max="5367" width="9.1796875" style="8"/>
    <col min="5368" max="5368" width="8.81640625" style="8" customWidth="1"/>
    <col min="5369" max="5369" width="9.81640625" style="8" customWidth="1"/>
    <col min="5370" max="5370" width="14.453125" style="8" customWidth="1"/>
    <col min="5371" max="5371" width="7.1796875" style="8" customWidth="1"/>
    <col min="5372" max="5372" width="5.54296875" style="8" customWidth="1"/>
    <col min="5373" max="5373" width="9" style="8" customWidth="1"/>
    <col min="5374" max="5375" width="9.81640625" style="8" customWidth="1"/>
    <col min="5376" max="5376" width="11.1796875" style="8" customWidth="1"/>
    <col min="5377" max="5377" width="2.81640625" style="8" customWidth="1"/>
    <col min="5378" max="5378" width="3.54296875" style="8" customWidth="1"/>
    <col min="5379" max="5623" width="9.1796875" style="8"/>
    <col min="5624" max="5624" width="8.81640625" style="8" customWidth="1"/>
    <col min="5625" max="5625" width="9.81640625" style="8" customWidth="1"/>
    <col min="5626" max="5626" width="14.453125" style="8" customWidth="1"/>
    <col min="5627" max="5627" width="7.1796875" style="8" customWidth="1"/>
    <col min="5628" max="5628" width="5.54296875" style="8" customWidth="1"/>
    <col min="5629" max="5629" width="9" style="8" customWidth="1"/>
    <col min="5630" max="5631" width="9.81640625" style="8" customWidth="1"/>
    <col min="5632" max="5632" width="11.1796875" style="8" customWidth="1"/>
    <col min="5633" max="5633" width="2.81640625" style="8" customWidth="1"/>
    <col min="5634" max="5634" width="3.54296875" style="8" customWidth="1"/>
    <col min="5635" max="5879" width="9.1796875" style="8"/>
    <col min="5880" max="5880" width="8.81640625" style="8" customWidth="1"/>
    <col min="5881" max="5881" width="9.81640625" style="8" customWidth="1"/>
    <col min="5882" max="5882" width="14.453125" style="8" customWidth="1"/>
    <col min="5883" max="5883" width="7.1796875" style="8" customWidth="1"/>
    <col min="5884" max="5884" width="5.54296875" style="8" customWidth="1"/>
    <col min="5885" max="5885" width="9" style="8" customWidth="1"/>
    <col min="5886" max="5887" width="9.81640625" style="8" customWidth="1"/>
    <col min="5888" max="5888" width="11.1796875" style="8" customWidth="1"/>
    <col min="5889" max="5889" width="2.81640625" style="8" customWidth="1"/>
    <col min="5890" max="5890" width="3.54296875" style="8" customWidth="1"/>
    <col min="5891" max="6135" width="9.1796875" style="8"/>
    <col min="6136" max="6136" width="8.81640625" style="8" customWidth="1"/>
    <col min="6137" max="6137" width="9.81640625" style="8" customWidth="1"/>
    <col min="6138" max="6138" width="14.453125" style="8" customWidth="1"/>
    <col min="6139" max="6139" width="7.1796875" style="8" customWidth="1"/>
    <col min="6140" max="6140" width="5.54296875" style="8" customWidth="1"/>
    <col min="6141" max="6141" width="9" style="8" customWidth="1"/>
    <col min="6142" max="6143" width="9.81640625" style="8" customWidth="1"/>
    <col min="6144" max="6144" width="11.1796875" style="8" customWidth="1"/>
    <col min="6145" max="6145" width="2.81640625" style="8" customWidth="1"/>
    <col min="6146" max="6146" width="3.54296875" style="8" customWidth="1"/>
    <col min="6147" max="6391" width="9.1796875" style="8"/>
    <col min="6392" max="6392" width="8.81640625" style="8" customWidth="1"/>
    <col min="6393" max="6393" width="9.81640625" style="8" customWidth="1"/>
    <col min="6394" max="6394" width="14.453125" style="8" customWidth="1"/>
    <col min="6395" max="6395" width="7.1796875" style="8" customWidth="1"/>
    <col min="6396" max="6396" width="5.54296875" style="8" customWidth="1"/>
    <col min="6397" max="6397" width="9" style="8" customWidth="1"/>
    <col min="6398" max="6399" width="9.81640625" style="8" customWidth="1"/>
    <col min="6400" max="6400" width="11.1796875" style="8" customWidth="1"/>
    <col min="6401" max="6401" width="2.81640625" style="8" customWidth="1"/>
    <col min="6402" max="6402" width="3.54296875" style="8" customWidth="1"/>
    <col min="6403" max="6647" width="9.1796875" style="8"/>
    <col min="6648" max="6648" width="8.81640625" style="8" customWidth="1"/>
    <col min="6649" max="6649" width="9.81640625" style="8" customWidth="1"/>
    <col min="6650" max="6650" width="14.453125" style="8" customWidth="1"/>
    <col min="6651" max="6651" width="7.1796875" style="8" customWidth="1"/>
    <col min="6652" max="6652" width="5.54296875" style="8" customWidth="1"/>
    <col min="6653" max="6653" width="9" style="8" customWidth="1"/>
    <col min="6654" max="6655" width="9.81640625" style="8" customWidth="1"/>
    <col min="6656" max="6656" width="11.1796875" style="8" customWidth="1"/>
    <col min="6657" max="6657" width="2.81640625" style="8" customWidth="1"/>
    <col min="6658" max="6658" width="3.54296875" style="8" customWidth="1"/>
    <col min="6659" max="6903" width="9.1796875" style="8"/>
    <col min="6904" max="6904" width="8.81640625" style="8" customWidth="1"/>
    <col min="6905" max="6905" width="9.81640625" style="8" customWidth="1"/>
    <col min="6906" max="6906" width="14.453125" style="8" customWidth="1"/>
    <col min="6907" max="6907" width="7.1796875" style="8" customWidth="1"/>
    <col min="6908" max="6908" width="5.54296875" style="8" customWidth="1"/>
    <col min="6909" max="6909" width="9" style="8" customWidth="1"/>
    <col min="6910" max="6911" width="9.81640625" style="8" customWidth="1"/>
    <col min="6912" max="6912" width="11.1796875" style="8" customWidth="1"/>
    <col min="6913" max="6913" width="2.81640625" style="8" customWidth="1"/>
    <col min="6914" max="6914" width="3.54296875" style="8" customWidth="1"/>
    <col min="6915" max="7159" width="9.1796875" style="8"/>
    <col min="7160" max="7160" width="8.81640625" style="8" customWidth="1"/>
    <col min="7161" max="7161" width="9.81640625" style="8" customWidth="1"/>
    <col min="7162" max="7162" width="14.453125" style="8" customWidth="1"/>
    <col min="7163" max="7163" width="7.1796875" style="8" customWidth="1"/>
    <col min="7164" max="7164" width="5.54296875" style="8" customWidth="1"/>
    <col min="7165" max="7165" width="9" style="8" customWidth="1"/>
    <col min="7166" max="7167" width="9.81640625" style="8" customWidth="1"/>
    <col min="7168" max="7168" width="11.1796875" style="8" customWidth="1"/>
    <col min="7169" max="7169" width="2.81640625" style="8" customWidth="1"/>
    <col min="7170" max="7170" width="3.54296875" style="8" customWidth="1"/>
    <col min="7171" max="7415" width="9.1796875" style="8"/>
    <col min="7416" max="7416" width="8.81640625" style="8" customWidth="1"/>
    <col min="7417" max="7417" width="9.81640625" style="8" customWidth="1"/>
    <col min="7418" max="7418" width="14.453125" style="8" customWidth="1"/>
    <col min="7419" max="7419" width="7.1796875" style="8" customWidth="1"/>
    <col min="7420" max="7420" width="5.54296875" style="8" customWidth="1"/>
    <col min="7421" max="7421" width="9" style="8" customWidth="1"/>
    <col min="7422" max="7423" width="9.81640625" style="8" customWidth="1"/>
    <col min="7424" max="7424" width="11.1796875" style="8" customWidth="1"/>
    <col min="7425" max="7425" width="2.81640625" style="8" customWidth="1"/>
    <col min="7426" max="7426" width="3.54296875" style="8" customWidth="1"/>
    <col min="7427" max="7671" width="9.1796875" style="8"/>
    <col min="7672" max="7672" width="8.81640625" style="8" customWidth="1"/>
    <col min="7673" max="7673" width="9.81640625" style="8" customWidth="1"/>
    <col min="7674" max="7674" width="14.453125" style="8" customWidth="1"/>
    <col min="7675" max="7675" width="7.1796875" style="8" customWidth="1"/>
    <col min="7676" max="7676" width="5.54296875" style="8" customWidth="1"/>
    <col min="7677" max="7677" width="9" style="8" customWidth="1"/>
    <col min="7678" max="7679" width="9.81640625" style="8" customWidth="1"/>
    <col min="7680" max="7680" width="11.1796875" style="8" customWidth="1"/>
    <col min="7681" max="7681" width="2.81640625" style="8" customWidth="1"/>
    <col min="7682" max="7682" width="3.54296875" style="8" customWidth="1"/>
    <col min="7683" max="7927" width="9.1796875" style="8"/>
    <col min="7928" max="7928" width="8.81640625" style="8" customWidth="1"/>
    <col min="7929" max="7929" width="9.81640625" style="8" customWidth="1"/>
    <col min="7930" max="7930" width="14.453125" style="8" customWidth="1"/>
    <col min="7931" max="7931" width="7.1796875" style="8" customWidth="1"/>
    <col min="7932" max="7932" width="5.54296875" style="8" customWidth="1"/>
    <col min="7933" max="7933" width="9" style="8" customWidth="1"/>
    <col min="7934" max="7935" width="9.81640625" style="8" customWidth="1"/>
    <col min="7936" max="7936" width="11.1796875" style="8" customWidth="1"/>
    <col min="7937" max="7937" width="2.81640625" style="8" customWidth="1"/>
    <col min="7938" max="7938" width="3.54296875" style="8" customWidth="1"/>
    <col min="7939" max="8183" width="9.1796875" style="8"/>
    <col min="8184" max="8184" width="8.81640625" style="8" customWidth="1"/>
    <col min="8185" max="8185" width="9.81640625" style="8" customWidth="1"/>
    <col min="8186" max="8186" width="14.453125" style="8" customWidth="1"/>
    <col min="8187" max="8187" width="7.1796875" style="8" customWidth="1"/>
    <col min="8188" max="8188" width="5.54296875" style="8" customWidth="1"/>
    <col min="8189" max="8189" width="9" style="8" customWidth="1"/>
    <col min="8190" max="8191" width="9.81640625" style="8" customWidth="1"/>
    <col min="8192" max="8192" width="11.1796875" style="8" customWidth="1"/>
    <col min="8193" max="8193" width="2.81640625" style="8" customWidth="1"/>
    <col min="8194" max="8194" width="3.54296875" style="8" customWidth="1"/>
    <col min="8195" max="8439" width="9.1796875" style="8"/>
    <col min="8440" max="8440" width="8.81640625" style="8" customWidth="1"/>
    <col min="8441" max="8441" width="9.81640625" style="8" customWidth="1"/>
    <col min="8442" max="8442" width="14.453125" style="8" customWidth="1"/>
    <col min="8443" max="8443" width="7.1796875" style="8" customWidth="1"/>
    <col min="8444" max="8444" width="5.54296875" style="8" customWidth="1"/>
    <col min="8445" max="8445" width="9" style="8" customWidth="1"/>
    <col min="8446" max="8447" width="9.81640625" style="8" customWidth="1"/>
    <col min="8448" max="8448" width="11.1796875" style="8" customWidth="1"/>
    <col min="8449" max="8449" width="2.81640625" style="8" customWidth="1"/>
    <col min="8450" max="8450" width="3.54296875" style="8" customWidth="1"/>
    <col min="8451" max="8695" width="9.1796875" style="8"/>
    <col min="8696" max="8696" width="8.81640625" style="8" customWidth="1"/>
    <col min="8697" max="8697" width="9.81640625" style="8" customWidth="1"/>
    <col min="8698" max="8698" width="14.453125" style="8" customWidth="1"/>
    <col min="8699" max="8699" width="7.1796875" style="8" customWidth="1"/>
    <col min="8700" max="8700" width="5.54296875" style="8" customWidth="1"/>
    <col min="8701" max="8701" width="9" style="8" customWidth="1"/>
    <col min="8702" max="8703" width="9.81640625" style="8" customWidth="1"/>
    <col min="8704" max="8704" width="11.1796875" style="8" customWidth="1"/>
    <col min="8705" max="8705" width="2.81640625" style="8" customWidth="1"/>
    <col min="8706" max="8706" width="3.54296875" style="8" customWidth="1"/>
    <col min="8707" max="8951" width="9.1796875" style="8"/>
    <col min="8952" max="8952" width="8.81640625" style="8" customWidth="1"/>
    <col min="8953" max="8953" width="9.81640625" style="8" customWidth="1"/>
    <col min="8954" max="8954" width="14.453125" style="8" customWidth="1"/>
    <col min="8955" max="8955" width="7.1796875" style="8" customWidth="1"/>
    <col min="8956" max="8956" width="5.54296875" style="8" customWidth="1"/>
    <col min="8957" max="8957" width="9" style="8" customWidth="1"/>
    <col min="8958" max="8959" width="9.81640625" style="8" customWidth="1"/>
    <col min="8960" max="8960" width="11.1796875" style="8" customWidth="1"/>
    <col min="8961" max="8961" width="2.81640625" style="8" customWidth="1"/>
    <col min="8962" max="8962" width="3.54296875" style="8" customWidth="1"/>
    <col min="8963" max="9207" width="9.1796875" style="8"/>
    <col min="9208" max="9208" width="8.81640625" style="8" customWidth="1"/>
    <col min="9209" max="9209" width="9.81640625" style="8" customWidth="1"/>
    <col min="9210" max="9210" width="14.453125" style="8" customWidth="1"/>
    <col min="9211" max="9211" width="7.1796875" style="8" customWidth="1"/>
    <col min="9212" max="9212" width="5.54296875" style="8" customWidth="1"/>
    <col min="9213" max="9213" width="9" style="8" customWidth="1"/>
    <col min="9214" max="9215" width="9.81640625" style="8" customWidth="1"/>
    <col min="9216" max="9216" width="11.1796875" style="8" customWidth="1"/>
    <col min="9217" max="9217" width="2.81640625" style="8" customWidth="1"/>
    <col min="9218" max="9218" width="3.54296875" style="8" customWidth="1"/>
    <col min="9219" max="9463" width="9.1796875" style="8"/>
    <col min="9464" max="9464" width="8.81640625" style="8" customWidth="1"/>
    <col min="9465" max="9465" width="9.81640625" style="8" customWidth="1"/>
    <col min="9466" max="9466" width="14.453125" style="8" customWidth="1"/>
    <col min="9467" max="9467" width="7.1796875" style="8" customWidth="1"/>
    <col min="9468" max="9468" width="5.54296875" style="8" customWidth="1"/>
    <col min="9469" max="9469" width="9" style="8" customWidth="1"/>
    <col min="9470" max="9471" width="9.81640625" style="8" customWidth="1"/>
    <col min="9472" max="9472" width="11.1796875" style="8" customWidth="1"/>
    <col min="9473" max="9473" width="2.81640625" style="8" customWidth="1"/>
    <col min="9474" max="9474" width="3.54296875" style="8" customWidth="1"/>
    <col min="9475" max="9719" width="9.1796875" style="8"/>
    <col min="9720" max="9720" width="8.81640625" style="8" customWidth="1"/>
    <col min="9721" max="9721" width="9.81640625" style="8" customWidth="1"/>
    <col min="9722" max="9722" width="14.453125" style="8" customWidth="1"/>
    <col min="9723" max="9723" width="7.1796875" style="8" customWidth="1"/>
    <col min="9724" max="9724" width="5.54296875" style="8" customWidth="1"/>
    <col min="9725" max="9725" width="9" style="8" customWidth="1"/>
    <col min="9726" max="9727" width="9.81640625" style="8" customWidth="1"/>
    <col min="9728" max="9728" width="11.1796875" style="8" customWidth="1"/>
    <col min="9729" max="9729" width="2.81640625" style="8" customWidth="1"/>
    <col min="9730" max="9730" width="3.54296875" style="8" customWidth="1"/>
    <col min="9731" max="9975" width="9.1796875" style="8"/>
    <col min="9976" max="9976" width="8.81640625" style="8" customWidth="1"/>
    <col min="9977" max="9977" width="9.81640625" style="8" customWidth="1"/>
    <col min="9978" max="9978" width="14.453125" style="8" customWidth="1"/>
    <col min="9979" max="9979" width="7.1796875" style="8" customWidth="1"/>
    <col min="9980" max="9980" width="5.54296875" style="8" customWidth="1"/>
    <col min="9981" max="9981" width="9" style="8" customWidth="1"/>
    <col min="9982" max="9983" width="9.81640625" style="8" customWidth="1"/>
    <col min="9984" max="9984" width="11.1796875" style="8" customWidth="1"/>
    <col min="9985" max="9985" width="2.81640625" style="8" customWidth="1"/>
    <col min="9986" max="9986" width="3.54296875" style="8" customWidth="1"/>
    <col min="9987" max="10231" width="9.1796875" style="8"/>
    <col min="10232" max="10232" width="8.81640625" style="8" customWidth="1"/>
    <col min="10233" max="10233" width="9.81640625" style="8" customWidth="1"/>
    <col min="10234" max="10234" width="14.453125" style="8" customWidth="1"/>
    <col min="10235" max="10235" width="7.1796875" style="8" customWidth="1"/>
    <col min="10236" max="10236" width="5.54296875" style="8" customWidth="1"/>
    <col min="10237" max="10237" width="9" style="8" customWidth="1"/>
    <col min="10238" max="10239" width="9.81640625" style="8" customWidth="1"/>
    <col min="10240" max="10240" width="11.1796875" style="8" customWidth="1"/>
    <col min="10241" max="10241" width="2.81640625" style="8" customWidth="1"/>
    <col min="10242" max="10242" width="3.54296875" style="8" customWidth="1"/>
    <col min="10243" max="10487" width="9.1796875" style="8"/>
    <col min="10488" max="10488" width="8.81640625" style="8" customWidth="1"/>
    <col min="10489" max="10489" width="9.81640625" style="8" customWidth="1"/>
    <col min="10490" max="10490" width="14.453125" style="8" customWidth="1"/>
    <col min="10491" max="10491" width="7.1796875" style="8" customWidth="1"/>
    <col min="10492" max="10492" width="5.54296875" style="8" customWidth="1"/>
    <col min="10493" max="10493" width="9" style="8" customWidth="1"/>
    <col min="10494" max="10495" width="9.81640625" style="8" customWidth="1"/>
    <col min="10496" max="10496" width="11.1796875" style="8" customWidth="1"/>
    <col min="10497" max="10497" width="2.81640625" style="8" customWidth="1"/>
    <col min="10498" max="10498" width="3.54296875" style="8" customWidth="1"/>
    <col min="10499" max="10743" width="9.1796875" style="8"/>
    <col min="10744" max="10744" width="8.81640625" style="8" customWidth="1"/>
    <col min="10745" max="10745" width="9.81640625" style="8" customWidth="1"/>
    <col min="10746" max="10746" width="14.453125" style="8" customWidth="1"/>
    <col min="10747" max="10747" width="7.1796875" style="8" customWidth="1"/>
    <col min="10748" max="10748" width="5.54296875" style="8" customWidth="1"/>
    <col min="10749" max="10749" width="9" style="8" customWidth="1"/>
    <col min="10750" max="10751" width="9.81640625" style="8" customWidth="1"/>
    <col min="10752" max="10752" width="11.1796875" style="8" customWidth="1"/>
    <col min="10753" max="10753" width="2.81640625" style="8" customWidth="1"/>
    <col min="10754" max="10754" width="3.54296875" style="8" customWidth="1"/>
    <col min="10755" max="10999" width="9.1796875" style="8"/>
    <col min="11000" max="11000" width="8.81640625" style="8" customWidth="1"/>
    <col min="11001" max="11001" width="9.81640625" style="8" customWidth="1"/>
    <col min="11002" max="11002" width="14.453125" style="8" customWidth="1"/>
    <col min="11003" max="11003" width="7.1796875" style="8" customWidth="1"/>
    <col min="11004" max="11004" width="5.54296875" style="8" customWidth="1"/>
    <col min="11005" max="11005" width="9" style="8" customWidth="1"/>
    <col min="11006" max="11007" width="9.81640625" style="8" customWidth="1"/>
    <col min="11008" max="11008" width="11.1796875" style="8" customWidth="1"/>
    <col min="11009" max="11009" width="2.81640625" style="8" customWidth="1"/>
    <col min="11010" max="11010" width="3.54296875" style="8" customWidth="1"/>
    <col min="11011" max="11255" width="9.1796875" style="8"/>
    <col min="11256" max="11256" width="8.81640625" style="8" customWidth="1"/>
    <col min="11257" max="11257" width="9.81640625" style="8" customWidth="1"/>
    <col min="11258" max="11258" width="14.453125" style="8" customWidth="1"/>
    <col min="11259" max="11259" width="7.1796875" style="8" customWidth="1"/>
    <col min="11260" max="11260" width="5.54296875" style="8" customWidth="1"/>
    <col min="11261" max="11261" width="9" style="8" customWidth="1"/>
    <col min="11262" max="11263" width="9.81640625" style="8" customWidth="1"/>
    <col min="11264" max="11264" width="11.1796875" style="8" customWidth="1"/>
    <col min="11265" max="11265" width="2.81640625" style="8" customWidth="1"/>
    <col min="11266" max="11266" width="3.54296875" style="8" customWidth="1"/>
    <col min="11267" max="11511" width="9.1796875" style="8"/>
    <col min="11512" max="11512" width="8.81640625" style="8" customWidth="1"/>
    <col min="11513" max="11513" width="9.81640625" style="8" customWidth="1"/>
    <col min="11514" max="11514" width="14.453125" style="8" customWidth="1"/>
    <col min="11515" max="11515" width="7.1796875" style="8" customWidth="1"/>
    <col min="11516" max="11516" width="5.54296875" style="8" customWidth="1"/>
    <col min="11517" max="11517" width="9" style="8" customWidth="1"/>
    <col min="11518" max="11519" width="9.81640625" style="8" customWidth="1"/>
    <col min="11520" max="11520" width="11.1796875" style="8" customWidth="1"/>
    <col min="11521" max="11521" width="2.81640625" style="8" customWidth="1"/>
    <col min="11522" max="11522" width="3.54296875" style="8" customWidth="1"/>
    <col min="11523" max="11767" width="9.1796875" style="8"/>
    <col min="11768" max="11768" width="8.81640625" style="8" customWidth="1"/>
    <col min="11769" max="11769" width="9.81640625" style="8" customWidth="1"/>
    <col min="11770" max="11770" width="14.453125" style="8" customWidth="1"/>
    <col min="11771" max="11771" width="7.1796875" style="8" customWidth="1"/>
    <col min="11772" max="11772" width="5.54296875" style="8" customWidth="1"/>
    <col min="11773" max="11773" width="9" style="8" customWidth="1"/>
    <col min="11774" max="11775" width="9.81640625" style="8" customWidth="1"/>
    <col min="11776" max="11776" width="11.1796875" style="8" customWidth="1"/>
    <col min="11777" max="11777" width="2.81640625" style="8" customWidth="1"/>
    <col min="11778" max="11778" width="3.54296875" style="8" customWidth="1"/>
    <col min="11779" max="12023" width="9.1796875" style="8"/>
    <col min="12024" max="12024" width="8.81640625" style="8" customWidth="1"/>
    <col min="12025" max="12025" width="9.81640625" style="8" customWidth="1"/>
    <col min="12026" max="12026" width="14.453125" style="8" customWidth="1"/>
    <col min="12027" max="12027" width="7.1796875" style="8" customWidth="1"/>
    <col min="12028" max="12028" width="5.54296875" style="8" customWidth="1"/>
    <col min="12029" max="12029" width="9" style="8" customWidth="1"/>
    <col min="12030" max="12031" width="9.81640625" style="8" customWidth="1"/>
    <col min="12032" max="12032" width="11.1796875" style="8" customWidth="1"/>
    <col min="12033" max="12033" width="2.81640625" style="8" customWidth="1"/>
    <col min="12034" max="12034" width="3.54296875" style="8" customWidth="1"/>
    <col min="12035" max="12279" width="9.1796875" style="8"/>
    <col min="12280" max="12280" width="8.81640625" style="8" customWidth="1"/>
    <col min="12281" max="12281" width="9.81640625" style="8" customWidth="1"/>
    <col min="12282" max="12282" width="14.453125" style="8" customWidth="1"/>
    <col min="12283" max="12283" width="7.1796875" style="8" customWidth="1"/>
    <col min="12284" max="12284" width="5.54296875" style="8" customWidth="1"/>
    <col min="12285" max="12285" width="9" style="8" customWidth="1"/>
    <col min="12286" max="12287" width="9.81640625" style="8" customWidth="1"/>
    <col min="12288" max="12288" width="11.1796875" style="8" customWidth="1"/>
    <col min="12289" max="12289" width="2.81640625" style="8" customWidth="1"/>
    <col min="12290" max="12290" width="3.54296875" style="8" customWidth="1"/>
    <col min="12291" max="12535" width="9.1796875" style="8"/>
    <col min="12536" max="12536" width="8.81640625" style="8" customWidth="1"/>
    <col min="12537" max="12537" width="9.81640625" style="8" customWidth="1"/>
    <col min="12538" max="12538" width="14.453125" style="8" customWidth="1"/>
    <col min="12539" max="12539" width="7.1796875" style="8" customWidth="1"/>
    <col min="12540" max="12540" width="5.54296875" style="8" customWidth="1"/>
    <col min="12541" max="12541" width="9" style="8" customWidth="1"/>
    <col min="12542" max="12543" width="9.81640625" style="8" customWidth="1"/>
    <col min="12544" max="12544" width="11.1796875" style="8" customWidth="1"/>
    <col min="12545" max="12545" width="2.81640625" style="8" customWidth="1"/>
    <col min="12546" max="12546" width="3.54296875" style="8" customWidth="1"/>
    <col min="12547" max="12791" width="9.1796875" style="8"/>
    <col min="12792" max="12792" width="8.81640625" style="8" customWidth="1"/>
    <col min="12793" max="12793" width="9.81640625" style="8" customWidth="1"/>
    <col min="12794" max="12794" width="14.453125" style="8" customWidth="1"/>
    <col min="12795" max="12795" width="7.1796875" style="8" customWidth="1"/>
    <col min="12796" max="12796" width="5.54296875" style="8" customWidth="1"/>
    <col min="12797" max="12797" width="9" style="8" customWidth="1"/>
    <col min="12798" max="12799" width="9.81640625" style="8" customWidth="1"/>
    <col min="12800" max="12800" width="11.1796875" style="8" customWidth="1"/>
    <col min="12801" max="12801" width="2.81640625" style="8" customWidth="1"/>
    <col min="12802" max="12802" width="3.54296875" style="8" customWidth="1"/>
    <col min="12803" max="13047" width="9.1796875" style="8"/>
    <col min="13048" max="13048" width="8.81640625" style="8" customWidth="1"/>
    <col min="13049" max="13049" width="9.81640625" style="8" customWidth="1"/>
    <col min="13050" max="13050" width="14.453125" style="8" customWidth="1"/>
    <col min="13051" max="13051" width="7.1796875" style="8" customWidth="1"/>
    <col min="13052" max="13052" width="5.54296875" style="8" customWidth="1"/>
    <col min="13053" max="13053" width="9" style="8" customWidth="1"/>
    <col min="13054" max="13055" width="9.81640625" style="8" customWidth="1"/>
    <col min="13056" max="13056" width="11.1796875" style="8" customWidth="1"/>
    <col min="13057" max="13057" width="2.81640625" style="8" customWidth="1"/>
    <col min="13058" max="13058" width="3.54296875" style="8" customWidth="1"/>
    <col min="13059" max="13303" width="9.1796875" style="8"/>
    <col min="13304" max="13304" width="8.81640625" style="8" customWidth="1"/>
    <col min="13305" max="13305" width="9.81640625" style="8" customWidth="1"/>
    <col min="13306" max="13306" width="14.453125" style="8" customWidth="1"/>
    <col min="13307" max="13307" width="7.1796875" style="8" customWidth="1"/>
    <col min="13308" max="13308" width="5.54296875" style="8" customWidth="1"/>
    <col min="13309" max="13309" width="9" style="8" customWidth="1"/>
    <col min="13310" max="13311" width="9.81640625" style="8" customWidth="1"/>
    <col min="13312" max="13312" width="11.1796875" style="8" customWidth="1"/>
    <col min="13313" max="13313" width="2.81640625" style="8" customWidth="1"/>
    <col min="13314" max="13314" width="3.54296875" style="8" customWidth="1"/>
    <col min="13315" max="13559" width="9.1796875" style="8"/>
    <col min="13560" max="13560" width="8.81640625" style="8" customWidth="1"/>
    <col min="13561" max="13561" width="9.81640625" style="8" customWidth="1"/>
    <col min="13562" max="13562" width="14.453125" style="8" customWidth="1"/>
    <col min="13563" max="13563" width="7.1796875" style="8" customWidth="1"/>
    <col min="13564" max="13564" width="5.54296875" style="8" customWidth="1"/>
    <col min="13565" max="13565" width="9" style="8" customWidth="1"/>
    <col min="13566" max="13567" width="9.81640625" style="8" customWidth="1"/>
    <col min="13568" max="13568" width="11.1796875" style="8" customWidth="1"/>
    <col min="13569" max="13569" width="2.81640625" style="8" customWidth="1"/>
    <col min="13570" max="13570" width="3.54296875" style="8" customWidth="1"/>
    <col min="13571" max="13815" width="9.1796875" style="8"/>
    <col min="13816" max="13816" width="8.81640625" style="8" customWidth="1"/>
    <col min="13817" max="13817" width="9.81640625" style="8" customWidth="1"/>
    <col min="13818" max="13818" width="14.453125" style="8" customWidth="1"/>
    <col min="13819" max="13819" width="7.1796875" style="8" customWidth="1"/>
    <col min="13820" max="13820" width="5.54296875" style="8" customWidth="1"/>
    <col min="13821" max="13821" width="9" style="8" customWidth="1"/>
    <col min="13822" max="13823" width="9.81640625" style="8" customWidth="1"/>
    <col min="13824" max="13824" width="11.1796875" style="8" customWidth="1"/>
    <col min="13825" max="13825" width="2.81640625" style="8" customWidth="1"/>
    <col min="13826" max="13826" width="3.54296875" style="8" customWidth="1"/>
    <col min="13827" max="14071" width="9.1796875" style="8"/>
    <col min="14072" max="14072" width="8.81640625" style="8" customWidth="1"/>
    <col min="14073" max="14073" width="9.81640625" style="8" customWidth="1"/>
    <col min="14074" max="14074" width="14.453125" style="8" customWidth="1"/>
    <col min="14075" max="14075" width="7.1796875" style="8" customWidth="1"/>
    <col min="14076" max="14076" width="5.54296875" style="8" customWidth="1"/>
    <col min="14077" max="14077" width="9" style="8" customWidth="1"/>
    <col min="14078" max="14079" width="9.81640625" style="8" customWidth="1"/>
    <col min="14080" max="14080" width="11.1796875" style="8" customWidth="1"/>
    <col min="14081" max="14081" width="2.81640625" style="8" customWidth="1"/>
    <col min="14082" max="14082" width="3.54296875" style="8" customWidth="1"/>
    <col min="14083" max="14327" width="9.1796875" style="8"/>
    <col min="14328" max="14328" width="8.81640625" style="8" customWidth="1"/>
    <col min="14329" max="14329" width="9.81640625" style="8" customWidth="1"/>
    <col min="14330" max="14330" width="14.453125" style="8" customWidth="1"/>
    <col min="14331" max="14331" width="7.1796875" style="8" customWidth="1"/>
    <col min="14332" max="14332" width="5.54296875" style="8" customWidth="1"/>
    <col min="14333" max="14333" width="9" style="8" customWidth="1"/>
    <col min="14334" max="14335" width="9.81640625" style="8" customWidth="1"/>
    <col min="14336" max="14336" width="11.1796875" style="8" customWidth="1"/>
    <col min="14337" max="14337" width="2.81640625" style="8" customWidth="1"/>
    <col min="14338" max="14338" width="3.54296875" style="8" customWidth="1"/>
    <col min="14339" max="14583" width="9.1796875" style="8"/>
    <col min="14584" max="14584" width="8.81640625" style="8" customWidth="1"/>
    <col min="14585" max="14585" width="9.81640625" style="8" customWidth="1"/>
    <col min="14586" max="14586" width="14.453125" style="8" customWidth="1"/>
    <col min="14587" max="14587" width="7.1796875" style="8" customWidth="1"/>
    <col min="14588" max="14588" width="5.54296875" style="8" customWidth="1"/>
    <col min="14589" max="14589" width="9" style="8" customWidth="1"/>
    <col min="14590" max="14591" width="9.81640625" style="8" customWidth="1"/>
    <col min="14592" max="14592" width="11.1796875" style="8" customWidth="1"/>
    <col min="14593" max="14593" width="2.81640625" style="8" customWidth="1"/>
    <col min="14594" max="14594" width="3.54296875" style="8" customWidth="1"/>
    <col min="14595" max="14839" width="9.1796875" style="8"/>
    <col min="14840" max="14840" width="8.81640625" style="8" customWidth="1"/>
    <col min="14841" max="14841" width="9.81640625" style="8" customWidth="1"/>
    <col min="14842" max="14842" width="14.453125" style="8" customWidth="1"/>
    <col min="14843" max="14843" width="7.1796875" style="8" customWidth="1"/>
    <col min="14844" max="14844" width="5.54296875" style="8" customWidth="1"/>
    <col min="14845" max="14845" width="9" style="8" customWidth="1"/>
    <col min="14846" max="14847" width="9.81640625" style="8" customWidth="1"/>
    <col min="14848" max="14848" width="11.1796875" style="8" customWidth="1"/>
    <col min="14849" max="14849" width="2.81640625" style="8" customWidth="1"/>
    <col min="14850" max="14850" width="3.54296875" style="8" customWidth="1"/>
    <col min="14851" max="15095" width="9.1796875" style="8"/>
    <col min="15096" max="15096" width="8.81640625" style="8" customWidth="1"/>
    <col min="15097" max="15097" width="9.81640625" style="8" customWidth="1"/>
    <col min="15098" max="15098" width="14.453125" style="8" customWidth="1"/>
    <col min="15099" max="15099" width="7.1796875" style="8" customWidth="1"/>
    <col min="15100" max="15100" width="5.54296875" style="8" customWidth="1"/>
    <col min="15101" max="15101" width="9" style="8" customWidth="1"/>
    <col min="15102" max="15103" width="9.81640625" style="8" customWidth="1"/>
    <col min="15104" max="15104" width="11.1796875" style="8" customWidth="1"/>
    <col min="15105" max="15105" width="2.81640625" style="8" customWidth="1"/>
    <col min="15106" max="15106" width="3.54296875" style="8" customWidth="1"/>
    <col min="15107" max="15351" width="9.1796875" style="8"/>
    <col min="15352" max="15352" width="8.81640625" style="8" customWidth="1"/>
    <col min="15353" max="15353" width="9.81640625" style="8" customWidth="1"/>
    <col min="15354" max="15354" width="14.453125" style="8" customWidth="1"/>
    <col min="15355" max="15355" width="7.1796875" style="8" customWidth="1"/>
    <col min="15356" max="15356" width="5.54296875" style="8" customWidth="1"/>
    <col min="15357" max="15357" width="9" style="8" customWidth="1"/>
    <col min="15358" max="15359" width="9.81640625" style="8" customWidth="1"/>
    <col min="15360" max="15360" width="11.1796875" style="8" customWidth="1"/>
    <col min="15361" max="15361" width="2.81640625" style="8" customWidth="1"/>
    <col min="15362" max="15362" width="3.54296875" style="8" customWidth="1"/>
    <col min="15363" max="15607" width="9.1796875" style="8"/>
    <col min="15608" max="15608" width="8.81640625" style="8" customWidth="1"/>
    <col min="15609" max="15609" width="9.81640625" style="8" customWidth="1"/>
    <col min="15610" max="15610" width="14.453125" style="8" customWidth="1"/>
    <col min="15611" max="15611" width="7.1796875" style="8" customWidth="1"/>
    <col min="15612" max="15612" width="5.54296875" style="8" customWidth="1"/>
    <col min="15613" max="15613" width="9" style="8" customWidth="1"/>
    <col min="15614" max="15615" width="9.81640625" style="8" customWidth="1"/>
    <col min="15616" max="15616" width="11.1796875" style="8" customWidth="1"/>
    <col min="15617" max="15617" width="2.81640625" style="8" customWidth="1"/>
    <col min="15618" max="15618" width="3.54296875" style="8" customWidth="1"/>
    <col min="15619" max="15863" width="9.1796875" style="8"/>
    <col min="15864" max="15864" width="8.81640625" style="8" customWidth="1"/>
    <col min="15865" max="15865" width="9.81640625" style="8" customWidth="1"/>
    <col min="15866" max="15866" width="14.453125" style="8" customWidth="1"/>
    <col min="15867" max="15867" width="7.1796875" style="8" customWidth="1"/>
    <col min="15868" max="15868" width="5.54296875" style="8" customWidth="1"/>
    <col min="15869" max="15869" width="9" style="8" customWidth="1"/>
    <col min="15870" max="15871" width="9.81640625" style="8" customWidth="1"/>
    <col min="15872" max="15872" width="11.1796875" style="8" customWidth="1"/>
    <col min="15873" max="15873" width="2.81640625" style="8" customWidth="1"/>
    <col min="15874" max="15874" width="3.54296875" style="8" customWidth="1"/>
    <col min="15875" max="16119" width="9.1796875" style="8"/>
    <col min="16120" max="16120" width="8.81640625" style="8" customWidth="1"/>
    <col min="16121" max="16121" width="9.81640625" style="8" customWidth="1"/>
    <col min="16122" max="16122" width="14.453125" style="8" customWidth="1"/>
    <col min="16123" max="16123" width="7.1796875" style="8" customWidth="1"/>
    <col min="16124" max="16124" width="5.54296875" style="8" customWidth="1"/>
    <col min="16125" max="16125" width="9" style="8" customWidth="1"/>
    <col min="16126" max="16127" width="9.81640625" style="8" customWidth="1"/>
    <col min="16128" max="16128" width="11.1796875" style="8" customWidth="1"/>
    <col min="16129" max="16129" width="2.81640625" style="8" customWidth="1"/>
    <col min="16130" max="16130" width="3.54296875" style="8" customWidth="1"/>
    <col min="16131" max="16384" width="9.1796875" style="8"/>
  </cols>
  <sheetData>
    <row r="1" spans="1:8" ht="46.5" customHeight="1" x14ac:dyDescent="0.35">
      <c r="A1" s="158" t="s">
        <v>242</v>
      </c>
      <c r="B1" s="158"/>
      <c r="C1" s="158"/>
      <c r="D1" s="158"/>
      <c r="E1" s="158"/>
      <c r="F1" s="158"/>
      <c r="G1" s="158"/>
      <c r="H1" s="158"/>
    </row>
    <row r="2" spans="1:8" ht="16.5" customHeight="1" x14ac:dyDescent="0.35">
      <c r="A2" s="107" t="s">
        <v>0</v>
      </c>
      <c r="B2" s="107"/>
      <c r="C2" s="107"/>
      <c r="D2" s="107"/>
      <c r="E2" s="107"/>
      <c r="F2" s="107"/>
      <c r="G2" s="107"/>
      <c r="H2" s="107"/>
    </row>
    <row r="3" spans="1:8" x14ac:dyDescent="0.35">
      <c r="A3" s="117" t="s">
        <v>1</v>
      </c>
      <c r="B3" s="117"/>
      <c r="C3" s="117"/>
      <c r="D3" s="117"/>
      <c r="E3" s="159" t="str">
        <f ca="1">TEXT(TODAY(),"DD/MM/YYYY")</f>
        <v>28/09/2025</v>
      </c>
      <c r="F3" s="159"/>
      <c r="G3" s="159"/>
      <c r="H3" s="159"/>
    </row>
    <row r="4" spans="1:8" ht="15" customHeight="1" x14ac:dyDescent="0.35">
      <c r="A4" s="117" t="s">
        <v>2</v>
      </c>
      <c r="B4" s="117"/>
      <c r="C4" s="117"/>
      <c r="D4" s="117"/>
      <c r="E4" s="160" t="s">
        <v>186</v>
      </c>
      <c r="F4" s="160"/>
      <c r="G4" s="160"/>
      <c r="H4" s="160"/>
    </row>
    <row r="5" spans="1:8" x14ac:dyDescent="0.35">
      <c r="A5" s="117" t="s">
        <v>3</v>
      </c>
      <c r="B5" s="117"/>
      <c r="C5" s="117"/>
      <c r="D5" s="117"/>
      <c r="E5" s="159">
        <v>45927</v>
      </c>
      <c r="F5" s="159"/>
      <c r="G5" s="159"/>
      <c r="H5" s="159"/>
    </row>
    <row r="6" spans="1:8" ht="16.5" customHeight="1" x14ac:dyDescent="0.35">
      <c r="A6" s="117" t="s">
        <v>4</v>
      </c>
      <c r="B6" s="117"/>
      <c r="C6" s="117"/>
      <c r="D6" s="117"/>
      <c r="E6" s="133" t="s">
        <v>218</v>
      </c>
      <c r="F6" s="133"/>
      <c r="G6" s="133"/>
      <c r="H6" s="133"/>
    </row>
    <row r="7" spans="1:8" ht="15" customHeight="1" x14ac:dyDescent="0.35">
      <c r="A7" s="117" t="s">
        <v>5</v>
      </c>
      <c r="B7" s="117"/>
      <c r="C7" s="117"/>
      <c r="D7" s="117"/>
      <c r="E7" s="133" t="str">
        <f>E6</f>
        <v>M/s.Serene Infratech Co</v>
      </c>
      <c r="F7" s="133"/>
      <c r="G7" s="133"/>
      <c r="H7" s="133"/>
    </row>
    <row r="8" spans="1:8" x14ac:dyDescent="0.35">
      <c r="A8" s="117" t="s">
        <v>6</v>
      </c>
      <c r="B8" s="117"/>
      <c r="C8" s="117"/>
      <c r="D8" s="117"/>
      <c r="E8" s="132" t="s">
        <v>188</v>
      </c>
      <c r="F8" s="132"/>
      <c r="G8" s="132"/>
      <c r="H8" s="132"/>
    </row>
    <row r="9" spans="1:8" x14ac:dyDescent="0.35">
      <c r="A9" s="117" t="s">
        <v>159</v>
      </c>
      <c r="B9" s="117"/>
      <c r="C9" s="117"/>
      <c r="D9" s="117"/>
      <c r="E9" s="117">
        <v>9665393600</v>
      </c>
      <c r="F9" s="117"/>
      <c r="G9" s="117"/>
      <c r="H9" s="117"/>
    </row>
    <row r="10" spans="1:8" x14ac:dyDescent="0.35">
      <c r="A10" s="136" t="s">
        <v>7</v>
      </c>
      <c r="B10" s="136"/>
      <c r="C10" s="136"/>
      <c r="D10" s="136"/>
      <c r="E10" s="136" t="s">
        <v>198</v>
      </c>
      <c r="F10" s="136"/>
      <c r="G10" s="136"/>
      <c r="H10" s="136"/>
    </row>
    <row r="11" spans="1:8" ht="18" customHeight="1" x14ac:dyDescent="0.35">
      <c r="A11" s="117" t="s">
        <v>8</v>
      </c>
      <c r="B11" s="117"/>
      <c r="C11" s="117"/>
      <c r="D11" s="117"/>
      <c r="E11" s="140" t="s">
        <v>199</v>
      </c>
      <c r="F11" s="140"/>
      <c r="G11" s="140"/>
      <c r="H11" s="140"/>
    </row>
    <row r="12" spans="1:8" x14ac:dyDescent="0.35">
      <c r="A12" s="117" t="s">
        <v>9</v>
      </c>
      <c r="B12" s="117"/>
      <c r="C12" s="117"/>
      <c r="D12" s="117"/>
      <c r="E12" s="162" t="s">
        <v>200</v>
      </c>
      <c r="F12" s="163"/>
      <c r="G12" s="163"/>
      <c r="H12" s="163"/>
    </row>
    <row r="13" spans="1:8" ht="33" customHeight="1" x14ac:dyDescent="0.35">
      <c r="A13" s="133" t="s">
        <v>10</v>
      </c>
      <c r="B13" s="133"/>
      <c r="C13" s="133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",(IF(OR(G16="",G16="NA"),"",G16)),".")</f>
        <v>Patels Glory, CTS No.58/4/3, near Jainam Residency, Pale Road, Pale Gaon, Ambarnath, Ambarnath, Thane.</v>
      </c>
      <c r="D13" s="133"/>
      <c r="E13" s="133"/>
      <c r="F13" s="133"/>
      <c r="G13" s="133"/>
      <c r="H13" s="133"/>
    </row>
    <row r="14" spans="1:8" x14ac:dyDescent="0.35">
      <c r="A14" s="161" t="s">
        <v>187</v>
      </c>
      <c r="B14" s="161"/>
      <c r="C14" s="140" t="s">
        <v>222</v>
      </c>
      <c r="D14" s="140"/>
      <c r="E14" s="140"/>
      <c r="F14" s="140"/>
      <c r="G14" s="140"/>
      <c r="H14" s="140"/>
    </row>
    <row r="15" spans="1:8" ht="15.75" customHeight="1" x14ac:dyDescent="0.35">
      <c r="A15" s="133" t="s">
        <v>11</v>
      </c>
      <c r="B15" s="133"/>
      <c r="C15" s="136" t="s">
        <v>215</v>
      </c>
      <c r="D15" s="136"/>
      <c r="E15" s="133" t="s">
        <v>103</v>
      </c>
      <c r="F15" s="133"/>
      <c r="G15" s="140" t="s">
        <v>191</v>
      </c>
      <c r="H15" s="140"/>
    </row>
    <row r="16" spans="1:8" x14ac:dyDescent="0.35">
      <c r="A16" s="117" t="s">
        <v>13</v>
      </c>
      <c r="B16" s="117"/>
      <c r="C16" s="140" t="s">
        <v>189</v>
      </c>
      <c r="D16" s="140"/>
      <c r="E16" s="133" t="s">
        <v>12</v>
      </c>
      <c r="F16" s="133"/>
      <c r="G16" s="164" t="s">
        <v>190</v>
      </c>
      <c r="H16" s="164"/>
    </row>
    <row r="17" spans="1:8" x14ac:dyDescent="0.35">
      <c r="A17" s="117" t="s">
        <v>104</v>
      </c>
      <c r="B17" s="117"/>
      <c r="C17" s="140" t="s">
        <v>189</v>
      </c>
      <c r="D17" s="140"/>
      <c r="E17" s="133" t="s">
        <v>14</v>
      </c>
      <c r="F17" s="133"/>
      <c r="G17" s="140">
        <v>421501</v>
      </c>
      <c r="H17" s="140"/>
    </row>
    <row r="18" spans="1:8" ht="32.25" customHeight="1" x14ac:dyDescent="0.35">
      <c r="A18" s="117" t="s">
        <v>160</v>
      </c>
      <c r="B18" s="117"/>
      <c r="C18" s="165" t="s">
        <v>211</v>
      </c>
      <c r="D18" s="165"/>
      <c r="E18" s="133" t="s">
        <v>15</v>
      </c>
      <c r="F18" s="133"/>
      <c r="G18" s="140" t="s">
        <v>216</v>
      </c>
      <c r="H18" s="140"/>
    </row>
    <row r="19" spans="1:8" ht="15" customHeight="1" x14ac:dyDescent="0.35">
      <c r="A19" s="133" t="s">
        <v>108</v>
      </c>
      <c r="B19" s="133"/>
      <c r="C19" s="133"/>
      <c r="D19" s="133"/>
      <c r="E19" s="136" t="s">
        <v>16</v>
      </c>
      <c r="F19" s="136"/>
      <c r="G19" s="136"/>
      <c r="H19" s="136"/>
    </row>
    <row r="20" spans="1:8" ht="18.75" customHeight="1" x14ac:dyDescent="0.35">
      <c r="A20" s="133"/>
      <c r="B20" s="133"/>
      <c r="C20" s="133"/>
      <c r="D20" s="133"/>
      <c r="E20" s="136"/>
      <c r="F20" s="136"/>
      <c r="G20" s="136"/>
      <c r="H20" s="136"/>
    </row>
    <row r="21" spans="1:8" ht="15" customHeight="1" x14ac:dyDescent="0.35">
      <c r="A21" s="133" t="s">
        <v>17</v>
      </c>
      <c r="B21" s="133"/>
      <c r="C21" s="133"/>
      <c r="D21" s="133"/>
      <c r="E21" s="140" t="s">
        <v>18</v>
      </c>
      <c r="F21" s="140"/>
      <c r="G21" s="140"/>
      <c r="H21" s="140"/>
    </row>
    <row r="22" spans="1:8" ht="15" customHeight="1" x14ac:dyDescent="0.35">
      <c r="A22" s="117" t="s">
        <v>19</v>
      </c>
      <c r="B22" s="117"/>
      <c r="C22" s="117"/>
      <c r="D22" s="117"/>
      <c r="E22" s="140" t="str">
        <f>IF(AND(G16="Mumbai"),"Upper Class","Middle Class")</f>
        <v>Middle Class</v>
      </c>
      <c r="F22" s="140"/>
      <c r="G22" s="140"/>
      <c r="H22" s="140"/>
    </row>
    <row r="23" spans="1:8" x14ac:dyDescent="0.35">
      <c r="A23" s="117" t="s">
        <v>20</v>
      </c>
      <c r="B23" s="117"/>
      <c r="C23" s="117"/>
      <c r="D23" s="117"/>
      <c r="E23" s="140" t="s">
        <v>21</v>
      </c>
      <c r="F23" s="140"/>
      <c r="G23" s="140"/>
      <c r="H23" s="140"/>
    </row>
    <row r="24" spans="1:8" ht="15.75" customHeight="1" x14ac:dyDescent="0.35">
      <c r="A24" s="117" t="s">
        <v>22</v>
      </c>
      <c r="B24" s="117"/>
      <c r="C24" s="117"/>
      <c r="D24" s="117"/>
      <c r="E24" s="140" t="str">
        <f>IF(AND(G16="Mumbai"),"Developed","Developing")</f>
        <v>Developing</v>
      </c>
      <c r="F24" s="140"/>
      <c r="G24" s="140"/>
      <c r="H24" s="140"/>
    </row>
    <row r="25" spans="1:8" x14ac:dyDescent="0.35">
      <c r="A25" s="117" t="s">
        <v>23</v>
      </c>
      <c r="B25" s="117"/>
      <c r="C25" s="117"/>
      <c r="D25" s="117"/>
      <c r="E25" s="140" t="s">
        <v>24</v>
      </c>
      <c r="F25" s="140"/>
      <c r="G25" s="140"/>
      <c r="H25" s="140"/>
    </row>
    <row r="26" spans="1:8" x14ac:dyDescent="0.35">
      <c r="A26" s="117" t="s">
        <v>115</v>
      </c>
      <c r="B26" s="117"/>
      <c r="C26" s="117"/>
      <c r="D26" s="117"/>
      <c r="E26" s="140" t="s">
        <v>116</v>
      </c>
      <c r="F26" s="140"/>
      <c r="G26" s="140"/>
      <c r="H26" s="140"/>
    </row>
    <row r="27" spans="1:8" ht="15" customHeight="1" x14ac:dyDescent="0.35">
      <c r="A27" s="133" t="s">
        <v>35</v>
      </c>
      <c r="B27" s="133"/>
      <c r="C27" s="133"/>
      <c r="D27" s="133"/>
      <c r="E27" s="160" t="s">
        <v>201</v>
      </c>
      <c r="F27" s="168"/>
      <c r="G27" s="168"/>
      <c r="H27" s="168"/>
    </row>
    <row r="28" spans="1:8" x14ac:dyDescent="0.35">
      <c r="A28" s="133" t="s">
        <v>127</v>
      </c>
      <c r="B28" s="133"/>
      <c r="C28" s="133"/>
      <c r="D28" s="133"/>
      <c r="E28" s="133" t="s">
        <v>36</v>
      </c>
      <c r="F28" s="133"/>
      <c r="G28" s="133"/>
      <c r="H28" s="133"/>
    </row>
    <row r="29" spans="1:8" s="11" customFormat="1" x14ac:dyDescent="0.35">
      <c r="A29" s="172" t="s">
        <v>128</v>
      </c>
      <c r="B29" s="172"/>
      <c r="C29" s="169" t="s">
        <v>29</v>
      </c>
      <c r="D29" s="169"/>
      <c r="E29" s="169"/>
      <c r="F29" s="169" t="s">
        <v>31</v>
      </c>
      <c r="G29" s="169"/>
      <c r="H29" s="169"/>
    </row>
    <row r="30" spans="1:8" s="11" customFormat="1" x14ac:dyDescent="0.35">
      <c r="A30" s="166" t="s">
        <v>25</v>
      </c>
      <c r="B30" s="166" t="s">
        <v>30</v>
      </c>
      <c r="C30" s="167" t="s">
        <v>30</v>
      </c>
      <c r="D30" s="167"/>
      <c r="E30" s="167"/>
      <c r="F30" s="167" t="s">
        <v>214</v>
      </c>
      <c r="G30" s="167"/>
      <c r="H30" s="167"/>
    </row>
    <row r="31" spans="1:8" x14ac:dyDescent="0.35">
      <c r="A31" s="166" t="s">
        <v>26</v>
      </c>
      <c r="B31" s="166" t="s">
        <v>30</v>
      </c>
      <c r="C31" s="167" t="s">
        <v>30</v>
      </c>
      <c r="D31" s="167"/>
      <c r="E31" s="167"/>
      <c r="F31" s="167" t="s">
        <v>213</v>
      </c>
      <c r="G31" s="167"/>
      <c r="H31" s="167"/>
    </row>
    <row r="32" spans="1:8" s="11" customFormat="1" x14ac:dyDescent="0.35">
      <c r="A32" s="166" t="s">
        <v>28</v>
      </c>
      <c r="B32" s="166" t="s">
        <v>30</v>
      </c>
      <c r="C32" s="167" t="s">
        <v>30</v>
      </c>
      <c r="D32" s="167"/>
      <c r="E32" s="167"/>
      <c r="F32" s="167" t="s">
        <v>212</v>
      </c>
      <c r="G32" s="167"/>
      <c r="H32" s="167"/>
    </row>
    <row r="33" spans="1:8" x14ac:dyDescent="0.35">
      <c r="A33" s="166" t="s">
        <v>27</v>
      </c>
      <c r="B33" s="166" t="s">
        <v>30</v>
      </c>
      <c r="C33" s="167" t="s">
        <v>30</v>
      </c>
      <c r="D33" s="167"/>
      <c r="E33" s="167"/>
      <c r="F33" s="167" t="s">
        <v>211</v>
      </c>
      <c r="G33" s="167"/>
      <c r="H33" s="167"/>
    </row>
    <row r="34" spans="1:8" x14ac:dyDescent="0.35">
      <c r="A34" s="117" t="s">
        <v>32</v>
      </c>
      <c r="B34" s="117"/>
      <c r="C34" s="117"/>
      <c r="D34" s="117"/>
      <c r="E34" s="117"/>
      <c r="F34" s="117"/>
      <c r="G34" s="117"/>
      <c r="H34" s="117"/>
    </row>
    <row r="35" spans="1:8" ht="15.75" customHeight="1" x14ac:dyDescent="0.35">
      <c r="A35" s="107" t="s">
        <v>33</v>
      </c>
      <c r="B35" s="107"/>
      <c r="C35" s="170">
        <v>19.190417</v>
      </c>
      <c r="D35" s="170"/>
      <c r="E35" s="107" t="s">
        <v>34</v>
      </c>
      <c r="F35" s="107"/>
      <c r="G35" s="171">
        <v>73.177000000000007</v>
      </c>
      <c r="H35" s="171"/>
    </row>
    <row r="36" spans="1:8" ht="15.75" customHeight="1" x14ac:dyDescent="0.35">
      <c r="A36" s="107" t="s">
        <v>230</v>
      </c>
      <c r="B36" s="107"/>
      <c r="C36" s="185" t="s">
        <v>231</v>
      </c>
      <c r="D36" s="186"/>
      <c r="E36" s="186"/>
      <c r="F36" s="186"/>
      <c r="G36" s="186"/>
      <c r="H36" s="187"/>
    </row>
    <row r="37" spans="1:8" x14ac:dyDescent="0.35">
      <c r="A37" s="132" t="s">
        <v>37</v>
      </c>
      <c r="B37" s="132"/>
      <c r="C37" s="132"/>
      <c r="D37" s="132"/>
      <c r="E37" s="132"/>
      <c r="F37" s="132"/>
      <c r="G37" s="132"/>
      <c r="H37" s="132"/>
    </row>
    <row r="38" spans="1:8" x14ac:dyDescent="0.35">
      <c r="A38" s="117" t="s">
        <v>38</v>
      </c>
      <c r="B38" s="117"/>
      <c r="C38" s="117"/>
      <c r="D38" s="117"/>
      <c r="E38" s="193">
        <v>4700</v>
      </c>
      <c r="F38" s="193"/>
      <c r="G38" s="193"/>
      <c r="H38" s="193"/>
    </row>
    <row r="39" spans="1:8" x14ac:dyDescent="0.35">
      <c r="A39" s="117" t="s">
        <v>39</v>
      </c>
      <c r="B39" s="117"/>
      <c r="C39" s="117"/>
      <c r="D39" s="117"/>
      <c r="E39" s="116">
        <v>1.1000000000000001</v>
      </c>
      <c r="F39" s="116"/>
      <c r="G39" s="116"/>
      <c r="H39" s="116"/>
    </row>
    <row r="40" spans="1:8" x14ac:dyDescent="0.35">
      <c r="A40" s="117" t="s">
        <v>40</v>
      </c>
      <c r="B40" s="117"/>
      <c r="C40" s="117"/>
      <c r="D40" s="117"/>
      <c r="E40" s="116">
        <f>E42/E38-E39</f>
        <v>1.5882127659574468</v>
      </c>
      <c r="F40" s="116"/>
      <c r="G40" s="116"/>
      <c r="H40" s="116"/>
    </row>
    <row r="41" spans="1:8" x14ac:dyDescent="0.35">
      <c r="A41" s="117" t="s">
        <v>41</v>
      </c>
      <c r="B41" s="117"/>
      <c r="C41" s="117"/>
      <c r="D41" s="117"/>
      <c r="E41" s="116">
        <f>E39+E40</f>
        <v>2.6882127659574468</v>
      </c>
      <c r="F41" s="116"/>
      <c r="G41" s="116"/>
      <c r="H41" s="116"/>
    </row>
    <row r="42" spans="1:8" x14ac:dyDescent="0.35">
      <c r="A42" s="117" t="s">
        <v>126</v>
      </c>
      <c r="B42" s="117"/>
      <c r="C42" s="117"/>
      <c r="D42" s="117"/>
      <c r="E42" s="194">
        <v>12634.6</v>
      </c>
      <c r="F42" s="194"/>
      <c r="G42" s="194"/>
      <c r="H42" s="194"/>
    </row>
    <row r="43" spans="1:8" x14ac:dyDescent="0.35">
      <c r="A43" s="136" t="s">
        <v>42</v>
      </c>
      <c r="B43" s="136"/>
      <c r="C43" s="136"/>
      <c r="D43" s="136"/>
      <c r="E43" s="136" t="s">
        <v>228</v>
      </c>
      <c r="F43" s="136"/>
      <c r="G43" s="136"/>
      <c r="H43" s="136"/>
    </row>
    <row r="44" spans="1:8" x14ac:dyDescent="0.35">
      <c r="A44" s="132" t="s">
        <v>43</v>
      </c>
      <c r="B44" s="132"/>
      <c r="C44" s="132"/>
      <c r="D44" s="132"/>
      <c r="E44" s="132"/>
      <c r="F44" s="132"/>
      <c r="G44" s="132"/>
      <c r="H44" s="132"/>
    </row>
    <row r="45" spans="1:8" x14ac:dyDescent="0.35">
      <c r="A45" s="133" t="s">
        <v>44</v>
      </c>
      <c r="B45" s="133"/>
      <c r="C45" s="134" t="s">
        <v>192</v>
      </c>
      <c r="D45" s="134"/>
      <c r="E45" s="134"/>
      <c r="F45" s="62" t="s">
        <v>45</v>
      </c>
      <c r="G45" s="135">
        <v>44371</v>
      </c>
      <c r="H45" s="135"/>
    </row>
    <row r="46" spans="1:8" x14ac:dyDescent="0.35">
      <c r="A46" s="117" t="s">
        <v>46</v>
      </c>
      <c r="B46" s="117"/>
      <c r="C46" s="134" t="s">
        <v>192</v>
      </c>
      <c r="D46" s="134"/>
      <c r="E46" s="134"/>
      <c r="F46" s="62" t="s">
        <v>45</v>
      </c>
      <c r="G46" s="135">
        <f>G45</f>
        <v>44371</v>
      </c>
      <c r="H46" s="135"/>
    </row>
    <row r="47" spans="1:8" s="10" customFormat="1" x14ac:dyDescent="0.35">
      <c r="A47" s="140" t="s">
        <v>47</v>
      </c>
      <c r="B47" s="140"/>
      <c r="C47" s="134" t="s">
        <v>192</v>
      </c>
      <c r="D47" s="134"/>
      <c r="E47" s="134"/>
      <c r="F47" s="13" t="s">
        <v>45</v>
      </c>
      <c r="G47" s="135">
        <f>G46</f>
        <v>44371</v>
      </c>
      <c r="H47" s="135"/>
    </row>
    <row r="48" spans="1:8" s="10" customFormat="1" x14ac:dyDescent="0.35">
      <c r="A48" s="140"/>
      <c r="B48" s="140"/>
      <c r="C48" s="134" t="s">
        <v>219</v>
      </c>
      <c r="D48" s="134"/>
      <c r="E48" s="134"/>
      <c r="F48" s="134"/>
      <c r="G48" s="134"/>
      <c r="H48" s="134"/>
    </row>
    <row r="49" spans="1:14" ht="45.5" customHeight="1" x14ac:dyDescent="0.35">
      <c r="A49" s="99" t="s">
        <v>48</v>
      </c>
      <c r="B49" s="99"/>
      <c r="C49" s="137" t="s">
        <v>244</v>
      </c>
      <c r="D49" s="138"/>
      <c r="E49" s="138" t="s">
        <v>49</v>
      </c>
      <c r="F49" s="14" t="s">
        <v>45</v>
      </c>
      <c r="G49" s="141">
        <v>45345</v>
      </c>
      <c r="H49" s="141"/>
    </row>
    <row r="50" spans="1:14" ht="45.5" customHeight="1" x14ac:dyDescent="0.35">
      <c r="A50" s="99"/>
      <c r="B50" s="99"/>
      <c r="C50" s="137" t="s">
        <v>246</v>
      </c>
      <c r="D50" s="138"/>
      <c r="E50" s="138" t="s">
        <v>49</v>
      </c>
      <c r="F50" s="14" t="s">
        <v>45</v>
      </c>
      <c r="G50" s="141">
        <v>45763</v>
      </c>
      <c r="H50" s="141"/>
    </row>
    <row r="51" spans="1:14" ht="45.5" customHeight="1" x14ac:dyDescent="0.35">
      <c r="A51" s="99"/>
      <c r="B51" s="99"/>
      <c r="C51" s="137" t="s">
        <v>249</v>
      </c>
      <c r="D51" s="138"/>
      <c r="E51" s="138" t="s">
        <v>49</v>
      </c>
      <c r="F51" s="14" t="s">
        <v>45</v>
      </c>
      <c r="G51" s="141">
        <v>45875</v>
      </c>
      <c r="H51" s="141"/>
    </row>
    <row r="52" spans="1:14" x14ac:dyDescent="0.35">
      <c r="A52" s="139" t="s">
        <v>51</v>
      </c>
      <c r="B52" s="139"/>
      <c r="C52" s="139"/>
      <c r="D52" s="139"/>
      <c r="E52" s="139"/>
      <c r="F52" s="139"/>
      <c r="G52" s="139"/>
      <c r="H52" s="139"/>
    </row>
    <row r="53" spans="1:14" x14ac:dyDescent="0.35">
      <c r="A53" s="133" t="s">
        <v>125</v>
      </c>
      <c r="B53" s="133"/>
      <c r="C53" s="133"/>
      <c r="D53" s="117">
        <f>E42</f>
        <v>12634.6</v>
      </c>
      <c r="E53" s="117"/>
      <c r="F53" s="117"/>
      <c r="G53" s="117"/>
      <c r="H53" s="117"/>
    </row>
    <row r="54" spans="1:14" x14ac:dyDescent="0.35">
      <c r="A54" s="140" t="s">
        <v>52</v>
      </c>
      <c r="B54" s="136"/>
      <c r="C54" s="136"/>
      <c r="D54" s="136" t="s">
        <v>210</v>
      </c>
      <c r="E54" s="136"/>
      <c r="F54" s="136"/>
      <c r="G54" s="136"/>
      <c r="H54" s="136"/>
      <c r="I54" s="41"/>
    </row>
    <row r="55" spans="1:14" x14ac:dyDescent="0.35">
      <c r="A55" s="144" t="s">
        <v>53</v>
      </c>
      <c r="B55" s="145"/>
      <c r="C55" s="146"/>
      <c r="D55" s="142" t="s">
        <v>220</v>
      </c>
      <c r="E55" s="143"/>
      <c r="F55" s="143"/>
      <c r="G55" s="143"/>
      <c r="H55" s="143"/>
    </row>
    <row r="56" spans="1:14" ht="15.75" customHeight="1" x14ac:dyDescent="0.35">
      <c r="A56" s="140" t="s">
        <v>123</v>
      </c>
      <c r="B56" s="140"/>
      <c r="C56" s="140"/>
      <c r="D56" s="136" t="s">
        <v>234</v>
      </c>
      <c r="E56" s="136"/>
      <c r="F56" s="136"/>
      <c r="G56" s="136"/>
      <c r="H56" s="136"/>
    </row>
    <row r="57" spans="1:14" ht="15.75" customHeight="1" x14ac:dyDescent="0.35">
      <c r="A57" s="140"/>
      <c r="B57" s="140"/>
      <c r="C57" s="140"/>
      <c r="D57" s="136" t="s">
        <v>229</v>
      </c>
      <c r="E57" s="136"/>
      <c r="F57" s="136"/>
      <c r="G57" s="136"/>
      <c r="H57" s="136"/>
    </row>
    <row r="58" spans="1:14" ht="15.75" customHeight="1" x14ac:dyDescent="0.35">
      <c r="A58" s="140"/>
      <c r="B58" s="140"/>
      <c r="C58" s="140"/>
      <c r="D58" s="136" t="s">
        <v>241</v>
      </c>
      <c r="E58" s="136"/>
      <c r="F58" s="136"/>
      <c r="G58" s="136"/>
      <c r="H58" s="136"/>
    </row>
    <row r="59" spans="1:14" ht="15.75" hidden="1" customHeight="1" x14ac:dyDescent="0.35">
      <c r="A59" s="140"/>
      <c r="B59" s="140"/>
      <c r="C59" s="140"/>
      <c r="D59" s="136" t="s">
        <v>240</v>
      </c>
      <c r="E59" s="136"/>
      <c r="F59" s="136"/>
      <c r="G59" s="136"/>
      <c r="H59" s="136"/>
    </row>
    <row r="60" spans="1:14" ht="15.75" customHeight="1" x14ac:dyDescent="0.35">
      <c r="A60" s="117" t="s">
        <v>50</v>
      </c>
      <c r="B60" s="117"/>
      <c r="C60" s="117"/>
      <c r="D60" s="195" t="s">
        <v>250</v>
      </c>
      <c r="E60" s="195"/>
      <c r="F60" s="195"/>
      <c r="G60" s="195"/>
      <c r="H60" s="195"/>
      <c r="J60" s="40"/>
      <c r="K60" s="41"/>
      <c r="N60" s="41"/>
    </row>
    <row r="61" spans="1:14" ht="15.75" customHeight="1" x14ac:dyDescent="0.35">
      <c r="A61" s="117" t="s">
        <v>121</v>
      </c>
      <c r="B61" s="117"/>
      <c r="C61" s="117"/>
      <c r="D61" s="183" t="s">
        <v>251</v>
      </c>
      <c r="E61" s="183"/>
      <c r="F61" s="183"/>
      <c r="G61" s="183"/>
      <c r="H61" s="183"/>
      <c r="N61" s="41"/>
    </row>
    <row r="62" spans="1:14" ht="15.75" customHeight="1" x14ac:dyDescent="0.35">
      <c r="A62" s="117" t="s">
        <v>122</v>
      </c>
      <c r="B62" s="117"/>
      <c r="C62" s="117"/>
      <c r="D62" s="133" t="s">
        <v>24</v>
      </c>
      <c r="E62" s="133"/>
      <c r="F62" s="133"/>
      <c r="G62" s="133"/>
      <c r="H62" s="133"/>
      <c r="J62" s="19"/>
      <c r="K62" s="19"/>
    </row>
    <row r="63" spans="1:14" ht="15.75" customHeight="1" thickBot="1" x14ac:dyDescent="0.4">
      <c r="A63" s="184" t="s">
        <v>120</v>
      </c>
      <c r="B63" s="184"/>
      <c r="C63" s="184"/>
      <c r="D63" s="142" t="str">
        <f>(IF(G114&gt;95%,"Nothing",IF(G114&gt;0%,"Cement, Aggregate, Steel, etc",IF(G68=0%,"Work not yet Started"))))</f>
        <v>Nothing</v>
      </c>
      <c r="E63" s="142"/>
      <c r="F63" s="142"/>
      <c r="G63" s="142"/>
      <c r="H63" s="142"/>
      <c r="J63" s="19"/>
    </row>
    <row r="64" spans="1:14" ht="31.5" customHeight="1" x14ac:dyDescent="0.35">
      <c r="A64" s="75" t="s">
        <v>178</v>
      </c>
      <c r="B64" s="76"/>
      <c r="C64" s="77" t="s">
        <v>247</v>
      </c>
      <c r="D64" s="78"/>
      <c r="E64" s="78"/>
      <c r="F64" s="78"/>
      <c r="G64" s="78"/>
      <c r="H64" s="79"/>
      <c r="I64" s="44" t="str">
        <f>(IF(E68&gt;99%,"All work completed. Please provide OC.",IF(E68&gt;89.8%,"Plinth, RCC, Brick, Plaster, Flooring, Painting work Completed. Finishing work is in process.",IF(E68&lt;94%,(IF(C68=0,"Work not yet Started.",IF(D68=25%,"Piling work in process",IF(D68=50%,"Excavation work in process",IF(D68=100%,"Excavation work Completed. ","0")))&amp;(IF(C69=0%,"",IF(C69=J70,"Footing work is process",IF(C69=J71,"Footing work Completed",IF(C69=J72,"1st Basement Completed",IF(C69=J73,"1st &amp; 2nd Basement Completed",IF(C69=J74,"1st to 3rd Basement Completed",IF(C69=J75,"1st to 4th Basement Completed",IF(C69=J76,"Plinth work is process",IF(C69=J77,"Plinth work completed","0")))))))))))&amp;(IF(C70=(D65+F65+H65),", RCC Slab",IF(C70&gt;0,", RCC upto "&amp;C70&amp;" Slab",""))&amp;(IF(C71=H65,", Brickwork",IF(C71&gt;0,", Brickwork upto "&amp;C71&amp;" Floor",""))&amp;(IF(C72=H65,", Internal Plaster",IF(C72&gt;0,", Internal Plaster upto "&amp;C72&amp;" Floor",""))&amp;(IF(C73=H65,", External Plaster",IF(C73&gt;0,", External Plaster upto "&amp;C73&amp;" Floor",""))&amp;(IF(C74=H65,", Flooring",IF(C74&gt;0,", Flooring upto "&amp;C74&amp;" Floor",""))&amp;(IF(C75=H65,", Painting",IF(C75&gt;0,", Painting upto "&amp;C75&amp;" Floor",""))&amp;(IF(C76&gt;0,", Finishing upto "&amp;C76&amp;" Floor","")&amp;(IF(C70&gt;0.5," Completed",""))))))))))))))</f>
        <v>All work completed. Please provide OC.</v>
      </c>
      <c r="J64" s="21"/>
    </row>
    <row r="65" spans="1:10" x14ac:dyDescent="0.35">
      <c r="A65" s="49" t="s">
        <v>180</v>
      </c>
      <c r="B65" s="51">
        <v>1</v>
      </c>
      <c r="C65" s="51" t="s">
        <v>102</v>
      </c>
      <c r="D65" s="51">
        <v>1</v>
      </c>
      <c r="E65" s="51" t="s">
        <v>101</v>
      </c>
      <c r="F65" s="51">
        <v>0</v>
      </c>
      <c r="G65" s="51" t="s">
        <v>114</v>
      </c>
      <c r="H65" s="50">
        <v>7</v>
      </c>
      <c r="I65" s="19"/>
      <c r="J65" s="22"/>
    </row>
    <row r="66" spans="1:10" ht="16" thickBot="1" x14ac:dyDescent="0.4">
      <c r="A66" s="80" t="s">
        <v>124</v>
      </c>
      <c r="B66" s="81"/>
      <c r="C66" s="82" t="str">
        <f>I66</f>
        <v>All work Completed. OC Received.</v>
      </c>
      <c r="D66" s="82"/>
      <c r="E66" s="82"/>
      <c r="F66" s="82"/>
      <c r="G66" s="82"/>
      <c r="H66" s="83"/>
      <c r="I66" s="19" t="s">
        <v>141</v>
      </c>
      <c r="J66" s="22"/>
    </row>
    <row r="67" spans="1:10" ht="15.75" hidden="1" customHeight="1" x14ac:dyDescent="0.35">
      <c r="A67" s="84" t="s">
        <v>54</v>
      </c>
      <c r="B67" s="85"/>
      <c r="C67" s="52" t="s">
        <v>177</v>
      </c>
      <c r="D67" s="52" t="s">
        <v>117</v>
      </c>
      <c r="E67" s="85" t="s">
        <v>119</v>
      </c>
      <c r="F67" s="85"/>
      <c r="G67" s="85" t="s">
        <v>118</v>
      </c>
      <c r="H67" s="86"/>
      <c r="I67" s="39" t="s">
        <v>179</v>
      </c>
      <c r="J67" s="23">
        <f>H65*25%</f>
        <v>1.75</v>
      </c>
    </row>
    <row r="68" spans="1:10" hidden="1" x14ac:dyDescent="0.35">
      <c r="A68" s="84" t="s">
        <v>166</v>
      </c>
      <c r="B68" s="85"/>
      <c r="C68" s="53">
        <f>J69</f>
        <v>7</v>
      </c>
      <c r="D68" s="54">
        <f>((100/H65)*C68)/100</f>
        <v>1</v>
      </c>
      <c r="E68" s="87">
        <f>(((C69/H65*10)+(40/(D65+F65+H65)*C70)+(7.5/(H65)*C71)+(7.5/(H65)*C72)+(10/H65*C73)+(10/H65*C74)+(5/H65*C75)+(5/H65*C76)+(5/H65*C77))/100)</f>
        <v>1</v>
      </c>
      <c r="F68" s="87"/>
      <c r="G68" s="87">
        <f>((((C68/H65)*20)+((C69/H65)*25)+(30/(H65+F65+D65)*C70)+(5/H65*C71)+(5/H65*C72)+(5/H65*C73)+(5/H65*C74)+(0/H65*C75)+(0/H65*C76)+(5/H65*C77))/100)</f>
        <v>1</v>
      </c>
      <c r="H68" s="89"/>
      <c r="I68" s="39" t="s">
        <v>136</v>
      </c>
      <c r="J68" s="43">
        <f>H65*50%</f>
        <v>3.5</v>
      </c>
    </row>
    <row r="69" spans="1:10" hidden="1" x14ac:dyDescent="0.35">
      <c r="A69" s="84" t="s">
        <v>55</v>
      </c>
      <c r="B69" s="85"/>
      <c r="C69" s="55">
        <f>J77</f>
        <v>7</v>
      </c>
      <c r="D69" s="54">
        <f>((100/H65)*C69)/100</f>
        <v>1</v>
      </c>
      <c r="E69" s="87"/>
      <c r="F69" s="87"/>
      <c r="G69" s="87"/>
      <c r="H69" s="89"/>
      <c r="I69" s="39" t="s">
        <v>137</v>
      </c>
      <c r="J69" s="43">
        <f>H65</f>
        <v>7</v>
      </c>
    </row>
    <row r="70" spans="1:10" ht="15.75" hidden="1" customHeight="1" x14ac:dyDescent="0.35">
      <c r="A70" s="84" t="s">
        <v>167</v>
      </c>
      <c r="B70" s="85"/>
      <c r="C70" s="55">
        <v>8</v>
      </c>
      <c r="D70" s="54">
        <f>((100/(D65+F65+H65))*C70)/100</f>
        <v>1</v>
      </c>
      <c r="E70" s="87"/>
      <c r="F70" s="87"/>
      <c r="G70" s="87"/>
      <c r="H70" s="89"/>
      <c r="I70" s="39" t="s">
        <v>138</v>
      </c>
      <c r="J70" s="46">
        <f>(IF(B65&gt;1,(H65/(B65+2)),H65/4))</f>
        <v>1.75</v>
      </c>
    </row>
    <row r="71" spans="1:10" ht="15.75" hidden="1" customHeight="1" x14ac:dyDescent="0.35">
      <c r="A71" s="84" t="s">
        <v>174</v>
      </c>
      <c r="B71" s="85" t="s">
        <v>168</v>
      </c>
      <c r="C71" s="53">
        <v>7</v>
      </c>
      <c r="D71" s="54">
        <f>((100/H65)*C71)/100</f>
        <v>1</v>
      </c>
      <c r="E71" s="87"/>
      <c r="F71" s="87"/>
      <c r="G71" s="87"/>
      <c r="H71" s="89"/>
      <c r="I71" s="39" t="s">
        <v>139</v>
      </c>
      <c r="J71" s="46">
        <f>(IF(B65&gt;1,(H65/(B65+2)+J70),H65/4+J70))</f>
        <v>3.5</v>
      </c>
    </row>
    <row r="72" spans="1:10" ht="15.75" hidden="1" customHeight="1" x14ac:dyDescent="0.35">
      <c r="A72" s="84" t="s">
        <v>175</v>
      </c>
      <c r="B72" s="85" t="s">
        <v>168</v>
      </c>
      <c r="C72" s="53">
        <v>7</v>
      </c>
      <c r="D72" s="54">
        <f>((100/H65)*C72)/100</f>
        <v>1</v>
      </c>
      <c r="E72" s="87"/>
      <c r="F72" s="87"/>
      <c r="G72" s="87"/>
      <c r="H72" s="89"/>
      <c r="I72" s="39" t="s">
        <v>184</v>
      </c>
      <c r="J72" s="46">
        <f>(IF(B65&gt;1,(H65/(B65+2)+J71),0))</f>
        <v>0</v>
      </c>
    </row>
    <row r="73" spans="1:10" ht="15" hidden="1" customHeight="1" x14ac:dyDescent="0.35">
      <c r="A73" s="84" t="s">
        <v>173</v>
      </c>
      <c r="B73" s="85" t="s">
        <v>170</v>
      </c>
      <c r="C73" s="53">
        <v>7</v>
      </c>
      <c r="D73" s="54">
        <f>((100/(H65))*C73)/100</f>
        <v>1</v>
      </c>
      <c r="E73" s="87"/>
      <c r="F73" s="87"/>
      <c r="G73" s="87"/>
      <c r="H73" s="89"/>
      <c r="I73" s="39" t="s">
        <v>181</v>
      </c>
      <c r="J73" s="46">
        <f>(IF(B65&gt;2,(H65/(B65+2)+J72),0))</f>
        <v>0</v>
      </c>
    </row>
    <row r="74" spans="1:10" ht="15.75" hidden="1" customHeight="1" x14ac:dyDescent="0.35">
      <c r="A74" s="84" t="s">
        <v>169</v>
      </c>
      <c r="B74" s="85" t="s">
        <v>169</v>
      </c>
      <c r="C74" s="53">
        <v>7</v>
      </c>
      <c r="D74" s="54">
        <f>((100/H65)*C74)/100</f>
        <v>1</v>
      </c>
      <c r="E74" s="87"/>
      <c r="F74" s="87"/>
      <c r="G74" s="87"/>
      <c r="H74" s="89"/>
      <c r="I74" s="39" t="s">
        <v>182</v>
      </c>
      <c r="J74" s="47">
        <f>(IF(B65&gt;3,(H65/(B65+2)+J73),0))</f>
        <v>0</v>
      </c>
    </row>
    <row r="75" spans="1:10" ht="15.75" hidden="1" customHeight="1" x14ac:dyDescent="0.35">
      <c r="A75" s="84" t="s">
        <v>176</v>
      </c>
      <c r="B75" s="85"/>
      <c r="C75" s="53">
        <v>7</v>
      </c>
      <c r="D75" s="54">
        <f>((100/H65)*C75)/100</f>
        <v>1</v>
      </c>
      <c r="E75" s="87"/>
      <c r="F75" s="87"/>
      <c r="G75" s="87"/>
      <c r="H75" s="89"/>
      <c r="I75" s="39" t="s">
        <v>183</v>
      </c>
      <c r="J75" s="46">
        <f>(IF(B65&gt;4,(H65/(B65+2)+J74),0))</f>
        <v>0</v>
      </c>
    </row>
    <row r="76" spans="1:10" ht="15.75" hidden="1" customHeight="1" x14ac:dyDescent="0.35">
      <c r="A76" s="84" t="s">
        <v>171</v>
      </c>
      <c r="B76" s="85" t="s">
        <v>171</v>
      </c>
      <c r="C76" s="53">
        <v>7</v>
      </c>
      <c r="D76" s="54">
        <f>((100/(H65))*C76)/100</f>
        <v>1</v>
      </c>
      <c r="E76" s="87"/>
      <c r="F76" s="87"/>
      <c r="G76" s="87"/>
      <c r="H76" s="89"/>
      <c r="I76" s="39" t="s">
        <v>185</v>
      </c>
      <c r="J76" s="46">
        <f>(IF(B65=1,(H65/(B65+3)+J71),IF(B65=0,(H65/4+J71),IF(B65&gt;1,0))))</f>
        <v>5.25</v>
      </c>
    </row>
    <row r="77" spans="1:10" ht="16" hidden="1" thickBot="1" x14ac:dyDescent="0.4">
      <c r="A77" s="91" t="s">
        <v>172</v>
      </c>
      <c r="B77" s="92"/>
      <c r="C77" s="56">
        <v>7</v>
      </c>
      <c r="D77" s="57">
        <f>((100/(H65))*C77)/100</f>
        <v>1</v>
      </c>
      <c r="E77" s="88"/>
      <c r="F77" s="88"/>
      <c r="G77" s="88"/>
      <c r="H77" s="90"/>
      <c r="I77" s="45" t="s">
        <v>140</v>
      </c>
      <c r="J77" s="48">
        <f>(IF(B65&gt;1.5,(H65/(B65+2)+J71+MAX(0,J72-J71)+MAX(0,J73-J72)+MAX(0,J74-J73)+MAX(0,J75-J74)+MAX(0,J76-J75)),IF(B65=1,(H65/(B65+3)+J76),IF(B65=0,H65/4+J76))))</f>
        <v>7</v>
      </c>
    </row>
    <row r="78" spans="1:10" ht="15.75" hidden="1" customHeight="1" x14ac:dyDescent="0.35">
      <c r="A78" s="75" t="s">
        <v>178</v>
      </c>
      <c r="B78" s="76"/>
      <c r="C78" s="77" t="s">
        <v>238</v>
      </c>
      <c r="D78" s="78"/>
      <c r="E78" s="78"/>
      <c r="F78" s="78"/>
      <c r="G78" s="78"/>
      <c r="H78" s="79"/>
      <c r="I78" s="44" t="str">
        <f>(IF(E82&gt;99%,"All work completed. Please provide OC.",IF(E82&gt;89.8%,"Plinth, RCC, Brick, Plaster, Flooring, Painting work Completed. Finishing work is in process.",IF(E82&lt;94%,(IF(C82=0,"Work not yet Started.",IF(D82=25%,"Piling work in process",IF(D82=50%,"Excavation work in process",IF(D82=100%,"Excavation work Completed. ","0")))&amp;(IF(C83=0%,"",IF(C83=J84,"Footing work is process",IF(C83=J85,"Footing work Completed",IF(C83=J86,"1st Basement Completed",IF(C83=J87,"1st &amp; 2nd Basement Completed",IF(C83=J88,"1st to 3rd Basement Completed",IF(C83=J89,"1st to 4th Basement Completed",IF(C83=J90,"Plinth work is process",IF(C83=J91,"Plinth work completed","0")))))))))))&amp;(IF(C84=(D79+F79+H79),", RCC Slab",IF(C84&gt;0,", RCC upto "&amp;C84&amp;" Slab",""))&amp;(IF(C85=H79,", Brickwork",IF(C85&gt;0,", Brickwork upto "&amp;C85&amp;" Floor",""))&amp;(IF(C86=H79,", Internal Plaster",IF(C86&gt;0,", Internal Plaster upto "&amp;C86&amp;" Floor",""))&amp;(IF(C87=H79,", External Plaster",IF(C87&gt;0,", External Plaster upto "&amp;C87&amp;" Floor",""))&amp;(IF(C88=H79,", Flooring",IF(C88&gt;0,", Flooring upto "&amp;C88&amp;" Floor",""))&amp;(IF(C89=H79,", Painting",IF(C89&gt;0,", Painting upto "&amp;C89&amp;" Floor",""))&amp;(IF(C90&gt;0,", Finishing upto "&amp;C90&amp;" Floor","")&amp;(IF(C84&gt;0.5," Completed",""))))))))))))))</f>
        <v>Excavation work Completed. Plinth work completed, RCC Slab, Brickwork, Internal Plaster, External Plaster upto 5 Floor, Flooring upto 3 Floor Completed</v>
      </c>
      <c r="J78" s="21"/>
    </row>
    <row r="79" spans="1:10" hidden="1" x14ac:dyDescent="0.35">
      <c r="A79" s="49" t="s">
        <v>180</v>
      </c>
      <c r="B79" s="51">
        <v>1</v>
      </c>
      <c r="C79" s="51" t="s">
        <v>102</v>
      </c>
      <c r="D79" s="51">
        <v>1</v>
      </c>
      <c r="E79" s="51" t="s">
        <v>101</v>
      </c>
      <c r="F79" s="51">
        <v>0</v>
      </c>
      <c r="G79" s="51" t="s">
        <v>114</v>
      </c>
      <c r="H79" s="50">
        <v>7</v>
      </c>
      <c r="I79" s="19"/>
      <c r="J79" s="22"/>
    </row>
    <row r="80" spans="1:10" ht="34.5" hidden="1" customHeight="1" x14ac:dyDescent="0.35">
      <c r="A80" s="80" t="s">
        <v>124</v>
      </c>
      <c r="B80" s="81"/>
      <c r="C80" s="82" t="str">
        <f>I78</f>
        <v>Excavation work Completed. Plinth work completed, RCC Slab, Brickwork, Internal Plaster, External Plaster upto 5 Floor, Flooring upto 3 Floor Completed</v>
      </c>
      <c r="D80" s="82"/>
      <c r="E80" s="82"/>
      <c r="F80" s="82"/>
      <c r="G80" s="82"/>
      <c r="H80" s="83"/>
      <c r="I80" s="19" t="s">
        <v>141</v>
      </c>
      <c r="J80" s="22"/>
    </row>
    <row r="81" spans="1:10" ht="15.75" hidden="1" customHeight="1" x14ac:dyDescent="0.35">
      <c r="A81" s="84" t="s">
        <v>54</v>
      </c>
      <c r="B81" s="85"/>
      <c r="C81" s="52" t="s">
        <v>177</v>
      </c>
      <c r="D81" s="52" t="s">
        <v>117</v>
      </c>
      <c r="E81" s="85" t="s">
        <v>119</v>
      </c>
      <c r="F81" s="85"/>
      <c r="G81" s="85" t="s">
        <v>118</v>
      </c>
      <c r="H81" s="86"/>
      <c r="I81" s="39" t="s">
        <v>179</v>
      </c>
      <c r="J81" s="23">
        <f>H79*25%</f>
        <v>1.75</v>
      </c>
    </row>
    <row r="82" spans="1:10" hidden="1" x14ac:dyDescent="0.35">
      <c r="A82" s="84" t="s">
        <v>166</v>
      </c>
      <c r="B82" s="85"/>
      <c r="C82" s="53">
        <f>J83</f>
        <v>7</v>
      </c>
      <c r="D82" s="54">
        <f>((100/H79)*C82)/100</f>
        <v>1</v>
      </c>
      <c r="E82" s="87">
        <f>(((C83/H79*10)+(40/(D79+F79+H79)*C84)+(7.5/(H79)*C85)+(7.5/(H79)*C86)+(10/H79*C87)+(10/H79*C88)+(5/H79*C89)+(5/H79*C90)+(5/H79*C91))/100)</f>
        <v>0.76428571428571435</v>
      </c>
      <c r="F82" s="87"/>
      <c r="G82" s="87">
        <f>((((C82/H79)*20)+((C83/H79)*25)+(30/(H79+F79+D79)*C84)+(5/H79*C85)+(5/H79*C86)+(5/H79*C87)+(5/H79*C88)+(0/H79*C89)+(0/H79*C90)+(5/H79*C91))/100)</f>
        <v>0.90714285714285703</v>
      </c>
      <c r="H82" s="89"/>
      <c r="I82" s="39" t="s">
        <v>136</v>
      </c>
      <c r="J82" s="43">
        <f>H79*50%</f>
        <v>3.5</v>
      </c>
    </row>
    <row r="83" spans="1:10" hidden="1" x14ac:dyDescent="0.35">
      <c r="A83" s="84" t="s">
        <v>55</v>
      </c>
      <c r="B83" s="85"/>
      <c r="C83" s="55">
        <f>J91</f>
        <v>7</v>
      </c>
      <c r="D83" s="54">
        <f>((100/H79)*C83)/100</f>
        <v>1</v>
      </c>
      <c r="E83" s="87"/>
      <c r="F83" s="87"/>
      <c r="G83" s="87"/>
      <c r="H83" s="89"/>
      <c r="I83" s="39" t="s">
        <v>137</v>
      </c>
      <c r="J83" s="43">
        <f>H79</f>
        <v>7</v>
      </c>
    </row>
    <row r="84" spans="1:10" ht="15.75" hidden="1" customHeight="1" x14ac:dyDescent="0.35">
      <c r="A84" s="84" t="s">
        <v>167</v>
      </c>
      <c r="B84" s="85"/>
      <c r="C84" s="55">
        <v>8</v>
      </c>
      <c r="D84" s="54">
        <f>((100/(D79+F79+H79))*C84)/100</f>
        <v>1</v>
      </c>
      <c r="E84" s="87"/>
      <c r="F84" s="87"/>
      <c r="G84" s="87"/>
      <c r="H84" s="89"/>
      <c r="I84" s="39" t="s">
        <v>138</v>
      </c>
      <c r="J84" s="46">
        <f>(IF(B79&gt;1,(H79/(B79+2)),H79/4))</f>
        <v>1.75</v>
      </c>
    </row>
    <row r="85" spans="1:10" ht="15.75" hidden="1" customHeight="1" x14ac:dyDescent="0.35">
      <c r="A85" s="84" t="s">
        <v>174</v>
      </c>
      <c r="B85" s="85" t="s">
        <v>168</v>
      </c>
      <c r="C85" s="53">
        <v>7</v>
      </c>
      <c r="D85" s="54">
        <f>((100/H79)*C85)/100</f>
        <v>1</v>
      </c>
      <c r="E85" s="87"/>
      <c r="F85" s="87"/>
      <c r="G85" s="87"/>
      <c r="H85" s="89"/>
      <c r="I85" s="39" t="s">
        <v>139</v>
      </c>
      <c r="J85" s="46">
        <f>(IF(B79&gt;1,(H79/(B79+2)+J84),H79/4+J84))</f>
        <v>3.5</v>
      </c>
    </row>
    <row r="86" spans="1:10" ht="15.75" hidden="1" customHeight="1" x14ac:dyDescent="0.35">
      <c r="A86" s="84" t="s">
        <v>175</v>
      </c>
      <c r="B86" s="85" t="s">
        <v>168</v>
      </c>
      <c r="C86" s="53">
        <v>7</v>
      </c>
      <c r="D86" s="54">
        <f>((100/H79)*C86)/100</f>
        <v>1</v>
      </c>
      <c r="E86" s="87"/>
      <c r="F86" s="87"/>
      <c r="G86" s="87"/>
      <c r="H86" s="89"/>
      <c r="I86" s="39" t="s">
        <v>184</v>
      </c>
      <c r="J86" s="46">
        <f>(IF(B79&gt;1,(H79/(B79+2)+J85),0))</f>
        <v>0</v>
      </c>
    </row>
    <row r="87" spans="1:10" ht="15" hidden="1" customHeight="1" x14ac:dyDescent="0.35">
      <c r="A87" s="84" t="s">
        <v>173</v>
      </c>
      <c r="B87" s="85" t="s">
        <v>170</v>
      </c>
      <c r="C87" s="53">
        <v>5</v>
      </c>
      <c r="D87" s="54">
        <f>((100/(H79))*C87)/100</f>
        <v>0.7142857142857143</v>
      </c>
      <c r="E87" s="87"/>
      <c r="F87" s="87"/>
      <c r="G87" s="87"/>
      <c r="H87" s="89"/>
      <c r="I87" s="39" t="s">
        <v>181</v>
      </c>
      <c r="J87" s="46">
        <f>(IF(B79&gt;2,(H79/(B79+2)+J86),0))</f>
        <v>0</v>
      </c>
    </row>
    <row r="88" spans="1:10" ht="15.75" hidden="1" customHeight="1" x14ac:dyDescent="0.35">
      <c r="A88" s="84" t="s">
        <v>169</v>
      </c>
      <c r="B88" s="85" t="s">
        <v>169</v>
      </c>
      <c r="C88" s="53">
        <v>3</v>
      </c>
      <c r="D88" s="54">
        <f>((100/H79)*C88)/100</f>
        <v>0.4285714285714286</v>
      </c>
      <c r="E88" s="87"/>
      <c r="F88" s="87"/>
      <c r="G88" s="87"/>
      <c r="H88" s="89"/>
      <c r="I88" s="39" t="s">
        <v>182</v>
      </c>
      <c r="J88" s="47">
        <f>(IF(B79&gt;3,(H79/(B79+2)+J87),0))</f>
        <v>0</v>
      </c>
    </row>
    <row r="89" spans="1:10" ht="15.75" hidden="1" customHeight="1" x14ac:dyDescent="0.35">
      <c r="A89" s="84" t="s">
        <v>176</v>
      </c>
      <c r="B89" s="85"/>
      <c r="C89" s="53">
        <v>0</v>
      </c>
      <c r="D89" s="54">
        <f>((100/H79)*C89)/100</f>
        <v>0</v>
      </c>
      <c r="E89" s="87"/>
      <c r="F89" s="87"/>
      <c r="G89" s="87"/>
      <c r="H89" s="89"/>
      <c r="I89" s="39" t="s">
        <v>183</v>
      </c>
      <c r="J89" s="46">
        <f>(IF(B79&gt;4,(H79/(B79+2)+J88),0))</f>
        <v>0</v>
      </c>
    </row>
    <row r="90" spans="1:10" ht="15.75" hidden="1" customHeight="1" x14ac:dyDescent="0.35">
      <c r="A90" s="84" t="s">
        <v>171</v>
      </c>
      <c r="B90" s="85" t="s">
        <v>171</v>
      </c>
      <c r="C90" s="53">
        <v>0</v>
      </c>
      <c r="D90" s="54">
        <f>((100/(H79))*C90)/100</f>
        <v>0</v>
      </c>
      <c r="E90" s="87"/>
      <c r="F90" s="87"/>
      <c r="G90" s="87"/>
      <c r="H90" s="89"/>
      <c r="I90" s="39" t="s">
        <v>185</v>
      </c>
      <c r="J90" s="46">
        <f>(IF(B79=1,(H79/(B79+3)+J85),IF(B79=0,(H79/4+J85),IF(B79&gt;1,0))))</f>
        <v>5.25</v>
      </c>
    </row>
    <row r="91" spans="1:10" ht="16" hidden="1" thickBot="1" x14ac:dyDescent="0.4">
      <c r="A91" s="91" t="s">
        <v>172</v>
      </c>
      <c r="B91" s="92"/>
      <c r="C91" s="56">
        <v>0</v>
      </c>
      <c r="D91" s="57">
        <f>((100/(H79))*C91)/100</f>
        <v>0</v>
      </c>
      <c r="E91" s="88"/>
      <c r="F91" s="88"/>
      <c r="G91" s="88"/>
      <c r="H91" s="90"/>
      <c r="I91" s="45" t="s">
        <v>140</v>
      </c>
      <c r="J91" s="48">
        <f>(IF(B79&gt;1.5,(H79/(B79+2)+J85+MAX(0,J86-J85)+MAX(0,J87-J86)+MAX(0,J88-J87)+MAX(0,J89-J88)+MAX(0,J90-J89)),IF(B79=1,(H79/(B79+3)+J90),IF(B79=0,H79/4+J90))))</f>
        <v>7</v>
      </c>
    </row>
    <row r="92" spans="1:10" ht="15.75" hidden="1" customHeight="1" x14ac:dyDescent="0.35">
      <c r="A92" s="75" t="s">
        <v>178</v>
      </c>
      <c r="B92" s="76"/>
      <c r="C92" s="77" t="s">
        <v>233</v>
      </c>
      <c r="D92" s="78"/>
      <c r="E92" s="78"/>
      <c r="F92" s="78"/>
      <c r="G92" s="78"/>
      <c r="H92" s="79"/>
      <c r="I92" s="44" t="str">
        <f>(IF(E96&gt;99%,"All work completed. Please provide OC.",IF(E96&gt;89.8%,"Plinth, RCC, Brick, Plaster, Flooring, Painting work Completed. Finishing work is in process.",IF(E96&lt;94%,(IF(C96=0,"Work not yet Started.",IF(D96=25%,"Piling work in process",IF(D96=50%,"Excavation work in process",IF(D96=100%,"Excavation work Completed. ","0")))&amp;(IF(C97=0%,"",IF(C97=J98,"Footing work is process",IF(C97=J99,"Footing work Completed",IF(C97=J100,"1st Basement Completed",IF(C97=J101,"1st &amp; 2nd Basement Completed",IF(C97=J102,"1st to 3rd Basement Completed",IF(C97=J103,"1st to 4th Basement Completed",IF(C97=J104,"Plinth work is process",IF(C97=J105,"Plinth work completed","0")))))))))))&amp;(IF(C98=(D93+F93+H93),", RCC Slab",IF(C98&gt;0,", RCC upto "&amp;C98&amp;" Slab",""))&amp;(IF(C99=H93,", Brickwork",IF(C99&gt;0,", Brickwork upto "&amp;C99&amp;" Floor",""))&amp;(IF(C100=H93,", Internal Plaster",IF(C100&gt;0,", Internal Plaster upto "&amp;C100&amp;" Floor",""))&amp;(IF(C101=H93,", External Plaster",IF(C101&gt;0,", External Plaster upto "&amp;C101&amp;" Floor",""))&amp;(IF(C102=H93,", Flooring",IF(C102&gt;0,", Flooring upto "&amp;C102&amp;" Floor",""))&amp;(IF(C103=H93,", Painting",IF(C103&gt;0,", Painting upto "&amp;C103&amp;" Floor",""))&amp;(IF(C104&gt;0,", Finishing upto "&amp;C104&amp;" Floor","")&amp;(IF(C98&gt;0.5," Completed",""))))))))))))))</f>
        <v>Excavation work Completed. Plinth work completed, RCC Slab, Brickwork, Internal Plaster, External Plaster upto 6 Floor, Flooring upto 3 Floor, Painting upto 2 Floor Completed</v>
      </c>
      <c r="J92" s="21"/>
    </row>
    <row r="93" spans="1:10" hidden="1" x14ac:dyDescent="0.35">
      <c r="A93" s="49" t="s">
        <v>180</v>
      </c>
      <c r="B93" s="51">
        <v>1</v>
      </c>
      <c r="C93" s="51" t="s">
        <v>102</v>
      </c>
      <c r="D93" s="51">
        <v>1</v>
      </c>
      <c r="E93" s="51" t="s">
        <v>101</v>
      </c>
      <c r="F93" s="51">
        <v>0</v>
      </c>
      <c r="G93" s="51" t="s">
        <v>114</v>
      </c>
      <c r="H93" s="50">
        <v>7</v>
      </c>
      <c r="I93" s="19"/>
      <c r="J93" s="22"/>
    </row>
    <row r="94" spans="1:10" ht="49.5" hidden="1" customHeight="1" x14ac:dyDescent="0.35">
      <c r="A94" s="80" t="s">
        <v>124</v>
      </c>
      <c r="B94" s="81"/>
      <c r="C94" s="82" t="str">
        <f>I92</f>
        <v>Excavation work Completed. Plinth work completed, RCC Slab, Brickwork, Internal Plaster, External Plaster upto 6 Floor, Flooring upto 3 Floor, Painting upto 2 Floor Completed</v>
      </c>
      <c r="D94" s="82"/>
      <c r="E94" s="82"/>
      <c r="F94" s="82"/>
      <c r="G94" s="82"/>
      <c r="H94" s="83"/>
      <c r="I94" s="19" t="s">
        <v>141</v>
      </c>
      <c r="J94" s="22"/>
    </row>
    <row r="95" spans="1:10" ht="15.75" hidden="1" customHeight="1" x14ac:dyDescent="0.35">
      <c r="A95" s="84" t="s">
        <v>54</v>
      </c>
      <c r="B95" s="85"/>
      <c r="C95" s="52" t="s">
        <v>177</v>
      </c>
      <c r="D95" s="52" t="s">
        <v>117</v>
      </c>
      <c r="E95" s="85" t="s">
        <v>119</v>
      </c>
      <c r="F95" s="85"/>
      <c r="G95" s="85" t="s">
        <v>118</v>
      </c>
      <c r="H95" s="86"/>
      <c r="I95" s="39" t="s">
        <v>179</v>
      </c>
      <c r="J95" s="23">
        <f>H93*25%</f>
        <v>1.75</v>
      </c>
    </row>
    <row r="96" spans="1:10" hidden="1" x14ac:dyDescent="0.35">
      <c r="A96" s="84" t="s">
        <v>166</v>
      </c>
      <c r="B96" s="85"/>
      <c r="C96" s="53">
        <f>J97</f>
        <v>7</v>
      </c>
      <c r="D96" s="54">
        <f>((100/H93)*C96)/100</f>
        <v>1</v>
      </c>
      <c r="E96" s="87">
        <f>(((C97/H93*10)+(40/(D93+F93+H93)*C98)+(7.5/(H93)*C99)+(7.5/(H93)*C100)+(10/H93*C101)+(10/H93*C102)+(5/H93*C103)+(5/H93*C104)+(5/H93*C105))/100)</f>
        <v>0.79285714285714293</v>
      </c>
      <c r="F96" s="87"/>
      <c r="G96" s="87">
        <f>((((C96/H93)*20)+((C97/H93)*25)+(30/(H93+F93+D93)*C98)+(5/H93*C99)+(5/H93*C100)+(5/H93*C101)+(5/H93*C102)+(0/H93*C103)+(0/H93*C104)+(5/H93*C105))/100)</f>
        <v>0.91428571428571426</v>
      </c>
      <c r="H96" s="89"/>
      <c r="I96" s="39" t="s">
        <v>136</v>
      </c>
      <c r="J96" s="43">
        <f>H93*50%</f>
        <v>3.5</v>
      </c>
    </row>
    <row r="97" spans="1:10" hidden="1" x14ac:dyDescent="0.35">
      <c r="A97" s="84" t="s">
        <v>55</v>
      </c>
      <c r="B97" s="85"/>
      <c r="C97" s="55">
        <f>J105</f>
        <v>7</v>
      </c>
      <c r="D97" s="54">
        <f>((100/H93)*C97)/100</f>
        <v>1</v>
      </c>
      <c r="E97" s="87"/>
      <c r="F97" s="87"/>
      <c r="G97" s="87"/>
      <c r="H97" s="89"/>
      <c r="I97" s="39" t="s">
        <v>137</v>
      </c>
      <c r="J97" s="43">
        <f>H93</f>
        <v>7</v>
      </c>
    </row>
    <row r="98" spans="1:10" ht="15.75" hidden="1" customHeight="1" x14ac:dyDescent="0.35">
      <c r="A98" s="84" t="s">
        <v>167</v>
      </c>
      <c r="B98" s="85"/>
      <c r="C98" s="55">
        <v>8</v>
      </c>
      <c r="D98" s="54">
        <f>((100/(D93+F93+H93))*C98)/100</f>
        <v>1</v>
      </c>
      <c r="E98" s="87"/>
      <c r="F98" s="87"/>
      <c r="G98" s="87"/>
      <c r="H98" s="89"/>
      <c r="I98" s="39" t="s">
        <v>138</v>
      </c>
      <c r="J98" s="46">
        <f>(IF(B93&gt;1,(H93/(B93+2)),H93/4))</f>
        <v>1.75</v>
      </c>
    </row>
    <row r="99" spans="1:10" ht="15.75" hidden="1" customHeight="1" x14ac:dyDescent="0.35">
      <c r="A99" s="84" t="s">
        <v>174</v>
      </c>
      <c r="B99" s="85" t="s">
        <v>168</v>
      </c>
      <c r="C99" s="53">
        <v>7</v>
      </c>
      <c r="D99" s="54">
        <f>((100/H93)*C99)/100</f>
        <v>1</v>
      </c>
      <c r="E99" s="87"/>
      <c r="F99" s="87"/>
      <c r="G99" s="87"/>
      <c r="H99" s="89"/>
      <c r="I99" s="39" t="s">
        <v>139</v>
      </c>
      <c r="J99" s="46">
        <f>(IF(B93&gt;1,(H93/(B93+2)+J98),H93/4+J98))</f>
        <v>3.5</v>
      </c>
    </row>
    <row r="100" spans="1:10" ht="15.75" hidden="1" customHeight="1" x14ac:dyDescent="0.35">
      <c r="A100" s="84" t="s">
        <v>175</v>
      </c>
      <c r="B100" s="85" t="s">
        <v>168</v>
      </c>
      <c r="C100" s="53">
        <v>7</v>
      </c>
      <c r="D100" s="54">
        <f>((100/H93)*C100)/100</f>
        <v>1</v>
      </c>
      <c r="E100" s="87"/>
      <c r="F100" s="87"/>
      <c r="G100" s="87"/>
      <c r="H100" s="89"/>
      <c r="I100" s="39" t="s">
        <v>184</v>
      </c>
      <c r="J100" s="46">
        <f>(IF(B93&gt;1,(H93/(B93+2)+J99),0))</f>
        <v>0</v>
      </c>
    </row>
    <row r="101" spans="1:10" ht="15" hidden="1" customHeight="1" x14ac:dyDescent="0.35">
      <c r="A101" s="84" t="s">
        <v>173</v>
      </c>
      <c r="B101" s="85" t="s">
        <v>170</v>
      </c>
      <c r="C101" s="53">
        <v>6</v>
      </c>
      <c r="D101" s="54">
        <f>((100/(H93))*C101)/100</f>
        <v>0.85714285714285721</v>
      </c>
      <c r="E101" s="87"/>
      <c r="F101" s="87"/>
      <c r="G101" s="87"/>
      <c r="H101" s="89"/>
      <c r="I101" s="39" t="s">
        <v>181</v>
      </c>
      <c r="J101" s="46">
        <f>(IF(B93&gt;2,(H93/(B93+2)+J100),0))</f>
        <v>0</v>
      </c>
    </row>
    <row r="102" spans="1:10" ht="15.75" hidden="1" customHeight="1" x14ac:dyDescent="0.35">
      <c r="A102" s="84" t="s">
        <v>169</v>
      </c>
      <c r="B102" s="85" t="s">
        <v>169</v>
      </c>
      <c r="C102" s="53">
        <v>3</v>
      </c>
      <c r="D102" s="54">
        <f>((100/H93)*C102)/100</f>
        <v>0.4285714285714286</v>
      </c>
      <c r="E102" s="87"/>
      <c r="F102" s="87"/>
      <c r="G102" s="87"/>
      <c r="H102" s="89"/>
      <c r="I102" s="39" t="s">
        <v>182</v>
      </c>
      <c r="J102" s="47">
        <f>(IF(B93&gt;3,(H93/(B93+2)+J101),0))</f>
        <v>0</v>
      </c>
    </row>
    <row r="103" spans="1:10" ht="15.75" hidden="1" customHeight="1" x14ac:dyDescent="0.35">
      <c r="A103" s="84" t="s">
        <v>176</v>
      </c>
      <c r="B103" s="85"/>
      <c r="C103" s="53">
        <v>2</v>
      </c>
      <c r="D103" s="54">
        <f>((100/H93)*C103)/100</f>
        <v>0.28571428571428575</v>
      </c>
      <c r="E103" s="87"/>
      <c r="F103" s="87"/>
      <c r="G103" s="87"/>
      <c r="H103" s="89"/>
      <c r="I103" s="39" t="s">
        <v>183</v>
      </c>
      <c r="J103" s="46">
        <f>(IF(B93&gt;4,(H93/(B93+2)+J102),0))</f>
        <v>0</v>
      </c>
    </row>
    <row r="104" spans="1:10" ht="15.75" hidden="1" customHeight="1" x14ac:dyDescent="0.35">
      <c r="A104" s="84" t="s">
        <v>171</v>
      </c>
      <c r="B104" s="85" t="s">
        <v>171</v>
      </c>
      <c r="C104" s="53">
        <v>0</v>
      </c>
      <c r="D104" s="54">
        <f>((100/(H93))*C104)/100</f>
        <v>0</v>
      </c>
      <c r="E104" s="87"/>
      <c r="F104" s="87"/>
      <c r="G104" s="87"/>
      <c r="H104" s="89"/>
      <c r="I104" s="39" t="s">
        <v>185</v>
      </c>
      <c r="J104" s="46">
        <f>(IF(B93=1,(H93/(B93+3)+J99),IF(B93=0,(H93/4+J99),IF(B93&gt;1,0))))</f>
        <v>5.25</v>
      </c>
    </row>
    <row r="105" spans="1:10" ht="16" hidden="1" thickBot="1" x14ac:dyDescent="0.4">
      <c r="A105" s="181" t="s">
        <v>172</v>
      </c>
      <c r="B105" s="182"/>
      <c r="C105" s="60">
        <v>0</v>
      </c>
      <c r="D105" s="61">
        <f>((100/(H93))*C105)/100</f>
        <v>0</v>
      </c>
      <c r="E105" s="173"/>
      <c r="F105" s="173"/>
      <c r="G105" s="173"/>
      <c r="H105" s="174"/>
      <c r="I105" s="45" t="s">
        <v>140</v>
      </c>
      <c r="J105" s="48">
        <f>(IF(B93&gt;1.5,(H93/(B93+2)+J99+MAX(0,J100-J99)+MAX(0,J101-J100)+MAX(0,J102-J101)+MAX(0,J103-J102)+MAX(0,J104-J103)),IF(B93=1,(H93/(B93+3)+J104),IF(B93=0,H93/4+J104))))</f>
        <v>7</v>
      </c>
    </row>
    <row r="106" spans="1:10" x14ac:dyDescent="0.35">
      <c r="A106" s="66" t="s">
        <v>119</v>
      </c>
      <c r="B106" s="67"/>
      <c r="C106" s="70">
        <v>1</v>
      </c>
      <c r="D106" s="67"/>
      <c r="E106" s="71" t="s">
        <v>118</v>
      </c>
      <c r="F106" s="71"/>
      <c r="G106" s="71">
        <v>1</v>
      </c>
      <c r="H106" s="73"/>
      <c r="I106" s="39"/>
      <c r="J106" s="46"/>
    </row>
    <row r="107" spans="1:10" ht="16" thickBot="1" x14ac:dyDescent="0.4">
      <c r="A107" s="68"/>
      <c r="B107" s="69"/>
      <c r="C107" s="69"/>
      <c r="D107" s="69"/>
      <c r="E107" s="72"/>
      <c r="F107" s="72"/>
      <c r="G107" s="72"/>
      <c r="H107" s="74"/>
      <c r="I107" s="39"/>
      <c r="J107" s="46"/>
    </row>
    <row r="108" spans="1:10" ht="15.75" customHeight="1" x14ac:dyDescent="0.35">
      <c r="A108" s="188" t="s">
        <v>178</v>
      </c>
      <c r="B108" s="189"/>
      <c r="C108" s="190" t="str">
        <f>D57</f>
        <v>Type D = Bs + G + 1st to 7th Floor</v>
      </c>
      <c r="D108" s="191"/>
      <c r="E108" s="191"/>
      <c r="F108" s="191"/>
      <c r="G108" s="191"/>
      <c r="H108" s="192"/>
      <c r="I108" s="44" t="str">
        <f>(IF(E114&gt;99%,"All work completed. Please provide OC.",IF(E114&gt;89.8%,"Plinth, RCC, Brick, Plaster, Flooring, Painting work Completed. Finishing work is in process.",IF(E114&lt;94%,(IF(C114=0,"Work not yet Started.",IF(D114=25%,"Piling work in process",IF(D114=50%,"Excavation work in process",IF(D114=100%,"Excavation work Completed. ","0")))&amp;(IF(C115=0%,"",IF(C115=J116,"Footing work is process",IF(C115=J117,"Footing work Completed",IF(C115=J118,"1st Basement Completed",IF(C115=J119,"1st &amp; 2nd Basement Completed",IF(C115=J120,"1st to 3rd Basement Completed",IF(C115=J121,"1st to 4th Basement Completed",IF(C115=J122,"Plinth work is process",IF(C115=J123,"Plinth work completed","0")))))))))))&amp;(IF(C116=(D109+F109+H109),", RCC Slab",IF(C116&gt;0,", RCC upto "&amp;C116&amp;" Slab",""))&amp;(IF(C117=H109,", Brickwork",IF(C117&gt;0,", Brickwork upto "&amp;C117&amp;" Floor",""))&amp;(IF(C118=H109,", Internal Plaster",IF(C118&gt;0,", Internal Plaster upto "&amp;C118&amp;" Floor",""))&amp;(IF(C119=H109,", External Plaster",IF(C119&gt;0,", External Plaster upto "&amp;C119&amp;" Floor",""))&amp;(IF(C120=H109,", Flooring",IF(C120&gt;0,", Flooring upto "&amp;C120&amp;" Floor",""))&amp;(IF(C121=H109,", Painting",IF(C121&gt;0,", Painting upto "&amp;C121&amp;" Floor",""))&amp;(IF(C122&gt;0,", Finishing upto "&amp;C122&amp;" Floor","")&amp;(IF(C116&gt;0.5," Completed",""))))))))))))))</f>
        <v>All work completed. Please provide OC.</v>
      </c>
      <c r="J108" s="21"/>
    </row>
    <row r="109" spans="1:10" x14ac:dyDescent="0.35">
      <c r="A109" s="49" t="s">
        <v>180</v>
      </c>
      <c r="B109" s="51">
        <v>1</v>
      </c>
      <c r="C109" s="51" t="s">
        <v>102</v>
      </c>
      <c r="D109" s="51">
        <v>1</v>
      </c>
      <c r="E109" s="51" t="s">
        <v>101</v>
      </c>
      <c r="F109" s="51">
        <v>0</v>
      </c>
      <c r="G109" s="51" t="s">
        <v>114</v>
      </c>
      <c r="H109" s="50">
        <v>7</v>
      </c>
      <c r="I109" s="19"/>
      <c r="J109" s="22"/>
    </row>
    <row r="110" spans="1:10" ht="16" thickBot="1" x14ac:dyDescent="0.4">
      <c r="A110" s="80" t="s">
        <v>124</v>
      </c>
      <c r="B110" s="81"/>
      <c r="C110" s="82" t="str">
        <f>I110</f>
        <v>All work Completed. OC Received.</v>
      </c>
      <c r="D110" s="82"/>
      <c r="E110" s="82"/>
      <c r="F110" s="82"/>
      <c r="G110" s="82"/>
      <c r="H110" s="83"/>
      <c r="I110" s="19" t="s">
        <v>141</v>
      </c>
      <c r="J110" s="22"/>
    </row>
    <row r="111" spans="1:10" x14ac:dyDescent="0.35">
      <c r="A111" s="66" t="s">
        <v>119</v>
      </c>
      <c r="B111" s="67"/>
      <c r="C111" s="70">
        <v>1</v>
      </c>
      <c r="D111" s="67"/>
      <c r="E111" s="71" t="s">
        <v>118</v>
      </c>
      <c r="F111" s="71"/>
      <c r="G111" s="71">
        <v>1</v>
      </c>
      <c r="H111" s="73"/>
      <c r="I111" s="39"/>
      <c r="J111" s="46"/>
    </row>
    <row r="112" spans="1:10" ht="16" thickBot="1" x14ac:dyDescent="0.4">
      <c r="A112" s="68"/>
      <c r="B112" s="69"/>
      <c r="C112" s="69"/>
      <c r="D112" s="69"/>
      <c r="E112" s="72"/>
      <c r="F112" s="72"/>
      <c r="G112" s="72"/>
      <c r="H112" s="74"/>
      <c r="I112" s="39"/>
      <c r="J112" s="46"/>
    </row>
    <row r="113" spans="1:10" ht="15.75" hidden="1" customHeight="1" x14ac:dyDescent="0.35">
      <c r="A113" s="100" t="s">
        <v>54</v>
      </c>
      <c r="B113" s="101"/>
      <c r="C113" s="52" t="s">
        <v>177</v>
      </c>
      <c r="D113" s="52" t="s">
        <v>117</v>
      </c>
      <c r="E113" s="85" t="s">
        <v>119</v>
      </c>
      <c r="F113" s="85"/>
      <c r="G113" s="85" t="s">
        <v>118</v>
      </c>
      <c r="H113" s="86"/>
      <c r="I113" s="39" t="s">
        <v>179</v>
      </c>
      <c r="J113" s="23">
        <f>H109*25%</f>
        <v>1.75</v>
      </c>
    </row>
    <row r="114" spans="1:10" hidden="1" x14ac:dyDescent="0.35">
      <c r="A114" s="101" t="s">
        <v>166</v>
      </c>
      <c r="B114" s="101"/>
      <c r="C114" s="53">
        <f>J115</f>
        <v>7</v>
      </c>
      <c r="D114" s="54">
        <f>((100/H109)*C114)/100</f>
        <v>1</v>
      </c>
      <c r="E114" s="87">
        <f>(((C115/H109*10)+(40/(D109+F109+H109)*C116)+(7.5/(H109)*C117)+(7.5/(H109)*C118)+(10/H109*C119)+(10/H109*C120)+(5/H109*C121)+(5/H109*C122)+(5/H109*C123))/100)</f>
        <v>1</v>
      </c>
      <c r="F114" s="87"/>
      <c r="G114" s="87">
        <f>((((C114/H109)*20)+((C115/H109)*25)+(30/(H109+F109+D109)*C116)+(5/H109*C117)+(5/H109*C118)+(5/H109*C119)+(5/H109*C120)+(0/H109*C121)+(0/H109*C122)+(5/H109*C123))/100)</f>
        <v>1</v>
      </c>
      <c r="H114" s="87"/>
      <c r="I114" s="39" t="s">
        <v>136</v>
      </c>
      <c r="J114" s="43">
        <f>H109*50%</f>
        <v>3.5</v>
      </c>
    </row>
    <row r="115" spans="1:10" hidden="1" x14ac:dyDescent="0.35">
      <c r="A115" s="101" t="s">
        <v>55</v>
      </c>
      <c r="B115" s="101"/>
      <c r="C115" s="55">
        <f>J123</f>
        <v>7</v>
      </c>
      <c r="D115" s="54">
        <f>((100/H109)*C115)/100</f>
        <v>1</v>
      </c>
      <c r="E115" s="87"/>
      <c r="F115" s="87"/>
      <c r="G115" s="87"/>
      <c r="H115" s="87"/>
      <c r="I115" s="39" t="s">
        <v>137</v>
      </c>
      <c r="J115" s="43">
        <f>H109</f>
        <v>7</v>
      </c>
    </row>
    <row r="116" spans="1:10" ht="15.75" hidden="1" customHeight="1" x14ac:dyDescent="0.35">
      <c r="A116" s="101" t="s">
        <v>167</v>
      </c>
      <c r="B116" s="101"/>
      <c r="C116" s="55">
        <v>8</v>
      </c>
      <c r="D116" s="54">
        <f>((100/(D109+F109+H109))*C116)/100</f>
        <v>1</v>
      </c>
      <c r="E116" s="87"/>
      <c r="F116" s="87"/>
      <c r="G116" s="87"/>
      <c r="H116" s="87"/>
      <c r="I116" s="39" t="s">
        <v>138</v>
      </c>
      <c r="J116" s="46">
        <f>(IF(B109&gt;1,(H109/(B109+2)),H109/4))</f>
        <v>1.75</v>
      </c>
    </row>
    <row r="117" spans="1:10" ht="15.75" hidden="1" customHeight="1" x14ac:dyDescent="0.35">
      <c r="A117" s="101" t="s">
        <v>174</v>
      </c>
      <c r="B117" s="101" t="s">
        <v>168</v>
      </c>
      <c r="C117" s="53">
        <v>7</v>
      </c>
      <c r="D117" s="54">
        <f>((100/H109)*C117)/100</f>
        <v>1</v>
      </c>
      <c r="E117" s="87"/>
      <c r="F117" s="87"/>
      <c r="G117" s="87"/>
      <c r="H117" s="87"/>
      <c r="I117" s="39" t="s">
        <v>139</v>
      </c>
      <c r="J117" s="46">
        <f>(IF(B109&gt;1,(H109/(B109+2)+J116),H109/4+J116))</f>
        <v>3.5</v>
      </c>
    </row>
    <row r="118" spans="1:10" ht="15.75" hidden="1" customHeight="1" x14ac:dyDescent="0.35">
      <c r="A118" s="101" t="s">
        <v>175</v>
      </c>
      <c r="B118" s="101" t="s">
        <v>168</v>
      </c>
      <c r="C118" s="53">
        <v>7</v>
      </c>
      <c r="D118" s="54">
        <f>((100/H109)*C118)/100</f>
        <v>1</v>
      </c>
      <c r="E118" s="87"/>
      <c r="F118" s="87"/>
      <c r="G118" s="87"/>
      <c r="H118" s="87"/>
      <c r="I118" s="39" t="s">
        <v>184</v>
      </c>
      <c r="J118" s="46">
        <f>(IF(B109&gt;1,(H109/(B109+2)+J117),0))</f>
        <v>0</v>
      </c>
    </row>
    <row r="119" spans="1:10" ht="15" hidden="1" customHeight="1" x14ac:dyDescent="0.35">
      <c r="A119" s="101" t="s">
        <v>173</v>
      </c>
      <c r="B119" s="101" t="s">
        <v>170</v>
      </c>
      <c r="C119" s="53">
        <v>7</v>
      </c>
      <c r="D119" s="54">
        <f>((100/(H109))*C119)/100</f>
        <v>1</v>
      </c>
      <c r="E119" s="87"/>
      <c r="F119" s="87"/>
      <c r="G119" s="87"/>
      <c r="H119" s="87"/>
      <c r="I119" s="39" t="s">
        <v>181</v>
      </c>
      <c r="J119" s="46">
        <f>(IF(B109&gt;2,(H109/(B109+2)+J118),0))</f>
        <v>0</v>
      </c>
    </row>
    <row r="120" spans="1:10" ht="15.75" hidden="1" customHeight="1" x14ac:dyDescent="0.35">
      <c r="A120" s="101" t="s">
        <v>169</v>
      </c>
      <c r="B120" s="101" t="s">
        <v>169</v>
      </c>
      <c r="C120" s="53">
        <v>7</v>
      </c>
      <c r="D120" s="54">
        <f>((100/H109)*C120)/100</f>
        <v>1</v>
      </c>
      <c r="E120" s="87"/>
      <c r="F120" s="87"/>
      <c r="G120" s="87"/>
      <c r="H120" s="87"/>
      <c r="I120" s="39" t="s">
        <v>182</v>
      </c>
      <c r="J120" s="47">
        <f>(IF(B109&gt;3,(H109/(B109+2)+J119),0))</f>
        <v>0</v>
      </c>
    </row>
    <row r="121" spans="1:10" ht="15.75" hidden="1" customHeight="1" x14ac:dyDescent="0.35">
      <c r="A121" s="101" t="s">
        <v>176</v>
      </c>
      <c r="B121" s="101"/>
      <c r="C121" s="53">
        <v>7</v>
      </c>
      <c r="D121" s="54">
        <f>((100/H109)*C121)/100</f>
        <v>1</v>
      </c>
      <c r="E121" s="87"/>
      <c r="F121" s="87"/>
      <c r="G121" s="87"/>
      <c r="H121" s="87"/>
      <c r="I121" s="39" t="s">
        <v>183</v>
      </c>
      <c r="J121" s="46">
        <f>(IF(B109&gt;4,(H109/(B109+2)+J120),0))</f>
        <v>0</v>
      </c>
    </row>
    <row r="122" spans="1:10" ht="15.75" hidden="1" customHeight="1" x14ac:dyDescent="0.35">
      <c r="A122" s="101" t="s">
        <v>171</v>
      </c>
      <c r="B122" s="101" t="s">
        <v>171</v>
      </c>
      <c r="C122" s="53">
        <v>7</v>
      </c>
      <c r="D122" s="54">
        <f>((100/(H109))*C122)/100</f>
        <v>1</v>
      </c>
      <c r="E122" s="87"/>
      <c r="F122" s="87"/>
      <c r="G122" s="87"/>
      <c r="H122" s="87"/>
      <c r="I122" s="39" t="s">
        <v>185</v>
      </c>
      <c r="J122" s="46">
        <f>(IF(B109=1,(H109/(B109+3)+J117),IF(B109=0,(H109/4+J117),IF(B109&gt;1,0))))</f>
        <v>5.25</v>
      </c>
    </row>
    <row r="123" spans="1:10" ht="16" hidden="1" thickBot="1" x14ac:dyDescent="0.4">
      <c r="A123" s="101" t="s">
        <v>172</v>
      </c>
      <c r="B123" s="101"/>
      <c r="C123" s="53">
        <v>7</v>
      </c>
      <c r="D123" s="54">
        <f>((100/(H109))*C123)/100</f>
        <v>1</v>
      </c>
      <c r="E123" s="87"/>
      <c r="F123" s="87"/>
      <c r="G123" s="87"/>
      <c r="H123" s="87"/>
      <c r="I123" s="45" t="s">
        <v>140</v>
      </c>
      <c r="J123" s="48">
        <f>(IF(B109&gt;1.5,(H109/(B109+2)+J117+MAX(0,J118-J117)+MAX(0,J119-J118)+MAX(0,J120-J119)+MAX(0,J121-J120)+MAX(0,J122-J121)),IF(B109=1,(H109/(B109+3)+J122),IF(B109=0,H109/4+J122))))</f>
        <v>7</v>
      </c>
    </row>
    <row r="124" spans="1:10" ht="15.75" hidden="1" customHeight="1" x14ac:dyDescent="0.35">
      <c r="A124" s="99" t="s">
        <v>178</v>
      </c>
      <c r="B124" s="99"/>
      <c r="C124" s="82" t="str">
        <f>D58</f>
        <v>Type E, F, G &amp; H = Bs + G + 1st to 7th Floor</v>
      </c>
      <c r="D124" s="82"/>
      <c r="E124" s="82"/>
      <c r="F124" s="82"/>
      <c r="G124" s="82"/>
      <c r="H124" s="82"/>
      <c r="I124" s="44" t="str">
        <f>(IF(E130&gt;99%,"All work completed. Please provide OC.",IF(E130&gt;89.8%,"Plinth, RCC, Brick, Plaster, Flooring, Painting work Completed. Finishing work is in process.",IF(E130&lt;94%,(IF(C130=0,"Work not yet Started.",IF(D130=25%,"Piling work in process",IF(D130=50%,"Excavation work in process",IF(D130=100%,"Excavation work Completed. ","0")))&amp;(IF(C131=0%,"",IF(C131=J132,"Footing work is process",IF(C131=J133,"Footing work Completed",IF(C131=J134,"1st Basement Completed",IF(C131=J135,"1st &amp; 2nd Basement Completed",IF(C131=J136,"1st to 3rd Basement Completed",IF(C131=J137,"1st to 4th Basement Completed",IF(C131=J138,"Plinth work is process",IF(C131=J139,"Plinth work completed","0")))))))))))&amp;(IF(C132=(D125+F125+H125),", RCC Slab",IF(C132&gt;0,", RCC upto "&amp;C132&amp;" Slab",""))&amp;(IF(C133=H125,", Brickwork",IF(C133&gt;0,", Brickwork upto "&amp;C133&amp;" Floor",""))&amp;(IF(C134=H125,", Internal Plaster",IF(C134&gt;0,", Internal Plaster upto "&amp;C134&amp;" Floor",""))&amp;(IF(C135=H125,", External Plaster",IF(C135&gt;0,", External Plaster upto "&amp;C135&amp;" Floor",""))&amp;(IF(C136=H125,", Flooring",IF(C136&gt;0,", Flooring upto "&amp;C136&amp;" Floor",""))&amp;(IF(C137=H125,", Painting",IF(C137&gt;0,", Painting upto "&amp;C137&amp;" Floor",""))&amp;(IF(C138&gt;0,", Finishing upto "&amp;C138&amp;" Floor","")&amp;(IF(C132&gt;0.5," Completed",""))))))))))))))</f>
        <v>All work completed. Please provide OC.</v>
      </c>
      <c r="J124" s="21"/>
    </row>
    <row r="125" spans="1:10" hidden="1" x14ac:dyDescent="0.35">
      <c r="A125" s="51" t="s">
        <v>180</v>
      </c>
      <c r="B125" s="51">
        <v>1</v>
      </c>
      <c r="C125" s="51" t="s">
        <v>102</v>
      </c>
      <c r="D125" s="51">
        <v>1</v>
      </c>
      <c r="E125" s="51" t="s">
        <v>101</v>
      </c>
      <c r="F125" s="51">
        <v>0</v>
      </c>
      <c r="G125" s="51" t="s">
        <v>114</v>
      </c>
      <c r="H125" s="51">
        <v>7</v>
      </c>
      <c r="I125" s="19"/>
      <c r="J125" s="22"/>
    </row>
    <row r="126" spans="1:10" ht="16" hidden="1" thickBot="1" x14ac:dyDescent="0.4">
      <c r="A126" s="81" t="s">
        <v>124</v>
      </c>
      <c r="B126" s="81"/>
      <c r="C126" s="82" t="str">
        <f>I126</f>
        <v>All work Completed. OC Received.</v>
      </c>
      <c r="D126" s="82"/>
      <c r="E126" s="82"/>
      <c r="F126" s="82"/>
      <c r="G126" s="82"/>
      <c r="H126" s="82"/>
      <c r="I126" s="19" t="s">
        <v>141</v>
      </c>
      <c r="J126" s="22"/>
    </row>
    <row r="127" spans="1:10" hidden="1" x14ac:dyDescent="0.35">
      <c r="A127" s="66" t="s">
        <v>119</v>
      </c>
      <c r="B127" s="67"/>
      <c r="C127" s="70">
        <v>1</v>
      </c>
      <c r="D127" s="67"/>
      <c r="E127" s="71" t="s">
        <v>118</v>
      </c>
      <c r="F127" s="71"/>
      <c r="G127" s="71">
        <v>1</v>
      </c>
      <c r="H127" s="73"/>
      <c r="I127" s="39"/>
      <c r="J127" s="46"/>
    </row>
    <row r="128" spans="1:10" ht="16" hidden="1" thickBot="1" x14ac:dyDescent="0.4">
      <c r="A128" s="68"/>
      <c r="B128" s="69"/>
      <c r="C128" s="69"/>
      <c r="D128" s="69"/>
      <c r="E128" s="72"/>
      <c r="F128" s="72"/>
      <c r="G128" s="72"/>
      <c r="H128" s="74"/>
      <c r="I128" s="39"/>
      <c r="J128" s="46"/>
    </row>
    <row r="129" spans="1:10" ht="15.75" hidden="1" customHeight="1" x14ac:dyDescent="0.35">
      <c r="A129" s="100" t="s">
        <v>54</v>
      </c>
      <c r="B129" s="101"/>
      <c r="C129" s="52" t="s">
        <v>177</v>
      </c>
      <c r="D129" s="52" t="s">
        <v>117</v>
      </c>
      <c r="E129" s="85" t="s">
        <v>119</v>
      </c>
      <c r="F129" s="85"/>
      <c r="G129" s="85" t="s">
        <v>118</v>
      </c>
      <c r="H129" s="86"/>
      <c r="I129" s="39" t="s">
        <v>179</v>
      </c>
      <c r="J129" s="23">
        <f>H125*25%</f>
        <v>1.75</v>
      </c>
    </row>
    <row r="130" spans="1:10" hidden="1" x14ac:dyDescent="0.35">
      <c r="A130" s="100" t="s">
        <v>166</v>
      </c>
      <c r="B130" s="101"/>
      <c r="C130" s="53">
        <f>J131</f>
        <v>7</v>
      </c>
      <c r="D130" s="54">
        <f>((100/H125)*C130)/100</f>
        <v>1</v>
      </c>
      <c r="E130" s="87">
        <f>(((C131/H125*10)+(40/(D125+F125+H125)*C132)+(7.5/(H125)*C133)+(7.5/(H125)*C134)+(10/H125*C135)+(10/H125*C136)+(5/H125*C137)+(5/H125*C138)+(5/H125*C139))/100)</f>
        <v>1</v>
      </c>
      <c r="F130" s="87"/>
      <c r="G130" s="87">
        <f>((((C130/H125)*20)+((C131/H125)*25)+(30/(H125+F125+D125)*C132)+(5/H125*C133)+(5/H125*C134)+(5/H125*C135)+(5/H125*C136)+(0/H125*C137)+(0/H125*C138)+(5/H125*C139))/100)</f>
        <v>1</v>
      </c>
      <c r="H130" s="89"/>
      <c r="I130" s="39" t="s">
        <v>136</v>
      </c>
      <c r="J130" s="43">
        <f>H125*50%</f>
        <v>3.5</v>
      </c>
    </row>
    <row r="131" spans="1:10" hidden="1" x14ac:dyDescent="0.35">
      <c r="A131" s="100" t="s">
        <v>55</v>
      </c>
      <c r="B131" s="101"/>
      <c r="C131" s="55">
        <f>J139</f>
        <v>7</v>
      </c>
      <c r="D131" s="54">
        <f>((100/H125)*C131)/100</f>
        <v>1</v>
      </c>
      <c r="E131" s="87"/>
      <c r="F131" s="87"/>
      <c r="G131" s="87"/>
      <c r="H131" s="89"/>
      <c r="I131" s="39" t="s">
        <v>137</v>
      </c>
      <c r="J131" s="43">
        <f>H125</f>
        <v>7</v>
      </c>
    </row>
    <row r="132" spans="1:10" ht="15.75" hidden="1" customHeight="1" x14ac:dyDescent="0.35">
      <c r="A132" s="100" t="s">
        <v>167</v>
      </c>
      <c r="B132" s="101"/>
      <c r="C132" s="55">
        <v>8</v>
      </c>
      <c r="D132" s="54">
        <f>((100/(D125+F125+H125))*C132)/100</f>
        <v>1</v>
      </c>
      <c r="E132" s="87"/>
      <c r="F132" s="87"/>
      <c r="G132" s="87"/>
      <c r="H132" s="89"/>
      <c r="I132" s="39" t="s">
        <v>138</v>
      </c>
      <c r="J132" s="46">
        <f>(IF(B125&gt;1,(H125/(B125+2)),H125/4))</f>
        <v>1.75</v>
      </c>
    </row>
    <row r="133" spans="1:10" ht="15.75" hidden="1" customHeight="1" x14ac:dyDescent="0.35">
      <c r="A133" s="100" t="s">
        <v>174</v>
      </c>
      <c r="B133" s="101" t="s">
        <v>168</v>
      </c>
      <c r="C133" s="53">
        <v>7</v>
      </c>
      <c r="D133" s="54">
        <f>((100/H125)*C133)/100</f>
        <v>1</v>
      </c>
      <c r="E133" s="87"/>
      <c r="F133" s="87"/>
      <c r="G133" s="87"/>
      <c r="H133" s="89"/>
      <c r="I133" s="39" t="s">
        <v>139</v>
      </c>
      <c r="J133" s="46">
        <f>(IF(B125&gt;1,(H125/(B125+2)+J132),H125/4+J132))</f>
        <v>3.5</v>
      </c>
    </row>
    <row r="134" spans="1:10" ht="15.75" hidden="1" customHeight="1" x14ac:dyDescent="0.35">
      <c r="A134" s="100" t="s">
        <v>175</v>
      </c>
      <c r="B134" s="101" t="s">
        <v>168</v>
      </c>
      <c r="C134" s="53">
        <v>7</v>
      </c>
      <c r="D134" s="54">
        <f>((100/H125)*C134)/100</f>
        <v>1</v>
      </c>
      <c r="E134" s="87"/>
      <c r="F134" s="87"/>
      <c r="G134" s="87"/>
      <c r="H134" s="89"/>
      <c r="I134" s="39" t="s">
        <v>184</v>
      </c>
      <c r="J134" s="46">
        <f>(IF(B125&gt;1,(H125/(B125+2)+J133),0))</f>
        <v>0</v>
      </c>
    </row>
    <row r="135" spans="1:10" ht="15" hidden="1" customHeight="1" x14ac:dyDescent="0.35">
      <c r="A135" s="100" t="s">
        <v>173</v>
      </c>
      <c r="B135" s="101" t="s">
        <v>170</v>
      </c>
      <c r="C135" s="53">
        <v>7</v>
      </c>
      <c r="D135" s="54">
        <f>((100/(H125))*C135)/100</f>
        <v>1</v>
      </c>
      <c r="E135" s="87"/>
      <c r="F135" s="87"/>
      <c r="G135" s="87"/>
      <c r="H135" s="89"/>
      <c r="I135" s="39" t="s">
        <v>181</v>
      </c>
      <c r="J135" s="46">
        <f>(IF(B125&gt;2,(H125/(B125+2)+J134),0))</f>
        <v>0</v>
      </c>
    </row>
    <row r="136" spans="1:10" ht="15.75" hidden="1" customHeight="1" x14ac:dyDescent="0.35">
      <c r="A136" s="100" t="s">
        <v>169</v>
      </c>
      <c r="B136" s="101" t="s">
        <v>169</v>
      </c>
      <c r="C136" s="53">
        <v>7</v>
      </c>
      <c r="D136" s="54">
        <f>((100/H125)*C136)/100</f>
        <v>1</v>
      </c>
      <c r="E136" s="87"/>
      <c r="F136" s="87"/>
      <c r="G136" s="87"/>
      <c r="H136" s="89"/>
      <c r="I136" s="39" t="s">
        <v>182</v>
      </c>
      <c r="J136" s="47">
        <f>(IF(B125&gt;3,(H125/(B125+2)+J135),0))</f>
        <v>0</v>
      </c>
    </row>
    <row r="137" spans="1:10" ht="15.75" hidden="1" customHeight="1" x14ac:dyDescent="0.35">
      <c r="A137" s="100" t="s">
        <v>176</v>
      </c>
      <c r="B137" s="101"/>
      <c r="C137" s="53">
        <v>7</v>
      </c>
      <c r="D137" s="54">
        <f>((100/H125)*C137)/100</f>
        <v>1</v>
      </c>
      <c r="E137" s="87"/>
      <c r="F137" s="87"/>
      <c r="G137" s="87"/>
      <c r="H137" s="89"/>
      <c r="I137" s="39" t="s">
        <v>183</v>
      </c>
      <c r="J137" s="46">
        <f>(IF(B125&gt;4,(H125/(B125+2)+J136),0))</f>
        <v>0</v>
      </c>
    </row>
    <row r="138" spans="1:10" ht="15.75" hidden="1" customHeight="1" x14ac:dyDescent="0.35">
      <c r="A138" s="100" t="s">
        <v>171</v>
      </c>
      <c r="B138" s="101" t="s">
        <v>171</v>
      </c>
      <c r="C138" s="53">
        <v>7</v>
      </c>
      <c r="D138" s="54">
        <f>((100/(H125))*C138)/100</f>
        <v>1</v>
      </c>
      <c r="E138" s="87"/>
      <c r="F138" s="87"/>
      <c r="G138" s="87"/>
      <c r="H138" s="89"/>
      <c r="I138" s="39" t="s">
        <v>185</v>
      </c>
      <c r="J138" s="46">
        <f>(IF(B125=1,(H125/(B125+3)+J133),IF(B125=0,(H125/4+J133),IF(B125&gt;1,0))))</f>
        <v>5.25</v>
      </c>
    </row>
    <row r="139" spans="1:10" ht="16" hidden="1" thickBot="1" x14ac:dyDescent="0.4">
      <c r="A139" s="102" t="s">
        <v>172</v>
      </c>
      <c r="B139" s="103"/>
      <c r="C139" s="56">
        <v>7</v>
      </c>
      <c r="D139" s="57">
        <f>((100/(H125))*C139)/100</f>
        <v>1</v>
      </c>
      <c r="E139" s="88"/>
      <c r="F139" s="88"/>
      <c r="G139" s="88"/>
      <c r="H139" s="90"/>
      <c r="I139" s="45" t="s">
        <v>140</v>
      </c>
      <c r="J139" s="48">
        <f>(IF(B125&gt;1.5,(H125/(B125+2)+J133+MAX(0,J134-J133)+MAX(0,J135-J134)+MAX(0,J136-J135)+MAX(0,J137-J136)+MAX(0,J138-J137)),IF(B125=1,(H125/(B125+3)+J138),IF(B125=0,H125/4+J138))))</f>
        <v>7</v>
      </c>
    </row>
    <row r="140" spans="1:10" ht="15.75" hidden="1" customHeight="1" x14ac:dyDescent="0.35">
      <c r="A140" s="129" t="s">
        <v>178</v>
      </c>
      <c r="B140" s="130"/>
      <c r="C140" s="77" t="s">
        <v>224</v>
      </c>
      <c r="D140" s="78"/>
      <c r="E140" s="78"/>
      <c r="F140" s="78"/>
      <c r="G140" s="78"/>
      <c r="H140" s="79"/>
      <c r="I140" s="44" t="str">
        <f>(IF(E144&gt;99%,"All work completed. Please provide OC.",IF(E144&gt;89.8%,"Plinth, RCC, Brick, Plaster, Flooring, Painting work Completed. Finishing work is in process.",IF(E144&lt;94%,(IF(C144=0,"Work not yet Started.",IF(D144=25%,"Piling work in process",IF(D144=50%,"Excavation work in process",IF(D144=100%,"Excavation work Completed. ","0")))&amp;(IF(C145=0%,"",IF(C145=J146,"Footing work is process",IF(C145=J147,"Footing work Completed",IF(C145=J148,"1st Basement Completed",IF(C145=J149,"1st &amp; 2nd Basement Completed",IF(C145=J150,"1st to 3rd Basement Completed",IF(C145=J151,"1st to 4th Basement Completed",IF(C145=J152,"Plinth work is process",IF(C145=J153,"Plinth work completed","0")))))))))))&amp;(IF(C146=(D141+F141+H141),", RCC Slab",IF(C146&gt;0,", RCC upto "&amp;C146&amp;" Slab",""))&amp;(IF(C147=H141,", Brickwork",IF(C147&gt;0,", Brickwork upto "&amp;C147&amp;" Floor",""))&amp;(IF(C148=H141,", Internal Plaster",IF(C148&gt;0,", Internal Plaster upto "&amp;C148&amp;" Floor",""))&amp;(IF(C149=H141,", External Plaster",IF(C149&gt;0,", External Plaster upto "&amp;C149&amp;" Floor",""))&amp;(IF(C150=H141,", Flooring",IF(C150&gt;0,", Flooring upto "&amp;C150&amp;" Floor",""))&amp;(IF(C151=H141,", Painting",IF(C151&gt;0,", Painting upto "&amp;C151&amp;" Floor",""))&amp;(IF(C152&gt;0,", Finishing upto "&amp;C152&amp;" Floor","")&amp;(IF(C146&gt;0.5," Completed",""))))))))))))))</f>
        <v>Excavation work Completed. Plinth work completed, RCC Slab, Brickwork, Internal Plaster upto 5 Floor, External Plaster upto 4 Floor Completed</v>
      </c>
      <c r="J140" s="21"/>
    </row>
    <row r="141" spans="1:10" hidden="1" x14ac:dyDescent="0.35">
      <c r="A141" s="49" t="s">
        <v>180</v>
      </c>
      <c r="B141" s="51">
        <v>1</v>
      </c>
      <c r="C141" s="51" t="s">
        <v>102</v>
      </c>
      <c r="D141" s="51">
        <v>1</v>
      </c>
      <c r="E141" s="51" t="s">
        <v>101</v>
      </c>
      <c r="F141" s="51">
        <v>0</v>
      </c>
      <c r="G141" s="51" t="s">
        <v>114</v>
      </c>
      <c r="H141" s="50">
        <v>7</v>
      </c>
      <c r="I141" s="19"/>
      <c r="J141" s="22"/>
    </row>
    <row r="142" spans="1:10" ht="33.75" hidden="1" customHeight="1" x14ac:dyDescent="0.35">
      <c r="A142" s="80" t="s">
        <v>124</v>
      </c>
      <c r="B142" s="81"/>
      <c r="C142" s="82" t="str">
        <f>I140</f>
        <v>Excavation work Completed. Plinth work completed, RCC Slab, Brickwork, Internal Plaster upto 5 Floor, External Plaster upto 4 Floor Completed</v>
      </c>
      <c r="D142" s="82"/>
      <c r="E142" s="82"/>
      <c r="F142" s="82"/>
      <c r="G142" s="82"/>
      <c r="H142" s="83"/>
      <c r="I142" s="19" t="s">
        <v>141</v>
      </c>
      <c r="J142" s="22"/>
    </row>
    <row r="143" spans="1:10" ht="15.75" hidden="1" customHeight="1" x14ac:dyDescent="0.35">
      <c r="A143" s="100" t="s">
        <v>54</v>
      </c>
      <c r="B143" s="101"/>
      <c r="C143" s="52" t="s">
        <v>177</v>
      </c>
      <c r="D143" s="52" t="s">
        <v>117</v>
      </c>
      <c r="E143" s="85" t="s">
        <v>119</v>
      </c>
      <c r="F143" s="85"/>
      <c r="G143" s="85" t="s">
        <v>118</v>
      </c>
      <c r="H143" s="86"/>
      <c r="I143" s="39" t="s">
        <v>179</v>
      </c>
      <c r="J143" s="23">
        <f>H141*25%</f>
        <v>1.75</v>
      </c>
    </row>
    <row r="144" spans="1:10" hidden="1" x14ac:dyDescent="0.35">
      <c r="A144" s="100" t="s">
        <v>166</v>
      </c>
      <c r="B144" s="101"/>
      <c r="C144" s="55">
        <f>J145</f>
        <v>7</v>
      </c>
      <c r="D144" s="54">
        <f>((100/H141)*C144)/100</f>
        <v>1</v>
      </c>
      <c r="E144" s="87">
        <f>(((C145/H141*10)+(40/(D141+F141+H141)*C146)+(7.5/(H141)*C147)+(7.5/(H141)*C148)+(10/H141*C149)+(10/H141*C150)+(5/H141*C151)+(5/H141*C152)+(5/H141*C153))/100)</f>
        <v>0.68571428571428572</v>
      </c>
      <c r="F144" s="87"/>
      <c r="G144" s="87">
        <f>((((C144/H141)*20)+((C145/H141)*25)+(30/(H141+F141+D141)*C146)+(5/H141*C147)+(5/H141*C148)+(5/H141*C149)+(5/H141*C150)+(0/H141*C151)+(0/H141*C152)+(5/H141*C153))/100)</f>
        <v>0.86428571428571432</v>
      </c>
      <c r="H144" s="89"/>
      <c r="I144" s="39" t="s">
        <v>136</v>
      </c>
      <c r="J144" s="43">
        <f>H141*50%</f>
        <v>3.5</v>
      </c>
    </row>
    <row r="145" spans="1:10" hidden="1" x14ac:dyDescent="0.35">
      <c r="A145" s="100" t="s">
        <v>55</v>
      </c>
      <c r="B145" s="101"/>
      <c r="C145" s="55">
        <f>J153</f>
        <v>7</v>
      </c>
      <c r="D145" s="54">
        <f>((100/H141)*C145)/100</f>
        <v>1</v>
      </c>
      <c r="E145" s="87"/>
      <c r="F145" s="87"/>
      <c r="G145" s="87"/>
      <c r="H145" s="89"/>
      <c r="I145" s="39" t="s">
        <v>137</v>
      </c>
      <c r="J145" s="43">
        <f>H141</f>
        <v>7</v>
      </c>
    </row>
    <row r="146" spans="1:10" ht="15.75" hidden="1" customHeight="1" x14ac:dyDescent="0.35">
      <c r="A146" s="100" t="s">
        <v>167</v>
      </c>
      <c r="B146" s="101"/>
      <c r="C146" s="55">
        <v>8</v>
      </c>
      <c r="D146" s="54">
        <f>((100/(D141+F141+H141))*C146)/100</f>
        <v>1</v>
      </c>
      <c r="E146" s="87"/>
      <c r="F146" s="87"/>
      <c r="G146" s="87"/>
      <c r="H146" s="89"/>
      <c r="I146" s="39" t="s">
        <v>138</v>
      </c>
      <c r="J146" s="46">
        <f>(IF(B141&gt;1,(H141/(B141+2)),H141/4))</f>
        <v>1.75</v>
      </c>
    </row>
    <row r="147" spans="1:10" ht="15.75" hidden="1" customHeight="1" x14ac:dyDescent="0.35">
      <c r="A147" s="100" t="s">
        <v>174</v>
      </c>
      <c r="B147" s="101" t="s">
        <v>168</v>
      </c>
      <c r="C147" s="53">
        <v>7</v>
      </c>
      <c r="D147" s="54">
        <f>((100/H141)*C147)/100</f>
        <v>1</v>
      </c>
      <c r="E147" s="87"/>
      <c r="F147" s="87"/>
      <c r="G147" s="87"/>
      <c r="H147" s="89"/>
      <c r="I147" s="39" t="s">
        <v>139</v>
      </c>
      <c r="J147" s="46">
        <f>(IF(B141&gt;1,(H141/(B141+2)+J146),H141/4+J146))</f>
        <v>3.5</v>
      </c>
    </row>
    <row r="148" spans="1:10" ht="15.75" hidden="1" customHeight="1" x14ac:dyDescent="0.35">
      <c r="A148" s="100" t="s">
        <v>175</v>
      </c>
      <c r="B148" s="101" t="s">
        <v>168</v>
      </c>
      <c r="C148" s="53">
        <v>5</v>
      </c>
      <c r="D148" s="54">
        <f>((100/H141)*C148)/100</f>
        <v>0.7142857142857143</v>
      </c>
      <c r="E148" s="87"/>
      <c r="F148" s="87"/>
      <c r="G148" s="87"/>
      <c r="H148" s="89"/>
      <c r="I148" s="39" t="s">
        <v>184</v>
      </c>
      <c r="J148" s="46">
        <f>(IF(B141&gt;1,(H141/(B141+2)+J147),0))</f>
        <v>0</v>
      </c>
    </row>
    <row r="149" spans="1:10" ht="15" hidden="1" customHeight="1" x14ac:dyDescent="0.35">
      <c r="A149" s="100" t="s">
        <v>173</v>
      </c>
      <c r="B149" s="101" t="s">
        <v>170</v>
      </c>
      <c r="C149" s="53">
        <v>4</v>
      </c>
      <c r="D149" s="54">
        <f>((100/(H141))*C149)/100</f>
        <v>0.57142857142857151</v>
      </c>
      <c r="E149" s="87"/>
      <c r="F149" s="87"/>
      <c r="G149" s="87"/>
      <c r="H149" s="89"/>
      <c r="I149" s="39" t="s">
        <v>181</v>
      </c>
      <c r="J149" s="46">
        <f>(IF(B141&gt;2,(H141/(B141+2)+J148),0))</f>
        <v>0</v>
      </c>
    </row>
    <row r="150" spans="1:10" ht="15.75" hidden="1" customHeight="1" x14ac:dyDescent="0.35">
      <c r="A150" s="100" t="s">
        <v>169</v>
      </c>
      <c r="B150" s="101" t="s">
        <v>169</v>
      </c>
      <c r="C150" s="53">
        <v>0</v>
      </c>
      <c r="D150" s="54">
        <f>((100/H141)*C150)/100</f>
        <v>0</v>
      </c>
      <c r="E150" s="87"/>
      <c r="F150" s="87"/>
      <c r="G150" s="87"/>
      <c r="H150" s="89"/>
      <c r="I150" s="39" t="s">
        <v>182</v>
      </c>
      <c r="J150" s="47">
        <f>(IF(B141&gt;3,(H141/(B141+2)+J149),0))</f>
        <v>0</v>
      </c>
    </row>
    <row r="151" spans="1:10" ht="15.75" hidden="1" customHeight="1" x14ac:dyDescent="0.35">
      <c r="A151" s="100" t="s">
        <v>176</v>
      </c>
      <c r="B151" s="101"/>
      <c r="C151" s="53">
        <v>0</v>
      </c>
      <c r="D151" s="54">
        <f>((100/H141)*C151)/100</f>
        <v>0</v>
      </c>
      <c r="E151" s="87"/>
      <c r="F151" s="87"/>
      <c r="G151" s="87"/>
      <c r="H151" s="89"/>
      <c r="I151" s="39" t="s">
        <v>183</v>
      </c>
      <c r="J151" s="46">
        <f>(IF(B141&gt;4,(H141/(B141+2)+J150),0))</f>
        <v>0</v>
      </c>
    </row>
    <row r="152" spans="1:10" ht="15.75" hidden="1" customHeight="1" x14ac:dyDescent="0.35">
      <c r="A152" s="100" t="s">
        <v>171</v>
      </c>
      <c r="B152" s="101" t="s">
        <v>171</v>
      </c>
      <c r="C152" s="53">
        <v>0</v>
      </c>
      <c r="D152" s="54">
        <f>((100/(H141))*C152)/100</f>
        <v>0</v>
      </c>
      <c r="E152" s="87"/>
      <c r="F152" s="87"/>
      <c r="G152" s="87"/>
      <c r="H152" s="89"/>
      <c r="I152" s="39" t="s">
        <v>185</v>
      </c>
      <c r="J152" s="46">
        <f>(IF(B141=1,(H141/(B141+3)+J147),IF(B141=0,(H141/4+J147),IF(B141&gt;1,0))))</f>
        <v>5.25</v>
      </c>
    </row>
    <row r="153" spans="1:10" ht="16" hidden="1" thickBot="1" x14ac:dyDescent="0.4">
      <c r="A153" s="102" t="s">
        <v>172</v>
      </c>
      <c r="B153" s="103"/>
      <c r="C153" s="56">
        <v>0</v>
      </c>
      <c r="D153" s="57">
        <f>((100/(H141))*C153)/100</f>
        <v>0</v>
      </c>
      <c r="E153" s="88"/>
      <c r="F153" s="88"/>
      <c r="G153" s="88"/>
      <c r="H153" s="90"/>
      <c r="I153" s="45" t="s">
        <v>140</v>
      </c>
      <c r="J153" s="48">
        <f>(IF(B141&gt;1.5,(H141/(B141+2)+J147+MAX(0,J148-J147)+MAX(0,J149-J148)+MAX(0,J150-J149)+MAX(0,J151-J150)+MAX(0,J152-J151)),IF(B141=1,(H141/(B141+3)+J152),IF(B141=0,H141/4+J152))))</f>
        <v>7</v>
      </c>
    </row>
    <row r="154" spans="1:10" ht="15.75" hidden="1" customHeight="1" x14ac:dyDescent="0.35">
      <c r="A154" s="129" t="s">
        <v>178</v>
      </c>
      <c r="B154" s="130"/>
      <c r="C154" s="77" t="s">
        <v>232</v>
      </c>
      <c r="D154" s="78"/>
      <c r="E154" s="78"/>
      <c r="F154" s="78"/>
      <c r="G154" s="78"/>
      <c r="H154" s="79"/>
      <c r="I154" s="44" t="str">
        <f ca="1">(IF(E158&gt;99%,"All work completed. Please provide OC.",IF(E158&gt;89.8%,"Plinth, RCC, Brick, Plaster, Flooring, Painting work Completed. Finishing work is in process.",IF(E158&lt;94%,(IF(C158=0,"Work not yet Started.",IF(D158=25%,"Piling work in process",IF(D158=50%,"Excavation work in process",IF(D158=100%,"Excavation work Completed. ","0")))&amp;(IF(C159=0%,"",IF(C159=J160,"Footing work is process",IF(C159=J161,"Footing work Completed",IF(C159=J162,"1st Basement Completed",IF(C159=J163,"1st &amp; 2nd Basement Completed",IF(C159=J164,"1st to 3rd Basement Completed",IF(C159=J165,"1st to 4th Basement Completed",IF(C159=J166,"Plinth work is process",IF(C159=J167,"Plinth work completed","0")))))))))))&amp;(IF(C160=(D155+F155+H155),", RCC Slab",IF(C160&gt;0,", RCC upto "&amp;C160&amp;" Slab",""))&amp;(IF(C161=H155,", Brickwork",IF(C161&gt;0,", Brickwork upto "&amp;C161&amp;" Floor",""))&amp;(IF(C162=H155,", Internal Plaster",IF(C162&gt;0,", Internal Plaster upto "&amp;C162&amp;" Floor",""))&amp;(IF(C163=H155,", External Plaster",IF(C163&gt;0,", External Plaster upto "&amp;C163&amp;" Floor",""))&amp;(IF(C164=H155,", Flooring",IF(C164&gt;0,", Flooring upto "&amp;C164&amp;" Floor",""))&amp;(IF(C165=H155,", Painting",IF(C165&gt;0,", Painting upto "&amp;C165&amp;" Floor",""))&amp;(IF(C166&gt;0,", Finishing upto "&amp;C166&amp;" Floor","")&amp;(IF(C160&gt;0.5," Completed",""))))))))))))))</f>
        <v>Excavation work Completed. Plinth work completed, RCC Slab, Brickwork upto 6 Floor Completed</v>
      </c>
      <c r="J154" s="21"/>
    </row>
    <row r="155" spans="1:10" hidden="1" x14ac:dyDescent="0.35">
      <c r="A155" s="49" t="s">
        <v>180</v>
      </c>
      <c r="B155" s="51">
        <v>1</v>
      </c>
      <c r="C155" s="51" t="s">
        <v>102</v>
      </c>
      <c r="D155" s="51">
        <v>1</v>
      </c>
      <c r="E155" s="51" t="s">
        <v>101</v>
      </c>
      <c r="F155" s="51">
        <v>0</v>
      </c>
      <c r="G155" s="51" t="s">
        <v>114</v>
      </c>
      <c r="H155" s="50">
        <f ca="1">--TRIM(RIGHT(SUBSTITUTE(LEFT(C154,_xlfn.AGGREGATE(16,6,FIND({0,1,2,3,4,5,6,7,8,9},C154,ROW(INDIRECT("1:"&amp;LEN(C154)))),1))," ",REPT(" ",LEN(C154))),LEN(C154)))</f>
        <v>7</v>
      </c>
      <c r="I155" s="19"/>
      <c r="J155" s="22"/>
    </row>
    <row r="156" spans="1:10" ht="35.25" hidden="1" customHeight="1" x14ac:dyDescent="0.35">
      <c r="A156" s="80" t="s">
        <v>124</v>
      </c>
      <c r="B156" s="81"/>
      <c r="C156" s="82" t="str">
        <f ca="1">I154</f>
        <v>Excavation work Completed. Plinth work completed, RCC Slab, Brickwork upto 6 Floor Completed</v>
      </c>
      <c r="D156" s="82"/>
      <c r="E156" s="82"/>
      <c r="F156" s="82"/>
      <c r="G156" s="82"/>
      <c r="H156" s="83"/>
      <c r="I156" s="19" t="s">
        <v>141</v>
      </c>
      <c r="J156" s="22"/>
    </row>
    <row r="157" spans="1:10" ht="15.75" hidden="1" customHeight="1" x14ac:dyDescent="0.35">
      <c r="A157" s="100" t="s">
        <v>54</v>
      </c>
      <c r="B157" s="101"/>
      <c r="C157" s="52" t="s">
        <v>177</v>
      </c>
      <c r="D157" s="52" t="s">
        <v>117</v>
      </c>
      <c r="E157" s="85" t="s">
        <v>119</v>
      </c>
      <c r="F157" s="85"/>
      <c r="G157" s="85" t="s">
        <v>118</v>
      </c>
      <c r="H157" s="86"/>
      <c r="I157" s="39" t="s">
        <v>179</v>
      </c>
      <c r="J157" s="23">
        <f ca="1">H155*25%</f>
        <v>1.75</v>
      </c>
    </row>
    <row r="158" spans="1:10" hidden="1" x14ac:dyDescent="0.35">
      <c r="A158" s="100" t="s">
        <v>166</v>
      </c>
      <c r="B158" s="101"/>
      <c r="C158" s="55">
        <f ca="1">J159</f>
        <v>7</v>
      </c>
      <c r="D158" s="54">
        <f ca="1">((100/H155)*C158)/100</f>
        <v>1</v>
      </c>
      <c r="E158" s="87">
        <f ca="1">(((C159/H155*10)+(40/(D155+F155+H155)*C160)+(7.5/(H155)*C161)+(7.5/(H155)*C162)+(10/H155*C163)+(10/H155*C164)+(5/H155*C165)+(5/H155*C166)+(5/H155*C167))/100)</f>
        <v>0.56428571428571428</v>
      </c>
      <c r="F158" s="87"/>
      <c r="G158" s="87">
        <f ca="1">((((C158/H155)*20)+((C159/H155)*25)+(30/(H155+F155+D155)*C160)+(5/H155*C161)+(5/H155*C162)+(5/H155*C163)+(5/H155*C164)+(0/H155*C165)+(0/H155*C166)+(5/H155*C167))/100)</f>
        <v>0.79285714285714293</v>
      </c>
      <c r="H158" s="89"/>
      <c r="I158" s="39" t="s">
        <v>136</v>
      </c>
      <c r="J158" s="43">
        <f ca="1">H155*50%</f>
        <v>3.5</v>
      </c>
    </row>
    <row r="159" spans="1:10" hidden="1" x14ac:dyDescent="0.35">
      <c r="A159" s="100" t="s">
        <v>55</v>
      </c>
      <c r="B159" s="101"/>
      <c r="C159" s="55">
        <f ca="1">J167</f>
        <v>7</v>
      </c>
      <c r="D159" s="54">
        <f ca="1">((100/H155)*C159)/100</f>
        <v>1</v>
      </c>
      <c r="E159" s="87"/>
      <c r="F159" s="87"/>
      <c r="G159" s="87"/>
      <c r="H159" s="89"/>
      <c r="I159" s="39" t="s">
        <v>137</v>
      </c>
      <c r="J159" s="43">
        <f ca="1">H155</f>
        <v>7</v>
      </c>
    </row>
    <row r="160" spans="1:10" ht="15.75" hidden="1" customHeight="1" x14ac:dyDescent="0.35">
      <c r="A160" s="100" t="s">
        <v>167</v>
      </c>
      <c r="B160" s="101"/>
      <c r="C160" s="55">
        <v>8</v>
      </c>
      <c r="D160" s="54">
        <f ca="1">((100/(D155+F155+H155))*C160)/100</f>
        <v>1</v>
      </c>
      <c r="E160" s="87"/>
      <c r="F160" s="87"/>
      <c r="G160" s="87"/>
      <c r="H160" s="89"/>
      <c r="I160" s="39" t="s">
        <v>138</v>
      </c>
      <c r="J160" s="46">
        <f ca="1">(IF(B155&gt;1,(H155/(B155+2)),H155/4))</f>
        <v>1.75</v>
      </c>
    </row>
    <row r="161" spans="1:12" ht="15.75" hidden="1" customHeight="1" x14ac:dyDescent="0.35">
      <c r="A161" s="100" t="s">
        <v>174</v>
      </c>
      <c r="B161" s="101" t="s">
        <v>168</v>
      </c>
      <c r="C161" s="53">
        <v>6</v>
      </c>
      <c r="D161" s="54">
        <f ca="1">((100/H155)*C161)/100</f>
        <v>0.85714285714285721</v>
      </c>
      <c r="E161" s="87"/>
      <c r="F161" s="87"/>
      <c r="G161" s="87"/>
      <c r="H161" s="89"/>
      <c r="I161" s="39" t="s">
        <v>139</v>
      </c>
      <c r="J161" s="46">
        <f ca="1">(IF(B155&gt;1,(H155/(B155+2)+J160),H155/4+J160))</f>
        <v>3.5</v>
      </c>
    </row>
    <row r="162" spans="1:12" ht="15.75" hidden="1" customHeight="1" x14ac:dyDescent="0.35">
      <c r="A162" s="100" t="s">
        <v>175</v>
      </c>
      <c r="B162" s="101" t="s">
        <v>168</v>
      </c>
      <c r="C162" s="53">
        <v>0</v>
      </c>
      <c r="D162" s="54">
        <f ca="1">((100/H155)*C162)/100</f>
        <v>0</v>
      </c>
      <c r="E162" s="87"/>
      <c r="F162" s="87"/>
      <c r="G162" s="87"/>
      <c r="H162" s="89"/>
      <c r="I162" s="39" t="s">
        <v>184</v>
      </c>
      <c r="J162" s="46">
        <f>(IF(B155&gt;1,(H155/(B155+2)+J161),0))</f>
        <v>0</v>
      </c>
    </row>
    <row r="163" spans="1:12" ht="15" hidden="1" customHeight="1" x14ac:dyDescent="0.35">
      <c r="A163" s="100" t="s">
        <v>173</v>
      </c>
      <c r="B163" s="101" t="s">
        <v>170</v>
      </c>
      <c r="C163" s="53">
        <v>0</v>
      </c>
      <c r="D163" s="54">
        <f ca="1">((100/(H155))*C163)/100</f>
        <v>0</v>
      </c>
      <c r="E163" s="87"/>
      <c r="F163" s="87"/>
      <c r="G163" s="87"/>
      <c r="H163" s="89"/>
      <c r="I163" s="39" t="s">
        <v>181</v>
      </c>
      <c r="J163" s="46">
        <f>(IF(B155&gt;2,(H155/(B155+2)+J162),0))</f>
        <v>0</v>
      </c>
    </row>
    <row r="164" spans="1:12" ht="15.75" hidden="1" customHeight="1" x14ac:dyDescent="0.35">
      <c r="A164" s="100" t="s">
        <v>169</v>
      </c>
      <c r="B164" s="101" t="s">
        <v>169</v>
      </c>
      <c r="C164" s="53">
        <v>0</v>
      </c>
      <c r="D164" s="54">
        <f ca="1">((100/H155)*C164)/100</f>
        <v>0</v>
      </c>
      <c r="E164" s="87"/>
      <c r="F164" s="87"/>
      <c r="G164" s="87"/>
      <c r="H164" s="89"/>
      <c r="I164" s="39" t="s">
        <v>182</v>
      </c>
      <c r="J164" s="47">
        <f>(IF(B155&gt;3,(H155/(B155+2)+J163),0))</f>
        <v>0</v>
      </c>
    </row>
    <row r="165" spans="1:12" ht="15.75" hidden="1" customHeight="1" x14ac:dyDescent="0.35">
      <c r="A165" s="100" t="s">
        <v>176</v>
      </c>
      <c r="B165" s="101"/>
      <c r="C165" s="53">
        <v>0</v>
      </c>
      <c r="D165" s="54">
        <f ca="1">((100/H155)*C165)/100</f>
        <v>0</v>
      </c>
      <c r="E165" s="87"/>
      <c r="F165" s="87"/>
      <c r="G165" s="87"/>
      <c r="H165" s="89"/>
      <c r="I165" s="39" t="s">
        <v>183</v>
      </c>
      <c r="J165" s="46">
        <f>(IF(B155&gt;4,(H155/(B155+2)+J164),0))</f>
        <v>0</v>
      </c>
    </row>
    <row r="166" spans="1:12" ht="15.75" hidden="1" customHeight="1" x14ac:dyDescent="0.35">
      <c r="A166" s="100" t="s">
        <v>171</v>
      </c>
      <c r="B166" s="101" t="s">
        <v>171</v>
      </c>
      <c r="C166" s="53">
        <v>0</v>
      </c>
      <c r="D166" s="54">
        <f ca="1">((100/(H155))*C166)/100</f>
        <v>0</v>
      </c>
      <c r="E166" s="87"/>
      <c r="F166" s="87"/>
      <c r="G166" s="87"/>
      <c r="H166" s="89"/>
      <c r="I166" s="39" t="s">
        <v>185</v>
      </c>
      <c r="J166" s="46">
        <f ca="1">(IF(B155=1,(H155/(B155+3)+J161),IF(B155=0,(H155/4+J161),IF(B155&gt;1,0))))</f>
        <v>5.25</v>
      </c>
    </row>
    <row r="167" spans="1:12" ht="16" hidden="1" thickBot="1" x14ac:dyDescent="0.4">
      <c r="A167" s="175" t="s">
        <v>172</v>
      </c>
      <c r="B167" s="176"/>
      <c r="C167" s="60">
        <v>0</v>
      </c>
      <c r="D167" s="61">
        <f ca="1">((100/(H155))*C167)/100</f>
        <v>0</v>
      </c>
      <c r="E167" s="173"/>
      <c r="F167" s="173"/>
      <c r="G167" s="173"/>
      <c r="H167" s="174"/>
      <c r="I167" s="45" t="s">
        <v>140</v>
      </c>
      <c r="J167" s="48">
        <f ca="1">(IF(B155&gt;1.5,(H155/(B155+2)+J161+MAX(0,J162-J161)+MAX(0,J163-J162)+MAX(0,J164-J163)+MAX(0,J165-J164)+MAX(0,J166-J165)),IF(B155=1,(H155/(B155+3)+J166),IF(B155=0,H155/4+J166))))</f>
        <v>7</v>
      </c>
    </row>
    <row r="168" spans="1:12" x14ac:dyDescent="0.35">
      <c r="A168" s="136" t="s">
        <v>155</v>
      </c>
      <c r="B168" s="136"/>
      <c r="C168" s="136"/>
      <c r="D168" s="136"/>
      <c r="E168" s="136"/>
      <c r="F168" s="136" t="str">
        <f>(IF(D63="Nothing","Yes",IF(D63="Cement, Aggregate, Steel, etc","Under Construction",IF(D63="Work not yet Started","Work not yet Started"))))</f>
        <v>Yes</v>
      </c>
      <c r="G168" s="136"/>
      <c r="H168" s="136"/>
    </row>
    <row r="169" spans="1:12" x14ac:dyDescent="0.35">
      <c r="A169" s="117" t="s">
        <v>56</v>
      </c>
      <c r="B169" s="117"/>
      <c r="C169" s="117"/>
      <c r="D169" s="117"/>
      <c r="E169" s="117"/>
      <c r="F169" s="117"/>
      <c r="G169" s="117"/>
      <c r="H169" s="117"/>
    </row>
    <row r="170" spans="1:12" ht="15" hidden="1" customHeight="1" x14ac:dyDescent="0.35">
      <c r="A170" s="81" t="s">
        <v>105</v>
      </c>
      <c r="B170" s="81"/>
      <c r="C170" s="82" t="s">
        <v>106</v>
      </c>
      <c r="D170" s="82"/>
      <c r="E170" s="82"/>
      <c r="F170" s="82"/>
      <c r="G170" s="82"/>
      <c r="H170" s="82"/>
    </row>
    <row r="171" spans="1:12" x14ac:dyDescent="0.35">
      <c r="A171" s="132" t="s">
        <v>57</v>
      </c>
      <c r="B171" s="132"/>
      <c r="C171" s="132"/>
      <c r="D171" s="132"/>
      <c r="E171" s="132"/>
      <c r="F171" s="132"/>
      <c r="G171" s="132"/>
      <c r="H171" s="132"/>
    </row>
    <row r="172" spans="1:12" x14ac:dyDescent="0.35">
      <c r="A172" s="117" t="s">
        <v>107</v>
      </c>
      <c r="B172" s="117"/>
      <c r="C172" s="117"/>
      <c r="D172" s="117"/>
      <c r="E172" s="117"/>
      <c r="F172" s="131">
        <v>4700</v>
      </c>
      <c r="G172" s="131"/>
      <c r="H172" s="131"/>
      <c r="I172" s="58" t="s">
        <v>225</v>
      </c>
      <c r="J172" s="58" t="s">
        <v>226</v>
      </c>
      <c r="K172" s="58" t="s">
        <v>227</v>
      </c>
      <c r="L172" s="59">
        <v>44889</v>
      </c>
    </row>
    <row r="173" spans="1:12" hidden="1" x14ac:dyDescent="0.35">
      <c r="A173" s="117" t="s">
        <v>112</v>
      </c>
      <c r="B173" s="117"/>
      <c r="C173" s="117"/>
      <c r="D173" s="117"/>
      <c r="E173" s="117"/>
      <c r="F173" s="131"/>
      <c r="G173" s="131"/>
      <c r="H173" s="131"/>
    </row>
    <row r="174" spans="1:12" hidden="1" x14ac:dyDescent="0.35">
      <c r="A174" s="117" t="s">
        <v>113</v>
      </c>
      <c r="B174" s="117"/>
      <c r="C174" s="117"/>
      <c r="D174" s="117"/>
      <c r="E174" s="117"/>
      <c r="F174" s="131"/>
      <c r="G174" s="131"/>
      <c r="H174" s="131"/>
    </row>
    <row r="175" spans="1:12" s="12" customFormat="1" x14ac:dyDescent="0.3">
      <c r="A175" s="117" t="s">
        <v>129</v>
      </c>
      <c r="B175" s="117"/>
      <c r="C175" s="117"/>
      <c r="D175" s="117"/>
      <c r="E175" s="117"/>
      <c r="F175" s="131" t="s">
        <v>223</v>
      </c>
      <c r="G175" s="131"/>
      <c r="H175" s="131"/>
    </row>
    <row r="176" spans="1:12" s="12" customFormat="1" hidden="1" x14ac:dyDescent="0.3">
      <c r="A176" s="117" t="s">
        <v>129</v>
      </c>
      <c r="B176" s="117"/>
      <c r="C176" s="117"/>
      <c r="D176" s="117"/>
      <c r="E176" s="117"/>
      <c r="F176" s="131" t="s">
        <v>30</v>
      </c>
      <c r="G176" s="131"/>
      <c r="H176" s="131"/>
    </row>
    <row r="177" spans="1:12" s="12" customFormat="1" x14ac:dyDescent="0.3">
      <c r="A177" s="117" t="s">
        <v>130</v>
      </c>
      <c r="B177" s="117"/>
      <c r="C177" s="117"/>
      <c r="D177" s="117"/>
      <c r="E177" s="117"/>
      <c r="F177" s="131" t="s">
        <v>235</v>
      </c>
      <c r="G177" s="131"/>
      <c r="H177" s="131"/>
    </row>
    <row r="178" spans="1:12" s="12" customFormat="1" hidden="1" x14ac:dyDescent="0.3">
      <c r="A178" s="117" t="s">
        <v>131</v>
      </c>
      <c r="B178" s="117"/>
      <c r="C178" s="117"/>
      <c r="D178" s="117"/>
      <c r="E178" s="117"/>
      <c r="F178" s="131" t="s">
        <v>30</v>
      </c>
      <c r="G178" s="131"/>
      <c r="H178" s="131"/>
    </row>
    <row r="179" spans="1:12" s="12" customFormat="1" hidden="1" x14ac:dyDescent="0.3">
      <c r="A179" s="117" t="s">
        <v>132</v>
      </c>
      <c r="B179" s="117"/>
      <c r="C179" s="117"/>
      <c r="D179" s="117"/>
      <c r="E179" s="117"/>
      <c r="F179" s="131" t="s">
        <v>30</v>
      </c>
      <c r="G179" s="131"/>
      <c r="H179" s="131"/>
    </row>
    <row r="180" spans="1:12" s="12" customFormat="1" hidden="1" x14ac:dyDescent="0.3">
      <c r="A180" s="117" t="s">
        <v>133</v>
      </c>
      <c r="B180" s="117"/>
      <c r="C180" s="117"/>
      <c r="D180" s="117"/>
      <c r="E180" s="117"/>
      <c r="F180" s="131" t="s">
        <v>30</v>
      </c>
      <c r="G180" s="131"/>
      <c r="H180" s="131"/>
    </row>
    <row r="181" spans="1:12" s="12" customFormat="1" hidden="1" x14ac:dyDescent="0.3">
      <c r="A181" s="117" t="s">
        <v>134</v>
      </c>
      <c r="B181" s="117"/>
      <c r="C181" s="117"/>
      <c r="D181" s="117"/>
      <c r="E181" s="117"/>
      <c r="F181" s="131" t="s">
        <v>30</v>
      </c>
      <c r="G181" s="131"/>
      <c r="H181" s="131"/>
    </row>
    <row r="182" spans="1:12" s="12" customFormat="1" hidden="1" x14ac:dyDescent="0.3">
      <c r="A182" s="117" t="s">
        <v>135</v>
      </c>
      <c r="B182" s="117"/>
      <c r="C182" s="117"/>
      <c r="D182" s="117"/>
      <c r="E182" s="117"/>
      <c r="F182" s="131" t="s">
        <v>30</v>
      </c>
      <c r="G182" s="131"/>
      <c r="H182" s="131"/>
    </row>
    <row r="183" spans="1:12" x14ac:dyDescent="0.35">
      <c r="A183" s="117" t="s">
        <v>58</v>
      </c>
      <c r="B183" s="117"/>
      <c r="C183" s="117"/>
      <c r="D183" s="117"/>
      <c r="E183" s="117"/>
      <c r="F183" s="134" t="s">
        <v>223</v>
      </c>
      <c r="G183" s="134"/>
      <c r="H183" s="134"/>
      <c r="J183" s="58" t="s">
        <v>236</v>
      </c>
      <c r="K183" s="58" t="s">
        <v>237</v>
      </c>
      <c r="L183" s="59">
        <v>45167</v>
      </c>
    </row>
    <row r="184" spans="1:12" s="9" customFormat="1" x14ac:dyDescent="0.35">
      <c r="A184" s="132" t="s">
        <v>59</v>
      </c>
      <c r="B184" s="132"/>
      <c r="C184" s="132"/>
      <c r="D184" s="132"/>
      <c r="E184" s="132"/>
      <c r="F184" s="131">
        <f>F172*0.8</f>
        <v>3760</v>
      </c>
      <c r="G184" s="131"/>
      <c r="H184" s="131"/>
    </row>
    <row r="185" spans="1:12" s="1" customFormat="1" ht="15.75" customHeight="1" x14ac:dyDescent="0.35">
      <c r="A185" s="153" t="s">
        <v>100</v>
      </c>
      <c r="B185" s="154"/>
      <c r="C185" s="154"/>
      <c r="D185" s="154"/>
      <c r="E185" s="154"/>
      <c r="F185" s="154"/>
      <c r="G185" s="154"/>
      <c r="H185" s="155"/>
    </row>
    <row r="186" spans="1:12" s="1" customFormat="1" ht="15.75" customHeight="1" x14ac:dyDescent="0.35">
      <c r="A186" s="119" t="s">
        <v>60</v>
      </c>
      <c r="B186" s="120"/>
      <c r="C186" s="149" t="s">
        <v>110</v>
      </c>
      <c r="D186" s="150"/>
      <c r="E186" s="147" t="s">
        <v>61</v>
      </c>
      <c r="F186" s="148"/>
      <c r="G186" s="119" t="s">
        <v>62</v>
      </c>
      <c r="H186" s="120"/>
    </row>
    <row r="187" spans="1:12" s="1" customFormat="1" x14ac:dyDescent="0.35">
      <c r="A187" s="93" t="s">
        <v>202</v>
      </c>
      <c r="B187" s="94"/>
      <c r="C187" s="95">
        <f>COUNT(D203:D206)*8</f>
        <v>32</v>
      </c>
      <c r="D187" s="96"/>
      <c r="E187" s="97">
        <f>SUM(D203:D206)*8</f>
        <v>15172.934399999998</v>
      </c>
      <c r="F187" s="98"/>
      <c r="G187" s="97">
        <f>SUM(F203:F206)</f>
        <v>2844.9251999999997</v>
      </c>
      <c r="H187" s="98"/>
    </row>
    <row r="188" spans="1:12" s="1" customFormat="1" x14ac:dyDescent="0.35">
      <c r="A188" s="93" t="s">
        <v>203</v>
      </c>
      <c r="B188" s="94"/>
      <c r="C188" s="95">
        <f>COUNT(D210:D213)*8</f>
        <v>32</v>
      </c>
      <c r="D188" s="96"/>
      <c r="E188" s="97">
        <f>SUM(D210:D213)*8</f>
        <v>13395.582719999999</v>
      </c>
      <c r="F188" s="98"/>
      <c r="G188" s="97">
        <f>SUM(F210:F213)</f>
        <v>2511.6717599999997</v>
      </c>
      <c r="H188" s="98"/>
    </row>
    <row r="189" spans="1:12" s="1" customFormat="1" x14ac:dyDescent="0.35">
      <c r="A189" s="93" t="s">
        <v>204</v>
      </c>
      <c r="B189" s="94"/>
      <c r="C189" s="95">
        <f>COUNT(D217:D220)*8</f>
        <v>32</v>
      </c>
      <c r="D189" s="96"/>
      <c r="E189" s="97">
        <f>SUM(D217:D220)*8</f>
        <v>15172.934399999998</v>
      </c>
      <c r="F189" s="98"/>
      <c r="G189" s="97">
        <f>SUM(F217:F220)</f>
        <v>2844.9251999999997</v>
      </c>
      <c r="H189" s="98"/>
    </row>
    <row r="190" spans="1:12" s="1" customFormat="1" x14ac:dyDescent="0.35">
      <c r="A190" s="93" t="s">
        <v>205</v>
      </c>
      <c r="B190" s="94"/>
      <c r="C190" s="95">
        <f>COUNT(D224:D227)*8</f>
        <v>32</v>
      </c>
      <c r="D190" s="96"/>
      <c r="E190" s="97">
        <f>SUM(D224:D227)*8</f>
        <v>15481.215359999998</v>
      </c>
      <c r="F190" s="98"/>
      <c r="G190" s="97">
        <f>SUM(F224:F227)</f>
        <v>2902.7278799999995</v>
      </c>
      <c r="H190" s="98"/>
    </row>
    <row r="191" spans="1:12" s="1" customFormat="1" x14ac:dyDescent="0.35">
      <c r="A191" s="93" t="s">
        <v>206</v>
      </c>
      <c r="B191" s="94"/>
      <c r="C191" s="95">
        <f>COUNT(D231:D234)*8</f>
        <v>32</v>
      </c>
      <c r="D191" s="96"/>
      <c r="E191" s="97">
        <f>SUM(D231:D234)*8</f>
        <v>14268.758399999999</v>
      </c>
      <c r="F191" s="98"/>
      <c r="G191" s="97">
        <f>SUM(F231:F234)</f>
        <v>2675.3921999999998</v>
      </c>
      <c r="H191" s="98"/>
    </row>
    <row r="192" spans="1:12" s="1" customFormat="1" x14ac:dyDescent="0.35">
      <c r="A192" s="93" t="s">
        <v>207</v>
      </c>
      <c r="B192" s="94"/>
      <c r="C192" s="95">
        <f>COUNT(D238:D241)*8</f>
        <v>32</v>
      </c>
      <c r="D192" s="96"/>
      <c r="E192" s="97">
        <f>SUM(D238:D241)*8</f>
        <v>13395.582719999999</v>
      </c>
      <c r="F192" s="98"/>
      <c r="G192" s="97">
        <f>SUM(F238:F241)</f>
        <v>2511.6717599999997</v>
      </c>
      <c r="H192" s="98"/>
    </row>
    <row r="193" spans="1:16" s="1" customFormat="1" x14ac:dyDescent="0.35">
      <c r="A193" s="93" t="s">
        <v>208</v>
      </c>
      <c r="B193" s="94"/>
      <c r="C193" s="95">
        <f>COUNT(D245:D248)*8</f>
        <v>32</v>
      </c>
      <c r="D193" s="96"/>
      <c r="E193" s="97">
        <f>SUM(D245:D248)*8</f>
        <v>13395.582719999999</v>
      </c>
      <c r="F193" s="98"/>
      <c r="G193" s="97">
        <f>SUM(F245:F248)</f>
        <v>2511.6717599999997</v>
      </c>
      <c r="H193" s="98"/>
    </row>
    <row r="194" spans="1:16" s="1" customFormat="1" x14ac:dyDescent="0.35">
      <c r="A194" s="93" t="s">
        <v>209</v>
      </c>
      <c r="B194" s="94"/>
      <c r="C194" s="95">
        <f>COUNT(D252:D255)*8</f>
        <v>32</v>
      </c>
      <c r="D194" s="96"/>
      <c r="E194" s="97">
        <f>SUM(D252:D255)*8</f>
        <v>14971.432319999998</v>
      </c>
      <c r="F194" s="98"/>
      <c r="G194" s="97">
        <f>SUM(F252:F255)</f>
        <v>2807.1435599999995</v>
      </c>
      <c r="H194" s="98"/>
    </row>
    <row r="195" spans="1:16" s="1" customFormat="1" x14ac:dyDescent="0.35">
      <c r="A195" s="153" t="s">
        <v>64</v>
      </c>
      <c r="B195" s="155"/>
      <c r="C195" s="177">
        <f>COUNT(D203:D206,D210:D213,D217:D220,D224:D227,D231:D234,D238:D241,D245:D248,D252:D255)*8</f>
        <v>256</v>
      </c>
      <c r="D195" s="150"/>
      <c r="E195" s="178">
        <f>SUM(D203:D206,D210:D213,D217:D220,D224:D227,D231:D234,D238:D241,D245:D248,D252:D255)*8</f>
        <v>115254.02304</v>
      </c>
      <c r="F195" s="148"/>
      <c r="G195" s="178">
        <f>SUM(F203:F206,F210:F213,F217:F220,F224:F227,F231:F234,F238:F241,F245:F248,F252:F255)</f>
        <v>21610.129320000007</v>
      </c>
      <c r="H195" s="148"/>
    </row>
    <row r="196" spans="1:16" s="9" customFormat="1" x14ac:dyDescent="0.35">
      <c r="A196" s="107" t="s">
        <v>65</v>
      </c>
      <c r="B196" s="107"/>
      <c r="C196" s="107"/>
      <c r="D196" s="107"/>
      <c r="E196" s="107"/>
      <c r="F196" s="107"/>
      <c r="G196" s="107"/>
      <c r="H196" s="107"/>
    </row>
    <row r="197" spans="1:16" s="2" customFormat="1" x14ac:dyDescent="0.35">
      <c r="A197" s="108"/>
      <c r="B197" s="157"/>
      <c r="C197" s="157"/>
      <c r="D197" s="157"/>
      <c r="E197" s="157"/>
      <c r="F197" s="157"/>
      <c r="G197" s="157"/>
      <c r="H197" s="109"/>
      <c r="I197" s="37"/>
      <c r="N197" s="37"/>
    </row>
    <row r="198" spans="1:16" ht="47.25" customHeight="1" x14ac:dyDescent="0.35">
      <c r="A198" s="125" t="s">
        <v>157</v>
      </c>
      <c r="B198" s="125" t="s">
        <v>158</v>
      </c>
      <c r="C198" s="121" t="s">
        <v>66</v>
      </c>
      <c r="D198" s="121" t="s">
        <v>67</v>
      </c>
      <c r="E198" s="123" t="s">
        <v>68</v>
      </c>
      <c r="F198" s="38" t="s">
        <v>156</v>
      </c>
      <c r="G198" s="125" t="s">
        <v>69</v>
      </c>
      <c r="H198" s="126"/>
      <c r="I198" s="37"/>
    </row>
    <row r="199" spans="1:16" s="2" customFormat="1" x14ac:dyDescent="0.35">
      <c r="A199" s="127"/>
      <c r="B199" s="127"/>
      <c r="C199" s="122"/>
      <c r="D199" s="122"/>
      <c r="E199" s="124"/>
      <c r="F199" s="36">
        <v>0.5</v>
      </c>
      <c r="G199" s="127"/>
      <c r="H199" s="128"/>
      <c r="I199" s="37"/>
    </row>
    <row r="200" spans="1:16" s="2" customFormat="1" x14ac:dyDescent="0.35">
      <c r="A200" s="104" t="s">
        <v>202</v>
      </c>
      <c r="B200" s="105"/>
      <c r="C200" s="105"/>
      <c r="D200" s="105"/>
      <c r="E200" s="105"/>
      <c r="F200" s="105"/>
      <c r="G200" s="105"/>
      <c r="H200" s="106"/>
      <c r="I200" s="37"/>
      <c r="N200" s="37"/>
    </row>
    <row r="201" spans="1:16" s="9" customFormat="1" x14ac:dyDescent="0.35">
      <c r="A201" s="107" t="s">
        <v>193</v>
      </c>
      <c r="B201" s="107"/>
      <c r="C201" s="107"/>
      <c r="D201" s="107"/>
      <c r="E201" s="107"/>
      <c r="F201" s="107"/>
      <c r="G201" s="107"/>
      <c r="H201" s="107"/>
    </row>
    <row r="202" spans="1:16" s="2" customFormat="1" ht="15.75" customHeight="1" x14ac:dyDescent="0.35">
      <c r="A202" s="104" t="s">
        <v>194</v>
      </c>
      <c r="B202" s="105"/>
      <c r="C202" s="105"/>
      <c r="D202" s="105"/>
      <c r="E202" s="105"/>
      <c r="F202" s="105"/>
      <c r="G202" s="105"/>
      <c r="H202" s="106"/>
      <c r="I202" s="37"/>
    </row>
    <row r="203" spans="1:16" s="2" customFormat="1" ht="15.75" customHeight="1" x14ac:dyDescent="0.35">
      <c r="A203" s="108">
        <v>1</v>
      </c>
      <c r="B203" s="109"/>
      <c r="C203" s="20" t="s">
        <v>195</v>
      </c>
      <c r="D203" s="20">
        <f>(44.58+1.75*1.1+2.2*1.1)*10.764</f>
        <v>526.62869999999998</v>
      </c>
      <c r="E203" s="20">
        <v>0</v>
      </c>
      <c r="F203" s="20">
        <f>D203*(($F$199)+1)+E203</f>
        <v>789.94304999999997</v>
      </c>
      <c r="G203" s="110" t="str">
        <f>A202</f>
        <v>Ground, 1st, 2nd, 3rd, 4th, 5th, 6th, 7th Floor</v>
      </c>
      <c r="H203" s="111"/>
      <c r="I203" s="37">
        <f>2969000/F203</f>
        <v>3758.4987930459038</v>
      </c>
      <c r="N203" s="2" t="str">
        <f t="shared" ref="N203:N206" ca="1" si="0">O203&amp;""&amp;",..,"&amp;""&amp;P203</f>
        <v>1,..,701</v>
      </c>
      <c r="O203" s="2">
        <f ca="1">(SUMPRODUCT(MID(0&amp;(LEFT(A202,SUM(LEN(A202)-LEN(SUBSTITUTE(A202,{"0","1","2"},""))))), LARGE(INDEX(ISNUMBER(--MID((LEFT(A202,SUM(LEN(A202)-LEN(SUBSTITUTE(A202,{"0","1","2"},""))))), ROW(INDIRECT("1:"&amp;LEN((LEFT(A202,SUM(LEN(A202)-LEN(SUBSTITUTE(A202,{"0","1","2"},"")))))))), 1)) * ROW(INDIRECT("1:"&amp;LEN((LEFT(A202,SUM(LEN(A202)-LEN(SUBSTITUTE(A202,{"0","1","2"},"")))))))), 0), ROW(INDIRECT("1:"&amp;LEN((LEFT(A202,SUM(LEN(A202)-LEN(SUBSTITUTE(A202,{"0","1","2"},"")))))))))+1, 1) * 10^ROW(INDIRECT("1:"&amp;LEN((LEFT(A202,SUM(LEN(A202)-LEN(SUBSTITUTE(A202,{"0","1","2"},""))))))))/10))*100+1</f>
        <v>1</v>
      </c>
      <c r="P203" s="2">
        <f ca="1">(SUMPRODUCT(MID(0&amp;(--TRIM(RIGHT(SUBSTITUTE(LEFT(A202,_xlfn.AGGREGATE(16,6,FIND({0,1,2,3,4,5,6,7,8,9},A202,ROW(INDIRECT("1:"&amp;LEN(A202)))),1))," ",REPT(" ",LEN(A202))),LEN(A202)))), LARGE(INDEX(ISNUMBER(--MID((--TRIM(RIGHT(SUBSTITUTE(LEFT(A202,_xlfn.AGGREGATE(16,6,FIND({0,1,2,3,4,5,6,7,8,9},A202,ROW(INDIRECT("1:"&amp;LEN(A202)))),1))," ",REPT(" ",LEN(A202))),LEN(A202)))), ROW(INDIRECT("1:"&amp;LEN((--TRIM(RIGHT(SUBSTITUTE(LEFT(A202,_xlfn.AGGREGATE(16,6,FIND({0,1,2,3,4,5,6,7,8,9},A202,ROW(INDIRECT("1:"&amp;LEN(A202)))),1))," ",REPT(" ",LEN(A202))),LEN(A202))))))), 1)) * ROW(INDIRECT("1:"&amp;LEN((--TRIM(RIGHT(SUBSTITUTE(LEFT(A202,_xlfn.AGGREGATE(16,6,FIND({0,1,2,3,4,5,6,7,8,9},A202,ROW(INDIRECT("1:"&amp;LEN(A202)))),1))," ",REPT(" ",LEN(A202))),LEN(A202))))))), 0), ROW(INDIRECT("1:"&amp;LEN((--TRIM(RIGHT(SUBSTITUTE(LEFT(A202,_xlfn.AGGREGATE(16,6,FIND({0,1,2,3,4,5,6,7,8,9},A202,ROW(INDIRECT("1:"&amp;LEN(A202)))),1))," ",REPT(" ",LEN(A202))),LEN(A202))))))))+1, 1) * 10^ROW(INDIRECT("1:"&amp;LEN((--TRIM(RIGHT(SUBSTITUTE(LEFT(A202,_xlfn.AGGREGATE(16,6,FIND({0,1,2,3,4,5,6,7,8,9},A202,ROW(INDIRECT("1:"&amp;LEN(A202)))),1))," ",REPT(" ",LEN(A202))),LEN(A202)))))))/10))*100+1</f>
        <v>701</v>
      </c>
    </row>
    <row r="204" spans="1:16" s="2" customFormat="1" ht="15.75" customHeight="1" x14ac:dyDescent="0.35">
      <c r="A204" s="108">
        <v>2</v>
      </c>
      <c r="B204" s="109"/>
      <c r="C204" s="20" t="s">
        <v>196</v>
      </c>
      <c r="D204" s="20">
        <f>(34.83+2.2*1.1+1.75*1.1)*10.764</f>
        <v>421.67969999999997</v>
      </c>
      <c r="E204" s="20">
        <v>0</v>
      </c>
      <c r="F204" s="20">
        <f>D204*(($F$199)+1)+E204</f>
        <v>632.51954999999998</v>
      </c>
      <c r="G204" s="112"/>
      <c r="H204" s="113"/>
      <c r="I204" s="37"/>
      <c r="N204" s="2" t="str">
        <f t="shared" ca="1" si="0"/>
        <v>2,..,702</v>
      </c>
      <c r="O204" s="2">
        <f t="shared" ref="O204:P206" ca="1" si="1">O203+1</f>
        <v>2</v>
      </c>
      <c r="P204" s="2">
        <f t="shared" ca="1" si="1"/>
        <v>702</v>
      </c>
    </row>
    <row r="205" spans="1:16" s="2" customFormat="1" ht="15.75" customHeight="1" x14ac:dyDescent="0.35">
      <c r="A205" s="108">
        <v>3</v>
      </c>
      <c r="B205" s="109"/>
      <c r="C205" s="20" t="s">
        <v>196</v>
      </c>
      <c r="D205" s="20">
        <f>(34.83+2.2*1.1+1.75*1.1)*10.764</f>
        <v>421.67969999999997</v>
      </c>
      <c r="E205" s="20">
        <v>0</v>
      </c>
      <c r="F205" s="20">
        <f>D205*(($F$199)+1)+E205</f>
        <v>632.51954999999998</v>
      </c>
      <c r="G205" s="112"/>
      <c r="H205" s="113"/>
      <c r="I205" s="37"/>
      <c r="N205" s="2" t="str">
        <f t="shared" ca="1" si="0"/>
        <v>3,..,703</v>
      </c>
      <c r="O205" s="2">
        <f t="shared" ca="1" si="1"/>
        <v>3</v>
      </c>
      <c r="P205" s="2">
        <f t="shared" ca="1" si="1"/>
        <v>703</v>
      </c>
    </row>
    <row r="206" spans="1:16" s="2" customFormat="1" ht="15.75" customHeight="1" x14ac:dyDescent="0.35">
      <c r="A206" s="108">
        <v>4</v>
      </c>
      <c r="B206" s="109"/>
      <c r="C206" s="20" t="s">
        <v>195</v>
      </c>
      <c r="D206" s="20">
        <f t="shared" ref="D206" si="2">(44.58+1.75*1.1+2.2*1.1)*10.764</f>
        <v>526.62869999999998</v>
      </c>
      <c r="E206" s="20">
        <v>0</v>
      </c>
      <c r="F206" s="20">
        <f>D206*(($F$199)+1)+E206</f>
        <v>789.94304999999997</v>
      </c>
      <c r="G206" s="114"/>
      <c r="H206" s="115"/>
      <c r="I206" s="37"/>
      <c r="N206" s="2" t="str">
        <f t="shared" ca="1" si="0"/>
        <v>4,..,704</v>
      </c>
      <c r="O206" s="2">
        <f t="shared" ca="1" si="1"/>
        <v>4</v>
      </c>
      <c r="P206" s="2">
        <f t="shared" ca="1" si="1"/>
        <v>704</v>
      </c>
    </row>
    <row r="207" spans="1:16" s="2" customFormat="1" x14ac:dyDescent="0.35">
      <c r="A207" s="104" t="s">
        <v>203</v>
      </c>
      <c r="B207" s="105"/>
      <c r="C207" s="105"/>
      <c r="D207" s="105"/>
      <c r="E207" s="105"/>
      <c r="F207" s="105"/>
      <c r="G207" s="105"/>
      <c r="H207" s="106"/>
      <c r="I207" s="37"/>
      <c r="N207" s="37"/>
    </row>
    <row r="208" spans="1:16" s="9" customFormat="1" x14ac:dyDescent="0.35">
      <c r="A208" s="107" t="s">
        <v>193</v>
      </c>
      <c r="B208" s="107"/>
      <c r="C208" s="107"/>
      <c r="D208" s="107"/>
      <c r="E208" s="107"/>
      <c r="F208" s="107"/>
      <c r="G208" s="107"/>
      <c r="H208" s="107"/>
    </row>
    <row r="209" spans="1:16" s="2" customFormat="1" ht="15.75" customHeight="1" x14ac:dyDescent="0.35">
      <c r="A209" s="104" t="s">
        <v>194</v>
      </c>
      <c r="B209" s="105"/>
      <c r="C209" s="105"/>
      <c r="D209" s="105"/>
      <c r="E209" s="105"/>
      <c r="F209" s="105"/>
      <c r="G209" s="105"/>
      <c r="H209" s="106"/>
      <c r="I209" s="37"/>
    </row>
    <row r="210" spans="1:16" s="2" customFormat="1" ht="15.75" customHeight="1" x14ac:dyDescent="0.35">
      <c r="A210" s="108">
        <v>1</v>
      </c>
      <c r="B210" s="109"/>
      <c r="C210" s="20" t="s">
        <v>196</v>
      </c>
      <c r="D210" s="20">
        <f>(34.26+1.75*1.1+2.2*1.1)*10.764</f>
        <v>415.54421999999994</v>
      </c>
      <c r="E210" s="20">
        <v>0</v>
      </c>
      <c r="F210" s="20">
        <f t="shared" ref="F210:F213" si="3">D210*(($F$199)+1)+E210</f>
        <v>623.31632999999988</v>
      </c>
      <c r="G210" s="110" t="str">
        <f>A209</f>
        <v>Ground, 1st, 2nd, 3rd, 4th, 5th, 6th, 7th Floor</v>
      </c>
      <c r="H210" s="111"/>
      <c r="I210" s="37"/>
      <c r="N210" s="2" t="str">
        <f t="shared" ref="N210:N213" ca="1" si="4">O210&amp;""&amp;",..,"&amp;""&amp;P210</f>
        <v>1,..,701</v>
      </c>
      <c r="O210" s="2">
        <f ca="1">(SUMPRODUCT(MID(0&amp;(LEFT(A209,SUM(LEN(A209)-LEN(SUBSTITUTE(A209,{"0","1","2"},""))))), LARGE(INDEX(ISNUMBER(--MID((LEFT(A209,SUM(LEN(A209)-LEN(SUBSTITUTE(A209,{"0","1","2"},""))))), ROW(INDIRECT("1:"&amp;LEN((LEFT(A209,SUM(LEN(A209)-LEN(SUBSTITUTE(A209,{"0","1","2"},"")))))))), 1)) * ROW(INDIRECT("1:"&amp;LEN((LEFT(A209,SUM(LEN(A209)-LEN(SUBSTITUTE(A209,{"0","1","2"},"")))))))), 0), ROW(INDIRECT("1:"&amp;LEN((LEFT(A209,SUM(LEN(A209)-LEN(SUBSTITUTE(A209,{"0","1","2"},"")))))))))+1, 1) * 10^ROW(INDIRECT("1:"&amp;LEN((LEFT(A209,SUM(LEN(A209)-LEN(SUBSTITUTE(A209,{"0","1","2"},""))))))))/10))*100+1</f>
        <v>1</v>
      </c>
      <c r="P210" s="2">
        <f ca="1">(SUMPRODUCT(MID(0&amp;(--TRIM(RIGHT(SUBSTITUTE(LEFT(A209,_xlfn.AGGREGATE(16,6,FIND({0,1,2,3,4,5,6,7,8,9},A209,ROW(INDIRECT("1:"&amp;LEN(A209)))),1))," ",REPT(" ",LEN(A209))),LEN(A209)))), LARGE(INDEX(ISNUMBER(--MID((--TRIM(RIGHT(SUBSTITUTE(LEFT(A209,_xlfn.AGGREGATE(16,6,FIND({0,1,2,3,4,5,6,7,8,9},A209,ROW(INDIRECT("1:"&amp;LEN(A209)))),1))," ",REPT(" ",LEN(A209))),LEN(A209)))), ROW(INDIRECT("1:"&amp;LEN((--TRIM(RIGHT(SUBSTITUTE(LEFT(A209,_xlfn.AGGREGATE(16,6,FIND({0,1,2,3,4,5,6,7,8,9},A209,ROW(INDIRECT("1:"&amp;LEN(A209)))),1))," ",REPT(" ",LEN(A209))),LEN(A209))))))), 1)) * ROW(INDIRECT("1:"&amp;LEN((--TRIM(RIGHT(SUBSTITUTE(LEFT(A209,_xlfn.AGGREGATE(16,6,FIND({0,1,2,3,4,5,6,7,8,9},A209,ROW(INDIRECT("1:"&amp;LEN(A209)))),1))," ",REPT(" ",LEN(A209))),LEN(A209))))))), 0), ROW(INDIRECT("1:"&amp;LEN((--TRIM(RIGHT(SUBSTITUTE(LEFT(A209,_xlfn.AGGREGATE(16,6,FIND({0,1,2,3,4,5,6,7,8,9},A209,ROW(INDIRECT("1:"&amp;LEN(A209)))),1))," ",REPT(" ",LEN(A209))),LEN(A209))))))))+1, 1) * 10^ROW(INDIRECT("1:"&amp;LEN((--TRIM(RIGHT(SUBSTITUTE(LEFT(A209,_xlfn.AGGREGATE(16,6,FIND({0,1,2,3,4,5,6,7,8,9},A209,ROW(INDIRECT("1:"&amp;LEN(A209)))),1))," ",REPT(" ",LEN(A209))),LEN(A209)))))))/10))*100+1</f>
        <v>701</v>
      </c>
    </row>
    <row r="211" spans="1:16" s="2" customFormat="1" ht="15.75" customHeight="1" x14ac:dyDescent="0.35">
      <c r="A211" s="108">
        <v>2</v>
      </c>
      <c r="B211" s="109"/>
      <c r="C211" s="20" t="s">
        <v>196</v>
      </c>
      <c r="D211" s="20">
        <f>(34.83+2.2*1.1+1.75*1.1)*10.764</f>
        <v>421.67969999999997</v>
      </c>
      <c r="E211" s="20">
        <v>0</v>
      </c>
      <c r="F211" s="20">
        <f t="shared" si="3"/>
        <v>632.51954999999998</v>
      </c>
      <c r="G211" s="112"/>
      <c r="H211" s="113"/>
      <c r="I211" s="37"/>
      <c r="N211" s="2" t="str">
        <f t="shared" ca="1" si="4"/>
        <v>2,..,702</v>
      </c>
      <c r="O211" s="2">
        <f t="shared" ref="O211:P211" ca="1" si="5">O210+1</f>
        <v>2</v>
      </c>
      <c r="P211" s="2">
        <f t="shared" ca="1" si="5"/>
        <v>702</v>
      </c>
    </row>
    <row r="212" spans="1:16" s="2" customFormat="1" ht="15.75" customHeight="1" x14ac:dyDescent="0.35">
      <c r="A212" s="108">
        <v>3</v>
      </c>
      <c r="B212" s="109"/>
      <c r="C212" s="20" t="s">
        <v>196</v>
      </c>
      <c r="D212" s="20">
        <f>(34.83+2.2*1.1+1.75*1.1)*10.764</f>
        <v>421.67969999999997</v>
      </c>
      <c r="E212" s="20">
        <v>0</v>
      </c>
      <c r="F212" s="20">
        <f t="shared" si="3"/>
        <v>632.51954999999998</v>
      </c>
      <c r="G212" s="112"/>
      <c r="H212" s="113"/>
      <c r="I212" s="37"/>
      <c r="N212" s="2" t="str">
        <f t="shared" ca="1" si="4"/>
        <v>3,..,703</v>
      </c>
      <c r="O212" s="2">
        <f t="shared" ref="O212:P212" ca="1" si="6">O211+1</f>
        <v>3</v>
      </c>
      <c r="P212" s="2">
        <f t="shared" ca="1" si="6"/>
        <v>703</v>
      </c>
    </row>
    <row r="213" spans="1:16" s="2" customFormat="1" ht="15.75" customHeight="1" x14ac:dyDescent="0.35">
      <c r="A213" s="108">
        <v>4</v>
      </c>
      <c r="B213" s="109"/>
      <c r="C213" s="20" t="s">
        <v>196</v>
      </c>
      <c r="D213" s="20">
        <f>(34.26+1.75*1.1+2.2*1.1)*10.764</f>
        <v>415.54421999999994</v>
      </c>
      <c r="E213" s="20">
        <v>0</v>
      </c>
      <c r="F213" s="20">
        <f t="shared" si="3"/>
        <v>623.31632999999988</v>
      </c>
      <c r="G213" s="114"/>
      <c r="H213" s="115"/>
      <c r="I213" s="37"/>
      <c r="N213" s="2" t="str">
        <f t="shared" ca="1" si="4"/>
        <v>4,..,704</v>
      </c>
      <c r="O213" s="2">
        <f t="shared" ref="O213:P213" ca="1" si="7">O212+1</f>
        <v>4</v>
      </c>
      <c r="P213" s="2">
        <f t="shared" ca="1" si="7"/>
        <v>704</v>
      </c>
    </row>
    <row r="214" spans="1:16" s="2" customFormat="1" x14ac:dyDescent="0.35">
      <c r="A214" s="104" t="s">
        <v>204</v>
      </c>
      <c r="B214" s="105"/>
      <c r="C214" s="105"/>
      <c r="D214" s="105"/>
      <c r="E214" s="105"/>
      <c r="F214" s="105"/>
      <c r="G214" s="105"/>
      <c r="H214" s="106"/>
      <c r="I214" s="37"/>
      <c r="N214" s="37"/>
    </row>
    <row r="215" spans="1:16" s="9" customFormat="1" x14ac:dyDescent="0.35">
      <c r="A215" s="107" t="s">
        <v>193</v>
      </c>
      <c r="B215" s="107"/>
      <c r="C215" s="107"/>
      <c r="D215" s="107"/>
      <c r="E215" s="107"/>
      <c r="F215" s="107"/>
      <c r="G215" s="107"/>
      <c r="H215" s="107"/>
    </row>
    <row r="216" spans="1:16" s="2" customFormat="1" ht="15.75" customHeight="1" x14ac:dyDescent="0.35">
      <c r="A216" s="104" t="s">
        <v>194</v>
      </c>
      <c r="B216" s="105"/>
      <c r="C216" s="105"/>
      <c r="D216" s="105"/>
      <c r="E216" s="105"/>
      <c r="F216" s="105"/>
      <c r="G216" s="105"/>
      <c r="H216" s="106"/>
      <c r="I216" s="37"/>
    </row>
    <row r="217" spans="1:16" s="2" customFormat="1" ht="15.75" customHeight="1" x14ac:dyDescent="0.35">
      <c r="A217" s="108">
        <v>1</v>
      </c>
      <c r="B217" s="109"/>
      <c r="C217" s="20" t="s">
        <v>195</v>
      </c>
      <c r="D217" s="20">
        <f>(44.58+1.75*1.1+2.2*1.1)*10.764</f>
        <v>526.62869999999998</v>
      </c>
      <c r="E217" s="20">
        <v>0</v>
      </c>
      <c r="F217" s="20">
        <f t="shared" ref="F217:F220" si="8">D217*(($F$199)+1)+E217</f>
        <v>789.94304999999997</v>
      </c>
      <c r="G217" s="110" t="str">
        <f>A216</f>
        <v>Ground, 1st, 2nd, 3rd, 4th, 5th, 6th, 7th Floor</v>
      </c>
      <c r="H217" s="111"/>
      <c r="I217" s="37"/>
      <c r="N217" s="2" t="str">
        <f t="shared" ref="N217:N220" ca="1" si="9">O217&amp;""&amp;",..,"&amp;""&amp;P217</f>
        <v>1,..,701</v>
      </c>
      <c r="O217" s="2">
        <f ca="1">(SUMPRODUCT(MID(0&amp;(LEFT(A216,SUM(LEN(A216)-LEN(SUBSTITUTE(A216,{"0","1","2"},""))))), LARGE(INDEX(ISNUMBER(--MID((LEFT(A216,SUM(LEN(A216)-LEN(SUBSTITUTE(A216,{"0","1","2"},""))))), ROW(INDIRECT("1:"&amp;LEN((LEFT(A216,SUM(LEN(A216)-LEN(SUBSTITUTE(A216,{"0","1","2"},"")))))))), 1)) * ROW(INDIRECT("1:"&amp;LEN((LEFT(A216,SUM(LEN(A216)-LEN(SUBSTITUTE(A216,{"0","1","2"},"")))))))), 0), ROW(INDIRECT("1:"&amp;LEN((LEFT(A216,SUM(LEN(A216)-LEN(SUBSTITUTE(A216,{"0","1","2"},"")))))))))+1, 1) * 10^ROW(INDIRECT("1:"&amp;LEN((LEFT(A216,SUM(LEN(A216)-LEN(SUBSTITUTE(A216,{"0","1","2"},""))))))))/10))*100+1</f>
        <v>1</v>
      </c>
      <c r="P217" s="2">
        <f ca="1">(SUMPRODUCT(MID(0&amp;(--TRIM(RIGHT(SUBSTITUTE(LEFT(A216,_xlfn.AGGREGATE(16,6,FIND({0,1,2,3,4,5,6,7,8,9},A216,ROW(INDIRECT("1:"&amp;LEN(A216)))),1))," ",REPT(" ",LEN(A216))),LEN(A216)))), LARGE(INDEX(ISNUMBER(--MID((--TRIM(RIGHT(SUBSTITUTE(LEFT(A216,_xlfn.AGGREGATE(16,6,FIND({0,1,2,3,4,5,6,7,8,9},A216,ROW(INDIRECT("1:"&amp;LEN(A216)))),1))," ",REPT(" ",LEN(A216))),LEN(A216)))), ROW(INDIRECT("1:"&amp;LEN((--TRIM(RIGHT(SUBSTITUTE(LEFT(A216,_xlfn.AGGREGATE(16,6,FIND({0,1,2,3,4,5,6,7,8,9},A216,ROW(INDIRECT("1:"&amp;LEN(A216)))),1))," ",REPT(" ",LEN(A216))),LEN(A216))))))), 1)) * ROW(INDIRECT("1:"&amp;LEN((--TRIM(RIGHT(SUBSTITUTE(LEFT(A216,_xlfn.AGGREGATE(16,6,FIND({0,1,2,3,4,5,6,7,8,9},A216,ROW(INDIRECT("1:"&amp;LEN(A216)))),1))," ",REPT(" ",LEN(A216))),LEN(A216))))))), 0), ROW(INDIRECT("1:"&amp;LEN((--TRIM(RIGHT(SUBSTITUTE(LEFT(A216,_xlfn.AGGREGATE(16,6,FIND({0,1,2,3,4,5,6,7,8,9},A216,ROW(INDIRECT("1:"&amp;LEN(A216)))),1))," ",REPT(" ",LEN(A216))),LEN(A216))))))))+1, 1) * 10^ROW(INDIRECT("1:"&amp;LEN((--TRIM(RIGHT(SUBSTITUTE(LEFT(A216,_xlfn.AGGREGATE(16,6,FIND({0,1,2,3,4,5,6,7,8,9},A216,ROW(INDIRECT("1:"&amp;LEN(A216)))),1))," ",REPT(" ",LEN(A216))),LEN(A216)))))))/10))*100+1</f>
        <v>701</v>
      </c>
    </row>
    <row r="218" spans="1:16" s="2" customFormat="1" ht="15.75" customHeight="1" x14ac:dyDescent="0.35">
      <c r="A218" s="108">
        <v>2</v>
      </c>
      <c r="B218" s="109"/>
      <c r="C218" s="20" t="s">
        <v>196</v>
      </c>
      <c r="D218" s="20">
        <f>(34.83+2.2*1.1+1.75*1.1)*10.764</f>
        <v>421.67969999999997</v>
      </c>
      <c r="E218" s="20">
        <v>0</v>
      </c>
      <c r="F218" s="20">
        <f t="shared" si="8"/>
        <v>632.51954999999998</v>
      </c>
      <c r="G218" s="112"/>
      <c r="H218" s="113"/>
      <c r="I218" s="37"/>
      <c r="N218" s="2" t="str">
        <f t="shared" ca="1" si="9"/>
        <v>2,..,702</v>
      </c>
      <c r="O218" s="2">
        <f t="shared" ref="O218:P218" ca="1" si="10">O217+1</f>
        <v>2</v>
      </c>
      <c r="P218" s="2">
        <f t="shared" ca="1" si="10"/>
        <v>702</v>
      </c>
    </row>
    <row r="219" spans="1:16" s="2" customFormat="1" ht="15.75" customHeight="1" x14ac:dyDescent="0.35">
      <c r="A219" s="108">
        <v>3</v>
      </c>
      <c r="B219" s="109"/>
      <c r="C219" s="20" t="s">
        <v>196</v>
      </c>
      <c r="D219" s="20">
        <f>(34.83+2.2*1.1+1.75*1.1)*10.764</f>
        <v>421.67969999999997</v>
      </c>
      <c r="E219" s="20">
        <v>0</v>
      </c>
      <c r="F219" s="20">
        <f t="shared" si="8"/>
        <v>632.51954999999998</v>
      </c>
      <c r="G219" s="112"/>
      <c r="H219" s="113"/>
      <c r="I219" s="37"/>
      <c r="N219" s="2" t="str">
        <f t="shared" ca="1" si="9"/>
        <v>3,..,703</v>
      </c>
      <c r="O219" s="2">
        <f t="shared" ref="O219:P219" ca="1" si="11">O218+1</f>
        <v>3</v>
      </c>
      <c r="P219" s="2">
        <f t="shared" ca="1" si="11"/>
        <v>703</v>
      </c>
    </row>
    <row r="220" spans="1:16" s="2" customFormat="1" ht="15.75" customHeight="1" x14ac:dyDescent="0.35">
      <c r="A220" s="108">
        <v>4</v>
      </c>
      <c r="B220" s="109"/>
      <c r="C220" s="20" t="s">
        <v>195</v>
      </c>
      <c r="D220" s="20">
        <f t="shared" ref="D220" si="12">(44.58+1.75*1.1+2.2*1.1)*10.764</f>
        <v>526.62869999999998</v>
      </c>
      <c r="E220" s="20">
        <v>0</v>
      </c>
      <c r="F220" s="20">
        <f t="shared" si="8"/>
        <v>789.94304999999997</v>
      </c>
      <c r="G220" s="114"/>
      <c r="H220" s="115"/>
      <c r="I220" s="37"/>
      <c r="N220" s="2" t="str">
        <f t="shared" ca="1" si="9"/>
        <v>4,..,704</v>
      </c>
      <c r="O220" s="2">
        <f t="shared" ref="O220:P220" ca="1" si="13">O219+1</f>
        <v>4</v>
      </c>
      <c r="P220" s="2">
        <f t="shared" ca="1" si="13"/>
        <v>704</v>
      </c>
    </row>
    <row r="221" spans="1:16" s="2" customFormat="1" x14ac:dyDescent="0.35">
      <c r="A221" s="179" t="s">
        <v>205</v>
      </c>
      <c r="B221" s="179"/>
      <c r="C221" s="179"/>
      <c r="D221" s="179"/>
      <c r="E221" s="179"/>
      <c r="F221" s="179"/>
      <c r="G221" s="179"/>
      <c r="H221" s="179"/>
      <c r="I221" s="37"/>
      <c r="N221" s="37"/>
    </row>
    <row r="222" spans="1:16" s="9" customFormat="1" x14ac:dyDescent="0.35">
      <c r="A222" s="107" t="s">
        <v>193</v>
      </c>
      <c r="B222" s="107"/>
      <c r="C222" s="107"/>
      <c r="D222" s="107"/>
      <c r="E222" s="107"/>
      <c r="F222" s="107"/>
      <c r="G222" s="107"/>
      <c r="H222" s="107"/>
    </row>
    <row r="223" spans="1:16" s="2" customFormat="1" ht="15.75" customHeight="1" x14ac:dyDescent="0.35">
      <c r="A223" s="179" t="s">
        <v>194</v>
      </c>
      <c r="B223" s="179"/>
      <c r="C223" s="179"/>
      <c r="D223" s="179"/>
      <c r="E223" s="179"/>
      <c r="F223" s="179"/>
      <c r="G223" s="179"/>
      <c r="H223" s="179"/>
      <c r="I223" s="37"/>
    </row>
    <row r="224" spans="1:16" s="2" customFormat="1" ht="15.75" customHeight="1" x14ac:dyDescent="0.35">
      <c r="A224" s="180">
        <v>1</v>
      </c>
      <c r="B224" s="180"/>
      <c r="C224" s="20" t="s">
        <v>195</v>
      </c>
      <c r="D224" s="20">
        <f>(44.66)*10.764</f>
        <v>480.72023999999993</v>
      </c>
      <c r="E224" s="20">
        <v>0</v>
      </c>
      <c r="F224" s="20">
        <f t="shared" ref="F224:F227" si="14">D224*(($F$199)+1)+E224</f>
        <v>721.08035999999993</v>
      </c>
      <c r="G224" s="180" t="str">
        <f>A223</f>
        <v>Ground, 1st, 2nd, 3rd, 4th, 5th, 6th, 7th Floor</v>
      </c>
      <c r="H224" s="180"/>
      <c r="I224" s="37">
        <f>2929000/F224</f>
        <v>4061.9605836997143</v>
      </c>
      <c r="N224" s="2" t="str">
        <f t="shared" ref="N224:N227" ca="1" si="15">O224&amp;""&amp;",..,"&amp;""&amp;P224</f>
        <v>1,..,701</v>
      </c>
      <c r="O224" s="2">
        <f ca="1">(SUMPRODUCT(MID(0&amp;(LEFT(A223,SUM(LEN(A223)-LEN(SUBSTITUTE(A223,{"0","1","2"},""))))), LARGE(INDEX(ISNUMBER(--MID((LEFT(A223,SUM(LEN(A223)-LEN(SUBSTITUTE(A223,{"0","1","2"},""))))), ROW(INDIRECT("1:"&amp;LEN((LEFT(A223,SUM(LEN(A223)-LEN(SUBSTITUTE(A223,{"0","1","2"},"")))))))), 1)) * ROW(INDIRECT("1:"&amp;LEN((LEFT(A223,SUM(LEN(A223)-LEN(SUBSTITUTE(A223,{"0","1","2"},"")))))))), 0), ROW(INDIRECT("1:"&amp;LEN((LEFT(A223,SUM(LEN(A223)-LEN(SUBSTITUTE(A223,{"0","1","2"},"")))))))))+1, 1) * 10^ROW(INDIRECT("1:"&amp;LEN((LEFT(A223,SUM(LEN(A223)-LEN(SUBSTITUTE(A223,{"0","1","2"},""))))))))/10))*100+1</f>
        <v>1</v>
      </c>
      <c r="P224" s="2">
        <f ca="1">(SUMPRODUCT(MID(0&amp;(--TRIM(RIGHT(SUBSTITUTE(LEFT(A223,_xlfn.AGGREGATE(16,6,FIND({0,1,2,3,4,5,6,7,8,9},A223,ROW(INDIRECT("1:"&amp;LEN(A223)))),1))," ",REPT(" ",LEN(A223))),LEN(A223)))), LARGE(INDEX(ISNUMBER(--MID((--TRIM(RIGHT(SUBSTITUTE(LEFT(A223,_xlfn.AGGREGATE(16,6,FIND({0,1,2,3,4,5,6,7,8,9},A223,ROW(INDIRECT("1:"&amp;LEN(A223)))),1))," ",REPT(" ",LEN(A223))),LEN(A223)))), ROW(INDIRECT("1:"&amp;LEN((--TRIM(RIGHT(SUBSTITUTE(LEFT(A223,_xlfn.AGGREGATE(16,6,FIND({0,1,2,3,4,5,6,7,8,9},A223,ROW(INDIRECT("1:"&amp;LEN(A223)))),1))," ",REPT(" ",LEN(A223))),LEN(A223))))))), 1)) * ROW(INDIRECT("1:"&amp;LEN((--TRIM(RIGHT(SUBSTITUTE(LEFT(A223,_xlfn.AGGREGATE(16,6,FIND({0,1,2,3,4,5,6,7,8,9},A223,ROW(INDIRECT("1:"&amp;LEN(A223)))),1))," ",REPT(" ",LEN(A223))),LEN(A223))))))), 0), ROW(INDIRECT("1:"&amp;LEN((--TRIM(RIGHT(SUBSTITUTE(LEFT(A223,_xlfn.AGGREGATE(16,6,FIND({0,1,2,3,4,5,6,7,8,9},A223,ROW(INDIRECT("1:"&amp;LEN(A223)))),1))," ",REPT(" ",LEN(A223))),LEN(A223))))))))+1, 1) * 10^ROW(INDIRECT("1:"&amp;LEN((--TRIM(RIGHT(SUBSTITUTE(LEFT(A223,_xlfn.AGGREGATE(16,6,FIND({0,1,2,3,4,5,6,7,8,9},A223,ROW(INDIRECT("1:"&amp;LEN(A223)))),1))," ",REPT(" ",LEN(A223))),LEN(A223)))))))/10))*100+1</f>
        <v>701</v>
      </c>
    </row>
    <row r="225" spans="1:16" s="2" customFormat="1" ht="15.75" customHeight="1" x14ac:dyDescent="0.35">
      <c r="A225" s="180">
        <v>2</v>
      </c>
      <c r="B225" s="180"/>
      <c r="C225" s="20" t="s">
        <v>195</v>
      </c>
      <c r="D225" s="20">
        <f>(45.23)*10.764</f>
        <v>486.85571999999996</v>
      </c>
      <c r="E225" s="20">
        <v>0</v>
      </c>
      <c r="F225" s="20">
        <f t="shared" si="14"/>
        <v>730.28357999999992</v>
      </c>
      <c r="G225" s="180"/>
      <c r="H225" s="180"/>
      <c r="I225" s="37">
        <f t="shared" ref="I225:I227" si="16">2929000/F225</f>
        <v>4010.7707200537088</v>
      </c>
      <c r="N225" s="2" t="str">
        <f t="shared" ca="1" si="15"/>
        <v>2,..,702</v>
      </c>
      <c r="O225" s="2">
        <f t="shared" ref="O225:P225" ca="1" si="17">O224+1</f>
        <v>2</v>
      </c>
      <c r="P225" s="2">
        <f t="shared" ca="1" si="17"/>
        <v>702</v>
      </c>
    </row>
    <row r="226" spans="1:16" s="2" customFormat="1" ht="15.75" customHeight="1" x14ac:dyDescent="0.35">
      <c r="A226" s="180">
        <v>3</v>
      </c>
      <c r="B226" s="180"/>
      <c r="C226" s="20" t="s">
        <v>195</v>
      </c>
      <c r="D226" s="20">
        <f>(45.23)*10.764</f>
        <v>486.85571999999996</v>
      </c>
      <c r="E226" s="20">
        <v>0</v>
      </c>
      <c r="F226" s="20">
        <f t="shared" si="14"/>
        <v>730.28357999999992</v>
      </c>
      <c r="G226" s="180"/>
      <c r="H226" s="180"/>
      <c r="I226" s="37">
        <f t="shared" si="16"/>
        <v>4010.7707200537088</v>
      </c>
      <c r="N226" s="2" t="str">
        <f t="shared" ca="1" si="15"/>
        <v>3,..,703</v>
      </c>
      <c r="O226" s="2">
        <f t="shared" ref="O226:P226" ca="1" si="18">O225+1</f>
        <v>3</v>
      </c>
      <c r="P226" s="2">
        <f t="shared" ca="1" si="18"/>
        <v>703</v>
      </c>
    </row>
    <row r="227" spans="1:16" s="2" customFormat="1" ht="15.75" customHeight="1" x14ac:dyDescent="0.35">
      <c r="A227" s="180">
        <v>4</v>
      </c>
      <c r="B227" s="180"/>
      <c r="C227" s="20" t="s">
        <v>195</v>
      </c>
      <c r="D227" s="20">
        <f>(44.66)*10.764</f>
        <v>480.72023999999993</v>
      </c>
      <c r="E227" s="20">
        <v>0</v>
      </c>
      <c r="F227" s="20">
        <f t="shared" si="14"/>
        <v>721.08035999999993</v>
      </c>
      <c r="G227" s="180"/>
      <c r="H227" s="180"/>
      <c r="I227" s="37">
        <f t="shared" si="16"/>
        <v>4061.9605836997143</v>
      </c>
      <c r="N227" s="2" t="str">
        <f t="shared" ca="1" si="15"/>
        <v>4,..,704</v>
      </c>
      <c r="O227" s="2">
        <f t="shared" ref="O227:P227" ca="1" si="19">O226+1</f>
        <v>4</v>
      </c>
      <c r="P227" s="2">
        <f t="shared" ca="1" si="19"/>
        <v>704</v>
      </c>
    </row>
    <row r="228" spans="1:16" s="2" customFormat="1" x14ac:dyDescent="0.35">
      <c r="A228" s="104" t="s">
        <v>206</v>
      </c>
      <c r="B228" s="105"/>
      <c r="C228" s="105"/>
      <c r="D228" s="105"/>
      <c r="E228" s="105"/>
      <c r="F228" s="105"/>
      <c r="G228" s="105"/>
      <c r="H228" s="106"/>
      <c r="I228" s="37"/>
      <c r="N228" s="37"/>
    </row>
    <row r="229" spans="1:16" s="9" customFormat="1" x14ac:dyDescent="0.35">
      <c r="A229" s="107" t="s">
        <v>193</v>
      </c>
      <c r="B229" s="107"/>
      <c r="C229" s="107"/>
      <c r="D229" s="107"/>
      <c r="E229" s="107"/>
      <c r="F229" s="107"/>
      <c r="G229" s="107"/>
      <c r="H229" s="107"/>
    </row>
    <row r="230" spans="1:16" s="2" customFormat="1" ht="15.75" customHeight="1" x14ac:dyDescent="0.35">
      <c r="A230" s="104" t="s">
        <v>194</v>
      </c>
      <c r="B230" s="105"/>
      <c r="C230" s="105"/>
      <c r="D230" s="105"/>
      <c r="E230" s="105"/>
      <c r="F230" s="105"/>
      <c r="G230" s="105"/>
      <c r="H230" s="106"/>
      <c r="I230" s="37"/>
    </row>
    <row r="231" spans="1:16" s="2" customFormat="1" ht="15.75" customHeight="1" x14ac:dyDescent="0.35">
      <c r="A231" s="108">
        <v>1</v>
      </c>
      <c r="B231" s="109"/>
      <c r="C231" s="20" t="s">
        <v>196</v>
      </c>
      <c r="D231" s="20">
        <f>(34.08+1.75*1.1+2.2*1.1)*10.764</f>
        <v>413.60669999999993</v>
      </c>
      <c r="E231" s="20">
        <v>0</v>
      </c>
      <c r="F231" s="20">
        <f t="shared" ref="F231:F234" si="20">D231*(($F$199)+1)+E231</f>
        <v>620.41004999999996</v>
      </c>
      <c r="G231" s="110" t="str">
        <f>A230</f>
        <v>Ground, 1st, 2nd, 3rd, 4th, 5th, 6th, 7th Floor</v>
      </c>
      <c r="H231" s="111"/>
      <c r="I231" s="37"/>
      <c r="N231" s="2" t="str">
        <f t="shared" ref="N231:N234" ca="1" si="21">O231&amp;""&amp;",..,"&amp;""&amp;P231</f>
        <v>1,..,701</v>
      </c>
      <c r="O231" s="2">
        <f ca="1">(SUMPRODUCT(MID(0&amp;(LEFT(A230,SUM(LEN(A230)-LEN(SUBSTITUTE(A230,{"0","1","2"},""))))), LARGE(INDEX(ISNUMBER(--MID((LEFT(A230,SUM(LEN(A230)-LEN(SUBSTITUTE(A230,{"0","1","2"},""))))), ROW(INDIRECT("1:"&amp;LEN((LEFT(A230,SUM(LEN(A230)-LEN(SUBSTITUTE(A230,{"0","1","2"},"")))))))), 1)) * ROW(INDIRECT("1:"&amp;LEN((LEFT(A230,SUM(LEN(A230)-LEN(SUBSTITUTE(A230,{"0","1","2"},"")))))))), 0), ROW(INDIRECT("1:"&amp;LEN((LEFT(A230,SUM(LEN(A230)-LEN(SUBSTITUTE(A230,{"0","1","2"},"")))))))))+1, 1) * 10^ROW(INDIRECT("1:"&amp;LEN((LEFT(A230,SUM(LEN(A230)-LEN(SUBSTITUTE(A230,{"0","1","2"},""))))))))/10))*100+1</f>
        <v>1</v>
      </c>
      <c r="P231" s="2">
        <f ca="1">(SUMPRODUCT(MID(0&amp;(--TRIM(RIGHT(SUBSTITUTE(LEFT(A230,_xlfn.AGGREGATE(16,6,FIND({0,1,2,3,4,5,6,7,8,9},A230,ROW(INDIRECT("1:"&amp;LEN(A230)))),1))," ",REPT(" ",LEN(A230))),LEN(A230)))), LARGE(INDEX(ISNUMBER(--MID((--TRIM(RIGHT(SUBSTITUTE(LEFT(A230,_xlfn.AGGREGATE(16,6,FIND({0,1,2,3,4,5,6,7,8,9},A230,ROW(INDIRECT("1:"&amp;LEN(A230)))),1))," ",REPT(" ",LEN(A230))),LEN(A230)))), ROW(INDIRECT("1:"&amp;LEN((--TRIM(RIGHT(SUBSTITUTE(LEFT(A230,_xlfn.AGGREGATE(16,6,FIND({0,1,2,3,4,5,6,7,8,9},A230,ROW(INDIRECT("1:"&amp;LEN(A230)))),1))," ",REPT(" ",LEN(A230))),LEN(A230))))))), 1)) * ROW(INDIRECT("1:"&amp;LEN((--TRIM(RIGHT(SUBSTITUTE(LEFT(A230,_xlfn.AGGREGATE(16,6,FIND({0,1,2,3,4,5,6,7,8,9},A230,ROW(INDIRECT("1:"&amp;LEN(A230)))),1))," ",REPT(" ",LEN(A230))),LEN(A230))))))), 0), ROW(INDIRECT("1:"&amp;LEN((--TRIM(RIGHT(SUBSTITUTE(LEFT(A230,_xlfn.AGGREGATE(16,6,FIND({0,1,2,3,4,5,6,7,8,9},A230,ROW(INDIRECT("1:"&amp;LEN(A230)))),1))," ",REPT(" ",LEN(A230))),LEN(A230))))))))+1, 1) * 10^ROW(INDIRECT("1:"&amp;LEN((--TRIM(RIGHT(SUBSTITUTE(LEFT(A230,_xlfn.AGGREGATE(16,6,FIND({0,1,2,3,4,5,6,7,8,9},A230,ROW(INDIRECT("1:"&amp;LEN(A230)))),1))," ",REPT(" ",LEN(A230))),LEN(A230)))))))/10))*100+1</f>
        <v>701</v>
      </c>
    </row>
    <row r="232" spans="1:16" s="2" customFormat="1" ht="15.75" customHeight="1" x14ac:dyDescent="0.35">
      <c r="A232" s="108">
        <v>2</v>
      </c>
      <c r="B232" s="109"/>
      <c r="C232" s="20" t="s">
        <v>196</v>
      </c>
      <c r="D232" s="20">
        <f>(34.83+2.2*1.1+1.75*1.1)*10.764</f>
        <v>421.67969999999997</v>
      </c>
      <c r="E232" s="20">
        <v>0</v>
      </c>
      <c r="F232" s="20">
        <f t="shared" si="20"/>
        <v>632.51954999999998</v>
      </c>
      <c r="G232" s="112"/>
      <c r="H232" s="113"/>
      <c r="I232" s="37"/>
      <c r="N232" s="2" t="str">
        <f t="shared" ca="1" si="21"/>
        <v>2,..,702</v>
      </c>
      <c r="O232" s="2">
        <f t="shared" ref="O232:P232" ca="1" si="22">O231+1</f>
        <v>2</v>
      </c>
      <c r="P232" s="2">
        <f t="shared" ca="1" si="22"/>
        <v>702</v>
      </c>
    </row>
    <row r="233" spans="1:16" s="2" customFormat="1" ht="15.75" customHeight="1" x14ac:dyDescent="0.35">
      <c r="A233" s="108">
        <v>3</v>
      </c>
      <c r="B233" s="109"/>
      <c r="C233" s="20" t="s">
        <v>196</v>
      </c>
      <c r="D233" s="20">
        <f>(34.83+2.2*1.1+1.75*1.1)*10.764</f>
        <v>421.67969999999997</v>
      </c>
      <c r="E233" s="20">
        <v>0</v>
      </c>
      <c r="F233" s="20">
        <f t="shared" si="20"/>
        <v>632.51954999999998</v>
      </c>
      <c r="G233" s="112"/>
      <c r="H233" s="113"/>
      <c r="I233" s="37"/>
      <c r="N233" s="2" t="str">
        <f t="shared" ca="1" si="21"/>
        <v>3,..,703</v>
      </c>
      <c r="O233" s="2">
        <f t="shared" ref="O233:P233" ca="1" si="23">O232+1</f>
        <v>3</v>
      </c>
      <c r="P233" s="2">
        <f t="shared" ca="1" si="23"/>
        <v>703</v>
      </c>
    </row>
    <row r="234" spans="1:16" s="2" customFormat="1" ht="15.75" customHeight="1" x14ac:dyDescent="0.35">
      <c r="A234" s="108">
        <v>4</v>
      </c>
      <c r="B234" s="109"/>
      <c r="C234" s="20" t="s">
        <v>195</v>
      </c>
      <c r="D234" s="20">
        <f>(44.58+1.75*1.1+2.2*1.1)*10.764</f>
        <v>526.62869999999998</v>
      </c>
      <c r="E234" s="20">
        <v>0</v>
      </c>
      <c r="F234" s="20">
        <f t="shared" si="20"/>
        <v>789.94304999999997</v>
      </c>
      <c r="G234" s="114"/>
      <c r="H234" s="115"/>
      <c r="I234" s="37"/>
      <c r="N234" s="2" t="str">
        <f t="shared" ca="1" si="21"/>
        <v>4,..,704</v>
      </c>
      <c r="O234" s="2">
        <f t="shared" ref="O234:P234" ca="1" si="24">O233+1</f>
        <v>4</v>
      </c>
      <c r="P234" s="2">
        <f t="shared" ca="1" si="24"/>
        <v>704</v>
      </c>
    </row>
    <row r="235" spans="1:16" s="2" customFormat="1" x14ac:dyDescent="0.35">
      <c r="A235" s="104" t="s">
        <v>207</v>
      </c>
      <c r="B235" s="105"/>
      <c r="C235" s="105"/>
      <c r="D235" s="105"/>
      <c r="E235" s="105"/>
      <c r="F235" s="105"/>
      <c r="G235" s="105"/>
      <c r="H235" s="106"/>
      <c r="I235" s="37"/>
      <c r="N235" s="37"/>
    </row>
    <row r="236" spans="1:16" s="9" customFormat="1" x14ac:dyDescent="0.35">
      <c r="A236" s="107" t="s">
        <v>193</v>
      </c>
      <c r="B236" s="107"/>
      <c r="C236" s="107"/>
      <c r="D236" s="107"/>
      <c r="E236" s="107"/>
      <c r="F236" s="107"/>
      <c r="G236" s="107"/>
      <c r="H236" s="107"/>
    </row>
    <row r="237" spans="1:16" s="2" customFormat="1" ht="15.75" customHeight="1" x14ac:dyDescent="0.35">
      <c r="A237" s="104" t="s">
        <v>194</v>
      </c>
      <c r="B237" s="105"/>
      <c r="C237" s="105"/>
      <c r="D237" s="105"/>
      <c r="E237" s="105"/>
      <c r="F237" s="105"/>
      <c r="G237" s="105"/>
      <c r="H237" s="106"/>
      <c r="I237" s="37"/>
    </row>
    <row r="238" spans="1:16" s="2" customFormat="1" ht="15.75" customHeight="1" x14ac:dyDescent="0.35">
      <c r="A238" s="108">
        <v>1</v>
      </c>
      <c r="B238" s="109"/>
      <c r="C238" s="20" t="s">
        <v>196</v>
      </c>
      <c r="D238" s="20">
        <f>(34.26+1.75*1.1+2.2*1.1)*10.764</f>
        <v>415.54421999999994</v>
      </c>
      <c r="E238" s="20">
        <v>0</v>
      </c>
      <c r="F238" s="20">
        <f t="shared" ref="F238:F241" si="25">D238*(($F$199)+1)+E238</f>
        <v>623.31632999999988</v>
      </c>
      <c r="G238" s="110" t="str">
        <f>A237</f>
        <v>Ground, 1st, 2nd, 3rd, 4th, 5th, 6th, 7th Floor</v>
      </c>
      <c r="H238" s="111"/>
      <c r="I238" s="37"/>
      <c r="N238" s="2" t="str">
        <f t="shared" ref="N238:N241" ca="1" si="26">O238&amp;""&amp;",..,"&amp;""&amp;P238</f>
        <v>1,..,701</v>
      </c>
      <c r="O238" s="2">
        <f ca="1">(SUMPRODUCT(MID(0&amp;(LEFT(A237,SUM(LEN(A237)-LEN(SUBSTITUTE(A237,{"0","1","2"},""))))), LARGE(INDEX(ISNUMBER(--MID((LEFT(A237,SUM(LEN(A237)-LEN(SUBSTITUTE(A237,{"0","1","2"},""))))), ROW(INDIRECT("1:"&amp;LEN((LEFT(A237,SUM(LEN(A237)-LEN(SUBSTITUTE(A237,{"0","1","2"},"")))))))), 1)) * ROW(INDIRECT("1:"&amp;LEN((LEFT(A237,SUM(LEN(A237)-LEN(SUBSTITUTE(A237,{"0","1","2"},"")))))))), 0), ROW(INDIRECT("1:"&amp;LEN((LEFT(A237,SUM(LEN(A237)-LEN(SUBSTITUTE(A237,{"0","1","2"},"")))))))))+1, 1) * 10^ROW(INDIRECT("1:"&amp;LEN((LEFT(A237,SUM(LEN(A237)-LEN(SUBSTITUTE(A237,{"0","1","2"},""))))))))/10))*100+1</f>
        <v>1</v>
      </c>
      <c r="P238" s="2">
        <f ca="1">(SUMPRODUCT(MID(0&amp;(--TRIM(RIGHT(SUBSTITUTE(LEFT(A237,_xlfn.AGGREGATE(16,6,FIND({0,1,2,3,4,5,6,7,8,9},A237,ROW(INDIRECT("1:"&amp;LEN(A237)))),1))," ",REPT(" ",LEN(A237))),LEN(A237)))), LARGE(INDEX(ISNUMBER(--MID((--TRIM(RIGHT(SUBSTITUTE(LEFT(A237,_xlfn.AGGREGATE(16,6,FIND({0,1,2,3,4,5,6,7,8,9},A237,ROW(INDIRECT("1:"&amp;LEN(A237)))),1))," ",REPT(" ",LEN(A237))),LEN(A237)))), ROW(INDIRECT("1:"&amp;LEN((--TRIM(RIGHT(SUBSTITUTE(LEFT(A237,_xlfn.AGGREGATE(16,6,FIND({0,1,2,3,4,5,6,7,8,9},A237,ROW(INDIRECT("1:"&amp;LEN(A237)))),1))," ",REPT(" ",LEN(A237))),LEN(A237))))))), 1)) * ROW(INDIRECT("1:"&amp;LEN((--TRIM(RIGHT(SUBSTITUTE(LEFT(A237,_xlfn.AGGREGATE(16,6,FIND({0,1,2,3,4,5,6,7,8,9},A237,ROW(INDIRECT("1:"&amp;LEN(A237)))),1))," ",REPT(" ",LEN(A237))),LEN(A237))))))), 0), ROW(INDIRECT("1:"&amp;LEN((--TRIM(RIGHT(SUBSTITUTE(LEFT(A237,_xlfn.AGGREGATE(16,6,FIND({0,1,2,3,4,5,6,7,8,9},A237,ROW(INDIRECT("1:"&amp;LEN(A237)))),1))," ",REPT(" ",LEN(A237))),LEN(A237))))))))+1, 1) * 10^ROW(INDIRECT("1:"&amp;LEN((--TRIM(RIGHT(SUBSTITUTE(LEFT(A237,_xlfn.AGGREGATE(16,6,FIND({0,1,2,3,4,5,6,7,8,9},A237,ROW(INDIRECT("1:"&amp;LEN(A237)))),1))," ",REPT(" ",LEN(A237))),LEN(A237)))))))/10))*100+1</f>
        <v>701</v>
      </c>
    </row>
    <row r="239" spans="1:16" s="2" customFormat="1" ht="15.75" customHeight="1" x14ac:dyDescent="0.35">
      <c r="A239" s="108">
        <v>2</v>
      </c>
      <c r="B239" s="109"/>
      <c r="C239" s="20" t="s">
        <v>196</v>
      </c>
      <c r="D239" s="20">
        <f>(34.83+2.2*1.1+1.75*1.1)*10.764</f>
        <v>421.67969999999997</v>
      </c>
      <c r="E239" s="20">
        <v>0</v>
      </c>
      <c r="F239" s="20">
        <f t="shared" si="25"/>
        <v>632.51954999999998</v>
      </c>
      <c r="G239" s="112"/>
      <c r="H239" s="113"/>
      <c r="I239" s="37"/>
      <c r="N239" s="2" t="str">
        <f t="shared" ca="1" si="26"/>
        <v>2,..,702</v>
      </c>
      <c r="O239" s="2">
        <f t="shared" ref="O239:P239" ca="1" si="27">O238+1</f>
        <v>2</v>
      </c>
      <c r="P239" s="2">
        <f t="shared" ca="1" si="27"/>
        <v>702</v>
      </c>
    </row>
    <row r="240" spans="1:16" s="2" customFormat="1" ht="15.75" customHeight="1" x14ac:dyDescent="0.35">
      <c r="A240" s="108">
        <v>3</v>
      </c>
      <c r="B240" s="109"/>
      <c r="C240" s="20" t="s">
        <v>196</v>
      </c>
      <c r="D240" s="20">
        <f>(34.83+2.2*1.1+1.75*1.1)*10.764</f>
        <v>421.67969999999997</v>
      </c>
      <c r="E240" s="20">
        <v>0</v>
      </c>
      <c r="F240" s="20">
        <f t="shared" si="25"/>
        <v>632.51954999999998</v>
      </c>
      <c r="G240" s="112"/>
      <c r="H240" s="113"/>
      <c r="I240" s="37"/>
      <c r="N240" s="2" t="str">
        <f t="shared" ca="1" si="26"/>
        <v>3,..,703</v>
      </c>
      <c r="O240" s="2">
        <f t="shared" ref="O240:P240" ca="1" si="28">O239+1</f>
        <v>3</v>
      </c>
      <c r="P240" s="2">
        <f t="shared" ca="1" si="28"/>
        <v>703</v>
      </c>
    </row>
    <row r="241" spans="1:16" s="2" customFormat="1" ht="15.75" customHeight="1" x14ac:dyDescent="0.35">
      <c r="A241" s="108">
        <v>4</v>
      </c>
      <c r="B241" s="109"/>
      <c r="C241" s="20" t="s">
        <v>196</v>
      </c>
      <c r="D241" s="20">
        <f>(34.26+1.75*1.1+2.2*1.1)*10.764</f>
        <v>415.54421999999994</v>
      </c>
      <c r="E241" s="20">
        <v>0</v>
      </c>
      <c r="F241" s="20">
        <f t="shared" si="25"/>
        <v>623.31632999999988</v>
      </c>
      <c r="G241" s="114"/>
      <c r="H241" s="115"/>
      <c r="I241" s="37"/>
      <c r="N241" s="2" t="str">
        <f t="shared" ca="1" si="26"/>
        <v>4,..,704</v>
      </c>
      <c r="O241" s="2">
        <f t="shared" ref="O241:P241" ca="1" si="29">O240+1</f>
        <v>4</v>
      </c>
      <c r="P241" s="2">
        <f t="shared" ca="1" si="29"/>
        <v>704</v>
      </c>
    </row>
    <row r="242" spans="1:16" s="2" customFormat="1" x14ac:dyDescent="0.35">
      <c r="A242" s="104" t="s">
        <v>208</v>
      </c>
      <c r="B242" s="105"/>
      <c r="C242" s="105"/>
      <c r="D242" s="105"/>
      <c r="E242" s="105"/>
      <c r="F242" s="105"/>
      <c r="G242" s="105"/>
      <c r="H242" s="106"/>
      <c r="I242" s="37"/>
      <c r="N242" s="37"/>
    </row>
    <row r="243" spans="1:16" s="9" customFormat="1" x14ac:dyDescent="0.35">
      <c r="A243" s="107" t="s">
        <v>193</v>
      </c>
      <c r="B243" s="107"/>
      <c r="C243" s="107"/>
      <c r="D243" s="107"/>
      <c r="E243" s="107"/>
      <c r="F243" s="107"/>
      <c r="G243" s="107"/>
      <c r="H243" s="107"/>
    </row>
    <row r="244" spans="1:16" s="2" customFormat="1" ht="15.75" customHeight="1" x14ac:dyDescent="0.35">
      <c r="A244" s="104" t="s">
        <v>194</v>
      </c>
      <c r="B244" s="105"/>
      <c r="C244" s="105"/>
      <c r="D244" s="105"/>
      <c r="E244" s="105"/>
      <c r="F244" s="105"/>
      <c r="G244" s="105"/>
      <c r="H244" s="106"/>
      <c r="I244" s="37"/>
    </row>
    <row r="245" spans="1:16" s="2" customFormat="1" ht="15.75" customHeight="1" x14ac:dyDescent="0.35">
      <c r="A245" s="108">
        <v>1</v>
      </c>
      <c r="B245" s="109"/>
      <c r="C245" s="20" t="s">
        <v>196</v>
      </c>
      <c r="D245" s="20">
        <f>(34.26+1.75*1.1+2.2*1.1)*10.764</f>
        <v>415.54421999999994</v>
      </c>
      <c r="E245" s="20">
        <v>0</v>
      </c>
      <c r="F245" s="20">
        <f t="shared" ref="F245:F248" si="30">D245*(($F$199)+1)+E245</f>
        <v>623.31632999999988</v>
      </c>
      <c r="G245" s="110" t="str">
        <f>A244</f>
        <v>Ground, 1st, 2nd, 3rd, 4th, 5th, 6th, 7th Floor</v>
      </c>
      <c r="H245" s="111"/>
      <c r="I245" s="37"/>
      <c r="N245" s="2" t="str">
        <f t="shared" ref="N245:N248" ca="1" si="31">O245&amp;""&amp;",..,"&amp;""&amp;P245</f>
        <v>1,..,701</v>
      </c>
      <c r="O245" s="2">
        <f ca="1">(SUMPRODUCT(MID(0&amp;(LEFT(A244,SUM(LEN(A244)-LEN(SUBSTITUTE(A244,{"0","1","2"},""))))), LARGE(INDEX(ISNUMBER(--MID((LEFT(A244,SUM(LEN(A244)-LEN(SUBSTITUTE(A244,{"0","1","2"},""))))), ROW(INDIRECT("1:"&amp;LEN((LEFT(A244,SUM(LEN(A244)-LEN(SUBSTITUTE(A244,{"0","1","2"},"")))))))), 1)) * ROW(INDIRECT("1:"&amp;LEN((LEFT(A244,SUM(LEN(A244)-LEN(SUBSTITUTE(A244,{"0","1","2"},"")))))))), 0), ROW(INDIRECT("1:"&amp;LEN((LEFT(A244,SUM(LEN(A244)-LEN(SUBSTITUTE(A244,{"0","1","2"},"")))))))))+1, 1) * 10^ROW(INDIRECT("1:"&amp;LEN((LEFT(A244,SUM(LEN(A244)-LEN(SUBSTITUTE(A244,{"0","1","2"},""))))))))/10))*100+1</f>
        <v>1</v>
      </c>
      <c r="P245" s="2">
        <f ca="1">(SUMPRODUCT(MID(0&amp;(--TRIM(RIGHT(SUBSTITUTE(LEFT(A244,_xlfn.AGGREGATE(16,6,FIND({0,1,2,3,4,5,6,7,8,9},A244,ROW(INDIRECT("1:"&amp;LEN(A244)))),1))," ",REPT(" ",LEN(A244))),LEN(A244)))), LARGE(INDEX(ISNUMBER(--MID((--TRIM(RIGHT(SUBSTITUTE(LEFT(A244,_xlfn.AGGREGATE(16,6,FIND({0,1,2,3,4,5,6,7,8,9},A244,ROW(INDIRECT("1:"&amp;LEN(A244)))),1))," ",REPT(" ",LEN(A244))),LEN(A244)))), ROW(INDIRECT("1:"&amp;LEN((--TRIM(RIGHT(SUBSTITUTE(LEFT(A244,_xlfn.AGGREGATE(16,6,FIND({0,1,2,3,4,5,6,7,8,9},A244,ROW(INDIRECT("1:"&amp;LEN(A244)))),1))," ",REPT(" ",LEN(A244))),LEN(A244))))))), 1)) * ROW(INDIRECT("1:"&amp;LEN((--TRIM(RIGHT(SUBSTITUTE(LEFT(A244,_xlfn.AGGREGATE(16,6,FIND({0,1,2,3,4,5,6,7,8,9},A244,ROW(INDIRECT("1:"&amp;LEN(A244)))),1))," ",REPT(" ",LEN(A244))),LEN(A244))))))), 0), ROW(INDIRECT("1:"&amp;LEN((--TRIM(RIGHT(SUBSTITUTE(LEFT(A244,_xlfn.AGGREGATE(16,6,FIND({0,1,2,3,4,5,6,7,8,9},A244,ROW(INDIRECT("1:"&amp;LEN(A244)))),1))," ",REPT(" ",LEN(A244))),LEN(A244))))))))+1, 1) * 10^ROW(INDIRECT("1:"&amp;LEN((--TRIM(RIGHT(SUBSTITUTE(LEFT(A244,_xlfn.AGGREGATE(16,6,FIND({0,1,2,3,4,5,6,7,8,9},A244,ROW(INDIRECT("1:"&amp;LEN(A244)))),1))," ",REPT(" ",LEN(A244))),LEN(A244)))))))/10))*100+1</f>
        <v>701</v>
      </c>
    </row>
    <row r="246" spans="1:16" s="2" customFormat="1" ht="15.75" customHeight="1" x14ac:dyDescent="0.35">
      <c r="A246" s="108">
        <v>2</v>
      </c>
      <c r="B246" s="109"/>
      <c r="C246" s="20" t="s">
        <v>196</v>
      </c>
      <c r="D246" s="20">
        <f>(34.83+2.2*1.1+1.75*1.1)*10.764</f>
        <v>421.67969999999997</v>
      </c>
      <c r="E246" s="20">
        <v>0</v>
      </c>
      <c r="F246" s="20">
        <f t="shared" si="30"/>
        <v>632.51954999999998</v>
      </c>
      <c r="G246" s="112"/>
      <c r="H246" s="113"/>
      <c r="I246" s="37"/>
      <c r="N246" s="2" t="str">
        <f t="shared" ca="1" si="31"/>
        <v>2,..,702</v>
      </c>
      <c r="O246" s="2">
        <f t="shared" ref="O246:P246" ca="1" si="32">O245+1</f>
        <v>2</v>
      </c>
      <c r="P246" s="2">
        <f t="shared" ca="1" si="32"/>
        <v>702</v>
      </c>
    </row>
    <row r="247" spans="1:16" s="2" customFormat="1" ht="15.75" customHeight="1" x14ac:dyDescent="0.35">
      <c r="A247" s="108">
        <v>3</v>
      </c>
      <c r="B247" s="109"/>
      <c r="C247" s="20" t="s">
        <v>196</v>
      </c>
      <c r="D247" s="20">
        <f>(34.83+2.2*1.1+1.75*1.1)*10.764</f>
        <v>421.67969999999997</v>
      </c>
      <c r="E247" s="20">
        <v>0</v>
      </c>
      <c r="F247" s="20">
        <f t="shared" si="30"/>
        <v>632.51954999999998</v>
      </c>
      <c r="G247" s="112"/>
      <c r="H247" s="113"/>
      <c r="I247" s="37"/>
      <c r="N247" s="2" t="str">
        <f t="shared" ca="1" si="31"/>
        <v>3,..,703</v>
      </c>
      <c r="O247" s="2">
        <f t="shared" ref="O247:P247" ca="1" si="33">O246+1</f>
        <v>3</v>
      </c>
      <c r="P247" s="2">
        <f t="shared" ca="1" si="33"/>
        <v>703</v>
      </c>
    </row>
    <row r="248" spans="1:16" s="2" customFormat="1" ht="15.75" customHeight="1" x14ac:dyDescent="0.35">
      <c r="A248" s="108">
        <v>4</v>
      </c>
      <c r="B248" s="109"/>
      <c r="C248" s="20" t="s">
        <v>196</v>
      </c>
      <c r="D248" s="20">
        <f>(34.26+1.75*1.1+2.2*1.1)*10.764</f>
        <v>415.54421999999994</v>
      </c>
      <c r="E248" s="20">
        <v>0</v>
      </c>
      <c r="F248" s="20">
        <f t="shared" si="30"/>
        <v>623.31632999999988</v>
      </c>
      <c r="G248" s="114"/>
      <c r="H248" s="115"/>
      <c r="I248" s="37"/>
      <c r="N248" s="2" t="str">
        <f t="shared" ca="1" si="31"/>
        <v>4,..,704</v>
      </c>
      <c r="O248" s="2">
        <f t="shared" ref="O248:P248" ca="1" si="34">O247+1</f>
        <v>4</v>
      </c>
      <c r="P248" s="2">
        <f t="shared" ca="1" si="34"/>
        <v>704</v>
      </c>
    </row>
    <row r="249" spans="1:16" s="2" customFormat="1" x14ac:dyDescent="0.35">
      <c r="A249" s="104" t="s">
        <v>217</v>
      </c>
      <c r="B249" s="105"/>
      <c r="C249" s="105"/>
      <c r="D249" s="105"/>
      <c r="E249" s="105"/>
      <c r="F249" s="105"/>
      <c r="G249" s="105"/>
      <c r="H249" s="106"/>
      <c r="I249" s="37"/>
      <c r="N249" s="37"/>
    </row>
    <row r="250" spans="1:16" s="9" customFormat="1" x14ac:dyDescent="0.35">
      <c r="A250" s="107" t="s">
        <v>193</v>
      </c>
      <c r="B250" s="107"/>
      <c r="C250" s="107"/>
      <c r="D250" s="107"/>
      <c r="E250" s="107"/>
      <c r="F250" s="107"/>
      <c r="G250" s="107"/>
      <c r="H250" s="107"/>
    </row>
    <row r="251" spans="1:16" s="2" customFormat="1" ht="15.75" customHeight="1" x14ac:dyDescent="0.35">
      <c r="A251" s="104" t="s">
        <v>194</v>
      </c>
      <c r="B251" s="105"/>
      <c r="C251" s="105"/>
      <c r="D251" s="105"/>
      <c r="E251" s="105"/>
      <c r="F251" s="105"/>
      <c r="G251" s="105"/>
      <c r="H251" s="106"/>
      <c r="I251" s="37"/>
    </row>
    <row r="252" spans="1:16" s="2" customFormat="1" ht="15.75" customHeight="1" x14ac:dyDescent="0.35">
      <c r="A252" s="108">
        <v>1</v>
      </c>
      <c r="B252" s="109"/>
      <c r="C252" s="20" t="s">
        <v>195</v>
      </c>
      <c r="D252" s="20">
        <f>(44.58+1.75*1.1+2.2*1.1)*10.764</f>
        <v>526.62869999999998</v>
      </c>
      <c r="E252" s="20">
        <v>0</v>
      </c>
      <c r="F252" s="20">
        <f t="shared" ref="F252:F255" si="35">D252*(($F$199)+1)+E252</f>
        <v>789.94304999999997</v>
      </c>
      <c r="G252" s="110" t="str">
        <f>A251</f>
        <v>Ground, 1st, 2nd, 3rd, 4th, 5th, 6th, 7th Floor</v>
      </c>
      <c r="H252" s="111"/>
      <c r="I252" s="37"/>
      <c r="N252" s="2" t="str">
        <f t="shared" ref="N252:N255" ca="1" si="36">O252&amp;""&amp;",..,"&amp;""&amp;P252</f>
        <v>1,..,701</v>
      </c>
      <c r="O252" s="2">
        <f ca="1">(SUMPRODUCT(MID(0&amp;(LEFT(A251,SUM(LEN(A251)-LEN(SUBSTITUTE(A251,{"0","1","2"},""))))), LARGE(INDEX(ISNUMBER(--MID((LEFT(A251,SUM(LEN(A251)-LEN(SUBSTITUTE(A251,{"0","1","2"},""))))), ROW(INDIRECT("1:"&amp;LEN((LEFT(A251,SUM(LEN(A251)-LEN(SUBSTITUTE(A251,{"0","1","2"},"")))))))), 1)) * ROW(INDIRECT("1:"&amp;LEN((LEFT(A251,SUM(LEN(A251)-LEN(SUBSTITUTE(A251,{"0","1","2"},"")))))))), 0), ROW(INDIRECT("1:"&amp;LEN((LEFT(A251,SUM(LEN(A251)-LEN(SUBSTITUTE(A251,{"0","1","2"},"")))))))))+1, 1) * 10^ROW(INDIRECT("1:"&amp;LEN((LEFT(A251,SUM(LEN(A251)-LEN(SUBSTITUTE(A251,{"0","1","2"},""))))))))/10))*100+1</f>
        <v>1</v>
      </c>
      <c r="P252" s="2">
        <f ca="1">(SUMPRODUCT(MID(0&amp;(--TRIM(RIGHT(SUBSTITUTE(LEFT(A251,_xlfn.AGGREGATE(16,6,FIND({0,1,2,3,4,5,6,7,8,9},A251,ROW(INDIRECT("1:"&amp;LEN(A251)))),1))," ",REPT(" ",LEN(A251))),LEN(A251)))), LARGE(INDEX(ISNUMBER(--MID((--TRIM(RIGHT(SUBSTITUTE(LEFT(A251,_xlfn.AGGREGATE(16,6,FIND({0,1,2,3,4,5,6,7,8,9},A251,ROW(INDIRECT("1:"&amp;LEN(A251)))),1))," ",REPT(" ",LEN(A251))),LEN(A251)))), ROW(INDIRECT("1:"&amp;LEN((--TRIM(RIGHT(SUBSTITUTE(LEFT(A251,_xlfn.AGGREGATE(16,6,FIND({0,1,2,3,4,5,6,7,8,9},A251,ROW(INDIRECT("1:"&amp;LEN(A251)))),1))," ",REPT(" ",LEN(A251))),LEN(A251))))))), 1)) * ROW(INDIRECT("1:"&amp;LEN((--TRIM(RIGHT(SUBSTITUTE(LEFT(A251,_xlfn.AGGREGATE(16,6,FIND({0,1,2,3,4,5,6,7,8,9},A251,ROW(INDIRECT("1:"&amp;LEN(A251)))),1))," ",REPT(" ",LEN(A251))),LEN(A251))))))), 0), ROW(INDIRECT("1:"&amp;LEN((--TRIM(RIGHT(SUBSTITUTE(LEFT(A251,_xlfn.AGGREGATE(16,6,FIND({0,1,2,3,4,5,6,7,8,9},A251,ROW(INDIRECT("1:"&amp;LEN(A251)))),1))," ",REPT(" ",LEN(A251))),LEN(A251))))))))+1, 1) * 10^ROW(INDIRECT("1:"&amp;LEN((--TRIM(RIGHT(SUBSTITUTE(LEFT(A251,_xlfn.AGGREGATE(16,6,FIND({0,1,2,3,4,5,6,7,8,9},A251,ROW(INDIRECT("1:"&amp;LEN(A251)))),1))," ",REPT(" ",LEN(A251))),LEN(A251)))))))/10))*100+1</f>
        <v>701</v>
      </c>
    </row>
    <row r="253" spans="1:16" s="2" customFormat="1" ht="15.75" customHeight="1" x14ac:dyDescent="0.35">
      <c r="A253" s="108">
        <v>2</v>
      </c>
      <c r="B253" s="109"/>
      <c r="C253" s="20" t="s">
        <v>196</v>
      </c>
      <c r="D253" s="20">
        <f>(34.83+2.2*1.1+1.75*1.1)*10.764</f>
        <v>421.67969999999997</v>
      </c>
      <c r="E253" s="20">
        <v>0</v>
      </c>
      <c r="F253" s="20">
        <f t="shared" si="35"/>
        <v>632.51954999999998</v>
      </c>
      <c r="G253" s="112"/>
      <c r="H253" s="113"/>
      <c r="I253" s="37"/>
      <c r="N253" s="2" t="str">
        <f t="shared" ca="1" si="36"/>
        <v>2,..,702</v>
      </c>
      <c r="O253" s="2">
        <f t="shared" ref="O253:P253" ca="1" si="37">O252+1</f>
        <v>2</v>
      </c>
      <c r="P253" s="2">
        <f t="shared" ca="1" si="37"/>
        <v>702</v>
      </c>
    </row>
    <row r="254" spans="1:16" s="2" customFormat="1" ht="15.75" customHeight="1" x14ac:dyDescent="0.35">
      <c r="A254" s="108">
        <v>3</v>
      </c>
      <c r="B254" s="109"/>
      <c r="C254" s="20" t="s">
        <v>196</v>
      </c>
      <c r="D254" s="20">
        <f>(34.83+2.2*1.1+1.75*1.1)*10.764</f>
        <v>421.67969999999997</v>
      </c>
      <c r="E254" s="20">
        <v>0</v>
      </c>
      <c r="F254" s="20">
        <f t="shared" si="35"/>
        <v>632.51954999999998</v>
      </c>
      <c r="G254" s="112"/>
      <c r="H254" s="113"/>
      <c r="I254" s="37"/>
      <c r="N254" s="2" t="str">
        <f t="shared" ca="1" si="36"/>
        <v>3,..,703</v>
      </c>
      <c r="O254" s="2">
        <f t="shared" ref="O254:P254" ca="1" si="38">O253+1</f>
        <v>3</v>
      </c>
      <c r="P254" s="2">
        <f t="shared" ca="1" si="38"/>
        <v>703</v>
      </c>
    </row>
    <row r="255" spans="1:16" s="2" customFormat="1" ht="15.75" customHeight="1" x14ac:dyDescent="0.35">
      <c r="A255" s="108">
        <v>4</v>
      </c>
      <c r="B255" s="109"/>
      <c r="C255" s="20" t="s">
        <v>195</v>
      </c>
      <c r="D255" s="20">
        <f>(42.24+1.75*1.1+2.2*1.1)*10.764</f>
        <v>501.44093999999996</v>
      </c>
      <c r="E255" s="20">
        <v>0</v>
      </c>
      <c r="F255" s="20">
        <f t="shared" si="35"/>
        <v>752.16140999999993</v>
      </c>
      <c r="G255" s="114"/>
      <c r="H255" s="115"/>
      <c r="I255" s="37">
        <f>2969000/F255</f>
        <v>3947.2910475425751</v>
      </c>
      <c r="N255" s="2" t="str">
        <f t="shared" ca="1" si="36"/>
        <v>4,..,704</v>
      </c>
      <c r="O255" s="2">
        <f t="shared" ref="O255:P255" ca="1" si="39">O254+1</f>
        <v>4</v>
      </c>
      <c r="P255" s="2">
        <f t="shared" ca="1" si="39"/>
        <v>704</v>
      </c>
    </row>
    <row r="256" spans="1:16" s="1" customFormat="1" x14ac:dyDescent="0.35">
      <c r="A256" s="156" t="s">
        <v>77</v>
      </c>
      <c r="B256" s="156"/>
      <c r="C256" s="156"/>
      <c r="D256" s="156"/>
      <c r="E256" s="156"/>
      <c r="F256" s="156"/>
      <c r="G256" s="156"/>
      <c r="H256" s="156"/>
    </row>
    <row r="257" spans="1:8" s="1" customFormat="1" x14ac:dyDescent="0.35">
      <c r="A257" s="42">
        <v>1</v>
      </c>
      <c r="B257" s="63" t="s">
        <v>252</v>
      </c>
      <c r="C257" s="64"/>
      <c r="D257" s="64"/>
      <c r="E257" s="64"/>
      <c r="F257" s="64"/>
      <c r="G257" s="64"/>
      <c r="H257" s="65"/>
    </row>
    <row r="258" spans="1:8" s="1" customFormat="1" x14ac:dyDescent="0.35">
      <c r="A258" s="42">
        <f>A257+1</f>
        <v>2</v>
      </c>
      <c r="B258" s="63" t="s">
        <v>221</v>
      </c>
      <c r="C258" s="64"/>
      <c r="D258" s="64"/>
      <c r="E258" s="64"/>
      <c r="F258" s="64"/>
      <c r="G258" s="64"/>
      <c r="H258" s="65"/>
    </row>
    <row r="259" spans="1:8" s="1" customFormat="1" x14ac:dyDescent="0.35">
      <c r="A259" s="42">
        <f t="shared" ref="A259:A263" si="40">A258+1</f>
        <v>3</v>
      </c>
      <c r="B259" s="63" t="s">
        <v>161</v>
      </c>
      <c r="C259" s="64"/>
      <c r="D259" s="64"/>
      <c r="E259" s="64"/>
      <c r="F259" s="64"/>
      <c r="G259" s="64"/>
      <c r="H259" s="65"/>
    </row>
    <row r="260" spans="1:8" s="1" customFormat="1" x14ac:dyDescent="0.35">
      <c r="A260" s="42">
        <f t="shared" si="40"/>
        <v>4</v>
      </c>
      <c r="B260" s="63" t="s">
        <v>197</v>
      </c>
      <c r="C260" s="64"/>
      <c r="D260" s="64"/>
      <c r="E260" s="64"/>
      <c r="F260" s="64"/>
      <c r="G260" s="64"/>
      <c r="H260" s="65"/>
    </row>
    <row r="261" spans="1:8" s="1" customFormat="1" x14ac:dyDescent="0.35">
      <c r="A261" s="42">
        <f t="shared" si="40"/>
        <v>5</v>
      </c>
      <c r="B261" s="63" t="s">
        <v>162</v>
      </c>
      <c r="C261" s="64"/>
      <c r="D261" s="64"/>
      <c r="E261" s="64"/>
      <c r="F261" s="64"/>
      <c r="G261" s="64"/>
      <c r="H261" s="65"/>
    </row>
    <row r="262" spans="1:8" s="1" customFormat="1" x14ac:dyDescent="0.35">
      <c r="A262" s="42">
        <f t="shared" si="40"/>
        <v>6</v>
      </c>
      <c r="B262" s="63" t="s">
        <v>163</v>
      </c>
      <c r="C262" s="64"/>
      <c r="D262" s="64"/>
      <c r="E262" s="64"/>
      <c r="F262" s="64"/>
      <c r="G262" s="64"/>
      <c r="H262" s="65"/>
    </row>
    <row r="263" spans="1:8" s="1" customFormat="1" hidden="1" x14ac:dyDescent="0.35">
      <c r="A263" s="42">
        <f t="shared" si="40"/>
        <v>7</v>
      </c>
      <c r="B263" s="63" t="s">
        <v>239</v>
      </c>
      <c r="C263" s="64"/>
      <c r="D263" s="64"/>
      <c r="E263" s="64"/>
      <c r="F263" s="64"/>
      <c r="G263" s="64"/>
      <c r="H263" s="65"/>
    </row>
    <row r="264" spans="1:8" s="1" customFormat="1" x14ac:dyDescent="0.35">
      <c r="A264" s="42">
        <v>7</v>
      </c>
      <c r="B264" s="63" t="s">
        <v>245</v>
      </c>
      <c r="C264" s="64"/>
      <c r="D264" s="64"/>
      <c r="E264" s="64"/>
      <c r="F264" s="64"/>
      <c r="G264" s="64"/>
      <c r="H264" s="65"/>
    </row>
    <row r="265" spans="1:8" s="1" customFormat="1" x14ac:dyDescent="0.35">
      <c r="A265" s="42">
        <v>8</v>
      </c>
      <c r="B265" s="63" t="s">
        <v>248</v>
      </c>
      <c r="C265" s="64"/>
      <c r="D265" s="64"/>
      <c r="E265" s="64"/>
      <c r="F265" s="64"/>
      <c r="G265" s="64"/>
      <c r="H265" s="65"/>
    </row>
    <row r="266" spans="1:8" s="1" customFormat="1" x14ac:dyDescent="0.35">
      <c r="A266" s="42">
        <v>9</v>
      </c>
      <c r="B266" s="63" t="s">
        <v>253</v>
      </c>
      <c r="C266" s="64"/>
      <c r="D266" s="64"/>
      <c r="E266" s="64"/>
      <c r="F266" s="64"/>
      <c r="G266" s="64"/>
      <c r="H266" s="65"/>
    </row>
    <row r="267" spans="1:8" s="1" customFormat="1" x14ac:dyDescent="0.35">
      <c r="A267" s="42">
        <v>10</v>
      </c>
      <c r="B267" s="63" t="s">
        <v>254</v>
      </c>
      <c r="C267" s="64"/>
      <c r="D267" s="64"/>
      <c r="E267" s="64"/>
      <c r="F267" s="64"/>
      <c r="G267" s="64"/>
      <c r="H267" s="65"/>
    </row>
    <row r="268" spans="1:8" x14ac:dyDescent="0.35">
      <c r="A268" s="139" t="s">
        <v>70</v>
      </c>
      <c r="B268" s="139"/>
      <c r="C268" s="139"/>
      <c r="D268" s="139"/>
      <c r="E268" s="139"/>
      <c r="F268" s="139"/>
      <c r="G268" s="139"/>
      <c r="H268" s="139"/>
    </row>
    <row r="269" spans="1:8" x14ac:dyDescent="0.35">
      <c r="A269" s="117" t="s">
        <v>71</v>
      </c>
      <c r="B269" s="117"/>
      <c r="C269" s="117"/>
      <c r="D269" s="117"/>
      <c r="E269" s="117"/>
      <c r="F269" s="117"/>
      <c r="G269" s="117"/>
      <c r="H269" s="117"/>
    </row>
    <row r="270" spans="1:8" ht="15.75" customHeight="1" x14ac:dyDescent="0.35">
      <c r="A270" s="118" t="s">
        <v>72</v>
      </c>
      <c r="B270" s="118"/>
      <c r="C270" s="118"/>
      <c r="D270" s="118"/>
      <c r="E270" s="118"/>
      <c r="F270" s="118"/>
      <c r="G270" s="118"/>
      <c r="H270" s="118"/>
    </row>
    <row r="271" spans="1:8" x14ac:dyDescent="0.35">
      <c r="A271" s="117" t="s">
        <v>73</v>
      </c>
      <c r="B271" s="117"/>
      <c r="C271" s="117"/>
      <c r="D271" s="117"/>
      <c r="E271" s="117"/>
      <c r="F271" s="117"/>
      <c r="G271" s="117"/>
      <c r="H271" s="117"/>
    </row>
    <row r="272" spans="1:8" x14ac:dyDescent="0.35">
      <c r="A272" s="117" t="s">
        <v>74</v>
      </c>
      <c r="B272" s="117"/>
      <c r="C272" s="117"/>
      <c r="D272" s="117"/>
      <c r="E272" s="117"/>
      <c r="F272" s="117"/>
      <c r="G272" s="117"/>
      <c r="H272" s="117"/>
    </row>
    <row r="273" spans="1:8" x14ac:dyDescent="0.35">
      <c r="A273" s="117" t="s">
        <v>164</v>
      </c>
      <c r="B273" s="117"/>
      <c r="C273" s="117"/>
      <c r="D273" s="117"/>
      <c r="E273" s="117"/>
      <c r="F273" s="117"/>
      <c r="G273" s="117"/>
      <c r="H273" s="117"/>
    </row>
    <row r="274" spans="1:8" ht="35.25" customHeight="1" x14ac:dyDescent="0.35">
      <c r="A274" s="133" t="s">
        <v>165</v>
      </c>
      <c r="B274" s="133"/>
      <c r="C274" s="133"/>
      <c r="D274" s="133"/>
      <c r="E274" s="133"/>
      <c r="F274" s="133"/>
      <c r="G274" s="133"/>
      <c r="H274" s="133"/>
    </row>
    <row r="275" spans="1:8" x14ac:dyDescent="0.35">
      <c r="A275" s="152" t="s">
        <v>109</v>
      </c>
      <c r="B275" s="152"/>
      <c r="C275" s="152" t="s">
        <v>243</v>
      </c>
      <c r="D275" s="152"/>
      <c r="E275" s="152" t="s">
        <v>142</v>
      </c>
      <c r="F275" s="152"/>
      <c r="G275" s="152" t="s">
        <v>255</v>
      </c>
      <c r="H275" s="152"/>
    </row>
    <row r="276" spans="1:8" x14ac:dyDescent="0.35">
      <c r="A276" s="151" t="s">
        <v>111</v>
      </c>
      <c r="B276" s="151"/>
      <c r="C276" s="151"/>
      <c r="D276" s="151"/>
      <c r="E276" s="151"/>
      <c r="F276" s="151"/>
      <c r="G276" s="151"/>
      <c r="H276" s="151"/>
    </row>
    <row r="277" spans="1:8" x14ac:dyDescent="0.35">
      <c r="A277" s="151"/>
      <c r="B277" s="151"/>
      <c r="C277" s="151"/>
      <c r="D277" s="151"/>
      <c r="E277" s="151"/>
      <c r="F277" s="151"/>
      <c r="G277" s="151"/>
      <c r="H277" s="151"/>
    </row>
    <row r="278" spans="1:8" x14ac:dyDescent="0.35">
      <c r="A278" s="151"/>
      <c r="B278" s="151"/>
      <c r="C278" s="151"/>
      <c r="D278" s="151"/>
      <c r="E278" s="151"/>
      <c r="F278" s="151"/>
      <c r="G278" s="151"/>
      <c r="H278" s="151"/>
    </row>
    <row r="279" spans="1:8" x14ac:dyDescent="0.35">
      <c r="A279" s="151"/>
      <c r="B279" s="151"/>
      <c r="C279" s="151"/>
      <c r="D279" s="151"/>
      <c r="E279" s="151"/>
      <c r="F279" s="151"/>
      <c r="G279" s="151"/>
      <c r="H279" s="151"/>
    </row>
    <row r="280" spans="1:8" x14ac:dyDescent="0.35">
      <c r="A280" s="15" t="s">
        <v>75</v>
      </c>
      <c r="B280" s="16"/>
      <c r="C280" s="16"/>
      <c r="D280" s="15" t="str">
        <f>E8</f>
        <v>Patels Glory</v>
      </c>
      <c r="F280" s="16"/>
      <c r="G280" s="16"/>
      <c r="H280" s="16"/>
    </row>
    <row r="281" spans="1:8" x14ac:dyDescent="0.35">
      <c r="A281" s="16"/>
      <c r="B281" s="16"/>
      <c r="C281" s="16"/>
      <c r="D281" s="16"/>
      <c r="E281" s="16"/>
      <c r="F281" s="16"/>
      <c r="G281" s="16"/>
      <c r="H281" s="16"/>
    </row>
    <row r="282" spans="1:8" x14ac:dyDescent="0.35">
      <c r="A282" s="16"/>
      <c r="B282"/>
      <c r="C282" s="16"/>
      <c r="D282" s="16"/>
      <c r="E282" s="16"/>
      <c r="F282" s="16"/>
      <c r="G282" s="16"/>
      <c r="H282" s="16"/>
    </row>
    <row r="283" spans="1:8" ht="15" customHeight="1" x14ac:dyDescent="0.35"/>
    <row r="324" spans="1:8" x14ac:dyDescent="0.35">
      <c r="A324" s="8"/>
      <c r="B324" s="16"/>
      <c r="C324" s="16"/>
      <c r="D324" s="8"/>
      <c r="F324" s="16"/>
      <c r="G324" s="16"/>
      <c r="H324" s="16"/>
    </row>
    <row r="325" spans="1:8" x14ac:dyDescent="0.35">
      <c r="A325" s="16"/>
      <c r="B325"/>
      <c r="C325" s="16"/>
      <c r="D325" s="16"/>
      <c r="E325" s="16"/>
      <c r="F325" s="16"/>
      <c r="G325" s="16"/>
      <c r="H325" s="16"/>
    </row>
    <row r="326" spans="1:8" x14ac:dyDescent="0.35">
      <c r="A326" s="18" t="s">
        <v>76</v>
      </c>
    </row>
  </sheetData>
  <mergeCells count="449">
    <mergeCell ref="C51:E51"/>
    <mergeCell ref="G51:H51"/>
    <mergeCell ref="A111:B112"/>
    <mergeCell ref="C111:D112"/>
    <mergeCell ref="E111:F112"/>
    <mergeCell ref="G111:H112"/>
    <mergeCell ref="B266:H266"/>
    <mergeCell ref="B267:H267"/>
    <mergeCell ref="C50:E50"/>
    <mergeCell ref="G50:H50"/>
    <mergeCell ref="B265:H265"/>
    <mergeCell ref="C110:H110"/>
    <mergeCell ref="A113:B113"/>
    <mergeCell ref="E113:F113"/>
    <mergeCell ref="G113:H113"/>
    <mergeCell ref="A142:B142"/>
    <mergeCell ref="C142:H142"/>
    <mergeCell ref="A143:B143"/>
    <mergeCell ref="E143:F143"/>
    <mergeCell ref="G143:H143"/>
    <mergeCell ref="A127:B128"/>
    <mergeCell ref="C127:D128"/>
    <mergeCell ref="E127:F128"/>
    <mergeCell ref="G127:H128"/>
    <mergeCell ref="A75:B75"/>
    <mergeCell ref="A60:C60"/>
    <mergeCell ref="A61:C61"/>
    <mergeCell ref="D60:H60"/>
    <mergeCell ref="E68:F77"/>
    <mergeCell ref="G68:H77"/>
    <mergeCell ref="A76:B76"/>
    <mergeCell ref="A51:B51"/>
    <mergeCell ref="C36:H36"/>
    <mergeCell ref="A92:B92"/>
    <mergeCell ref="C92:H92"/>
    <mergeCell ref="A94:B94"/>
    <mergeCell ref="C94:H94"/>
    <mergeCell ref="A95:B95"/>
    <mergeCell ref="E95:F95"/>
    <mergeCell ref="G95:H95"/>
    <mergeCell ref="A108:B108"/>
    <mergeCell ref="C108:H108"/>
    <mergeCell ref="A38:D38"/>
    <mergeCell ref="E38:H38"/>
    <mergeCell ref="A37:H37"/>
    <mergeCell ref="A36:B36"/>
    <mergeCell ref="A40:D40"/>
    <mergeCell ref="E40:H40"/>
    <mergeCell ref="E41:H41"/>
    <mergeCell ref="E42:H42"/>
    <mergeCell ref="E43:H43"/>
    <mergeCell ref="A41:D41"/>
    <mergeCell ref="A42:D42"/>
    <mergeCell ref="A43:D43"/>
    <mergeCell ref="A44:H44"/>
    <mergeCell ref="D59:H59"/>
    <mergeCell ref="A77:B77"/>
    <mergeCell ref="D61:H61"/>
    <mergeCell ref="A62:C62"/>
    <mergeCell ref="D62:H62"/>
    <mergeCell ref="C66:H66"/>
    <mergeCell ref="A69:B69"/>
    <mergeCell ref="A71:B71"/>
    <mergeCell ref="E67:F67"/>
    <mergeCell ref="A74:B74"/>
    <mergeCell ref="A67:B67"/>
    <mergeCell ref="A70:B70"/>
    <mergeCell ref="A63:C63"/>
    <mergeCell ref="D63:H63"/>
    <mergeCell ref="A68:B68"/>
    <mergeCell ref="G67:H67"/>
    <mergeCell ref="A66:B66"/>
    <mergeCell ref="A64:B64"/>
    <mergeCell ref="C64:H64"/>
    <mergeCell ref="A72:B72"/>
    <mergeCell ref="E96:F105"/>
    <mergeCell ref="G96:H105"/>
    <mergeCell ref="A97:B97"/>
    <mergeCell ref="A114:B114"/>
    <mergeCell ref="E114:F123"/>
    <mergeCell ref="G114:H123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10:B110"/>
    <mergeCell ref="A233:B233"/>
    <mergeCell ref="A234:B234"/>
    <mergeCell ref="A228:H228"/>
    <mergeCell ref="A229:H229"/>
    <mergeCell ref="A230:H230"/>
    <mergeCell ref="A231:B231"/>
    <mergeCell ref="A232:B232"/>
    <mergeCell ref="G231:H234"/>
    <mergeCell ref="A227:B227"/>
    <mergeCell ref="A221:H221"/>
    <mergeCell ref="A222:H222"/>
    <mergeCell ref="A223:H223"/>
    <mergeCell ref="A224:B224"/>
    <mergeCell ref="A225:B225"/>
    <mergeCell ref="A226:B226"/>
    <mergeCell ref="G224:H227"/>
    <mergeCell ref="A215:H215"/>
    <mergeCell ref="A216:H216"/>
    <mergeCell ref="A217:B217"/>
    <mergeCell ref="A218:B218"/>
    <mergeCell ref="A219:B219"/>
    <mergeCell ref="A220:B220"/>
    <mergeCell ref="G217:H220"/>
    <mergeCell ref="A213:B213"/>
    <mergeCell ref="A200:H200"/>
    <mergeCell ref="A207:H207"/>
    <mergeCell ref="A201:H201"/>
    <mergeCell ref="A208:H208"/>
    <mergeCell ref="A214:H214"/>
    <mergeCell ref="G203:H206"/>
    <mergeCell ref="G210:H213"/>
    <mergeCell ref="A209:H209"/>
    <mergeCell ref="A210:B210"/>
    <mergeCell ref="A211:B211"/>
    <mergeCell ref="G195:H195"/>
    <mergeCell ref="A177:E177"/>
    <mergeCell ref="F177:H177"/>
    <mergeCell ref="A178:E178"/>
    <mergeCell ref="A192:B192"/>
    <mergeCell ref="C192:D192"/>
    <mergeCell ref="E192:F192"/>
    <mergeCell ref="G192:H192"/>
    <mergeCell ref="A212:B212"/>
    <mergeCell ref="A180:E180"/>
    <mergeCell ref="F174:H174"/>
    <mergeCell ref="A179:E179"/>
    <mergeCell ref="A175:E175"/>
    <mergeCell ref="A193:B193"/>
    <mergeCell ref="C193:D193"/>
    <mergeCell ref="E193:F193"/>
    <mergeCell ref="G193:H193"/>
    <mergeCell ref="A194:B194"/>
    <mergeCell ref="C194:D194"/>
    <mergeCell ref="E194:F194"/>
    <mergeCell ref="G194:H194"/>
    <mergeCell ref="F178:H178"/>
    <mergeCell ref="A172:E172"/>
    <mergeCell ref="A144:B144"/>
    <mergeCell ref="E144:F153"/>
    <mergeCell ref="A154:B154"/>
    <mergeCell ref="C154:H154"/>
    <mergeCell ref="A156:B156"/>
    <mergeCell ref="C156:H156"/>
    <mergeCell ref="A157:B157"/>
    <mergeCell ref="E157:F157"/>
    <mergeCell ref="G157:H157"/>
    <mergeCell ref="A158:B158"/>
    <mergeCell ref="E158:F167"/>
    <mergeCell ref="G158:H167"/>
    <mergeCell ref="A159:B159"/>
    <mergeCell ref="A160:B160"/>
    <mergeCell ref="A161:B161"/>
    <mergeCell ref="A162:B162"/>
    <mergeCell ref="A163:B163"/>
    <mergeCell ref="A164:B164"/>
    <mergeCell ref="A165:B165"/>
    <mergeCell ref="A166:B166"/>
    <mergeCell ref="A167:B167"/>
    <mergeCell ref="B257:H257"/>
    <mergeCell ref="B258:H258"/>
    <mergeCell ref="B259:H259"/>
    <mergeCell ref="B260:H260"/>
    <mergeCell ref="B261:H261"/>
    <mergeCell ref="A151:B151"/>
    <mergeCell ref="A152:B152"/>
    <mergeCell ref="A153:B153"/>
    <mergeCell ref="G144:H153"/>
    <mergeCell ref="A145:B145"/>
    <mergeCell ref="A146:B146"/>
    <mergeCell ref="A147:B147"/>
    <mergeCell ref="F181:H181"/>
    <mergeCell ref="A240:B240"/>
    <mergeCell ref="G238:H241"/>
    <mergeCell ref="A241:B241"/>
    <mergeCell ref="A242:H242"/>
    <mergeCell ref="A243:H243"/>
    <mergeCell ref="A244:H244"/>
    <mergeCell ref="A245:B245"/>
    <mergeCell ref="A246:B246"/>
    <mergeCell ref="G245:H248"/>
    <mergeCell ref="A247:B247"/>
    <mergeCell ref="A248:B248"/>
    <mergeCell ref="F33:H33"/>
    <mergeCell ref="A35:B35"/>
    <mergeCell ref="E35:F35"/>
    <mergeCell ref="C35:D35"/>
    <mergeCell ref="G35:H35"/>
    <mergeCell ref="F29:H29"/>
    <mergeCell ref="A30:B30"/>
    <mergeCell ref="A29:B29"/>
    <mergeCell ref="C30:E30"/>
    <mergeCell ref="A31:B31"/>
    <mergeCell ref="C31:E31"/>
    <mergeCell ref="A34:H34"/>
    <mergeCell ref="A33:B33"/>
    <mergeCell ref="C33:E33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F30:H30"/>
    <mergeCell ref="F31:H31"/>
    <mergeCell ref="C29:E29"/>
    <mergeCell ref="F32:H32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276:H279"/>
    <mergeCell ref="A275:B275"/>
    <mergeCell ref="E275:F275"/>
    <mergeCell ref="C275:D275"/>
    <mergeCell ref="G275:H275"/>
    <mergeCell ref="A185:H185"/>
    <mergeCell ref="A183:E183"/>
    <mergeCell ref="F183:H183"/>
    <mergeCell ref="A184:E184"/>
    <mergeCell ref="F184:H184"/>
    <mergeCell ref="A187:B187"/>
    <mergeCell ref="A205:B205"/>
    <mergeCell ref="A271:H271"/>
    <mergeCell ref="A274:H274"/>
    <mergeCell ref="A272:H272"/>
    <mergeCell ref="A256:H256"/>
    <mergeCell ref="B198:B199"/>
    <mergeCell ref="A202:H202"/>
    <mergeCell ref="A197:H197"/>
    <mergeCell ref="A198:A199"/>
    <mergeCell ref="A206:B206"/>
    <mergeCell ref="A203:B203"/>
    <mergeCell ref="B262:H262"/>
    <mergeCell ref="A268:H268"/>
    <mergeCell ref="A269:H269"/>
    <mergeCell ref="E186:F186"/>
    <mergeCell ref="A168:E168"/>
    <mergeCell ref="F168:H168"/>
    <mergeCell ref="A196:H196"/>
    <mergeCell ref="F179:H179"/>
    <mergeCell ref="C186:D186"/>
    <mergeCell ref="F175:H175"/>
    <mergeCell ref="F182:H182"/>
    <mergeCell ref="F180:H180"/>
    <mergeCell ref="A204:B204"/>
    <mergeCell ref="G186:H186"/>
    <mergeCell ref="A181:E181"/>
    <mergeCell ref="C187:D187"/>
    <mergeCell ref="E187:F187"/>
    <mergeCell ref="C170:H170"/>
    <mergeCell ref="F173:H173"/>
    <mergeCell ref="A173:E173"/>
    <mergeCell ref="A182:E182"/>
    <mergeCell ref="A174:E174"/>
    <mergeCell ref="A176:E176"/>
    <mergeCell ref="F176:H176"/>
    <mergeCell ref="B263:H263"/>
    <mergeCell ref="A239:B239"/>
    <mergeCell ref="C45:E45"/>
    <mergeCell ref="G45:H45"/>
    <mergeCell ref="G47:H47"/>
    <mergeCell ref="D53:H53"/>
    <mergeCell ref="C47:E47"/>
    <mergeCell ref="D56:H56"/>
    <mergeCell ref="D57:H57"/>
    <mergeCell ref="C46:E46"/>
    <mergeCell ref="A49:B49"/>
    <mergeCell ref="C49:E49"/>
    <mergeCell ref="A46:B46"/>
    <mergeCell ref="A52:H52"/>
    <mergeCell ref="A53:C53"/>
    <mergeCell ref="A54:C54"/>
    <mergeCell ref="D54:H54"/>
    <mergeCell ref="G49:H49"/>
    <mergeCell ref="C48:H48"/>
    <mergeCell ref="D55:H55"/>
    <mergeCell ref="A55:C55"/>
    <mergeCell ref="G46:H46"/>
    <mergeCell ref="A47:B48"/>
    <mergeCell ref="A56:C59"/>
    <mergeCell ref="D58:H58"/>
    <mergeCell ref="A50:B50"/>
    <mergeCell ref="E39:H39"/>
    <mergeCell ref="A39:D39"/>
    <mergeCell ref="A273:H273"/>
    <mergeCell ref="A270:H270"/>
    <mergeCell ref="A186:B186"/>
    <mergeCell ref="D198:D199"/>
    <mergeCell ref="E198:E199"/>
    <mergeCell ref="G198:H199"/>
    <mergeCell ref="A148:B148"/>
    <mergeCell ref="A149:B149"/>
    <mergeCell ref="A150:B150"/>
    <mergeCell ref="A140:B140"/>
    <mergeCell ref="C140:H140"/>
    <mergeCell ref="A73:B73"/>
    <mergeCell ref="F172:H172"/>
    <mergeCell ref="A169:H169"/>
    <mergeCell ref="A170:B170"/>
    <mergeCell ref="A171:H171"/>
    <mergeCell ref="G187:H187"/>
    <mergeCell ref="A45:B45"/>
    <mergeCell ref="A235:H235"/>
    <mergeCell ref="A236:H236"/>
    <mergeCell ref="A237:H237"/>
    <mergeCell ref="A238:B238"/>
    <mergeCell ref="A249:H249"/>
    <mergeCell ref="A250:H250"/>
    <mergeCell ref="A251:H251"/>
    <mergeCell ref="A252:B252"/>
    <mergeCell ref="G252:H255"/>
    <mergeCell ref="A253:B253"/>
    <mergeCell ref="A254:B254"/>
    <mergeCell ref="A255:B255"/>
    <mergeCell ref="A188:B188"/>
    <mergeCell ref="C188:D188"/>
    <mergeCell ref="E188:F188"/>
    <mergeCell ref="G188:H188"/>
    <mergeCell ref="A189:B189"/>
    <mergeCell ref="C189:D189"/>
    <mergeCell ref="E189:F189"/>
    <mergeCell ref="G189:H189"/>
    <mergeCell ref="A190:B190"/>
    <mergeCell ref="C190:D190"/>
    <mergeCell ref="E190:F190"/>
    <mergeCell ref="G190:H190"/>
    <mergeCell ref="C198:C199"/>
    <mergeCell ref="A195:B195"/>
    <mergeCell ref="C195:D195"/>
    <mergeCell ref="E195:F195"/>
    <mergeCell ref="A96:B96"/>
    <mergeCell ref="A191:B191"/>
    <mergeCell ref="C191:D191"/>
    <mergeCell ref="E191:F191"/>
    <mergeCell ref="G191:H191"/>
    <mergeCell ref="A124:B124"/>
    <mergeCell ref="C124:H124"/>
    <mergeCell ref="A126:B126"/>
    <mergeCell ref="C126:H126"/>
    <mergeCell ref="A129:B129"/>
    <mergeCell ref="E129:F129"/>
    <mergeCell ref="G129:H129"/>
    <mergeCell ref="A130:B130"/>
    <mergeCell ref="E130:F139"/>
    <mergeCell ref="G130:H139"/>
    <mergeCell ref="A131:B131"/>
    <mergeCell ref="A132:B132"/>
    <mergeCell ref="A133:B133"/>
    <mergeCell ref="A134:B134"/>
    <mergeCell ref="A135:B135"/>
    <mergeCell ref="A136:B136"/>
    <mergeCell ref="A137:B137"/>
    <mergeCell ref="A138:B138"/>
    <mergeCell ref="A139:B139"/>
    <mergeCell ref="B264:H264"/>
    <mergeCell ref="A106:B107"/>
    <mergeCell ref="C106:D107"/>
    <mergeCell ref="E106:F107"/>
    <mergeCell ref="G106:H107"/>
    <mergeCell ref="A78:B78"/>
    <mergeCell ref="C78:H78"/>
    <mergeCell ref="A80:B80"/>
    <mergeCell ref="C80:H80"/>
    <mergeCell ref="A81:B81"/>
    <mergeCell ref="E81:F81"/>
    <mergeCell ref="G81:H81"/>
    <mergeCell ref="A82:B82"/>
    <mergeCell ref="E82:F91"/>
    <mergeCell ref="G82:H91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</mergeCells>
  <hyperlinks>
    <hyperlink ref="C36" r:id="rId1"/>
  </hyperlinks>
  <printOptions horizontalCentered="1"/>
  <pageMargins left="0.39370078740157483" right="0.39370078740157483" top="0.78740157480314965" bottom="0.78740157480314965" header="0.19685039370078741" footer="0.19685039370078741"/>
  <pageSetup scale="92" fitToHeight="0" orientation="portrait" r:id="rId2"/>
  <headerFooter>
    <oddHeader>&amp;C&amp;G</oddHeader>
    <oddFooter>&amp;L&amp;"Times New Roman,Bold"&amp;12Ref No: &amp;F&amp;C&amp;G&amp;R&amp;"Times New Roman,Bold"&amp;12                                   &amp;P</oddFooter>
  </headerFooter>
  <rowBreaks count="2" manualBreakCount="2">
    <brk id="279" max="16383" man="1"/>
    <brk id="325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L36"/>
  <sheetViews>
    <sheetView topLeftCell="A4" workbookViewId="0">
      <selection activeCell="F21" sqref="F21"/>
    </sheetView>
  </sheetViews>
  <sheetFormatPr defaultRowHeight="14.5" x14ac:dyDescent="0.35"/>
  <cols>
    <col min="2" max="2" width="12.1796875" customWidth="1"/>
  </cols>
  <sheetData>
    <row r="2" spans="1:12" x14ac:dyDescent="0.35">
      <c r="B2" s="3" t="s">
        <v>78</v>
      </c>
      <c r="C2" s="196"/>
      <c r="D2" s="196"/>
    </row>
    <row r="3" spans="1:12" x14ac:dyDescent="0.35">
      <c r="D3" s="4"/>
      <c r="E3" s="4"/>
      <c r="F3" s="4"/>
      <c r="G3" s="4"/>
      <c r="H3" s="4"/>
      <c r="I3" s="4"/>
    </row>
    <row r="4" spans="1:12" x14ac:dyDescent="0.35">
      <c r="A4" s="3" t="s">
        <v>79</v>
      </c>
      <c r="B4" s="5" t="s">
        <v>80</v>
      </c>
      <c r="C4" s="197" t="s">
        <v>81</v>
      </c>
      <c r="D4" s="197"/>
      <c r="E4" s="197"/>
      <c r="F4" s="6"/>
      <c r="G4" s="197" t="s">
        <v>82</v>
      </c>
      <c r="H4" s="197"/>
      <c r="I4" s="197"/>
      <c r="J4" s="197" t="s">
        <v>83</v>
      </c>
      <c r="K4" s="197"/>
      <c r="L4" s="197"/>
    </row>
    <row r="5" spans="1:12" x14ac:dyDescent="0.35">
      <c r="A5" s="3">
        <v>202</v>
      </c>
      <c r="B5" s="5"/>
      <c r="C5" s="5" t="s">
        <v>84</v>
      </c>
      <c r="D5" s="5" t="s">
        <v>85</v>
      </c>
      <c r="E5" s="5" t="s">
        <v>63</v>
      </c>
      <c r="F5" s="5"/>
      <c r="G5" s="5" t="s">
        <v>84</v>
      </c>
      <c r="H5" s="5" t="s">
        <v>85</v>
      </c>
      <c r="I5" s="5" t="s">
        <v>63</v>
      </c>
      <c r="J5" s="5" t="s">
        <v>84</v>
      </c>
      <c r="K5" s="5" t="s">
        <v>85</v>
      </c>
      <c r="L5" s="5" t="s">
        <v>63</v>
      </c>
    </row>
    <row r="6" spans="1:12" x14ac:dyDescent="0.35">
      <c r="B6" s="7" t="s">
        <v>86</v>
      </c>
      <c r="C6" s="7"/>
      <c r="D6" s="7"/>
      <c r="E6" s="7">
        <f>C6*D6</f>
        <v>0</v>
      </c>
      <c r="F6" s="7" t="s">
        <v>87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35">
      <c r="B7" s="7"/>
      <c r="C7" s="7"/>
      <c r="D7" s="7"/>
      <c r="E7" s="7">
        <f t="shared" ref="E7:E33" si="0">C7*D7</f>
        <v>0</v>
      </c>
      <c r="F7" s="7" t="s">
        <v>88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35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35">
      <c r="B9" s="7" t="s">
        <v>89</v>
      </c>
      <c r="C9" s="7"/>
      <c r="D9" s="7"/>
      <c r="E9" s="7">
        <f t="shared" si="0"/>
        <v>0</v>
      </c>
      <c r="F9" s="7" t="s">
        <v>87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35">
      <c r="B10" s="7"/>
      <c r="C10" s="7"/>
      <c r="D10" s="7"/>
      <c r="E10" s="7">
        <f t="shared" si="0"/>
        <v>0</v>
      </c>
      <c r="F10" s="7" t="s">
        <v>88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35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35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35">
      <c r="B13" s="7" t="s">
        <v>90</v>
      </c>
      <c r="C13" s="7"/>
      <c r="D13" s="7"/>
      <c r="E13" s="7">
        <f t="shared" si="0"/>
        <v>0</v>
      </c>
      <c r="F13" s="7" t="s">
        <v>87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35">
      <c r="B14" s="7"/>
      <c r="C14" s="7"/>
      <c r="D14" s="7"/>
      <c r="E14" s="7">
        <f t="shared" si="0"/>
        <v>0</v>
      </c>
      <c r="F14" s="7" t="s">
        <v>88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35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35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35">
      <c r="B17" s="7" t="s">
        <v>91</v>
      </c>
      <c r="C17" s="7"/>
      <c r="D17" s="7"/>
      <c r="E17" s="7">
        <f t="shared" si="0"/>
        <v>0</v>
      </c>
      <c r="F17" s="7" t="s">
        <v>87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35">
      <c r="B18" s="7"/>
      <c r="C18" s="7"/>
      <c r="D18" s="7"/>
      <c r="E18" s="7">
        <f t="shared" si="0"/>
        <v>0</v>
      </c>
      <c r="F18" s="7" t="s">
        <v>88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35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35">
      <c r="B20" s="7" t="s">
        <v>91</v>
      </c>
      <c r="C20" s="7"/>
      <c r="D20" s="7"/>
      <c r="E20" s="7">
        <f t="shared" si="0"/>
        <v>0</v>
      </c>
      <c r="F20" s="7" t="s">
        <v>87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35">
      <c r="B21" s="7"/>
      <c r="C21" s="7"/>
      <c r="D21" s="7"/>
      <c r="E21" s="7">
        <f t="shared" si="0"/>
        <v>0</v>
      </c>
      <c r="F21" s="7" t="s">
        <v>88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35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35">
      <c r="B23" s="7" t="s">
        <v>92</v>
      </c>
      <c r="C23" s="7"/>
      <c r="D23" s="7"/>
      <c r="E23" s="7">
        <f t="shared" si="0"/>
        <v>0</v>
      </c>
      <c r="F23" s="7" t="s">
        <v>93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35">
      <c r="B24" s="7" t="s">
        <v>94</v>
      </c>
      <c r="C24" s="7"/>
      <c r="D24" s="7"/>
      <c r="E24" s="7">
        <f t="shared" si="0"/>
        <v>0</v>
      </c>
      <c r="F24" s="7" t="s">
        <v>93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35">
      <c r="B25" s="7" t="s">
        <v>95</v>
      </c>
      <c r="C25" s="7"/>
      <c r="D25" s="7"/>
      <c r="E25" s="7">
        <f t="shared" si="0"/>
        <v>0</v>
      </c>
      <c r="F25" s="7" t="s">
        <v>93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35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35">
      <c r="B27" s="7" t="s">
        <v>96</v>
      </c>
      <c r="C27" s="7"/>
      <c r="D27" s="7"/>
      <c r="E27" s="7">
        <f t="shared" si="0"/>
        <v>0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35">
      <c r="B28" s="7" t="s">
        <v>97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35">
      <c r="B29" s="7" t="s">
        <v>98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35">
      <c r="B30" s="7" t="s">
        <v>99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35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35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35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35">
      <c r="B34" s="7" t="s">
        <v>64</v>
      </c>
      <c r="C34" s="7"/>
      <c r="D34" s="7">
        <f>E34*10.764</f>
        <v>0</v>
      </c>
      <c r="E34" s="7">
        <f>SUM(E6:E33)</f>
        <v>0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35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115" zoomScaleNormal="115" workbookViewId="0">
      <selection activeCell="D13" sqref="D13"/>
    </sheetView>
  </sheetViews>
  <sheetFormatPr defaultColWidth="8.81640625" defaultRowHeight="14.5" x14ac:dyDescent="0.35"/>
  <cols>
    <col min="1" max="1" width="8.81640625" style="24"/>
    <col min="2" max="2" width="22.1796875" style="24" customWidth="1"/>
    <col min="3" max="3" width="37" style="24" customWidth="1"/>
    <col min="4" max="5" width="11.453125" style="24" customWidth="1"/>
    <col min="6" max="6" width="14" style="24" customWidth="1"/>
    <col min="7" max="7" width="20" style="24" customWidth="1"/>
    <col min="8" max="8" width="16.453125" style="24" customWidth="1"/>
    <col min="9" max="16384" width="8.81640625" style="24"/>
  </cols>
  <sheetData>
    <row r="1" spans="1:9" ht="15" customHeight="1" x14ac:dyDescent="0.35"/>
    <row r="2" spans="1:9" ht="15" customHeight="1" x14ac:dyDescent="0.35">
      <c r="A2" s="25"/>
      <c r="B2" s="25"/>
      <c r="C2" s="25"/>
      <c r="D2" s="25"/>
      <c r="E2" s="25"/>
      <c r="F2" s="25"/>
      <c r="G2" s="25"/>
      <c r="H2" s="25"/>
    </row>
    <row r="3" spans="1:9" ht="15.75" customHeight="1" x14ac:dyDescent="0.35">
      <c r="A3" s="25"/>
      <c r="B3" s="198" t="s">
        <v>143</v>
      </c>
      <c r="C3" s="198"/>
      <c r="D3" s="198"/>
      <c r="E3" s="198"/>
      <c r="F3" s="198"/>
      <c r="G3" s="198"/>
      <c r="H3" s="198"/>
    </row>
    <row r="4" spans="1:9" x14ac:dyDescent="0.35">
      <c r="A4" s="25"/>
      <c r="B4" s="26" t="s">
        <v>144</v>
      </c>
      <c r="C4" s="26" t="s">
        <v>145</v>
      </c>
      <c r="D4" s="26" t="s">
        <v>79</v>
      </c>
      <c r="E4" s="26" t="s">
        <v>146</v>
      </c>
      <c r="F4" s="26" t="s">
        <v>153</v>
      </c>
      <c r="G4" s="26" t="s">
        <v>154</v>
      </c>
      <c r="H4" s="26" t="s">
        <v>147</v>
      </c>
    </row>
    <row r="5" spans="1:9" ht="15" customHeight="1" x14ac:dyDescent="0.35">
      <c r="A5" s="25"/>
      <c r="B5" s="28" t="s">
        <v>148</v>
      </c>
      <c r="C5" s="29"/>
      <c r="D5" s="28" t="s">
        <v>149</v>
      </c>
      <c r="E5" s="28">
        <v>1106</v>
      </c>
      <c r="F5" s="30">
        <f>E5*1.6</f>
        <v>1769.6000000000001</v>
      </c>
      <c r="G5" s="30">
        <f>H5/F5</f>
        <v>31532.549728752259</v>
      </c>
      <c r="H5" s="31">
        <v>55800000</v>
      </c>
    </row>
    <row r="6" spans="1:9" x14ac:dyDescent="0.35">
      <c r="A6" s="25"/>
      <c r="B6" s="28" t="s">
        <v>148</v>
      </c>
      <c r="C6" s="32"/>
      <c r="D6" s="28"/>
      <c r="E6" s="28"/>
      <c r="F6" s="30">
        <f t="shared" ref="F6:F11" si="0">E6*1.6</f>
        <v>0</v>
      </c>
      <c r="G6" s="30" t="e">
        <f t="shared" ref="G6:G11" si="1">H6/F6</f>
        <v>#DIV/0!</v>
      </c>
      <c r="H6" s="31"/>
    </row>
    <row r="7" spans="1:9" ht="15" customHeight="1" x14ac:dyDescent="0.35">
      <c r="A7" s="25"/>
      <c r="B7" s="28" t="s">
        <v>148</v>
      </c>
      <c r="C7" s="29"/>
      <c r="D7" s="28"/>
      <c r="E7" s="28"/>
      <c r="F7" s="30">
        <f t="shared" si="0"/>
        <v>0</v>
      </c>
      <c r="G7" s="30" t="e">
        <f t="shared" si="1"/>
        <v>#DIV/0!</v>
      </c>
      <c r="H7" s="31"/>
    </row>
    <row r="8" spans="1:9" x14ac:dyDescent="0.35">
      <c r="A8" s="25"/>
      <c r="B8" s="28" t="s">
        <v>148</v>
      </c>
      <c r="C8" s="32"/>
      <c r="D8" s="28"/>
      <c r="E8" s="28"/>
      <c r="F8" s="30">
        <f t="shared" si="0"/>
        <v>0</v>
      </c>
      <c r="G8" s="30" t="e">
        <f t="shared" si="1"/>
        <v>#DIV/0!</v>
      </c>
      <c r="H8" s="31"/>
    </row>
    <row r="9" spans="1:9" ht="15" customHeight="1" x14ac:dyDescent="0.35">
      <c r="A9" s="25"/>
      <c r="B9" s="28" t="s">
        <v>148</v>
      </c>
      <c r="C9" s="32"/>
      <c r="D9" s="28"/>
      <c r="E9" s="28"/>
      <c r="F9" s="30">
        <f t="shared" si="0"/>
        <v>0</v>
      </c>
      <c r="G9" s="30" t="e">
        <f t="shared" si="1"/>
        <v>#DIV/0!</v>
      </c>
      <c r="H9" s="31"/>
    </row>
    <row r="10" spans="1:9" ht="15" customHeight="1" x14ac:dyDescent="0.35">
      <c r="A10" s="25"/>
      <c r="B10" s="28" t="s">
        <v>150</v>
      </c>
      <c r="C10" s="29"/>
      <c r="D10" s="28"/>
      <c r="E10" s="28"/>
      <c r="F10" s="30">
        <f t="shared" si="0"/>
        <v>0</v>
      </c>
      <c r="G10" s="30" t="e">
        <f t="shared" si="1"/>
        <v>#DIV/0!</v>
      </c>
      <c r="H10" s="31"/>
    </row>
    <row r="11" spans="1:9" ht="15" customHeight="1" x14ac:dyDescent="0.35">
      <c r="A11" s="25"/>
      <c r="B11" s="28" t="s">
        <v>150</v>
      </c>
      <c r="C11" s="29"/>
      <c r="D11" s="28"/>
      <c r="E11" s="28"/>
      <c r="F11" s="30">
        <f t="shared" si="0"/>
        <v>0</v>
      </c>
      <c r="G11" s="30" t="e">
        <f t="shared" si="1"/>
        <v>#DIV/0!</v>
      </c>
      <c r="H11" s="31"/>
    </row>
    <row r="12" spans="1:9" ht="15" customHeight="1" x14ac:dyDescent="0.35">
      <c r="A12" s="25"/>
      <c r="B12" s="33" t="s">
        <v>151</v>
      </c>
      <c r="C12" s="28"/>
      <c r="D12" s="28"/>
      <c r="E12" s="28"/>
      <c r="F12" s="28"/>
      <c r="G12" s="34" t="e">
        <f>AVERAGE(G5:G11)</f>
        <v>#DIV/0!</v>
      </c>
      <c r="H12" s="28"/>
    </row>
    <row r="13" spans="1:9" ht="15" customHeight="1" x14ac:dyDescent="0.35">
      <c r="B13" s="33" t="s">
        <v>152</v>
      </c>
      <c r="C13" s="28"/>
      <c r="D13" s="28"/>
      <c r="E13" s="28"/>
      <c r="F13" s="35"/>
      <c r="G13" s="33"/>
      <c r="H13" s="33"/>
      <c r="I13" s="27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G16" sqref="G1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2025-07-11T12:27:56Z</cp:lastPrinted>
  <dcterms:created xsi:type="dcterms:W3CDTF">2019-07-16T09:29:46Z</dcterms:created>
  <dcterms:modified xsi:type="dcterms:W3CDTF">2025-09-28T11:48:29Z</dcterms:modified>
</cp:coreProperties>
</file>