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Kunal\Sept 25\Axis\Update\Icon\"/>
    </mc:Choice>
  </mc:AlternateContent>
  <xr:revisionPtr revIDLastSave="0" documentId="13_ncr:1_{0A0CBD40-7C06-4218-9C26-FB8075DF15B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119" i="1"/>
  <c r="C87" i="1"/>
  <c r="E119" i="1"/>
  <c r="G119" i="1"/>
  <c r="I340" i="1"/>
  <c r="D309" i="1"/>
  <c r="I338" i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J404" i="1"/>
  <c r="I404" i="1"/>
  <c r="G404" i="1"/>
  <c r="J341" i="1"/>
  <c r="D346" i="1"/>
  <c r="D341" i="1"/>
  <c r="D342" i="1"/>
  <c r="D311" i="1"/>
  <c r="L72" i="1"/>
  <c r="C88" i="1" l="1"/>
  <c r="C74" i="1"/>
  <c r="C89" i="1" l="1"/>
  <c r="C90" i="1" s="1"/>
  <c r="D348" i="1"/>
  <c r="D347" i="1"/>
  <c r="D345" i="1"/>
  <c r="D344" i="1"/>
  <c r="D343" i="1"/>
  <c r="J306" i="1"/>
  <c r="I306" i="1"/>
  <c r="I298" i="1"/>
  <c r="D273" i="1"/>
  <c r="F273" i="1" s="1"/>
  <c r="D254" i="1"/>
  <c r="A267" i="1"/>
  <c r="A268" i="1" s="1"/>
  <c r="A269" i="1" s="1"/>
  <c r="A270" i="1" s="1"/>
  <c r="A271" i="1" s="1"/>
  <c r="A272" i="1" s="1"/>
  <c r="A273" i="1" s="1"/>
  <c r="D269" i="1"/>
  <c r="F269" i="1" s="1"/>
  <c r="D277" i="1"/>
  <c r="F277" i="1" s="1"/>
  <c r="D276" i="1"/>
  <c r="F276" i="1" s="1"/>
  <c r="D275" i="1"/>
  <c r="F275" i="1" s="1"/>
  <c r="D274" i="1"/>
  <c r="F274" i="1" s="1"/>
  <c r="D272" i="1"/>
  <c r="F272" i="1" s="1"/>
  <c r="D271" i="1"/>
  <c r="F271" i="1" s="1"/>
  <c r="D270" i="1"/>
  <c r="F270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G261" i="1"/>
  <c r="D261" i="1"/>
  <c r="F261" i="1" s="1"/>
  <c r="D243" i="1"/>
  <c r="D224" i="1"/>
  <c r="F224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G217" i="1"/>
  <c r="D217" i="1"/>
  <c r="F217" i="1" s="1"/>
  <c r="D182" i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G189" i="1"/>
  <c r="D189" i="1"/>
  <c r="F189" i="1" s="1"/>
  <c r="D157" i="1"/>
  <c r="D156" i="1"/>
  <c r="D135" i="1"/>
  <c r="D134" i="1"/>
  <c r="A274" i="1" l="1"/>
  <c r="A275" i="1" s="1"/>
  <c r="A276" i="1" s="1"/>
  <c r="A277" i="1" s="1"/>
  <c r="M138" i="1"/>
  <c r="O138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I322" i="1"/>
  <c r="G322" i="1"/>
  <c r="D322" i="1"/>
  <c r="F322" i="1" s="1"/>
  <c r="D330" i="1"/>
  <c r="F330" i="1" s="1"/>
  <c r="D336" i="1"/>
  <c r="F336" i="1" s="1"/>
  <c r="D335" i="1"/>
  <c r="F335" i="1" s="1"/>
  <c r="D334" i="1"/>
  <c r="F334" i="1" s="1"/>
  <c r="D333" i="1"/>
  <c r="F333" i="1" s="1"/>
  <c r="D332" i="1"/>
  <c r="F332" i="1" s="1"/>
  <c r="G330" i="1"/>
  <c r="D306" i="1"/>
  <c r="D307" i="1"/>
  <c r="D308" i="1"/>
  <c r="D310" i="1"/>
  <c r="D320" i="1"/>
  <c r="D319" i="1"/>
  <c r="D318" i="1"/>
  <c r="D317" i="1"/>
  <c r="D316" i="1"/>
  <c r="D312" i="1"/>
  <c r="D300" i="1"/>
  <c r="G298" i="1"/>
  <c r="I300" i="1"/>
  <c r="D259" i="1"/>
  <c r="F259" i="1" s="1"/>
  <c r="D258" i="1"/>
  <c r="F258" i="1" s="1"/>
  <c r="D257" i="1"/>
  <c r="F257" i="1" s="1"/>
  <c r="D256" i="1"/>
  <c r="F256" i="1" s="1"/>
  <c r="D255" i="1"/>
  <c r="F255" i="1" s="1"/>
  <c r="F254" i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F243" i="1"/>
  <c r="G243" i="1"/>
  <c r="D180" i="1"/>
  <c r="D176" i="1"/>
  <c r="F176" i="1" s="1"/>
  <c r="D175" i="1"/>
  <c r="D174" i="1"/>
  <c r="D173" i="1"/>
  <c r="D172" i="1"/>
  <c r="D155" i="1"/>
  <c r="D152" i="1"/>
  <c r="F152" i="1" s="1"/>
  <c r="D151" i="1"/>
  <c r="D150" i="1"/>
  <c r="D149" i="1"/>
  <c r="D148" i="1"/>
  <c r="D133" i="1"/>
  <c r="D130" i="1"/>
  <c r="F300" i="1" l="1"/>
  <c r="C118" i="1"/>
  <c r="E118" i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G281" i="1"/>
  <c r="E113" i="1" l="1"/>
  <c r="F281" i="1"/>
  <c r="G113" i="1" s="1"/>
  <c r="C113" i="1"/>
  <c r="L362" i="1" l="1"/>
  <c r="L361" i="1"/>
  <c r="K362" i="1"/>
  <c r="J361" i="1"/>
  <c r="I280" i="1"/>
  <c r="L363" i="1" l="1"/>
  <c r="D55" i="1"/>
  <c r="D400" i="1" l="1"/>
  <c r="D391" i="1"/>
  <c r="D399" i="1"/>
  <c r="D390" i="1"/>
  <c r="F40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45" i="1"/>
  <c r="B415" i="1"/>
  <c r="B414" i="1"/>
  <c r="F399" i="1"/>
  <c r="G395" i="1"/>
  <c r="F391" i="1"/>
  <c r="F390" i="1"/>
  <c r="D387" i="1"/>
  <c r="F387" i="1" s="1"/>
  <c r="G386" i="1"/>
  <c r="D386" i="1"/>
  <c r="F386" i="1" s="1"/>
  <c r="F384" i="1"/>
  <c r="F383" i="1"/>
  <c r="D382" i="1"/>
  <c r="F382" i="1" s="1"/>
  <c r="D381" i="1"/>
  <c r="F381" i="1" s="1"/>
  <c r="D378" i="1"/>
  <c r="F378" i="1" s="1"/>
  <c r="G377" i="1"/>
  <c r="D377" i="1"/>
  <c r="F377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G368" i="1"/>
  <c r="D368" i="1"/>
  <c r="F368" i="1" s="1"/>
  <c r="D366" i="1"/>
  <c r="F366" i="1" s="1"/>
  <c r="D365" i="1"/>
  <c r="F365" i="1" s="1"/>
  <c r="J362" i="1" s="1"/>
  <c r="J363" i="1" s="1"/>
  <c r="D364" i="1"/>
  <c r="F364" i="1" s="1"/>
  <c r="D363" i="1"/>
  <c r="F363" i="1" s="1"/>
  <c r="D362" i="1"/>
  <c r="F362" i="1" s="1"/>
  <c r="D361" i="1"/>
  <c r="F361" i="1" s="1"/>
  <c r="D360" i="1"/>
  <c r="F360" i="1" s="1"/>
  <c r="G359" i="1"/>
  <c r="D359" i="1"/>
  <c r="F359" i="1" s="1"/>
  <c r="D357" i="1"/>
  <c r="F357" i="1" s="1"/>
  <c r="D356" i="1"/>
  <c r="F356" i="1" s="1"/>
  <c r="D355" i="1"/>
  <c r="F355" i="1" s="1"/>
  <c r="D354" i="1"/>
  <c r="F354" i="1" s="1"/>
  <c r="D353" i="1"/>
  <c r="F353" i="1" s="1"/>
  <c r="D352" i="1"/>
  <c r="F352" i="1" s="1"/>
  <c r="A351" i="1"/>
  <c r="A352" i="1" s="1"/>
  <c r="A353" i="1" s="1"/>
  <c r="A354" i="1" s="1"/>
  <c r="A355" i="1" s="1"/>
  <c r="A356" i="1" s="1"/>
  <c r="A357" i="1" s="1"/>
  <c r="G350" i="1"/>
  <c r="F348" i="1"/>
  <c r="F347" i="1"/>
  <c r="F346" i="1"/>
  <c r="F345" i="1"/>
  <c r="F344" i="1"/>
  <c r="F343" i="1"/>
  <c r="F342" i="1"/>
  <c r="I341" i="1"/>
  <c r="G341" i="1"/>
  <c r="F320" i="1"/>
  <c r="F319" i="1"/>
  <c r="F318" i="1"/>
  <c r="F317" i="1"/>
  <c r="F316" i="1"/>
  <c r="G314" i="1"/>
  <c r="F312" i="1"/>
  <c r="F311" i="1"/>
  <c r="F310" i="1"/>
  <c r="F309" i="1"/>
  <c r="F308" i="1"/>
  <c r="G306" i="1"/>
  <c r="D187" i="1"/>
  <c r="F187" i="1" s="1"/>
  <c r="D186" i="1"/>
  <c r="F186" i="1" s="1"/>
  <c r="D185" i="1"/>
  <c r="F185" i="1" s="1"/>
  <c r="D183" i="1"/>
  <c r="F183" i="1" s="1"/>
  <c r="F182" i="1"/>
  <c r="D181" i="1"/>
  <c r="F181" i="1" s="1"/>
  <c r="F180" i="1"/>
  <c r="D179" i="1"/>
  <c r="F179" i="1" s="1"/>
  <c r="D178" i="1"/>
  <c r="F178" i="1" s="1"/>
  <c r="D177" i="1"/>
  <c r="F177" i="1" s="1"/>
  <c r="F175" i="1"/>
  <c r="F174" i="1"/>
  <c r="F173" i="1"/>
  <c r="F172" i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G162" i="1"/>
  <c r="D162" i="1"/>
  <c r="F162" i="1" s="1"/>
  <c r="D160" i="1"/>
  <c r="F160" i="1" s="1"/>
  <c r="D159" i="1"/>
  <c r="F159" i="1" s="1"/>
  <c r="D158" i="1"/>
  <c r="F158" i="1" s="1"/>
  <c r="F157" i="1"/>
  <c r="F156" i="1"/>
  <c r="F155" i="1"/>
  <c r="J148" i="1" s="1"/>
  <c r="D154" i="1"/>
  <c r="F154" i="1" s="1"/>
  <c r="D153" i="1"/>
  <c r="F153" i="1" s="1"/>
  <c r="K147" i="1" s="1"/>
  <c r="F151" i="1"/>
  <c r="F150" i="1"/>
  <c r="J147" i="1" s="1"/>
  <c r="F149" i="1"/>
  <c r="F148" i="1"/>
  <c r="D147" i="1"/>
  <c r="F147" i="1" s="1"/>
  <c r="D146" i="1"/>
  <c r="F146" i="1" s="1"/>
  <c r="D145" i="1"/>
  <c r="F145" i="1" s="1"/>
  <c r="D144" i="1"/>
  <c r="F144" i="1" s="1"/>
  <c r="J146" i="1" s="1"/>
  <c r="D143" i="1"/>
  <c r="F143" i="1" s="1"/>
  <c r="D142" i="1"/>
  <c r="F142" i="1" s="1"/>
  <c r="D141" i="1"/>
  <c r="F141" i="1" s="1"/>
  <c r="D140" i="1"/>
  <c r="D139" i="1"/>
  <c r="J138" i="1"/>
  <c r="I138" i="1"/>
  <c r="G138" i="1"/>
  <c r="F135" i="1"/>
  <c r="F134" i="1"/>
  <c r="F133" i="1"/>
  <c r="D132" i="1"/>
  <c r="F132" i="1" s="1"/>
  <c r="A132" i="1"/>
  <c r="A133" i="1" s="1"/>
  <c r="A134" i="1" s="1"/>
  <c r="A135" i="1" s="1"/>
  <c r="I131" i="1"/>
  <c r="D131" i="1"/>
  <c r="I130" i="1"/>
  <c r="F109" i="1"/>
  <c r="J92" i="1"/>
  <c r="J91" i="1"/>
  <c r="J90" i="1"/>
  <c r="J89" i="1"/>
  <c r="C81" i="1"/>
  <c r="J78" i="1"/>
  <c r="J77" i="1"/>
  <c r="C67" i="1"/>
  <c r="D61" i="1"/>
  <c r="G49" i="1"/>
  <c r="C49" i="1"/>
  <c r="G42" i="1"/>
  <c r="G43" i="1" s="1"/>
  <c r="E42" i="1"/>
  <c r="E43" i="1" s="1"/>
  <c r="E29" i="1"/>
  <c r="E26" i="1"/>
  <c r="E24" i="1"/>
  <c r="C14" i="1"/>
  <c r="E7" i="1"/>
  <c r="E3" i="1"/>
  <c r="H82" i="1"/>
  <c r="H68" i="1"/>
  <c r="C51" i="1" l="1"/>
  <c r="C50" i="1"/>
  <c r="E112" i="1"/>
  <c r="C114" i="1"/>
  <c r="E114" i="1"/>
  <c r="F139" i="1"/>
  <c r="F140" i="1"/>
  <c r="F131" i="1"/>
  <c r="C112" i="1"/>
  <c r="K146" i="1"/>
  <c r="F307" i="1"/>
  <c r="D73" i="1"/>
  <c r="J67" i="1"/>
  <c r="J69" i="1" s="1"/>
  <c r="F130" i="1"/>
  <c r="F306" i="1"/>
  <c r="F341" i="1"/>
  <c r="J73" i="1"/>
  <c r="J74" i="1" s="1"/>
  <c r="J79" i="1" s="1"/>
  <c r="J72" i="1"/>
  <c r="C71" i="1" s="1"/>
  <c r="D71" i="1" s="1"/>
  <c r="J70" i="1"/>
  <c r="D80" i="1"/>
  <c r="D79" i="1"/>
  <c r="D78" i="1"/>
  <c r="D77" i="1"/>
  <c r="D76" i="1"/>
  <c r="D75" i="1"/>
  <c r="D74" i="1"/>
  <c r="J71" i="1"/>
  <c r="D94" i="1"/>
  <c r="D93" i="1"/>
  <c r="D92" i="1"/>
  <c r="D91" i="1"/>
  <c r="D90" i="1"/>
  <c r="D89" i="1"/>
  <c r="D88" i="1"/>
  <c r="J86" i="1"/>
  <c r="C85" i="1" s="1"/>
  <c r="D85" i="1" s="1"/>
  <c r="J87" i="1"/>
  <c r="J88" i="1" s="1"/>
  <c r="J93" i="1" s="1"/>
  <c r="J94" i="1" s="1"/>
  <c r="C86" i="1" s="1"/>
  <c r="J84" i="1"/>
  <c r="J81" i="1"/>
  <c r="J83" i="1" s="1"/>
  <c r="J85" i="1"/>
  <c r="G114" i="1" l="1"/>
  <c r="G118" i="1"/>
  <c r="G120" i="1" s="1"/>
  <c r="G112" i="1"/>
  <c r="C115" i="1"/>
  <c r="C121" i="1" s="1"/>
  <c r="E120" i="1"/>
  <c r="J75" i="1"/>
  <c r="J76" i="1"/>
  <c r="E115" i="1"/>
  <c r="D87" i="1"/>
  <c r="E85" i="1"/>
  <c r="D86" i="1"/>
  <c r="G85" i="1"/>
  <c r="J82" i="1"/>
  <c r="E121" i="1" l="1"/>
  <c r="G115" i="1"/>
  <c r="G121" i="1" s="1"/>
  <c r="J80" i="1"/>
  <c r="C72" i="1" s="1"/>
  <c r="D72" i="1" s="1"/>
  <c r="I68" i="1" s="1"/>
  <c r="I69" i="1" s="1"/>
  <c r="I82" i="1"/>
  <c r="I83" i="1" s="1"/>
  <c r="E71" i="1" l="1"/>
  <c r="G71" i="1"/>
  <c r="D65" i="1" s="1"/>
  <c r="J68" i="1"/>
  <c r="I67" i="1" s="1"/>
  <c r="C69" i="1" s="1"/>
  <c r="I81" i="1"/>
  <c r="C83" i="1" s="1"/>
  <c r="F66" i="1" l="1"/>
  <c r="D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VSJC</author>
  </authors>
  <commentList>
    <comment ref="I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VSJC: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<sst xmlns="http://schemas.openxmlformats.org/spreadsheetml/2006/main" count="697" uniqueCount="307">
  <si>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</si>
  <si>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</si>
  <si>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</si>
  <si>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</si>
  <si>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</si>
  <si>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</si>
  <si>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</si>
  <si>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</si>
  <si>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</si>
  <si>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</si>
  <si>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</si>
  <si>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</si>
  <si>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</si>
  <si>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</si>
  <si>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</si>
  <si>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</si>
  <si>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</si>
  <si>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</si>
  <si>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</si>
  <si>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</si>
  <si>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</si>
  <si>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</si>
  <si>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</si>
  <si>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</si>
  <si>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</si>
  <si>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</si>
  <si>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</si>
  <si>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</si>
  <si>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</si>
  <si>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</si>
  <si>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</si>
  <si>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</si>
  <si>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</si>
  <si>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</si>
  <si>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</si>
  <si>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</si>
  <si>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</si>
  <si>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</si>
  <si>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</si>
  <si>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</si>
  <si>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</si>
  <si>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</si>
  <si>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</si>
  <si>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</si>
  <si>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</si>
  <si>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</si>
  <si>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</si>
  <si>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</si>
  <si>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</si>
  <si>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</si>
  <si>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</si>
  <si>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</si>
  <si>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</si>
  <si>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</si>
  <si>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</si>
  <si>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</si>
  <si>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</si>
  <si>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</si>
  <si>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</si>
  <si>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</si>
  <si>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</si>
  <si>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</si>
  <si>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</si>
  <si>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</si>
  <si>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</si>
  <si>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</si>
  <si>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</si>
  <si>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</si>
  <si>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</si>
  <si>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</si>
  <si>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</si>
  <si>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</si>
  <si>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</si>
  <si>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</si>
  <si>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</si>
  <si>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</si>
  <si>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</si>
  <si>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</si>
  <si>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</si>
  <si>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</si>
  <si>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</si>
  <si>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</si>
  <si>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</si>
  <si>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</si>
  <si>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</si>
  <si>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</si>
  <si>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</si>
  <si>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</si>
  <si>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</si>
  <si>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</si>
  <si>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</si>
  <si>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</si>
  <si>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</si>
  <si>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</si>
  <si>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</si>
  <si>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</si>
  <si>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</si>
  <si>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</si>
  <si>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</si>
  <si>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</si>
  <si>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</si>
  <si>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</si>
  <si>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</si>
  <si>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</si>
  <si>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</si>
  <si>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</si>
  <si>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</si>
  <si>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</si>
  <si>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</si>
  <si>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</si>
  <si>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</si>
  <si>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</si>
  <si>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</si>
  <si>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</si>
  <si>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</si>
  <si>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</si>
  <si>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</si>
  <si>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</si>
  <si>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</si>
  <si>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</si>
  <si>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</si>
  <si>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</si>
  <si>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</si>
  <si>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</si>
  <si>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</si>
  <si>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</si>
  <si>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</si>
  <si>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</si>
  <si>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</si>
  <si>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</si>
  <si>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</si>
  <si>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</si>
  <si>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</si>
  <si>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</si>
  <si>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</si>
  <si>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</si>
  <si>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</si>
  <si>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</si>
  <si>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</si>
  <si>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</si>
  <si>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</si>
  <si>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</si>
  <si>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</si>
  <si>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</si>
  <si>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</si>
  <si>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</si>
  <si>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</si>
  <si>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</si>
  <si>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</si>
  <si>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</si>
  <si>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</si>
  <si>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</si>
  <si>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</si>
  <si>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</si>
  <si>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</si>
  <si>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</si>
  <si>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</si>
  <si>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</si>
  <si>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</si>
  <si>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</si>
  <si>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</si>
  <si>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</si>
  <si>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</si>
  <si>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</si>
  <si>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</si>
  <si>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</si>
  <si>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</si>
  <si>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</si>
  <si>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</si>
  <si>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</si>
  <si>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</si>
  <si>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</si>
  <si>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</si>
  <si>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</si>
  <si>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Raghu Leela Realtors Private Limited</t>
  </si>
  <si>
    <t>Icon</t>
  </si>
  <si>
    <t>02228086032/ 28086034</t>
  </si>
  <si>
    <t>Approved Plans, CC</t>
  </si>
  <si>
    <t>P51800022327</t>
  </si>
  <si>
    <t>33, 35, 37, 37/1 TO 85, 32 (pt)</t>
  </si>
  <si>
    <t>Mumbai</t>
  </si>
  <si>
    <t>Kandivali</t>
  </si>
  <si>
    <t>02 Building</t>
  </si>
  <si>
    <t>Slum Plot</t>
  </si>
  <si>
    <t>Non Slum Plot</t>
  </si>
  <si>
    <t>Slum Rehabilitation Authority (SRA)</t>
  </si>
  <si>
    <t>SRA/ENG/2790/RC/PL/AP</t>
  </si>
  <si>
    <t>As per RERA - 31/12/2027</t>
  </si>
  <si>
    <t>Basement Floor For Parking</t>
  </si>
  <si>
    <t>Shop</t>
  </si>
  <si>
    <t>Wing B</t>
  </si>
  <si>
    <t>Wing A</t>
  </si>
  <si>
    <t>Office</t>
  </si>
  <si>
    <t>1A</t>
  </si>
  <si>
    <t>10A</t>
  </si>
  <si>
    <t>10B</t>
  </si>
  <si>
    <t>11A</t>
  </si>
  <si>
    <t>11B</t>
  </si>
  <si>
    <t>10C</t>
  </si>
  <si>
    <t>Swimming Pool, Garden, Fitness Center, Outdoor Gym, Party Lawn Area</t>
  </si>
  <si>
    <t>4BHK</t>
  </si>
  <si>
    <t>A Wing</t>
  </si>
  <si>
    <t>2BHK</t>
  </si>
  <si>
    <t>3BHK</t>
  </si>
  <si>
    <t>B Wing</t>
  </si>
  <si>
    <t>-</t>
  </si>
  <si>
    <t>7th &amp; 14th Floor (Part Refuge Area)</t>
  </si>
  <si>
    <t>Refuge Area</t>
  </si>
  <si>
    <t>15th Floor</t>
  </si>
  <si>
    <t>16th Floor</t>
  </si>
  <si>
    <t>17th Floor (Part Terrace Area)</t>
  </si>
  <si>
    <t>Open Terrace</t>
  </si>
  <si>
    <t>18th to 20th &amp; 22nd &amp; 23rd Floor</t>
  </si>
  <si>
    <t>Terrace Below</t>
  </si>
  <si>
    <t>21st Floor (Part Refuge Area)</t>
  </si>
  <si>
    <t>We considered Gross carpet area = Net carpet + Balcony + D.B Area.</t>
  </si>
  <si>
    <t>CTS No</t>
  </si>
  <si>
    <t>https://goo.gl/maps/CBMGfhz14qNtte5G8</t>
  </si>
  <si>
    <t>1.4KM from Kandivali Railway Station</t>
  </si>
  <si>
    <t>Borivali</t>
  </si>
  <si>
    <t>Raghuleela Mega Mall</t>
  </si>
  <si>
    <t>Mahila Aadhar Bhavan</t>
  </si>
  <si>
    <t>Internal Road</t>
  </si>
  <si>
    <t>Boraspada Road</t>
  </si>
  <si>
    <t>Siddheshwar Hanuman Mandir</t>
  </si>
  <si>
    <t>Jai Bhim Sanjay Nagar</t>
  </si>
  <si>
    <t>Sale Building No.2</t>
  </si>
  <si>
    <t>Miss - Khushboo Pandey - 9152009137</t>
  </si>
  <si>
    <t>Kandivali (West)</t>
  </si>
  <si>
    <t>2nd Podium Floor for Commercial &amp; Parking</t>
  </si>
  <si>
    <t>6th Podium Floor for Commercial &amp; Parking</t>
  </si>
  <si>
    <t>Ground Floor + 1st Podium Floor for Commercial &amp; Parking</t>
  </si>
  <si>
    <t>Shop Duplex With 1st Podium Floor</t>
  </si>
  <si>
    <t>632-979</t>
  </si>
  <si>
    <t>828-1283</t>
  </si>
  <si>
    <t>1004-1557</t>
  </si>
  <si>
    <t>Housing</t>
  </si>
  <si>
    <t>Sheet</t>
  </si>
  <si>
    <t>Pro Tiger</t>
  </si>
  <si>
    <t>1st Podium Floor (Duplex With Ground Floor) &amp; Parking</t>
  </si>
  <si>
    <t>8+9</t>
  </si>
  <si>
    <t>Recommended rate of the Office Per Sq. Ft.</t>
  </si>
  <si>
    <t>7A</t>
  </si>
  <si>
    <t>7B</t>
  </si>
  <si>
    <t>7C</t>
  </si>
  <si>
    <t>Nursing Home</t>
  </si>
  <si>
    <t>10D</t>
  </si>
  <si>
    <t>10E</t>
  </si>
  <si>
    <t>3A</t>
  </si>
  <si>
    <t>3B</t>
  </si>
  <si>
    <t>1st to 8th Podium Floor for Parking</t>
  </si>
  <si>
    <t>9th E-Deck Floor (Amenity Floor) (Part Refuge Area)</t>
  </si>
  <si>
    <t>7th, 14th &amp; 21st Floor (Part Refuge Area)</t>
  </si>
  <si>
    <t>28th Floor (Part Refuge Area)</t>
  </si>
  <si>
    <t>The approved floor has changed. As per the previous approved plan dtd. 25/07/2022, Wing B = B + G + 7P + 8th (E-Deck) + 1st to 23rd Floor, and as per the latest approved plan dtd. 13/04/2023, Wing B = B. Wing = B + G + 1P to 8P + 9th (E-Deck) + 1st to 3rd Floor</t>
  </si>
  <si>
    <t xml:space="preserve">We have updated revised approved floor plan (on 28/09/2023).
</t>
  </si>
  <si>
    <t xml:space="preserve">Provide latest CC for Wing B
</t>
  </si>
  <si>
    <t>Sale Building No.2 Wing A &amp; B</t>
  </si>
  <si>
    <t xml:space="preserve">This CC is further granted for R.C.C work only from 8th to 28th habitable floor including L.M.R &amp; O.H.W.T for sale wing A of sale bldg no.2 as per approved amended plans dated. 13/04/2023 (i.e C.C with finishing work for Basement + Ground Floor + 1st (part) Podium &amp; 1st (part) Commercial floor to 6th (part) Podium  &amp; 6th (pt) Commercial floor + 7th Podium + 8th Podium + 9th E-Deck floor + 1st to 7th habitable floor and C.C for RCC work only for 8th to 28th habitable Floors including L.M.R &amp; O.H.W.T for sale Wing A of sale building No.2 </t>
  </si>
  <si>
    <t xml:space="preserve">We have updated revised approved floor plan (on 16/11/2023).
</t>
  </si>
  <si>
    <t>Ground Floor For Commercial, Entrance Lobby &amp; Parking</t>
  </si>
  <si>
    <t>12+13+14+15+16</t>
  </si>
  <si>
    <t>Office
Duplex With 3rd Podium Floor</t>
  </si>
  <si>
    <t>3rd Podium Floor for Commercial &amp; Parking</t>
  </si>
  <si>
    <t>14+15</t>
  </si>
  <si>
    <t>Duplex With 2nd Podium Floor</t>
  </si>
  <si>
    <t>4th Podium Floor for Commercial &amp; Parking</t>
  </si>
  <si>
    <t>5th Podium Floor for Commercial &amp; Parking</t>
  </si>
  <si>
    <t>7+8+9</t>
  </si>
  <si>
    <t>7th Podium Floor for Commercial &amp; Parking</t>
  </si>
  <si>
    <t>9+10</t>
  </si>
  <si>
    <t>8th Podium Floor for Parking</t>
  </si>
  <si>
    <t>9th E-Deck Floor (Fitness Center &amp; Swimming Pool) (Part Refuge Area)</t>
  </si>
  <si>
    <t>Fitness Centre</t>
  </si>
  <si>
    <t>1st to 6th, 9th to 13th, 16th to 20th, 23rd to 27th Floor For Residential</t>
  </si>
  <si>
    <t>8th, 15th &amp; 22nd Floor For Residential</t>
  </si>
  <si>
    <t>Latitude,Longitude</t>
  </si>
  <si>
    <t>19.213024,72.848432</t>
  </si>
  <si>
    <t>Construction work is in process at the time of Visit. Internal photographs was not allowed.</t>
  </si>
  <si>
    <t>Other Charges</t>
  </si>
  <si>
    <t>Car park - 10 lacs, 
Other amenities 8 lacs, 
Shailesh Cost sheet n verbal</t>
  </si>
  <si>
    <t>On 30/08/2024</t>
  </si>
  <si>
    <t xml:space="preserve">Provide provide latest CC &amp; approved plan.
</t>
  </si>
  <si>
    <t xml:space="preserve">In the latest visit, i.e., Dtd 11/11/2024, the meet person has shown the actual B wing construction on site. Through which we have identified the correct wings and their stage. Therefore, we given the latest stage as per the latest site visit.
</t>
  </si>
  <si>
    <t>As per the visit dtd 10/08/2024, the stage of B wing is incorrect, as we were shown A wing itself as A wing &amp; B wing by the person met during the site visit.
And we were unable to rectify the stage of wing B from the RERA site as it was under maintenance.</t>
  </si>
  <si>
    <t>A Wing = B + G + 1P to 8P + 9th(E Deck) + 1st to 30th Floor</t>
  </si>
  <si>
    <t>B Wing = B + G + 1P to 8P + 9th(E Deck) + 1st to 30th Floor</t>
  </si>
  <si>
    <t xml:space="preserve">Office No. 1031, Wing J, Akshar Business Park, Plot No. 03 Sector 25, Near APMC Market, 
Vashi, Navi Mumbai, Maharashtra 400703 TEL: 022-46090378/79/80
 Email : vsjcapf@gmail.com. Web site : www.vsjadon.com
</t>
  </si>
  <si>
    <t>09/10/2023.</t>
  </si>
  <si>
    <t>23/05/2023.</t>
  </si>
  <si>
    <t xml:space="preserve"> </t>
  </si>
  <si>
    <t>Wing A = B + G + 1P to 8P + 9th(E Deck) + 1st to 30th Floor
Wing B = B + G + 1P to 8P + 9th(E Deck) + 1st to 30th Floor</t>
  </si>
  <si>
    <t>1st to 6th, 9th to 13th, 16th to 20th, 23rd to 27th, 29th &amp; 30th Floor Residential</t>
  </si>
  <si>
    <t>Sale</t>
  </si>
  <si>
    <t>Grand Total</t>
  </si>
  <si>
    <t>Kunal Kadam</t>
  </si>
  <si>
    <t>7th, 14th &amp; 21st Floor Residential (Part Refuge Area)</t>
  </si>
  <si>
    <t xml:space="preserve">Please provide revised CC, As the construction work goes beyond the CC permission.
</t>
  </si>
  <si>
    <t>16000 to 18500</t>
  </si>
  <si>
    <t xml:space="preserve">Shailesh </t>
  </si>
  <si>
    <t>B-2605</t>
  </si>
  <si>
    <t xml:space="preserve">Recommended Other charges of the Property have been revised on 30/08/2024 &amp; 27/09/2025.
As per the visit dtd 10/08/2024, the stage of B wing is mistaken, as we were shown A wing itself as A wing &amp; B wing by the person met during the site visit.
And we were unable to rectify the stage of wing B from the RERA site as it was under maintenance.
In the latest visit, i.e., Dtd 11/11/2024, the meet person has shown the actual B wing construction on site. Through which we have identified the correct wings and their stage. Therefore, we gave the latest stage as per the latest site visit.
</t>
  </si>
  <si>
    <t xml:space="preserve">We have updated approved floor plans 1st to 30th Floor (Except 8th, 15th, 22nd &amp; 28th Floor) For Wing B (on 27/09/2025).
</t>
  </si>
  <si>
    <t>Approved Floor plan No. 
Wing B [1st to 30th Floor (Except 8th, 15th, 22nd &amp; 28th Floor)]</t>
  </si>
  <si>
    <t>Flats - 392, Shops - 16, Offices - 133</t>
  </si>
  <si>
    <t>Shubham Singh</t>
  </si>
  <si>
    <t xml:space="preserve">Please provide Sale plan for A wing and 8th, 15th, 22nd &amp; 28th Floor plan.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</si>
</sst>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6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66" fontId="7" fillId="0" borderId="0" xfId="9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66" fontId="10" fillId="0" borderId="0" xfId="9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6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3" borderId="7" xfId="1" applyFont="1" applyFill="1" applyBorder="1" applyAlignment="1" applyProtection="1">
      <alignment horizontal="left" vertical="top" wrapText="1"/>
      <protection locked="0"/>
    </xf>
    <xf numFmtId="0" fontId="6" fillId="3" borderId="8" xfId="1" applyFont="1" applyFill="1" applyBorder="1" applyAlignment="1" applyProtection="1">
      <alignment horizontal="left" vertical="top" wrapText="1"/>
      <protection locked="0"/>
    </xf>
    <xf numFmtId="0" fontId="6" fillId="3" borderId="20" xfId="1" applyFont="1" applyFill="1" applyBorder="1" applyAlignment="1" applyProtection="1">
      <alignment horizontal="left" vertical="top" wrapText="1"/>
      <protection locked="0"/>
    </xf>
    <xf numFmtId="14" fontId="6" fillId="3" borderId="7" xfId="1" applyNumberFormat="1" applyFont="1" applyFill="1" applyBorder="1" applyAlignment="1" applyProtection="1">
      <alignment horizontal="left" vertical="top" wrapText="1"/>
      <protection locked="0"/>
    </xf>
    <xf numFmtId="14" fontId="6" fillId="3" borderId="8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6" fillId="0" borderId="7" xfId="1" applyNumberFormat="1" applyFont="1" applyBorder="1" applyAlignment="1" applyProtection="1">
      <alignment horizontal="left" vertical="top" wrapText="1"/>
      <protection locked="0"/>
    </xf>
    <xf numFmtId="2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2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286197</xdr:colOff>
      <xdr:row>530</xdr:row>
      <xdr:rowOff>180975</xdr:rowOff>
    </xdr:from>
    <xdr:to>
      <xdr:col>6</xdr:col>
      <xdr:colOff>504064</xdr:colOff>
      <xdr:row>547</xdr:row>
      <xdr:rowOff>20552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305" t="25809" r="7272" b="13829"/>
        <a:stretch/>
      </xdr:blipFill>
      <xdr:spPr>
        <a:xfrm>
          <a:off x="1105347" y="85534500"/>
          <a:ext cx="4675567" cy="324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276225</xdr:colOff>
      <xdr:row>547</xdr:row>
      <xdr:rowOff>90419</xdr:rowOff>
    </xdr:from>
    <xdr:to>
      <xdr:col>6</xdr:col>
      <xdr:colOff>504064</xdr:colOff>
      <xdr:row>563</xdr:row>
      <xdr:rowOff>130019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709" t="21568" r="15768" b="18071"/>
        <a:stretch/>
      </xdr:blipFill>
      <xdr:spPr>
        <a:xfrm>
          <a:off x="1095375" y="88844369"/>
          <a:ext cx="4685539" cy="324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107379</xdr:colOff>
      <xdr:row>553</xdr:row>
      <xdr:rowOff>145003</xdr:rowOff>
    </xdr:from>
    <xdr:to>
      <xdr:col>4</xdr:col>
      <xdr:colOff>285634</xdr:colOff>
      <xdr:row>560</xdr:row>
      <xdr:rowOff>73182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938745">
          <a:off x="2698179" y="90099103"/>
          <a:ext cx="1187905" cy="1328354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733425</xdr:colOff>
      <xdr:row>486</xdr:row>
      <xdr:rowOff>190500</xdr:rowOff>
    </xdr:from>
    <xdr:to>
      <xdr:col>6</xdr:col>
      <xdr:colOff>118421</xdr:colOff>
      <xdr:row>504</xdr:row>
      <xdr:rowOff>190920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44" t="18739" r="36003" b="19549"/>
        <a:stretch/>
      </xdr:blipFill>
      <xdr:spPr>
        <a:xfrm>
          <a:off x="1495425" y="89735025"/>
          <a:ext cx="3509321" cy="360086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778573</xdr:colOff>
      <xdr:row>507</xdr:row>
      <xdr:rowOff>77847</xdr:rowOff>
    </xdr:from>
    <xdr:to>
      <xdr:col>5</xdr:col>
      <xdr:colOff>759073</xdr:colOff>
      <xdr:row>524</xdr:row>
      <xdr:rowOff>37427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5" t="7121" b="39358"/>
        <a:stretch/>
      </xdr:blipFill>
      <xdr:spPr>
        <a:xfrm rot="16200000">
          <a:off x="1527220" y="93836250"/>
          <a:ext cx="3360005" cy="33333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337430</xdr:colOff>
      <xdr:row>515</xdr:row>
      <xdr:rowOff>127405</xdr:rowOff>
    </xdr:from>
    <xdr:to>
      <xdr:col>5</xdr:col>
      <xdr:colOff>148141</xdr:colOff>
      <xdr:row>519</xdr:row>
      <xdr:rowOff>172900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20937091">
          <a:off x="3937880" y="82480555"/>
          <a:ext cx="648911" cy="84559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168972</xdr:colOff>
      <xdr:row>511</xdr:row>
      <xdr:rowOff>77847</xdr:rowOff>
    </xdr:from>
    <xdr:to>
      <xdr:col>4</xdr:col>
      <xdr:colOff>817883</xdr:colOff>
      <xdr:row>515</xdr:row>
      <xdr:rowOff>123342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20937091">
          <a:off x="3769422" y="81630897"/>
          <a:ext cx="648911" cy="84559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101451</xdr:colOff>
      <xdr:row>510</xdr:row>
      <xdr:rowOff>56949</xdr:rowOff>
    </xdr:from>
    <xdr:to>
      <xdr:col>4</xdr:col>
      <xdr:colOff>602781</xdr:colOff>
      <xdr:row>511</xdr:row>
      <xdr:rowOff>36556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64279">
          <a:off x="3447107" y="81537371"/>
          <a:ext cx="501330" cy="182013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chemeClr val="tx1"/>
              </a:solidFill>
            </a:rPr>
            <a:t>Wing B</a:t>
          </a:r>
        </a:p>
      </xdr:txBody>
    </xdr:sp>
    <xdr:clientData/>
  </xdr:twoCellAnchor>
  <xdr:twoCellAnchor>
    <xdr:from>
      <xdr:col>4</xdr:col>
      <xdr:colOff>528543</xdr:colOff>
      <xdr:row>519</xdr:row>
      <xdr:rowOff>185003</xdr:rowOff>
    </xdr:from>
    <xdr:to>
      <xdr:col>5</xdr:col>
      <xdr:colOff>250013</xdr:colOff>
      <xdr:row>520</xdr:row>
      <xdr:rowOff>164610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rot="20964279">
          <a:off x="3874199" y="83487081"/>
          <a:ext cx="501330" cy="182013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chemeClr val="tx1"/>
              </a:solidFill>
            </a:rPr>
            <a:t>Wing A</a:t>
          </a:r>
        </a:p>
      </xdr:txBody>
    </xdr:sp>
    <xdr:clientData/>
  </xdr:twoCellAnchor>
  <xdr:twoCellAnchor>
    <xdr:from>
      <xdr:col>5</xdr:col>
      <xdr:colOff>93675</xdr:colOff>
      <xdr:row>512</xdr:row>
      <xdr:rowOff>145131</xdr:rowOff>
    </xdr:from>
    <xdr:to>
      <xdr:col>5</xdr:col>
      <xdr:colOff>285734</xdr:colOff>
      <xdr:row>517</xdr:row>
      <xdr:rowOff>786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rot="4729075">
          <a:off x="3892583" y="81398870"/>
          <a:ext cx="864185" cy="1920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700" b="1"/>
            <a:t>Sale Building No.2</a:t>
          </a:r>
        </a:p>
      </xdr:txBody>
    </xdr:sp>
    <xdr:clientData/>
  </xdr:twoCellAnchor>
  <xdr:twoCellAnchor editAs="oneCell">
    <xdr:from>
      <xdr:col>8</xdr:col>
      <xdr:colOff>559242</xdr:colOff>
      <xdr:row>406</xdr:row>
      <xdr:rowOff>0</xdr:rowOff>
    </xdr:from>
    <xdr:to>
      <xdr:col>13</xdr:col>
      <xdr:colOff>382685</xdr:colOff>
      <xdr:row>410</xdr:row>
      <xdr:rowOff>112890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28622" y="74858880"/>
          <a:ext cx="4159223" cy="905370"/>
        </a:xfrm>
        <a:prstGeom prst="rect">
          <a:avLst/>
        </a:prstGeom>
      </xdr:spPr>
    </xdr:pic>
    <xdr:clientData/>
  </xdr:twoCellAnchor>
  <xdr:twoCellAnchor editAs="oneCell">
    <xdr:from>
      <xdr:col>8</xdr:col>
      <xdr:colOff>496953</xdr:colOff>
      <xdr:row>148</xdr:row>
      <xdr:rowOff>107674</xdr:rowOff>
    </xdr:from>
    <xdr:to>
      <xdr:col>12</xdr:col>
      <xdr:colOff>390323</xdr:colOff>
      <xdr:row>155</xdr:row>
      <xdr:rowOff>87795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33149" y="34140913"/>
          <a:ext cx="3305804" cy="1371600"/>
        </a:xfrm>
        <a:prstGeom prst="rect">
          <a:avLst/>
        </a:prstGeom>
      </xdr:spPr>
    </xdr:pic>
    <xdr:clientData/>
  </xdr:twoCellAnchor>
  <xdr:twoCellAnchor>
    <xdr:from>
      <xdr:col>9</xdr:col>
      <xdr:colOff>96684</xdr:colOff>
      <xdr:row>444</xdr:row>
      <xdr:rowOff>17144</xdr:rowOff>
    </xdr:from>
    <xdr:to>
      <xdr:col>17</xdr:col>
      <xdr:colOff>270510</xdr:colOff>
      <xdr:row>483</xdr:row>
      <xdr:rowOff>159115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28F365E-83FD-A350-7DED-92529B2BE411}"/>
            </a:ext>
          </a:extLst>
        </xdr:cNvPr>
        <xdr:cNvGrpSpPr/>
      </xdr:nvGrpSpPr>
      <xdr:grpSpPr>
        <a:xfrm>
          <a:off x="7762404" y="82305524"/>
          <a:ext cx="6269826" cy="7861031"/>
          <a:chOff x="96684" y="82572224"/>
          <a:chExt cx="6269826" cy="7861031"/>
        </a:xfrm>
      </xdr:grpSpPr>
      <xdr:pic>
        <xdr:nvPicPr>
          <xdr:cNvPr id="36" name="Picture 35" descr="https://vsjcllp.vsjadon.com/upload/insp-243246-1525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7080" y="88603455"/>
            <a:ext cx="2540255" cy="1829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3246-843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45945" y="86357460"/>
            <a:ext cx="1672144" cy="21390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3246-844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325" y="82572224"/>
            <a:ext cx="2878455" cy="37017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3246-849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89020" y="86351110"/>
            <a:ext cx="2777490" cy="21390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3246-862.jp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6684" y="86338410"/>
            <a:ext cx="1686203" cy="21602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43246-874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7555" y="82572224"/>
            <a:ext cx="2897505" cy="37017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3246-925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0" y="88582817"/>
            <a:ext cx="2530289" cy="1829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327660</xdr:colOff>
      <xdr:row>446</xdr:row>
      <xdr:rowOff>7620</xdr:rowOff>
    </xdr:from>
    <xdr:to>
      <xdr:col>6</xdr:col>
      <xdr:colOff>402688</xdr:colOff>
      <xdr:row>480</xdr:row>
      <xdr:rowOff>33051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627CB9B3-D936-10B9-B01B-F1317588FA36}"/>
            </a:ext>
          </a:extLst>
        </xdr:cNvPr>
        <xdr:cNvGrpSpPr/>
      </xdr:nvGrpSpPr>
      <xdr:grpSpPr>
        <a:xfrm>
          <a:off x="1112520" y="82692240"/>
          <a:ext cx="4311748" cy="6753891"/>
          <a:chOff x="1160124" y="223589"/>
          <a:chExt cx="4311748" cy="6753891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50CBCA7D-7BEF-1BE5-188F-6934182DFFA4}"/>
              </a:ext>
            </a:extLst>
          </xdr:cNvPr>
          <xdr:cNvGrpSpPr/>
        </xdr:nvGrpSpPr>
        <xdr:grpSpPr>
          <a:xfrm>
            <a:off x="1160124" y="223589"/>
            <a:ext cx="4311748" cy="6753891"/>
            <a:chOff x="1160124" y="223589"/>
            <a:chExt cx="4311748" cy="6753891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F44CD05E-1BF6-CD4A-3459-76BD8DC517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15998" y="223589"/>
              <a:ext cx="3600000" cy="480500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3B740854-BE5B-1772-AD42-EA7F5148207E}"/>
                </a:ext>
              </a:extLst>
            </xdr:cNvPr>
            <xdr:cNvGrpSpPr/>
          </xdr:nvGrpSpPr>
          <xdr:grpSpPr>
            <a:xfrm>
              <a:off x="1160124" y="5177480"/>
              <a:ext cx="4311748" cy="1800000"/>
              <a:chOff x="1160124" y="5177480"/>
              <a:chExt cx="4311748" cy="1800000"/>
            </a:xfrm>
          </xdr:grpSpPr>
          <xdr:pic>
            <xdr:nvPicPr>
              <xdr:cNvPr id="26" name="Picture 25">
                <a:extLst>
                  <a:ext uri="{FF2B5EF4-FFF2-40B4-BE49-F238E27FC236}">
                    <a16:creationId xmlns:a16="http://schemas.microsoft.com/office/drawing/2014/main" id="{9565BA2F-53D1-3942-F535-33D6D4FF472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1160124" y="5177480"/>
                <a:ext cx="1348594" cy="180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27" name="Picture 26">
                <a:extLst>
                  <a:ext uri="{FF2B5EF4-FFF2-40B4-BE49-F238E27FC236}">
                    <a16:creationId xmlns:a16="http://schemas.microsoft.com/office/drawing/2014/main" id="{DC58BF67-B4DF-7021-5CBD-4D5810A230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641701" y="5177480"/>
                <a:ext cx="1348594" cy="180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28" name="Picture 27">
                <a:extLst>
                  <a:ext uri="{FF2B5EF4-FFF2-40B4-BE49-F238E27FC236}">
                    <a16:creationId xmlns:a16="http://schemas.microsoft.com/office/drawing/2014/main" id="{420FE1DD-F1E9-9DF3-601E-44435FF344A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hq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123278" y="5177480"/>
                <a:ext cx="1348594" cy="180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</xdr:grpSp>
      <xdr:sp macro="" textlink="">
        <xdr:nvSpPr>
          <xdr:cNvPr id="18" name="TextBox 11">
            <a:extLst>
              <a:ext uri="{FF2B5EF4-FFF2-40B4-BE49-F238E27FC236}">
                <a16:creationId xmlns:a16="http://schemas.microsoft.com/office/drawing/2014/main" id="{A8BB5B4E-DF81-56EA-382B-B73A772FF17F}"/>
              </a:ext>
            </a:extLst>
          </xdr:cNvPr>
          <xdr:cNvSpPr txBox="1"/>
        </xdr:nvSpPr>
        <xdr:spPr>
          <a:xfrm>
            <a:off x="2184751" y="432487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22413</xdr:colOff>
      <xdr:row>13</xdr:row>
      <xdr:rowOff>78441</xdr:rowOff>
    </xdr:from>
    <xdr:to>
      <xdr:col>6</xdr:col>
      <xdr:colOff>783777</xdr:colOff>
      <xdr:row>23</xdr:row>
      <xdr:rowOff>2241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9" y="2566147"/>
          <a:ext cx="7159923" cy="1828800"/>
        </a:xfrm>
        <a:prstGeom prst="rect">
          <a:avLst/>
        </a:prstGeom>
      </xdr:spPr>
    </xdr:pic>
    <xdr:clientData/>
  </xdr:twoCellAnchor>
  <xdr:twoCellAnchor editAs="oneCell">
    <xdr:from>
      <xdr:col>6</xdr:col>
      <xdr:colOff>806823</xdr:colOff>
      <xdr:row>13</xdr:row>
      <xdr:rowOff>123266</xdr:rowOff>
    </xdr:from>
    <xdr:to>
      <xdr:col>15</xdr:col>
      <xdr:colOff>336152</xdr:colOff>
      <xdr:row>23</xdr:row>
      <xdr:rowOff>47066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8088" y="2610972"/>
          <a:ext cx="6039946" cy="182880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3</xdr:row>
      <xdr:rowOff>156883</xdr:rowOff>
    </xdr:from>
    <xdr:to>
      <xdr:col>22</xdr:col>
      <xdr:colOff>3477</xdr:colOff>
      <xdr:row>13</xdr:row>
      <xdr:rowOff>137597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6206" y="739589"/>
          <a:ext cx="8038095" cy="1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130647</xdr:colOff>
      <xdr:row>33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706" y="4583206"/>
          <a:ext cx="6529206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BMGfhz14qNtte5G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28"/>
  <sheetViews>
    <sheetView tabSelected="1" view="pageBreakPreview" topLeftCell="A427" zoomScaleNormal="100" zoomScaleSheetLayoutView="100" workbookViewId="0">
      <selection activeCell="A433" sqref="A433:H433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5546875" style="39" customWidth="1"/>
    <col min="4" max="4" width="14.109375" style="39" customWidth="1"/>
    <col min="5" max="7" width="11.5546875" style="39" customWidth="1"/>
    <col min="8" max="8" width="9.5546875" style="39" customWidth="1"/>
    <col min="9" max="9" width="17.44140625" style="20" customWidth="1"/>
    <col min="10" max="10" width="11.44140625" style="20" customWidth="1"/>
    <col min="11" max="11" width="11.88671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5546875" style="20" customWidth="1"/>
    <col min="17" max="247" width="9.109375" style="20"/>
    <col min="248" max="248" width="8.5546875" style="20" customWidth="1"/>
    <col min="249" max="249" width="9.88671875" style="20" customWidth="1"/>
    <col min="250" max="250" width="14.44140625" style="20" customWidth="1"/>
    <col min="251" max="251" width="7.441406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5546875" style="20" customWidth="1"/>
    <col min="505" max="505" width="9.88671875" style="20" customWidth="1"/>
    <col min="506" max="506" width="14.44140625" style="20" customWidth="1"/>
    <col min="507" max="507" width="7.441406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5546875" style="20" customWidth="1"/>
    <col min="761" max="761" width="9.88671875" style="20" customWidth="1"/>
    <col min="762" max="762" width="14.44140625" style="20" customWidth="1"/>
    <col min="763" max="763" width="7.441406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5546875" style="20" customWidth="1"/>
    <col min="1017" max="1017" width="9.88671875" style="20" customWidth="1"/>
    <col min="1018" max="1018" width="14.44140625" style="20" customWidth="1"/>
    <col min="1019" max="1019" width="7.441406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5546875" style="20" customWidth="1"/>
    <col min="1273" max="1273" width="9.88671875" style="20" customWidth="1"/>
    <col min="1274" max="1274" width="14.44140625" style="20" customWidth="1"/>
    <col min="1275" max="1275" width="7.441406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5546875" style="20" customWidth="1"/>
    <col min="1529" max="1529" width="9.88671875" style="20" customWidth="1"/>
    <col min="1530" max="1530" width="14.44140625" style="20" customWidth="1"/>
    <col min="1531" max="1531" width="7.441406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5546875" style="20" customWidth="1"/>
    <col min="1785" max="1785" width="9.88671875" style="20" customWidth="1"/>
    <col min="1786" max="1786" width="14.44140625" style="20" customWidth="1"/>
    <col min="1787" max="1787" width="7.441406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5546875" style="20" customWidth="1"/>
    <col min="2041" max="2041" width="9.88671875" style="20" customWidth="1"/>
    <col min="2042" max="2042" width="14.44140625" style="20" customWidth="1"/>
    <col min="2043" max="2043" width="7.441406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5546875" style="20" customWidth="1"/>
    <col min="2297" max="2297" width="9.88671875" style="20" customWidth="1"/>
    <col min="2298" max="2298" width="14.44140625" style="20" customWidth="1"/>
    <col min="2299" max="2299" width="7.441406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5546875" style="20" customWidth="1"/>
    <col min="2553" max="2553" width="9.88671875" style="20" customWidth="1"/>
    <col min="2554" max="2554" width="14.44140625" style="20" customWidth="1"/>
    <col min="2555" max="2555" width="7.441406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5546875" style="20" customWidth="1"/>
    <col min="2809" max="2809" width="9.88671875" style="20" customWidth="1"/>
    <col min="2810" max="2810" width="14.44140625" style="20" customWidth="1"/>
    <col min="2811" max="2811" width="7.441406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5546875" style="20" customWidth="1"/>
    <col min="3065" max="3065" width="9.88671875" style="20" customWidth="1"/>
    <col min="3066" max="3066" width="14.44140625" style="20" customWidth="1"/>
    <col min="3067" max="3067" width="7.441406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5546875" style="20" customWidth="1"/>
    <col min="3321" max="3321" width="9.88671875" style="20" customWidth="1"/>
    <col min="3322" max="3322" width="14.44140625" style="20" customWidth="1"/>
    <col min="3323" max="3323" width="7.441406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5546875" style="20" customWidth="1"/>
    <col min="3577" max="3577" width="9.88671875" style="20" customWidth="1"/>
    <col min="3578" max="3578" width="14.44140625" style="20" customWidth="1"/>
    <col min="3579" max="3579" width="7.441406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5546875" style="20" customWidth="1"/>
    <col min="3833" max="3833" width="9.88671875" style="20" customWidth="1"/>
    <col min="3834" max="3834" width="14.44140625" style="20" customWidth="1"/>
    <col min="3835" max="3835" width="7.441406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5546875" style="20" customWidth="1"/>
    <col min="4089" max="4089" width="9.88671875" style="20" customWidth="1"/>
    <col min="4090" max="4090" width="14.44140625" style="20" customWidth="1"/>
    <col min="4091" max="4091" width="7.441406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5546875" style="20" customWidth="1"/>
    <col min="4345" max="4345" width="9.88671875" style="20" customWidth="1"/>
    <col min="4346" max="4346" width="14.44140625" style="20" customWidth="1"/>
    <col min="4347" max="4347" width="7.441406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5546875" style="20" customWidth="1"/>
    <col min="4601" max="4601" width="9.88671875" style="20" customWidth="1"/>
    <col min="4602" max="4602" width="14.44140625" style="20" customWidth="1"/>
    <col min="4603" max="4603" width="7.441406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5546875" style="20" customWidth="1"/>
    <col min="4857" max="4857" width="9.88671875" style="20" customWidth="1"/>
    <col min="4858" max="4858" width="14.44140625" style="20" customWidth="1"/>
    <col min="4859" max="4859" width="7.441406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5546875" style="20" customWidth="1"/>
    <col min="5113" max="5113" width="9.88671875" style="20" customWidth="1"/>
    <col min="5114" max="5114" width="14.44140625" style="20" customWidth="1"/>
    <col min="5115" max="5115" width="7.441406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5546875" style="20" customWidth="1"/>
    <col min="5369" max="5369" width="9.88671875" style="20" customWidth="1"/>
    <col min="5370" max="5370" width="14.44140625" style="20" customWidth="1"/>
    <col min="5371" max="5371" width="7.441406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5546875" style="20" customWidth="1"/>
    <col min="5625" max="5625" width="9.88671875" style="20" customWidth="1"/>
    <col min="5626" max="5626" width="14.44140625" style="20" customWidth="1"/>
    <col min="5627" max="5627" width="7.441406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5546875" style="20" customWidth="1"/>
    <col min="5881" max="5881" width="9.88671875" style="20" customWidth="1"/>
    <col min="5882" max="5882" width="14.44140625" style="20" customWidth="1"/>
    <col min="5883" max="5883" width="7.441406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5546875" style="20" customWidth="1"/>
    <col min="6137" max="6137" width="9.88671875" style="20" customWidth="1"/>
    <col min="6138" max="6138" width="14.44140625" style="20" customWidth="1"/>
    <col min="6139" max="6139" width="7.441406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5546875" style="20" customWidth="1"/>
    <col min="6393" max="6393" width="9.88671875" style="20" customWidth="1"/>
    <col min="6394" max="6394" width="14.44140625" style="20" customWidth="1"/>
    <col min="6395" max="6395" width="7.441406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5546875" style="20" customWidth="1"/>
    <col min="6649" max="6649" width="9.88671875" style="20" customWidth="1"/>
    <col min="6650" max="6650" width="14.44140625" style="20" customWidth="1"/>
    <col min="6651" max="6651" width="7.441406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5546875" style="20" customWidth="1"/>
    <col min="6905" max="6905" width="9.88671875" style="20" customWidth="1"/>
    <col min="6906" max="6906" width="14.44140625" style="20" customWidth="1"/>
    <col min="6907" max="6907" width="7.441406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5546875" style="20" customWidth="1"/>
    <col min="7161" max="7161" width="9.88671875" style="20" customWidth="1"/>
    <col min="7162" max="7162" width="14.44140625" style="20" customWidth="1"/>
    <col min="7163" max="7163" width="7.441406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5546875" style="20" customWidth="1"/>
    <col min="7417" max="7417" width="9.88671875" style="20" customWidth="1"/>
    <col min="7418" max="7418" width="14.44140625" style="20" customWidth="1"/>
    <col min="7419" max="7419" width="7.441406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5546875" style="20" customWidth="1"/>
    <col min="7673" max="7673" width="9.88671875" style="20" customWidth="1"/>
    <col min="7674" max="7674" width="14.44140625" style="20" customWidth="1"/>
    <col min="7675" max="7675" width="7.441406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5546875" style="20" customWidth="1"/>
    <col min="7929" max="7929" width="9.88671875" style="20" customWidth="1"/>
    <col min="7930" max="7930" width="14.44140625" style="20" customWidth="1"/>
    <col min="7931" max="7931" width="7.441406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5546875" style="20" customWidth="1"/>
    <col min="8185" max="8185" width="9.88671875" style="20" customWidth="1"/>
    <col min="8186" max="8186" width="14.44140625" style="20" customWidth="1"/>
    <col min="8187" max="8187" width="7.441406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5546875" style="20" customWidth="1"/>
    <col min="8441" max="8441" width="9.88671875" style="20" customWidth="1"/>
    <col min="8442" max="8442" width="14.44140625" style="20" customWidth="1"/>
    <col min="8443" max="8443" width="7.441406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5546875" style="20" customWidth="1"/>
    <col min="8697" max="8697" width="9.88671875" style="20" customWidth="1"/>
    <col min="8698" max="8698" width="14.44140625" style="20" customWidth="1"/>
    <col min="8699" max="8699" width="7.441406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5546875" style="20" customWidth="1"/>
    <col min="8953" max="8953" width="9.88671875" style="20" customWidth="1"/>
    <col min="8954" max="8954" width="14.44140625" style="20" customWidth="1"/>
    <col min="8955" max="8955" width="7.441406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5546875" style="20" customWidth="1"/>
    <col min="9209" max="9209" width="9.88671875" style="20" customWidth="1"/>
    <col min="9210" max="9210" width="14.44140625" style="20" customWidth="1"/>
    <col min="9211" max="9211" width="7.441406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5546875" style="20" customWidth="1"/>
    <col min="9465" max="9465" width="9.88671875" style="20" customWidth="1"/>
    <col min="9466" max="9466" width="14.44140625" style="20" customWidth="1"/>
    <col min="9467" max="9467" width="7.441406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5546875" style="20" customWidth="1"/>
    <col min="9721" max="9721" width="9.88671875" style="20" customWidth="1"/>
    <col min="9722" max="9722" width="14.44140625" style="20" customWidth="1"/>
    <col min="9723" max="9723" width="7.441406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5546875" style="20" customWidth="1"/>
    <col min="9977" max="9977" width="9.88671875" style="20" customWidth="1"/>
    <col min="9978" max="9978" width="14.44140625" style="20" customWidth="1"/>
    <col min="9979" max="9979" width="7.441406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5546875" style="20" customWidth="1"/>
    <col min="10233" max="10233" width="9.88671875" style="20" customWidth="1"/>
    <col min="10234" max="10234" width="14.44140625" style="20" customWidth="1"/>
    <col min="10235" max="10235" width="7.441406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5546875" style="20" customWidth="1"/>
    <col min="10489" max="10489" width="9.88671875" style="20" customWidth="1"/>
    <col min="10490" max="10490" width="14.44140625" style="20" customWidth="1"/>
    <col min="10491" max="10491" width="7.441406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5546875" style="20" customWidth="1"/>
    <col min="10745" max="10745" width="9.88671875" style="20" customWidth="1"/>
    <col min="10746" max="10746" width="14.44140625" style="20" customWidth="1"/>
    <col min="10747" max="10747" width="7.441406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5546875" style="20" customWidth="1"/>
    <col min="11001" max="11001" width="9.88671875" style="20" customWidth="1"/>
    <col min="11002" max="11002" width="14.44140625" style="20" customWidth="1"/>
    <col min="11003" max="11003" width="7.441406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5546875" style="20" customWidth="1"/>
    <col min="11257" max="11257" width="9.88671875" style="20" customWidth="1"/>
    <col min="11258" max="11258" width="14.44140625" style="20" customWidth="1"/>
    <col min="11259" max="11259" width="7.441406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5546875" style="20" customWidth="1"/>
    <col min="11513" max="11513" width="9.88671875" style="20" customWidth="1"/>
    <col min="11514" max="11514" width="14.44140625" style="20" customWidth="1"/>
    <col min="11515" max="11515" width="7.441406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5546875" style="20" customWidth="1"/>
    <col min="11769" max="11769" width="9.88671875" style="20" customWidth="1"/>
    <col min="11770" max="11770" width="14.44140625" style="20" customWidth="1"/>
    <col min="11771" max="11771" width="7.441406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5546875" style="20" customWidth="1"/>
    <col min="12025" max="12025" width="9.88671875" style="20" customWidth="1"/>
    <col min="12026" max="12026" width="14.44140625" style="20" customWidth="1"/>
    <col min="12027" max="12027" width="7.441406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5546875" style="20" customWidth="1"/>
    <col min="12281" max="12281" width="9.88671875" style="20" customWidth="1"/>
    <col min="12282" max="12282" width="14.44140625" style="20" customWidth="1"/>
    <col min="12283" max="12283" width="7.441406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5546875" style="20" customWidth="1"/>
    <col min="12537" max="12537" width="9.88671875" style="20" customWidth="1"/>
    <col min="12538" max="12538" width="14.44140625" style="20" customWidth="1"/>
    <col min="12539" max="12539" width="7.441406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5546875" style="20" customWidth="1"/>
    <col min="12793" max="12793" width="9.88671875" style="20" customWidth="1"/>
    <col min="12794" max="12794" width="14.44140625" style="20" customWidth="1"/>
    <col min="12795" max="12795" width="7.441406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5546875" style="20" customWidth="1"/>
    <col min="13049" max="13049" width="9.88671875" style="20" customWidth="1"/>
    <col min="13050" max="13050" width="14.44140625" style="20" customWidth="1"/>
    <col min="13051" max="13051" width="7.441406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5546875" style="20" customWidth="1"/>
    <col min="13305" max="13305" width="9.88671875" style="20" customWidth="1"/>
    <col min="13306" max="13306" width="14.44140625" style="20" customWidth="1"/>
    <col min="13307" max="13307" width="7.441406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5546875" style="20" customWidth="1"/>
    <col min="13561" max="13561" width="9.88671875" style="20" customWidth="1"/>
    <col min="13562" max="13562" width="14.44140625" style="20" customWidth="1"/>
    <col min="13563" max="13563" width="7.441406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5546875" style="20" customWidth="1"/>
    <col min="13817" max="13817" width="9.88671875" style="20" customWidth="1"/>
    <col min="13818" max="13818" width="14.44140625" style="20" customWidth="1"/>
    <col min="13819" max="13819" width="7.441406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5546875" style="20" customWidth="1"/>
    <col min="14073" max="14073" width="9.88671875" style="20" customWidth="1"/>
    <col min="14074" max="14074" width="14.44140625" style="20" customWidth="1"/>
    <col min="14075" max="14075" width="7.441406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5546875" style="20" customWidth="1"/>
    <col min="14329" max="14329" width="9.88671875" style="20" customWidth="1"/>
    <col min="14330" max="14330" width="14.44140625" style="20" customWidth="1"/>
    <col min="14331" max="14331" width="7.441406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5546875" style="20" customWidth="1"/>
    <col min="14585" max="14585" width="9.88671875" style="20" customWidth="1"/>
    <col min="14586" max="14586" width="14.44140625" style="20" customWidth="1"/>
    <col min="14587" max="14587" width="7.441406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5546875" style="20" customWidth="1"/>
    <col min="14841" max="14841" width="9.88671875" style="20" customWidth="1"/>
    <col min="14842" max="14842" width="14.44140625" style="20" customWidth="1"/>
    <col min="14843" max="14843" width="7.441406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5546875" style="20" customWidth="1"/>
    <col min="15097" max="15097" width="9.88671875" style="20" customWidth="1"/>
    <col min="15098" max="15098" width="14.44140625" style="20" customWidth="1"/>
    <col min="15099" max="15099" width="7.441406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5546875" style="20" customWidth="1"/>
    <col min="15353" max="15353" width="9.88671875" style="20" customWidth="1"/>
    <col min="15354" max="15354" width="14.44140625" style="20" customWidth="1"/>
    <col min="15355" max="15355" width="7.441406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5546875" style="20" customWidth="1"/>
    <col min="15609" max="15609" width="9.88671875" style="20" customWidth="1"/>
    <col min="15610" max="15610" width="14.44140625" style="20" customWidth="1"/>
    <col min="15611" max="15611" width="7.441406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5546875" style="20" customWidth="1"/>
    <col min="15865" max="15865" width="9.88671875" style="20" customWidth="1"/>
    <col min="15866" max="15866" width="14.44140625" style="20" customWidth="1"/>
    <col min="15867" max="15867" width="7.441406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5546875" style="20" customWidth="1"/>
    <col min="16121" max="16121" width="9.88671875" style="20" customWidth="1"/>
    <col min="16122" max="16122" width="14.44140625" style="20" customWidth="1"/>
    <col min="16123" max="16123" width="7.441406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66" t="s">
        <v>287</v>
      </c>
      <c r="B1" s="166"/>
      <c r="C1" s="166"/>
      <c r="D1" s="166"/>
      <c r="E1" s="166"/>
      <c r="F1" s="166"/>
      <c r="G1" s="166"/>
      <c r="H1" s="166"/>
    </row>
    <row r="2" spans="1:8" ht="16.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</row>
    <row r="3" spans="1:8" x14ac:dyDescent="0.3">
      <c r="A3" s="134" t="s">
        <v>1</v>
      </c>
      <c r="B3" s="134"/>
      <c r="C3" s="134"/>
      <c r="D3" s="134"/>
      <c r="E3" s="134" t="str">
        <f ca="1">TEXT(TODAY(),"DD/MM/YYYY")</f>
        <v>29/09/2025</v>
      </c>
      <c r="F3" s="134"/>
      <c r="G3" s="134"/>
      <c r="H3" s="134"/>
    </row>
    <row r="4" spans="1:8" ht="15" customHeight="1" x14ac:dyDescent="0.3">
      <c r="A4" s="134" t="s">
        <v>2</v>
      </c>
      <c r="B4" s="134"/>
      <c r="C4" s="134"/>
      <c r="D4" s="134"/>
      <c r="E4" s="134" t="s">
        <v>173</v>
      </c>
      <c r="F4" s="134"/>
      <c r="G4" s="134"/>
      <c r="H4" s="134"/>
    </row>
    <row r="5" spans="1:8" x14ac:dyDescent="0.3">
      <c r="A5" s="134" t="s">
        <v>3</v>
      </c>
      <c r="B5" s="134"/>
      <c r="C5" s="134"/>
      <c r="D5" s="134"/>
      <c r="E5" s="169">
        <v>45927</v>
      </c>
      <c r="F5" s="134"/>
      <c r="G5" s="134"/>
      <c r="H5" s="134"/>
    </row>
    <row r="6" spans="1:8" ht="16.5" customHeight="1" x14ac:dyDescent="0.3">
      <c r="A6" s="134" t="s">
        <v>4</v>
      </c>
      <c r="B6" s="134"/>
      <c r="C6" s="134"/>
      <c r="D6" s="134"/>
      <c r="E6" s="134" t="s">
        <v>174</v>
      </c>
      <c r="F6" s="134"/>
      <c r="G6" s="134"/>
      <c r="H6" s="134"/>
    </row>
    <row r="7" spans="1:8" ht="15" customHeight="1" x14ac:dyDescent="0.3">
      <c r="A7" s="134" t="s">
        <v>5</v>
      </c>
      <c r="B7" s="134"/>
      <c r="C7" s="134"/>
      <c r="D7" s="134"/>
      <c r="E7" s="134" t="str">
        <f>E6</f>
        <v>Raghu Leela Realtors Private Limited</v>
      </c>
      <c r="F7" s="134"/>
      <c r="G7" s="134"/>
      <c r="H7" s="134"/>
    </row>
    <row r="8" spans="1:8" x14ac:dyDescent="0.3">
      <c r="A8" s="134" t="s">
        <v>6</v>
      </c>
      <c r="B8" s="134"/>
      <c r="C8" s="134"/>
      <c r="D8" s="134"/>
      <c r="E8" s="168" t="s">
        <v>175</v>
      </c>
      <c r="F8" s="168"/>
      <c r="G8" s="168"/>
      <c r="H8" s="168"/>
    </row>
    <row r="9" spans="1:8" x14ac:dyDescent="0.3">
      <c r="A9" s="134" t="s">
        <v>170</v>
      </c>
      <c r="B9" s="134"/>
      <c r="C9" s="134"/>
      <c r="D9" s="134"/>
      <c r="E9" s="134" t="s">
        <v>176</v>
      </c>
      <c r="F9" s="134"/>
      <c r="G9" s="134"/>
      <c r="H9" s="134"/>
    </row>
    <row r="10" spans="1:8" hidden="1" x14ac:dyDescent="0.3">
      <c r="A10" s="134" t="s">
        <v>171</v>
      </c>
      <c r="B10" s="134"/>
      <c r="C10" s="134"/>
      <c r="D10" s="134"/>
      <c r="E10" s="134" t="s">
        <v>227</v>
      </c>
      <c r="F10" s="134"/>
      <c r="G10" s="134"/>
      <c r="H10" s="134"/>
    </row>
    <row r="11" spans="1:8" x14ac:dyDescent="0.3">
      <c r="A11" s="134" t="s">
        <v>7</v>
      </c>
      <c r="B11" s="134"/>
      <c r="C11" s="134"/>
      <c r="D11" s="134"/>
      <c r="E11" s="99" t="s">
        <v>257</v>
      </c>
      <c r="F11" s="134"/>
      <c r="G11" s="134"/>
      <c r="H11" s="134"/>
    </row>
    <row r="12" spans="1:8" x14ac:dyDescent="0.3">
      <c r="A12" s="100" t="s">
        <v>8</v>
      </c>
      <c r="B12" s="100"/>
      <c r="C12" s="100"/>
      <c r="D12" s="100"/>
      <c r="E12" s="99" t="s">
        <v>177</v>
      </c>
      <c r="F12" s="99"/>
      <c r="G12" s="99"/>
      <c r="H12" s="99"/>
    </row>
    <row r="13" spans="1:8" x14ac:dyDescent="0.3">
      <c r="A13" s="100" t="s">
        <v>9</v>
      </c>
      <c r="B13" s="100"/>
      <c r="C13" s="100"/>
      <c r="D13" s="100"/>
      <c r="E13" s="99" t="s">
        <v>178</v>
      </c>
      <c r="F13" s="134"/>
      <c r="G13" s="134"/>
      <c r="H13" s="134"/>
    </row>
    <row r="14" spans="1:8" ht="48.75" customHeight="1" x14ac:dyDescent="0.3">
      <c r="A14" s="133" t="s">
        <v>10</v>
      </c>
      <c r="B14" s="133"/>
      <c r="C14" s="13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Icon, CTS No.33, 35, 37, 37/1 TO 85, 32 (pt), near Raghuleela Mega Mall, Boraspada Road, Jai Bhim Sanjay Nagar, Kandivali, Kandivali (West), Borivali, Mumbai - 400067.</v>
      </c>
      <c r="D14" s="133"/>
      <c r="E14" s="133"/>
      <c r="F14" s="133"/>
      <c r="G14" s="133"/>
      <c r="H14" s="133"/>
    </row>
    <row r="15" spans="1:8" x14ac:dyDescent="0.3">
      <c r="A15" s="99" t="s">
        <v>216</v>
      </c>
      <c r="B15" s="99"/>
      <c r="C15" s="99" t="s">
        <v>179</v>
      </c>
      <c r="D15" s="99"/>
      <c r="E15" s="99"/>
      <c r="F15" s="99"/>
      <c r="G15" s="99"/>
      <c r="H15" s="99"/>
    </row>
    <row r="16" spans="1:8" ht="15.75" customHeight="1" x14ac:dyDescent="0.3">
      <c r="A16" s="99" t="s">
        <v>169</v>
      </c>
      <c r="B16" s="99"/>
      <c r="C16" s="99" t="s">
        <v>225</v>
      </c>
      <c r="D16" s="99"/>
      <c r="E16" s="99"/>
      <c r="F16" s="99"/>
      <c r="G16" s="99"/>
      <c r="H16" s="99"/>
    </row>
    <row r="17" spans="1:8" ht="15.75" customHeight="1" x14ac:dyDescent="0.3">
      <c r="A17" s="133" t="s">
        <v>11</v>
      </c>
      <c r="B17" s="133"/>
      <c r="C17" s="134" t="s">
        <v>223</v>
      </c>
      <c r="D17" s="134"/>
      <c r="E17" s="133" t="s">
        <v>75</v>
      </c>
      <c r="F17" s="133"/>
      <c r="G17" s="99" t="s">
        <v>181</v>
      </c>
      <c r="H17" s="99"/>
    </row>
    <row r="18" spans="1:8" x14ac:dyDescent="0.3">
      <c r="A18" s="100" t="s">
        <v>13</v>
      </c>
      <c r="B18" s="100"/>
      <c r="C18" s="99" t="s">
        <v>228</v>
      </c>
      <c r="D18" s="99"/>
      <c r="E18" s="133" t="s">
        <v>12</v>
      </c>
      <c r="F18" s="133"/>
      <c r="G18" s="170" t="s">
        <v>180</v>
      </c>
      <c r="H18" s="170"/>
    </row>
    <row r="19" spans="1:8" x14ac:dyDescent="0.3">
      <c r="A19" s="100" t="s">
        <v>76</v>
      </c>
      <c r="B19" s="100"/>
      <c r="C19" s="99" t="s">
        <v>219</v>
      </c>
      <c r="D19" s="99"/>
      <c r="E19" s="133" t="s">
        <v>14</v>
      </c>
      <c r="F19" s="133"/>
      <c r="G19" s="99">
        <v>400067</v>
      </c>
      <c r="H19" s="99"/>
    </row>
    <row r="20" spans="1:8" ht="32.25" customHeight="1" x14ac:dyDescent="0.3">
      <c r="A20" s="100" t="s">
        <v>127</v>
      </c>
      <c r="B20" s="100"/>
      <c r="C20" s="99" t="s">
        <v>220</v>
      </c>
      <c r="D20" s="99"/>
      <c r="E20" s="133" t="s">
        <v>15</v>
      </c>
      <c r="F20" s="133"/>
      <c r="G20" s="99" t="s">
        <v>218</v>
      </c>
      <c r="H20" s="99"/>
    </row>
    <row r="21" spans="1:8" ht="15" customHeight="1" x14ac:dyDescent="0.3">
      <c r="A21" s="133" t="s">
        <v>79</v>
      </c>
      <c r="B21" s="133"/>
      <c r="C21" s="133"/>
      <c r="D21" s="133"/>
      <c r="E21" s="134" t="s">
        <v>16</v>
      </c>
      <c r="F21" s="134"/>
      <c r="G21" s="134"/>
      <c r="H21" s="134"/>
    </row>
    <row r="22" spans="1:8" ht="18.75" customHeight="1" x14ac:dyDescent="0.3">
      <c r="A22" s="133"/>
      <c r="B22" s="133"/>
      <c r="C22" s="133"/>
      <c r="D22" s="133"/>
      <c r="E22" s="134"/>
      <c r="F22" s="134"/>
      <c r="G22" s="134"/>
      <c r="H22" s="134"/>
    </row>
    <row r="23" spans="1:8" ht="15" customHeight="1" x14ac:dyDescent="0.3">
      <c r="A23" s="133" t="s">
        <v>17</v>
      </c>
      <c r="B23" s="133"/>
      <c r="C23" s="133"/>
      <c r="D23" s="133"/>
      <c r="E23" s="99" t="s">
        <v>18</v>
      </c>
      <c r="F23" s="99"/>
      <c r="G23" s="99"/>
      <c r="H23" s="99"/>
    </row>
    <row r="24" spans="1:8" ht="15" customHeight="1" x14ac:dyDescent="0.3">
      <c r="A24" s="100" t="s">
        <v>19</v>
      </c>
      <c r="B24" s="100"/>
      <c r="C24" s="100"/>
      <c r="D24" s="100"/>
      <c r="E24" s="99" t="str">
        <f>IF(AND(G18="Mumbai"),"Upper Class","Middle Class")</f>
        <v>Upper Class</v>
      </c>
      <c r="F24" s="99"/>
      <c r="G24" s="99"/>
      <c r="H24" s="99"/>
    </row>
    <row r="25" spans="1:8" x14ac:dyDescent="0.3">
      <c r="A25" s="100" t="s">
        <v>20</v>
      </c>
      <c r="B25" s="100"/>
      <c r="C25" s="100"/>
      <c r="D25" s="100"/>
      <c r="E25" s="99" t="s">
        <v>21</v>
      </c>
      <c r="F25" s="99"/>
      <c r="G25" s="99"/>
      <c r="H25" s="99"/>
    </row>
    <row r="26" spans="1:8" ht="15.75" customHeight="1" x14ac:dyDescent="0.3">
      <c r="A26" s="100" t="s">
        <v>22</v>
      </c>
      <c r="B26" s="100"/>
      <c r="C26" s="100"/>
      <c r="D26" s="100"/>
      <c r="E26" s="99" t="str">
        <f>IF(AND(G18="Mumbai"),"Developed","Developing")</f>
        <v>Developed</v>
      </c>
      <c r="F26" s="99"/>
      <c r="G26" s="99"/>
      <c r="H26" s="99"/>
    </row>
    <row r="27" spans="1:8" x14ac:dyDescent="0.3">
      <c r="A27" s="100" t="s">
        <v>23</v>
      </c>
      <c r="B27" s="100"/>
      <c r="C27" s="100"/>
      <c r="D27" s="100"/>
      <c r="E27" s="99" t="s">
        <v>24</v>
      </c>
      <c r="F27" s="99"/>
      <c r="G27" s="99"/>
      <c r="H27" s="99"/>
    </row>
    <row r="28" spans="1:8" ht="15.75" customHeight="1" x14ac:dyDescent="0.3">
      <c r="A28" s="100" t="s">
        <v>84</v>
      </c>
      <c r="B28" s="100"/>
      <c r="C28" s="100"/>
      <c r="D28" s="100"/>
      <c r="E28" s="99" t="s">
        <v>85</v>
      </c>
      <c r="F28" s="99"/>
      <c r="G28" s="99"/>
      <c r="H28" s="99"/>
    </row>
    <row r="29" spans="1:8" ht="15" customHeight="1" x14ac:dyDescent="0.3">
      <c r="A29" s="100" t="s">
        <v>33</v>
      </c>
      <c r="B29" s="100"/>
      <c r="C29" s="100"/>
      <c r="D29" s="100"/>
      <c r="E29" s="9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9"/>
      <c r="G29" s="99"/>
      <c r="H29" s="99"/>
    </row>
    <row r="30" spans="1:8" ht="15.75" customHeight="1" x14ac:dyDescent="0.3">
      <c r="A30" s="100" t="s">
        <v>96</v>
      </c>
      <c r="B30" s="100"/>
      <c r="C30" s="100"/>
      <c r="D30" s="100"/>
      <c r="E30" s="99" t="s">
        <v>34</v>
      </c>
      <c r="F30" s="99"/>
      <c r="G30" s="99"/>
      <c r="H30" s="99"/>
    </row>
    <row r="31" spans="1:8" s="21" customFormat="1" x14ac:dyDescent="0.3">
      <c r="A31" s="174" t="s">
        <v>97</v>
      </c>
      <c r="B31" s="174"/>
      <c r="C31" s="173" t="s">
        <v>29</v>
      </c>
      <c r="D31" s="173"/>
      <c r="E31" s="173"/>
      <c r="F31" s="173" t="s">
        <v>31</v>
      </c>
      <c r="G31" s="173"/>
      <c r="H31" s="173"/>
    </row>
    <row r="32" spans="1:8" s="21" customFormat="1" x14ac:dyDescent="0.3">
      <c r="A32" s="171" t="s">
        <v>25</v>
      </c>
      <c r="B32" s="171" t="s">
        <v>30</v>
      </c>
      <c r="C32" s="172" t="s">
        <v>30</v>
      </c>
      <c r="D32" s="172"/>
      <c r="E32" s="172"/>
      <c r="F32" s="172" t="s">
        <v>221</v>
      </c>
      <c r="G32" s="172"/>
      <c r="H32" s="172"/>
    </row>
    <row r="33" spans="1:9" x14ac:dyDescent="0.3">
      <c r="A33" s="171" t="s">
        <v>26</v>
      </c>
      <c r="B33" s="171" t="s">
        <v>30</v>
      </c>
      <c r="C33" s="172" t="s">
        <v>30</v>
      </c>
      <c r="D33" s="172"/>
      <c r="E33" s="172"/>
      <c r="F33" s="172" t="s">
        <v>222</v>
      </c>
      <c r="G33" s="172"/>
      <c r="H33" s="172"/>
    </row>
    <row r="34" spans="1:9" s="21" customFormat="1" x14ac:dyDescent="0.3">
      <c r="A34" s="171" t="s">
        <v>28</v>
      </c>
      <c r="B34" s="171" t="s">
        <v>30</v>
      </c>
      <c r="C34" s="172" t="s">
        <v>30</v>
      </c>
      <c r="D34" s="172"/>
      <c r="E34" s="172"/>
      <c r="F34" s="172" t="s">
        <v>224</v>
      </c>
      <c r="G34" s="172"/>
      <c r="H34" s="172"/>
    </row>
    <row r="35" spans="1:9" x14ac:dyDescent="0.3">
      <c r="A35" s="171" t="s">
        <v>27</v>
      </c>
      <c r="B35" s="171" t="s">
        <v>30</v>
      </c>
      <c r="C35" s="172" t="s">
        <v>30</v>
      </c>
      <c r="D35" s="172"/>
      <c r="E35" s="172"/>
      <c r="F35" s="172" t="s">
        <v>223</v>
      </c>
      <c r="G35" s="172"/>
      <c r="H35" s="172"/>
    </row>
    <row r="36" spans="1:9" x14ac:dyDescent="0.3">
      <c r="A36" s="100" t="s">
        <v>32</v>
      </c>
      <c r="B36" s="100"/>
      <c r="C36" s="100"/>
      <c r="D36" s="100"/>
      <c r="E36" s="100"/>
      <c r="F36" s="100"/>
      <c r="G36" s="100"/>
      <c r="H36" s="100"/>
    </row>
    <row r="37" spans="1:9" ht="15.75" customHeight="1" x14ac:dyDescent="0.3">
      <c r="A37" s="167" t="s">
        <v>276</v>
      </c>
      <c r="B37" s="167"/>
      <c r="C37" s="203" t="s">
        <v>277</v>
      </c>
      <c r="D37" s="204"/>
      <c r="E37" s="204"/>
      <c r="F37" s="204"/>
      <c r="G37" s="204"/>
      <c r="H37" s="205"/>
    </row>
    <row r="38" spans="1:9" x14ac:dyDescent="0.3">
      <c r="A38" s="167" t="s">
        <v>168</v>
      </c>
      <c r="B38" s="167"/>
      <c r="C38" s="185" t="s">
        <v>217</v>
      </c>
      <c r="D38" s="99"/>
      <c r="E38" s="99"/>
      <c r="F38" s="99"/>
      <c r="G38" s="99"/>
      <c r="H38" s="99"/>
    </row>
    <row r="39" spans="1:9" x14ac:dyDescent="0.3">
      <c r="A39" s="135" t="s">
        <v>35</v>
      </c>
      <c r="B39" s="186"/>
      <c r="C39" s="186"/>
      <c r="D39" s="136"/>
      <c r="E39" s="176" t="s">
        <v>184</v>
      </c>
      <c r="F39" s="177"/>
      <c r="G39" s="176" t="s">
        <v>183</v>
      </c>
      <c r="H39" s="177"/>
    </row>
    <row r="40" spans="1:9" x14ac:dyDescent="0.3">
      <c r="A40" s="100" t="s">
        <v>36</v>
      </c>
      <c r="B40" s="100"/>
      <c r="C40" s="100"/>
      <c r="D40" s="100"/>
      <c r="E40" s="176">
        <v>4567.05</v>
      </c>
      <c r="F40" s="177"/>
      <c r="G40" s="176">
        <v>5736.42</v>
      </c>
      <c r="H40" s="177"/>
    </row>
    <row r="41" spans="1:9" x14ac:dyDescent="0.3">
      <c r="A41" s="100" t="s">
        <v>37</v>
      </c>
      <c r="B41" s="100"/>
      <c r="C41" s="100"/>
      <c r="D41" s="100"/>
      <c r="E41" s="176">
        <v>1</v>
      </c>
      <c r="F41" s="177"/>
      <c r="G41" s="176">
        <v>4</v>
      </c>
      <c r="H41" s="177"/>
    </row>
    <row r="42" spans="1:9" x14ac:dyDescent="0.3">
      <c r="A42" s="100" t="s">
        <v>38</v>
      </c>
      <c r="B42" s="100"/>
      <c r="C42" s="100"/>
      <c r="D42" s="100"/>
      <c r="E42" s="176">
        <f>E44/E40-E41</f>
        <v>0.66436977917911988</v>
      </c>
      <c r="F42" s="177"/>
      <c r="G42" s="176">
        <f>G44/G40-G41</f>
        <v>3.3054413728422958</v>
      </c>
      <c r="H42" s="177"/>
    </row>
    <row r="43" spans="1:9" x14ac:dyDescent="0.3">
      <c r="A43" s="100" t="s">
        <v>39</v>
      </c>
      <c r="B43" s="100"/>
      <c r="C43" s="100"/>
      <c r="D43" s="100"/>
      <c r="E43" s="176">
        <f>E41+E42</f>
        <v>1.6643697791791199</v>
      </c>
      <c r="F43" s="177"/>
      <c r="G43" s="176">
        <f>G41+G42</f>
        <v>7.3054413728422958</v>
      </c>
      <c r="H43" s="177"/>
    </row>
    <row r="44" spans="1:9" x14ac:dyDescent="0.3">
      <c r="A44" s="100" t="s">
        <v>95</v>
      </c>
      <c r="B44" s="100"/>
      <c r="C44" s="100"/>
      <c r="D44" s="100"/>
      <c r="E44" s="176">
        <v>7601.26</v>
      </c>
      <c r="F44" s="177"/>
      <c r="G44" s="176">
        <v>41907.08</v>
      </c>
      <c r="H44" s="177"/>
      <c r="I44" s="20">
        <v>32756.81</v>
      </c>
    </row>
    <row r="45" spans="1:9" x14ac:dyDescent="0.3">
      <c r="A45" s="134" t="s">
        <v>40</v>
      </c>
      <c r="B45" s="134"/>
      <c r="C45" s="134"/>
      <c r="D45" s="134"/>
      <c r="E45" s="134" t="s">
        <v>182</v>
      </c>
      <c r="F45" s="134"/>
      <c r="G45" s="134"/>
      <c r="H45" s="134"/>
    </row>
    <row r="46" spans="1:9" x14ac:dyDescent="0.3">
      <c r="A46" s="146" t="s">
        <v>41</v>
      </c>
      <c r="B46" s="146"/>
      <c r="C46" s="146"/>
      <c r="D46" s="146"/>
      <c r="E46" s="146"/>
      <c r="F46" s="146"/>
      <c r="G46" s="146"/>
      <c r="H46" s="146"/>
    </row>
    <row r="47" spans="1:9" ht="33.75" customHeight="1" x14ac:dyDescent="0.3">
      <c r="A47" s="114" t="s">
        <v>156</v>
      </c>
      <c r="B47" s="115"/>
      <c r="C47" s="206" t="s">
        <v>185</v>
      </c>
      <c r="D47" s="207"/>
      <c r="E47" s="207"/>
      <c r="F47" s="207"/>
      <c r="G47" s="207"/>
      <c r="H47" s="208"/>
    </row>
    <row r="48" spans="1:9" ht="15.75" customHeight="1" x14ac:dyDescent="0.3">
      <c r="A48" s="114" t="s">
        <v>42</v>
      </c>
      <c r="B48" s="115"/>
      <c r="C48" s="114" t="s">
        <v>186</v>
      </c>
      <c r="D48" s="116"/>
      <c r="E48" s="115"/>
      <c r="F48" s="17" t="s">
        <v>43</v>
      </c>
      <c r="G48" s="117" t="s">
        <v>288</v>
      </c>
      <c r="H48" s="115"/>
    </row>
    <row r="49" spans="1:14" x14ac:dyDescent="0.3">
      <c r="A49" s="114" t="s">
        <v>44</v>
      </c>
      <c r="B49" s="115"/>
      <c r="C49" s="114" t="str">
        <f>C48</f>
        <v>SRA/ENG/2790/RC/PL/AP</v>
      </c>
      <c r="D49" s="116"/>
      <c r="E49" s="115"/>
      <c r="F49" s="17" t="s">
        <v>43</v>
      </c>
      <c r="G49" s="117" t="str">
        <f>G48</f>
        <v>09/10/2023.</v>
      </c>
      <c r="H49" s="118"/>
    </row>
    <row r="50" spans="1:14" ht="64.8" customHeight="1" x14ac:dyDescent="0.3">
      <c r="A50" s="137" t="s">
        <v>303</v>
      </c>
      <c r="B50" s="138"/>
      <c r="C50" s="137" t="str">
        <f>C49</f>
        <v>SRA/ENG/2790/RC/PL/AP</v>
      </c>
      <c r="D50" s="139"/>
      <c r="E50" s="138"/>
      <c r="F50" s="70" t="s">
        <v>43</v>
      </c>
      <c r="G50" s="140">
        <v>45334</v>
      </c>
      <c r="H50" s="141"/>
    </row>
    <row r="51" spans="1:14" s="22" customFormat="1" ht="15.75" customHeight="1" x14ac:dyDescent="0.3">
      <c r="A51" s="178" t="s">
        <v>160</v>
      </c>
      <c r="B51" s="179"/>
      <c r="C51" s="114" t="str">
        <f>C49</f>
        <v>SRA/ENG/2790/RC/PL/AP</v>
      </c>
      <c r="D51" s="116"/>
      <c r="E51" s="115"/>
      <c r="F51" s="17" t="s">
        <v>43</v>
      </c>
      <c r="G51" s="117" t="s">
        <v>289</v>
      </c>
      <c r="H51" s="118"/>
    </row>
    <row r="52" spans="1:14" s="22" customFormat="1" ht="128.4" customHeight="1" x14ac:dyDescent="0.3">
      <c r="A52" s="180"/>
      <c r="B52" s="181"/>
      <c r="C52" s="114" t="s">
        <v>258</v>
      </c>
      <c r="D52" s="116"/>
      <c r="E52" s="116"/>
      <c r="F52" s="116"/>
      <c r="G52" s="116"/>
      <c r="H52" s="115"/>
    </row>
    <row r="53" spans="1:14" x14ac:dyDescent="0.3">
      <c r="A53" s="129" t="s">
        <v>45</v>
      </c>
      <c r="B53" s="130"/>
      <c r="C53" s="129" t="s">
        <v>109</v>
      </c>
      <c r="D53" s="131"/>
      <c r="E53" s="130"/>
      <c r="F53" s="43" t="s">
        <v>43</v>
      </c>
      <c r="G53" s="135" t="s">
        <v>30</v>
      </c>
      <c r="H53" s="136"/>
    </row>
    <row r="54" spans="1:14" x14ac:dyDescent="0.3">
      <c r="A54" s="132" t="s">
        <v>47</v>
      </c>
      <c r="B54" s="132"/>
      <c r="C54" s="132"/>
      <c r="D54" s="132"/>
      <c r="E54" s="132"/>
      <c r="F54" s="132"/>
      <c r="G54" s="132"/>
      <c r="H54" s="132"/>
    </row>
    <row r="55" spans="1:14" x14ac:dyDescent="0.3">
      <c r="A55" s="133" t="s">
        <v>94</v>
      </c>
      <c r="B55" s="133"/>
      <c r="C55" s="133"/>
      <c r="D55" s="119">
        <f>E44+G44</f>
        <v>49508.340000000004</v>
      </c>
      <c r="E55" s="119"/>
      <c r="F55" s="119"/>
      <c r="G55" s="119"/>
      <c r="H55" s="119"/>
    </row>
    <row r="56" spans="1:14" x14ac:dyDescent="0.3">
      <c r="A56" s="99" t="s">
        <v>48</v>
      </c>
      <c r="B56" s="134"/>
      <c r="C56" s="134"/>
      <c r="D56" s="134" t="s">
        <v>304</v>
      </c>
      <c r="E56" s="134"/>
      <c r="F56" s="134"/>
      <c r="G56" s="134"/>
      <c r="H56" s="134"/>
      <c r="I56" s="23"/>
    </row>
    <row r="57" spans="1:14" ht="36.6" customHeight="1" x14ac:dyDescent="0.3">
      <c r="A57" s="120" t="s">
        <v>49</v>
      </c>
      <c r="B57" s="121"/>
      <c r="C57" s="184"/>
      <c r="D57" s="152" t="s">
        <v>291</v>
      </c>
      <c r="E57" s="183"/>
      <c r="F57" s="183"/>
      <c r="G57" s="183"/>
      <c r="H57" s="183"/>
    </row>
    <row r="58" spans="1:14" x14ac:dyDescent="0.3">
      <c r="A58" s="120" t="s">
        <v>92</v>
      </c>
      <c r="B58" s="121"/>
      <c r="C58" s="121"/>
      <c r="D58" s="120" t="s">
        <v>285</v>
      </c>
      <c r="E58" s="124"/>
      <c r="F58" s="124"/>
      <c r="G58" s="124"/>
      <c r="H58" s="125"/>
    </row>
    <row r="59" spans="1:14" ht="15" customHeight="1" x14ac:dyDescent="0.3">
      <c r="A59" s="122"/>
      <c r="B59" s="123"/>
      <c r="C59" s="123"/>
      <c r="D59" s="126" t="s">
        <v>286</v>
      </c>
      <c r="E59" s="127"/>
      <c r="F59" s="127"/>
      <c r="G59" s="127"/>
      <c r="H59" s="128"/>
    </row>
    <row r="60" spans="1:14" ht="15.75" customHeight="1" x14ac:dyDescent="0.3">
      <c r="A60" s="100" t="s">
        <v>46</v>
      </c>
      <c r="B60" s="100"/>
      <c r="C60" s="100"/>
      <c r="D60" s="175" t="s">
        <v>187</v>
      </c>
      <c r="E60" s="175"/>
      <c r="F60" s="175"/>
      <c r="G60" s="175"/>
      <c r="H60" s="175"/>
      <c r="J60" s="24"/>
      <c r="K60" s="23"/>
      <c r="N60" s="23"/>
    </row>
    <row r="61" spans="1:14" ht="15.75" customHeight="1" x14ac:dyDescent="0.3">
      <c r="A61" s="100" t="s">
        <v>90</v>
      </c>
      <c r="B61" s="100"/>
      <c r="C61" s="100"/>
      <c r="D61" s="182" t="str">
        <f>(IF(G53="NA","60 Years After Completion",IF(G53&lt;&gt;"NA",""&amp;60-ROUNDDOWN((E3-G53)/360,0)&amp;" Years"," ")))</f>
        <v>60 Years After Completion</v>
      </c>
      <c r="E61" s="182"/>
      <c r="F61" s="182"/>
      <c r="G61" s="182"/>
      <c r="H61" s="182"/>
      <c r="N61" s="23"/>
    </row>
    <row r="62" spans="1:14" ht="15.75" customHeight="1" x14ac:dyDescent="0.3">
      <c r="A62" s="100" t="s">
        <v>91</v>
      </c>
      <c r="B62" s="100"/>
      <c r="C62" s="100"/>
      <c r="D62" s="133" t="s">
        <v>24</v>
      </c>
      <c r="E62" s="133"/>
      <c r="F62" s="133"/>
      <c r="G62" s="133"/>
      <c r="H62" s="133"/>
      <c r="J62" s="25"/>
      <c r="K62" s="25"/>
    </row>
    <row r="63" spans="1:14" ht="30" customHeight="1" x14ac:dyDescent="0.3">
      <c r="A63" s="100" t="s">
        <v>77</v>
      </c>
      <c r="B63" s="100"/>
      <c r="C63" s="100"/>
      <c r="D63" s="99" t="s">
        <v>199</v>
      </c>
      <c r="E63" s="133"/>
      <c r="F63" s="133"/>
      <c r="G63" s="133"/>
      <c r="H63" s="133"/>
    </row>
    <row r="64" spans="1:14" x14ac:dyDescent="0.3">
      <c r="A64" s="133" t="s">
        <v>153</v>
      </c>
      <c r="B64" s="133"/>
      <c r="C64" s="133"/>
      <c r="D64" s="133" t="s">
        <v>30</v>
      </c>
      <c r="E64" s="133"/>
      <c r="F64" s="133"/>
      <c r="G64" s="133"/>
      <c r="H64" s="133"/>
      <c r="I64" s="26"/>
      <c r="J64" s="26"/>
      <c r="K64" s="26"/>
      <c r="L64" s="26"/>
      <c r="M64" s="26"/>
      <c r="N64" s="26"/>
    </row>
    <row r="65" spans="1:12" ht="15.75" customHeight="1" x14ac:dyDescent="0.3">
      <c r="A65" s="153" t="s">
        <v>89</v>
      </c>
      <c r="B65" s="153"/>
      <c r="C65" s="153"/>
      <c r="D65" s="152" t="str">
        <f ca="1">(IF(G71&gt;95%,"Nothing",IF(G71&gt;0%,"Cement, Aggregate, Steel, etc",IF(G71=0%,"Work not yet Started"))))</f>
        <v>Cement, Aggregate, Steel, etc</v>
      </c>
      <c r="E65" s="152"/>
      <c r="F65" s="152"/>
      <c r="G65" s="152"/>
      <c r="H65" s="152"/>
      <c r="J65" s="25"/>
    </row>
    <row r="66" spans="1:12" ht="33.75" customHeight="1" thickBot="1" x14ac:dyDescent="0.35">
      <c r="A66" s="151" t="s">
        <v>122</v>
      </c>
      <c r="B66" s="151"/>
      <c r="C66" s="151"/>
      <c r="D66" s="152" t="str">
        <f ca="1">(IF(D65="Nothing","Yes",IF(D65="Cement, Aggregate, Steel, etc","Under Construction",IF(D65="Work not yet Started","Work not yet Started"))))</f>
        <v>Under Construction</v>
      </c>
      <c r="E66" s="152"/>
      <c r="F66" s="152" t="str">
        <f ca="1">(IF(D65="Nothing","Yes",IF(D65="Cement, Aggregate, Steel, etc","Under Construction",IF(D65="Work not yet Started","Work not yet Started"))))</f>
        <v>Under Construction</v>
      </c>
      <c r="G66" s="152"/>
      <c r="H66" s="152"/>
    </row>
    <row r="67" spans="1:12" ht="15.75" customHeight="1" x14ac:dyDescent="0.3">
      <c r="A67" s="106" t="s">
        <v>145</v>
      </c>
      <c r="B67" s="107"/>
      <c r="C67" s="108" t="str">
        <f>D58</f>
        <v>A Wing = B + G + 1P to 8P + 9th(E Deck) + 1st to 30th Floor</v>
      </c>
      <c r="D67" s="109"/>
      <c r="E67" s="109"/>
      <c r="F67" s="109"/>
      <c r="G67" s="109"/>
      <c r="H67" s="110"/>
      <c r="I67" s="4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29 Floor, Painting upto 28 Floor, Finishing upto 20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29 Floor, Painting upto 28 Floor, Finishing upto 20 Floor</v>
      </c>
    </row>
    <row r="68" spans="1:12" x14ac:dyDescent="0.3">
      <c r="A68" s="15" t="s">
        <v>147</v>
      </c>
      <c r="B68" s="52">
        <v>1</v>
      </c>
      <c r="C68" s="52" t="s">
        <v>74</v>
      </c>
      <c r="D68" s="52">
        <v>1</v>
      </c>
      <c r="E68" s="52" t="s">
        <v>73</v>
      </c>
      <c r="F68" s="52">
        <v>9</v>
      </c>
      <c r="G68" s="52" t="s">
        <v>83</v>
      </c>
      <c r="H68" s="16">
        <f ca="1">--TRIM(RIGHT(SUBSTITUTE(LEFT(C67,_xlfn.AGGREGATE(16,6,FIND({0,1,2,3,4,5,6,7,8,9},C67,ROW(INDIRECT("1:"&amp;LEN(C67)))),1))," ",REPT(" ",LEN(C67))),LEN(C67)))</f>
        <v>30</v>
      </c>
      <c r="I68" s="4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2" ht="48" customHeight="1" x14ac:dyDescent="0.3">
      <c r="A69" s="187" t="s">
        <v>93</v>
      </c>
      <c r="B69" s="168"/>
      <c r="C69" s="188" t="str">
        <f ca="1">I67</f>
        <v>Excavation, Plinth, RCC Slab, Brickwork, Internal Plaster, External Plaster Completed, Flooring upto 29 Floor, Painting upto 28 Floor, Finishing upto 20 Floor Completed</v>
      </c>
      <c r="D69" s="188"/>
      <c r="E69" s="188"/>
      <c r="F69" s="188"/>
      <c r="G69" s="188"/>
      <c r="H69" s="189"/>
      <c r="I69" s="47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2" ht="15.75" customHeight="1" x14ac:dyDescent="0.3">
      <c r="A70" s="111" t="s">
        <v>50</v>
      </c>
      <c r="B70" s="112"/>
      <c r="C70" s="56" t="s">
        <v>144</v>
      </c>
      <c r="D70" s="56" t="s">
        <v>86</v>
      </c>
      <c r="E70" s="112" t="s">
        <v>88</v>
      </c>
      <c r="F70" s="112"/>
      <c r="G70" s="112" t="s">
        <v>87</v>
      </c>
      <c r="H70" s="165"/>
      <c r="I70" s="13" t="s">
        <v>146</v>
      </c>
      <c r="J70" s="27">
        <f ca="1">H68*25%</f>
        <v>7.5</v>
      </c>
    </row>
    <row r="71" spans="1:12" x14ac:dyDescent="0.3">
      <c r="A71" s="111" t="s">
        <v>133</v>
      </c>
      <c r="B71" s="112"/>
      <c r="C71" s="56">
        <f ca="1">J72</f>
        <v>30</v>
      </c>
      <c r="D71" s="57">
        <f ca="1">((100/H68)*C71)/100</f>
        <v>1</v>
      </c>
      <c r="E71" s="154">
        <f ca="1">(((C72/H68*10)+(40/(D68+F68+H68)*C73)+(7.5/(H68)*C74)+(7.5/(H68)*C75)+(10/H68*C76)+(10/H68*C77)+(5/H68*C78)+(5/H68*C79)+(5/H68*C80))/100)</f>
        <v>0.92666666666666675</v>
      </c>
      <c r="F71" s="162"/>
      <c r="G71" s="154">
        <f ca="1">((((C71/H68)*20)+((C72/H68)*25)+(30/(H68+F68+D68)*C73)+(5/H68*C74)+(5/H68*C75)+(5/H68*C76)+(5/H68*C77)+(0/H68*C78)+(0/H68*C79)+(5/H68*C80))/100)</f>
        <v>0.94833333333333325</v>
      </c>
      <c r="H71" s="155"/>
      <c r="I71" s="13" t="s">
        <v>104</v>
      </c>
      <c r="J71" s="28">
        <f ca="1">H68*50%</f>
        <v>15</v>
      </c>
    </row>
    <row r="72" spans="1:12" x14ac:dyDescent="0.3">
      <c r="A72" s="111" t="s">
        <v>51</v>
      </c>
      <c r="B72" s="112"/>
      <c r="C72" s="58">
        <f ca="1">J80</f>
        <v>30</v>
      </c>
      <c r="D72" s="57">
        <f ca="1">((100/H68)*C72)/100</f>
        <v>1</v>
      </c>
      <c r="E72" s="156"/>
      <c r="F72" s="163"/>
      <c r="G72" s="156"/>
      <c r="H72" s="157"/>
      <c r="I72" s="13" t="s">
        <v>105</v>
      </c>
      <c r="J72" s="28">
        <f ca="1">H68</f>
        <v>30</v>
      </c>
      <c r="L72" s="20">
        <f>30+9+1</f>
        <v>40</v>
      </c>
    </row>
    <row r="73" spans="1:12" ht="15.75" customHeight="1" x14ac:dyDescent="0.3">
      <c r="A73" s="111" t="s">
        <v>134</v>
      </c>
      <c r="B73" s="112"/>
      <c r="C73" s="56">
        <v>40</v>
      </c>
      <c r="D73" s="57">
        <f ca="1">((100/(D68+F68+H68))*C73)/100</f>
        <v>1</v>
      </c>
      <c r="E73" s="156"/>
      <c r="F73" s="163"/>
      <c r="G73" s="156"/>
      <c r="H73" s="157"/>
      <c r="I73" s="13" t="s">
        <v>106</v>
      </c>
      <c r="J73" s="29">
        <f ca="1">(IF(B68&gt;1,(H68/(B68+2)),H68/4))</f>
        <v>7.5</v>
      </c>
    </row>
    <row r="74" spans="1:12" ht="15.75" customHeight="1" x14ac:dyDescent="0.3">
      <c r="A74" s="111" t="s">
        <v>141</v>
      </c>
      <c r="B74" s="112" t="s">
        <v>135</v>
      </c>
      <c r="C74" s="56">
        <f>C73-D68-F68</f>
        <v>30</v>
      </c>
      <c r="D74" s="57">
        <f ca="1">((100/H68)*C74)/100</f>
        <v>1</v>
      </c>
      <c r="E74" s="156"/>
      <c r="F74" s="163"/>
      <c r="G74" s="156"/>
      <c r="H74" s="157"/>
      <c r="I74" s="13" t="s">
        <v>107</v>
      </c>
      <c r="J74" s="29">
        <f ca="1">(IF(B68&gt;1,(H68/(B68+2)+J73),H68/4+J73))</f>
        <v>15</v>
      </c>
    </row>
    <row r="75" spans="1:12" ht="15.75" customHeight="1" x14ac:dyDescent="0.3">
      <c r="A75" s="111" t="s">
        <v>142</v>
      </c>
      <c r="B75" s="112" t="s">
        <v>135</v>
      </c>
      <c r="C75" s="58">
        <v>30</v>
      </c>
      <c r="D75" s="57">
        <f ca="1">((100/H68)*C75)/100</f>
        <v>1</v>
      </c>
      <c r="E75" s="156"/>
      <c r="F75" s="163"/>
      <c r="G75" s="156"/>
      <c r="H75" s="157"/>
      <c r="I75" s="13" t="s">
        <v>151</v>
      </c>
      <c r="J75" s="29">
        <f>(IF(B68&gt;1,(H68/(B68+2)+J74),0))</f>
        <v>0</v>
      </c>
    </row>
    <row r="76" spans="1:12" ht="15" customHeight="1" x14ac:dyDescent="0.3">
      <c r="A76" s="111" t="s">
        <v>140</v>
      </c>
      <c r="B76" s="112" t="s">
        <v>137</v>
      </c>
      <c r="C76" s="58">
        <v>30</v>
      </c>
      <c r="D76" s="57">
        <f ca="1">((100/(H68))*C76)/100</f>
        <v>1</v>
      </c>
      <c r="E76" s="156"/>
      <c r="F76" s="163"/>
      <c r="G76" s="156"/>
      <c r="H76" s="157"/>
      <c r="I76" s="13" t="s">
        <v>148</v>
      </c>
      <c r="J76" s="29">
        <f>(IF(B68&gt;2,(H68/(B68+2)+J75),0))</f>
        <v>0</v>
      </c>
    </row>
    <row r="77" spans="1:12" ht="15.75" customHeight="1" x14ac:dyDescent="0.3">
      <c r="A77" s="111" t="s">
        <v>136</v>
      </c>
      <c r="B77" s="112" t="s">
        <v>136</v>
      </c>
      <c r="C77" s="56">
        <v>29</v>
      </c>
      <c r="D77" s="57">
        <f ca="1">((100/H68)*C77)/100</f>
        <v>0.96666666666666667</v>
      </c>
      <c r="E77" s="156"/>
      <c r="F77" s="163"/>
      <c r="G77" s="156"/>
      <c r="H77" s="157"/>
      <c r="I77" s="13" t="s">
        <v>149</v>
      </c>
      <c r="J77" s="30">
        <f>(IF(B68&gt;3,(H68/(B68+2)+J76),0))</f>
        <v>0</v>
      </c>
    </row>
    <row r="78" spans="1:12" ht="15.75" customHeight="1" x14ac:dyDescent="0.3">
      <c r="A78" s="111" t="s">
        <v>143</v>
      </c>
      <c r="B78" s="112"/>
      <c r="C78" s="56">
        <v>28</v>
      </c>
      <c r="D78" s="57">
        <f ca="1">((100/H68)*C78)/100</f>
        <v>0.93333333333333346</v>
      </c>
      <c r="E78" s="156"/>
      <c r="F78" s="163"/>
      <c r="G78" s="156"/>
      <c r="H78" s="157"/>
      <c r="I78" s="13" t="s">
        <v>150</v>
      </c>
      <c r="J78" s="29">
        <f>(IF(B68&gt;4,(H68/(B68+2)+J77),0))</f>
        <v>0</v>
      </c>
    </row>
    <row r="79" spans="1:12" ht="15.75" customHeight="1" x14ac:dyDescent="0.3">
      <c r="A79" s="111" t="s">
        <v>138</v>
      </c>
      <c r="B79" s="112" t="s">
        <v>138</v>
      </c>
      <c r="C79" s="56">
        <v>20</v>
      </c>
      <c r="D79" s="57">
        <f ca="1">((100/(H68))*C79)/100</f>
        <v>0.66666666666666674</v>
      </c>
      <c r="E79" s="156"/>
      <c r="F79" s="163"/>
      <c r="G79" s="156"/>
      <c r="H79" s="157"/>
      <c r="I79" s="13" t="s">
        <v>152</v>
      </c>
      <c r="J79" s="29">
        <f ca="1">(IF(B68=1,(H68/(B68+3)+J74),IF(B68=0,(H68/4+J74),IF(B68&gt;1,0))))</f>
        <v>22.5</v>
      </c>
    </row>
    <row r="80" spans="1:12" ht="16.2" thickBot="1" x14ac:dyDescent="0.35">
      <c r="A80" s="160" t="s">
        <v>139</v>
      </c>
      <c r="B80" s="161"/>
      <c r="C80" s="59">
        <v>0</v>
      </c>
      <c r="D80" s="60">
        <f ca="1">((100/(H68))*C80)/100</f>
        <v>0</v>
      </c>
      <c r="E80" s="158"/>
      <c r="F80" s="164"/>
      <c r="G80" s="158"/>
      <c r="H80" s="159"/>
      <c r="I80" s="14" t="s">
        <v>108</v>
      </c>
      <c r="J80" s="31">
        <f ca="1">(IF(B68&gt;1.5,(H68/(B68+2)+J74+MAX(0,J75-J74)+MAX(0,J76-J75)+MAX(0,J77-J76)+MAX(0,J78-J77)+MAX(0,J79-J78)),IF(B68=1,(H68/(B68+3)+J79),IF(B68=0,H68/4+J79))))</f>
        <v>30</v>
      </c>
    </row>
    <row r="81" spans="1:11" ht="15.75" customHeight="1" x14ac:dyDescent="0.3">
      <c r="A81" s="106" t="s">
        <v>145</v>
      </c>
      <c r="B81" s="107"/>
      <c r="C81" s="108" t="str">
        <f>D59</f>
        <v>B Wing = B + G + 1P to 8P + 9th(E Deck) + 1st to 30th Floor</v>
      </c>
      <c r="D81" s="109"/>
      <c r="E81" s="109"/>
      <c r="F81" s="109"/>
      <c r="G81" s="109"/>
      <c r="H81" s="110"/>
      <c r="I81" s="45" t="str">
        <f ca="1">IF(D94=100%,"All work Completed. Possession granted to the Building.",IF(D93=100%,"All work Completed, Waiting for OC",I82&amp;""&amp;I83&amp;""&amp;J82&amp;""&amp;J81&amp;" "&amp;J83))</f>
        <v>Excavation, Plinth Completed, RCC upto 30 Slab, Brickwork upto 19 Floor, Internal Plaster upto 15.2 Floor, External Plaster upto 15.2 Floor Completed</v>
      </c>
      <c r="J81" s="46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30 Slab, Brickwork upto 19 Floor, Internal Plaster upto 15.2 Floor, External Plaster upto 15.2 Floor</v>
      </c>
    </row>
    <row r="82" spans="1:11" x14ac:dyDescent="0.3">
      <c r="A82" s="15" t="s">
        <v>147</v>
      </c>
      <c r="B82" s="52">
        <v>1</v>
      </c>
      <c r="C82" s="52" t="s">
        <v>74</v>
      </c>
      <c r="D82" s="52">
        <v>1</v>
      </c>
      <c r="E82" s="52" t="s">
        <v>73</v>
      </c>
      <c r="F82" s="52">
        <v>9</v>
      </c>
      <c r="G82" s="52" t="s">
        <v>83</v>
      </c>
      <c r="H82" s="16">
        <f ca="1">--TRIM(RIGHT(SUBSTITUTE(LEFT(C81,_xlfn.AGGREGATE(16,6,FIND({0,1,2,3,4,5,6,7,8,9},C81,ROW(INDIRECT("1:"&amp;LEN(C81)))),1))," ",REPT(" ",LEN(C81))),LEN(C81)))</f>
        <v>30</v>
      </c>
      <c r="I82" s="47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8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1" ht="34.200000000000003" customHeight="1" x14ac:dyDescent="0.3">
      <c r="A83" s="187" t="s">
        <v>93</v>
      </c>
      <c r="B83" s="168"/>
      <c r="C83" s="188" t="str">
        <f ca="1">(IF($G$53="NA",I81,"All work Completed. OC Received."))</f>
        <v>Excavation, Plinth Completed, RCC upto 30 Slab, Brickwork upto 19 Floor, Internal Plaster upto 15.2 Floor, External Plaster upto 15.2 Floor Completed</v>
      </c>
      <c r="D83" s="188"/>
      <c r="E83" s="188"/>
      <c r="F83" s="188"/>
      <c r="G83" s="188"/>
      <c r="H83" s="189"/>
      <c r="I83" s="47" t="str">
        <f ca="1">IF(I82&lt;&gt;""," Completed","")</f>
        <v xml:space="preserve"> Completed</v>
      </c>
      <c r="J83" s="48" t="str">
        <f ca="1">IF(J81&lt;&gt;"","Completed","")</f>
        <v>Completed</v>
      </c>
    </row>
    <row r="84" spans="1:11" ht="15.75" customHeight="1" x14ac:dyDescent="0.3">
      <c r="A84" s="104" t="s">
        <v>50</v>
      </c>
      <c r="B84" s="105"/>
      <c r="C84" s="41" t="s">
        <v>144</v>
      </c>
      <c r="D84" s="41" t="s">
        <v>86</v>
      </c>
      <c r="E84" s="105" t="s">
        <v>88</v>
      </c>
      <c r="F84" s="105"/>
      <c r="G84" s="105" t="s">
        <v>87</v>
      </c>
      <c r="H84" s="194"/>
      <c r="I84" s="13" t="s">
        <v>146</v>
      </c>
      <c r="J84" s="27">
        <f ca="1">H82*25%</f>
        <v>7.5</v>
      </c>
    </row>
    <row r="85" spans="1:11" x14ac:dyDescent="0.3">
      <c r="A85" s="104" t="s">
        <v>133</v>
      </c>
      <c r="B85" s="105"/>
      <c r="C85" s="41">
        <f ca="1">J86</f>
        <v>30</v>
      </c>
      <c r="D85" s="18">
        <f ca="1">((100/H82)*C85)/100</f>
        <v>1</v>
      </c>
      <c r="E85" s="195">
        <f ca="1">(((C86/H82*10)+(40/(D82+F82+H82)*C87)+(7.5/(H82)*C88)+(7.5/(H82)*C89)+(10/H82*C90)+(10/H82*C91)+(5/H82*C92)+(5/H82*C93)+(5/H82*C94))/100)</f>
        <v>0.53616666666666657</v>
      </c>
      <c r="F85" s="196"/>
      <c r="G85" s="195">
        <f ca="1">((((C85/H82)*20)+((C86/H82)*25)+(30/(H82+F82+D82)*C87)+(5/H82*C88)+(5/H82*C89)+(5/H82*C90)+(5/H82*C91)+(0/H82*C92)+(0/H82*C93)+(5/H82*C94))/100)</f>
        <v>0.7573333333333333</v>
      </c>
      <c r="H85" s="209"/>
      <c r="I85" s="13" t="s">
        <v>104</v>
      </c>
      <c r="J85" s="28">
        <f ca="1">H82*50%</f>
        <v>15</v>
      </c>
    </row>
    <row r="86" spans="1:11" x14ac:dyDescent="0.3">
      <c r="A86" s="104" t="s">
        <v>51</v>
      </c>
      <c r="B86" s="105"/>
      <c r="C86" s="41">
        <f ca="1">J94</f>
        <v>30</v>
      </c>
      <c r="D86" s="18">
        <f ca="1">((100/H82)*C86)/100</f>
        <v>1</v>
      </c>
      <c r="E86" s="197"/>
      <c r="F86" s="198"/>
      <c r="G86" s="197"/>
      <c r="H86" s="210"/>
      <c r="I86" s="13" t="s">
        <v>105</v>
      </c>
      <c r="J86" s="28">
        <f ca="1">H82</f>
        <v>30</v>
      </c>
    </row>
    <row r="87" spans="1:11" ht="15.75" customHeight="1" x14ac:dyDescent="0.3">
      <c r="A87" s="104" t="s">
        <v>134</v>
      </c>
      <c r="B87" s="105"/>
      <c r="C87" s="41">
        <f>F82+D82+20</f>
        <v>30</v>
      </c>
      <c r="D87" s="18">
        <f ca="1">((100/(D82+F82+H82))*C87)/100</f>
        <v>0.75</v>
      </c>
      <c r="E87" s="197"/>
      <c r="F87" s="198"/>
      <c r="G87" s="197"/>
      <c r="H87" s="210"/>
      <c r="I87" s="13" t="s">
        <v>106</v>
      </c>
      <c r="J87" s="29">
        <f ca="1">(IF(B82&gt;1,(H82/(B82+2)),H82/4))</f>
        <v>7.5</v>
      </c>
    </row>
    <row r="88" spans="1:11" ht="15.75" customHeight="1" x14ac:dyDescent="0.3">
      <c r="A88" s="104" t="s">
        <v>141</v>
      </c>
      <c r="B88" s="105" t="s">
        <v>135</v>
      </c>
      <c r="C88" s="41">
        <f>C87-F82-D82-1</f>
        <v>19</v>
      </c>
      <c r="D88" s="18">
        <f ca="1">((100/H82)*C88)/100</f>
        <v>0.6333333333333333</v>
      </c>
      <c r="E88" s="197"/>
      <c r="F88" s="198"/>
      <c r="G88" s="197"/>
      <c r="H88" s="210"/>
      <c r="I88" s="13" t="s">
        <v>107</v>
      </c>
      <c r="J88" s="29">
        <f ca="1">(IF(B82&gt;1,(H82/(B82+2)+J87),H82/4+J87))</f>
        <v>15</v>
      </c>
    </row>
    <row r="89" spans="1:11" ht="15.75" customHeight="1" x14ac:dyDescent="0.3">
      <c r="A89" s="104" t="s">
        <v>142</v>
      </c>
      <c r="B89" s="105" t="s">
        <v>135</v>
      </c>
      <c r="C89" s="69">
        <f>C88*0.8</f>
        <v>15.200000000000001</v>
      </c>
      <c r="D89" s="18">
        <f ca="1">((100/H82)*C89)/100</f>
        <v>0.50666666666666671</v>
      </c>
      <c r="E89" s="197"/>
      <c r="F89" s="198"/>
      <c r="G89" s="197"/>
      <c r="H89" s="210"/>
      <c r="I89" s="13" t="s">
        <v>151</v>
      </c>
      <c r="J89" s="29">
        <f>(IF(B82&gt;1,(H82/(B82+2)+J88),0))</f>
        <v>0</v>
      </c>
    </row>
    <row r="90" spans="1:11" ht="15" customHeight="1" x14ac:dyDescent="0.3">
      <c r="A90" s="104" t="s">
        <v>140</v>
      </c>
      <c r="B90" s="105" t="s">
        <v>137</v>
      </c>
      <c r="C90" s="69">
        <f>C89</f>
        <v>15.200000000000001</v>
      </c>
      <c r="D90" s="18">
        <f ca="1">((100/(H82))*C90)/100</f>
        <v>0.50666666666666671</v>
      </c>
      <c r="E90" s="197"/>
      <c r="F90" s="198"/>
      <c r="G90" s="197"/>
      <c r="H90" s="210"/>
      <c r="I90" s="13" t="s">
        <v>148</v>
      </c>
      <c r="J90" s="29">
        <f>(IF(B82&gt;2,(H82/(B82+2)+J89),0))</f>
        <v>0</v>
      </c>
    </row>
    <row r="91" spans="1:11" ht="15.75" customHeight="1" x14ac:dyDescent="0.3">
      <c r="A91" s="104" t="s">
        <v>136</v>
      </c>
      <c r="B91" s="105" t="s">
        <v>136</v>
      </c>
      <c r="C91" s="41">
        <v>0</v>
      </c>
      <c r="D91" s="18">
        <f ca="1">((100/H82)*C91)/100</f>
        <v>0</v>
      </c>
      <c r="E91" s="197"/>
      <c r="F91" s="198"/>
      <c r="G91" s="197"/>
      <c r="H91" s="210"/>
      <c r="I91" s="13" t="s">
        <v>149</v>
      </c>
      <c r="J91" s="30">
        <f>(IF(B82&gt;3,(H82/(B82+2)+J90),0))</f>
        <v>0</v>
      </c>
    </row>
    <row r="92" spans="1:11" ht="15.75" customHeight="1" x14ac:dyDescent="0.3">
      <c r="A92" s="104" t="s">
        <v>143</v>
      </c>
      <c r="B92" s="105"/>
      <c r="C92" s="41">
        <v>0</v>
      </c>
      <c r="D92" s="18">
        <f ca="1">((100/H82)*C92)/100</f>
        <v>0</v>
      </c>
      <c r="E92" s="197"/>
      <c r="F92" s="198"/>
      <c r="G92" s="197"/>
      <c r="H92" s="210"/>
      <c r="I92" s="13" t="s">
        <v>150</v>
      </c>
      <c r="J92" s="29">
        <f>(IF(B82&gt;4,(H82/(B82+2)+J91),0))</f>
        <v>0</v>
      </c>
    </row>
    <row r="93" spans="1:11" ht="15.75" customHeight="1" x14ac:dyDescent="0.3">
      <c r="A93" s="104" t="s">
        <v>138</v>
      </c>
      <c r="B93" s="105" t="s">
        <v>138</v>
      </c>
      <c r="C93" s="41">
        <v>0</v>
      </c>
      <c r="D93" s="18">
        <f ca="1">((100/(H82))*C93)/100</f>
        <v>0</v>
      </c>
      <c r="E93" s="197"/>
      <c r="F93" s="198"/>
      <c r="G93" s="197"/>
      <c r="H93" s="210"/>
      <c r="I93" s="13" t="s">
        <v>152</v>
      </c>
      <c r="J93" s="29">
        <f ca="1">(IF(B82=1,(H82/(B82+3)+J88),IF(B82=0,(H82/4+J88),IF(B82&gt;1,0))))</f>
        <v>22.5</v>
      </c>
    </row>
    <row r="94" spans="1:11" ht="16.2" thickBot="1" x14ac:dyDescent="0.35">
      <c r="A94" s="201" t="s">
        <v>139</v>
      </c>
      <c r="B94" s="202"/>
      <c r="C94" s="42">
        <v>0</v>
      </c>
      <c r="D94" s="19">
        <f ca="1">((100/(H82))*C94)/100</f>
        <v>0</v>
      </c>
      <c r="E94" s="199"/>
      <c r="F94" s="200"/>
      <c r="G94" s="199"/>
      <c r="H94" s="211"/>
      <c r="I94" s="14" t="s">
        <v>108</v>
      </c>
      <c r="J94" s="31">
        <f ca="1">(IF(B82&gt;1.5,(H82/(B82+2)+J88+MAX(0,J89-J88)+MAX(0,J90-J89)+MAX(0,J91-J90)+MAX(0,J92-J91)+MAX(0,J93-J92)),IF(B82=1,(H82/(B82+3)+J93),IF(B82=0,H82/4+J93))))</f>
        <v>30</v>
      </c>
    </row>
    <row r="95" spans="1:11" x14ac:dyDescent="0.3">
      <c r="A95" s="193" t="s">
        <v>162</v>
      </c>
      <c r="B95" s="193"/>
      <c r="C95" s="193"/>
      <c r="D95" s="193"/>
      <c r="E95" s="193"/>
      <c r="F95" s="192" t="s">
        <v>166</v>
      </c>
      <c r="G95" s="192"/>
      <c r="H95" s="192"/>
    </row>
    <row r="96" spans="1:11" x14ac:dyDescent="0.3">
      <c r="A96" s="100" t="s">
        <v>165</v>
      </c>
      <c r="B96" s="100"/>
      <c r="C96" s="100"/>
      <c r="D96" s="100"/>
      <c r="E96" s="100"/>
      <c r="F96" s="113">
        <v>18500</v>
      </c>
      <c r="G96" s="113"/>
      <c r="H96" s="113"/>
      <c r="I96" s="20" t="s">
        <v>298</v>
      </c>
      <c r="J96" s="20" t="s">
        <v>299</v>
      </c>
      <c r="K96" s="20" t="s">
        <v>300</v>
      </c>
    </row>
    <row r="97" spans="1:10" x14ac:dyDescent="0.3">
      <c r="A97" s="100" t="s">
        <v>164</v>
      </c>
      <c r="B97" s="100"/>
      <c r="C97" s="100"/>
      <c r="D97" s="100"/>
      <c r="E97" s="100"/>
      <c r="F97" s="145">
        <v>35000</v>
      </c>
      <c r="G97" s="145"/>
      <c r="H97" s="145"/>
    </row>
    <row r="98" spans="1:10" x14ac:dyDescent="0.3">
      <c r="A98" s="100" t="s">
        <v>241</v>
      </c>
      <c r="B98" s="100"/>
      <c r="C98" s="100"/>
      <c r="D98" s="100"/>
      <c r="E98" s="100"/>
      <c r="F98" s="145">
        <v>22000</v>
      </c>
      <c r="G98" s="145"/>
      <c r="H98" s="145"/>
    </row>
    <row r="99" spans="1:10" s="32" customFormat="1" x14ac:dyDescent="0.25">
      <c r="A99" s="100" t="s">
        <v>279</v>
      </c>
      <c r="B99" s="100"/>
      <c r="C99" s="100"/>
      <c r="D99" s="100"/>
      <c r="E99" s="100"/>
      <c r="F99" s="145">
        <v>800000</v>
      </c>
      <c r="G99" s="145"/>
      <c r="H99" s="145"/>
      <c r="J99" s="32" t="s">
        <v>280</v>
      </c>
    </row>
    <row r="100" spans="1:10" s="32" customFormat="1" hidden="1" x14ac:dyDescent="0.25">
      <c r="A100" s="100" t="s">
        <v>163</v>
      </c>
      <c r="B100" s="100"/>
      <c r="C100" s="100"/>
      <c r="D100" s="100"/>
      <c r="E100" s="100"/>
      <c r="F100" s="145"/>
      <c r="G100" s="145"/>
      <c r="H100" s="145"/>
    </row>
    <row r="101" spans="1:10" s="32" customFormat="1" hidden="1" x14ac:dyDescent="0.25">
      <c r="A101" s="100" t="s">
        <v>98</v>
      </c>
      <c r="B101" s="100"/>
      <c r="C101" s="100"/>
      <c r="D101" s="100"/>
      <c r="E101" s="100"/>
      <c r="F101" s="145"/>
      <c r="G101" s="145"/>
      <c r="H101" s="145"/>
    </row>
    <row r="102" spans="1:10" s="32" customFormat="1" hidden="1" x14ac:dyDescent="0.25">
      <c r="A102" s="100" t="s">
        <v>99</v>
      </c>
      <c r="B102" s="100"/>
      <c r="C102" s="100"/>
      <c r="D102" s="100"/>
      <c r="E102" s="100"/>
      <c r="F102" s="145"/>
      <c r="G102" s="145"/>
      <c r="H102" s="145"/>
    </row>
    <row r="103" spans="1:10" s="32" customFormat="1" hidden="1" x14ac:dyDescent="0.25">
      <c r="A103" s="100" t="s">
        <v>167</v>
      </c>
      <c r="B103" s="100"/>
      <c r="C103" s="100"/>
      <c r="D103" s="100"/>
      <c r="E103" s="100"/>
      <c r="F103" s="145"/>
      <c r="G103" s="145"/>
      <c r="H103" s="145"/>
    </row>
    <row r="104" spans="1:10" s="32" customFormat="1" hidden="1" x14ac:dyDescent="0.25">
      <c r="A104" s="100" t="s">
        <v>100</v>
      </c>
      <c r="B104" s="100"/>
      <c r="C104" s="100"/>
      <c r="D104" s="100"/>
      <c r="E104" s="100"/>
      <c r="F104" s="145"/>
      <c r="G104" s="145"/>
      <c r="H104" s="145"/>
    </row>
    <row r="105" spans="1:10" s="32" customFormat="1" hidden="1" x14ac:dyDescent="0.25">
      <c r="A105" s="100" t="s">
        <v>101</v>
      </c>
      <c r="B105" s="100"/>
      <c r="C105" s="100"/>
      <c r="D105" s="100"/>
      <c r="E105" s="100"/>
      <c r="F105" s="145"/>
      <c r="G105" s="145"/>
      <c r="H105" s="145"/>
    </row>
    <row r="106" spans="1:10" s="32" customFormat="1" hidden="1" x14ac:dyDescent="0.25">
      <c r="A106" s="100" t="s">
        <v>102</v>
      </c>
      <c r="B106" s="100"/>
      <c r="C106" s="100"/>
      <c r="D106" s="100"/>
      <c r="E106" s="100"/>
      <c r="F106" s="145"/>
      <c r="G106" s="145"/>
      <c r="H106" s="145"/>
    </row>
    <row r="107" spans="1:10" s="32" customFormat="1" hidden="1" x14ac:dyDescent="0.25">
      <c r="A107" s="100" t="s">
        <v>103</v>
      </c>
      <c r="B107" s="100"/>
      <c r="C107" s="100"/>
      <c r="D107" s="100"/>
      <c r="E107" s="100"/>
      <c r="F107" s="145"/>
      <c r="G107" s="145"/>
      <c r="H107" s="145"/>
    </row>
    <row r="108" spans="1:10" x14ac:dyDescent="0.3">
      <c r="A108" s="100" t="s">
        <v>52</v>
      </c>
      <c r="B108" s="100"/>
      <c r="C108" s="100"/>
      <c r="D108" s="100"/>
      <c r="E108" s="100"/>
      <c r="F108" s="145">
        <v>1000000</v>
      </c>
      <c r="G108" s="145"/>
      <c r="H108" s="145"/>
      <c r="J108" s="20" t="s">
        <v>281</v>
      </c>
    </row>
    <row r="109" spans="1:10" s="33" customFormat="1" x14ac:dyDescent="0.3">
      <c r="A109" s="146" t="s">
        <v>53</v>
      </c>
      <c r="B109" s="146"/>
      <c r="C109" s="146"/>
      <c r="D109" s="146"/>
      <c r="E109" s="146"/>
      <c r="F109" s="145">
        <f>F96*0.8</f>
        <v>14800</v>
      </c>
      <c r="G109" s="145"/>
      <c r="H109" s="145"/>
    </row>
    <row r="110" spans="1:10" s="34" customFormat="1" ht="15.75" customHeight="1" x14ac:dyDescent="0.3">
      <c r="A110" s="144" t="s">
        <v>78</v>
      </c>
      <c r="B110" s="144"/>
      <c r="C110" s="144"/>
      <c r="D110" s="144"/>
      <c r="E110" s="144"/>
      <c r="F110" s="144"/>
      <c r="G110" s="144"/>
      <c r="H110" s="144"/>
    </row>
    <row r="111" spans="1:10" s="34" customFormat="1" ht="15.75" customHeight="1" x14ac:dyDescent="0.3">
      <c r="A111" s="102" t="s">
        <v>54</v>
      </c>
      <c r="B111" s="102"/>
      <c r="C111" s="191" t="s">
        <v>81</v>
      </c>
      <c r="D111" s="191"/>
      <c r="E111" s="148" t="s">
        <v>55</v>
      </c>
      <c r="F111" s="148"/>
      <c r="G111" s="102" t="s">
        <v>56</v>
      </c>
      <c r="H111" s="102"/>
    </row>
    <row r="112" spans="1:10" s="34" customFormat="1" x14ac:dyDescent="0.3">
      <c r="A112" s="68" t="s">
        <v>191</v>
      </c>
      <c r="B112" s="44" t="s">
        <v>189</v>
      </c>
      <c r="C112" s="91">
        <f>COUNT(D130:D135)</f>
        <v>6</v>
      </c>
      <c r="D112" s="92"/>
      <c r="E112" s="93">
        <f>SUM(D130:D135)</f>
        <v>32378.757839999998</v>
      </c>
      <c r="F112" s="94"/>
      <c r="G112" s="93">
        <f>SUM(F130:F135)</f>
        <v>51806.012544000005</v>
      </c>
      <c r="H112" s="94"/>
    </row>
    <row r="113" spans="1:10" s="34" customFormat="1" x14ac:dyDescent="0.3">
      <c r="A113" s="68" t="s">
        <v>190</v>
      </c>
      <c r="B113" s="44" t="s">
        <v>189</v>
      </c>
      <c r="C113" s="91">
        <f>COUNT(D281:D290)</f>
        <v>10</v>
      </c>
      <c r="D113" s="92"/>
      <c r="E113" s="93">
        <f>SUM(D281:D290)</f>
        <v>4398.6009599999998</v>
      </c>
      <c r="F113" s="94"/>
      <c r="G113" s="93">
        <f>SUM(F281:F290)</f>
        <v>7037.761536</v>
      </c>
      <c r="H113" s="94"/>
    </row>
    <row r="114" spans="1:10" s="34" customFormat="1" x14ac:dyDescent="0.3">
      <c r="A114" s="68" t="s">
        <v>191</v>
      </c>
      <c r="B114" s="44" t="s">
        <v>192</v>
      </c>
      <c r="C114" s="91">
        <f>COUNT(D139:D160,D162:D183,D185:D187,D189:D215,D217:D241,D243:D259,D261:D277)</f>
        <v>133</v>
      </c>
      <c r="D114" s="91"/>
      <c r="E114" s="93">
        <f>SUM(D139:D160,D162:D183,D185:D187,D189:D215,D217:D241,D243:D259,D261:D277)</f>
        <v>82453.639319999987</v>
      </c>
      <c r="F114" s="93"/>
      <c r="G114" s="93">
        <f>SUM(F139:F160,F162:F183,F185:F187,F189:F215,F217:F241,F243:F259,F261:F277)</f>
        <v>131925.82291199995</v>
      </c>
      <c r="H114" s="93"/>
    </row>
    <row r="115" spans="1:10" s="34" customFormat="1" x14ac:dyDescent="0.3">
      <c r="A115" s="144" t="s">
        <v>155</v>
      </c>
      <c r="B115" s="144"/>
      <c r="C115" s="190">
        <f>SUM(C112:C114)</f>
        <v>149</v>
      </c>
      <c r="D115" s="191"/>
      <c r="E115" s="190">
        <f>SUM(E112:E114)</f>
        <v>119230.99811999999</v>
      </c>
      <c r="F115" s="191"/>
      <c r="G115" s="190">
        <f>SUM(G112:G114)</f>
        <v>190769.59699199995</v>
      </c>
      <c r="H115" s="191"/>
    </row>
    <row r="116" spans="1:10" s="34" customFormat="1" x14ac:dyDescent="0.3">
      <c r="A116" s="144" t="s">
        <v>72</v>
      </c>
      <c r="B116" s="144"/>
      <c r="C116" s="144"/>
      <c r="D116" s="144"/>
      <c r="E116" s="144"/>
      <c r="F116" s="144"/>
      <c r="G116" s="144"/>
      <c r="H116" s="144"/>
    </row>
    <row r="117" spans="1:10" s="34" customFormat="1" ht="15.75" customHeight="1" x14ac:dyDescent="0.3">
      <c r="A117" s="102" t="s">
        <v>54</v>
      </c>
      <c r="B117" s="102"/>
      <c r="C117" s="191" t="s">
        <v>81</v>
      </c>
      <c r="D117" s="191"/>
      <c r="E117" s="148" t="s">
        <v>55</v>
      </c>
      <c r="F117" s="148"/>
      <c r="G117" s="102" t="s">
        <v>56</v>
      </c>
      <c r="H117" s="102"/>
    </row>
    <row r="118" spans="1:10" s="34" customFormat="1" x14ac:dyDescent="0.3">
      <c r="A118" s="147" t="s">
        <v>201</v>
      </c>
      <c r="B118" s="147"/>
      <c r="C118" s="91">
        <f>COUNT(D300)+COUNT(D306:D312)*21+COUNT(D316:D320)*3+COUNT(D322:D328)*3+COUNT(D330,D332:D336)</f>
        <v>190</v>
      </c>
      <c r="D118" s="91"/>
      <c r="E118" s="93">
        <f>SUM(D300)+SUM(D306:D312)*21+SUM(D316:D320)*3+SUM(D322:D328)*3+SUM(D330,D332:D336)</f>
        <v>191186.07767999999</v>
      </c>
      <c r="F118" s="93"/>
      <c r="G118" s="93">
        <f>SUM(F300)+SUM(F306:F312)*21+SUM(F316:F320)*3+SUM(F322:F328)*3+SUM(F330,F332:F336)</f>
        <v>296338.42040400003</v>
      </c>
      <c r="H118" s="93"/>
    </row>
    <row r="119" spans="1:10" s="34" customFormat="1" x14ac:dyDescent="0.3">
      <c r="A119" s="147" t="s">
        <v>204</v>
      </c>
      <c r="B119" s="147"/>
      <c r="C119" s="91">
        <f>COUNT(D341:D348)*23+COUNT(D406:D411)*3</f>
        <v>202</v>
      </c>
      <c r="D119" s="91"/>
      <c r="E119" s="93">
        <f>SUM(D341:D348)*23+SUM(D406:D411)*3</f>
        <v>168148.96487999998</v>
      </c>
      <c r="F119" s="93"/>
      <c r="G119" s="93">
        <f>SUM(F341:F348)*23+SUM(F406:F411)*3</f>
        <v>260630.89556399998</v>
      </c>
      <c r="H119" s="93"/>
    </row>
    <row r="120" spans="1:10" s="34" customFormat="1" ht="16.2" thickBot="1" x14ac:dyDescent="0.35">
      <c r="A120" s="213" t="s">
        <v>155</v>
      </c>
      <c r="B120" s="213"/>
      <c r="C120" s="149">
        <f>SUM(C118:D119)</f>
        <v>392</v>
      </c>
      <c r="D120" s="150"/>
      <c r="E120" s="149">
        <f>SUM(E118:F119)</f>
        <v>359335.04255999997</v>
      </c>
      <c r="F120" s="150"/>
      <c r="G120" s="149">
        <f>SUM(G118:H119)</f>
        <v>556969.31596799998</v>
      </c>
      <c r="H120" s="150"/>
    </row>
    <row r="121" spans="1:10" s="34" customFormat="1" ht="16.2" thickBot="1" x14ac:dyDescent="0.35">
      <c r="A121" s="216" t="s">
        <v>294</v>
      </c>
      <c r="B121" s="217"/>
      <c r="C121" s="218">
        <f>C120+C115</f>
        <v>541</v>
      </c>
      <c r="D121" s="219"/>
      <c r="E121" s="218">
        <f>E120+E115</f>
        <v>478566.04067999998</v>
      </c>
      <c r="F121" s="219"/>
      <c r="G121" s="218">
        <f>G120+G115</f>
        <v>747738.91295999987</v>
      </c>
      <c r="H121" s="220"/>
    </row>
    <row r="122" spans="1:10" s="33" customFormat="1" x14ac:dyDescent="0.3">
      <c r="A122" s="192" t="s">
        <v>57</v>
      </c>
      <c r="B122" s="192"/>
      <c r="C122" s="192"/>
      <c r="D122" s="192"/>
      <c r="E122" s="192"/>
      <c r="F122" s="192"/>
      <c r="G122" s="192"/>
      <c r="H122" s="192"/>
    </row>
    <row r="123" spans="1:10" x14ac:dyDescent="0.3">
      <c r="A123" s="167" t="s">
        <v>58</v>
      </c>
      <c r="B123" s="167"/>
      <c r="C123" s="167"/>
      <c r="D123" s="167"/>
      <c r="E123" s="167"/>
      <c r="F123" s="167"/>
      <c r="G123" s="167"/>
      <c r="H123" s="167"/>
    </row>
    <row r="124" spans="1:10" ht="47.25" customHeight="1" x14ac:dyDescent="0.3">
      <c r="A124" s="90" t="s">
        <v>124</v>
      </c>
      <c r="B124" s="90" t="s">
        <v>123</v>
      </c>
      <c r="C124" s="90" t="s">
        <v>59</v>
      </c>
      <c r="D124" s="90" t="s">
        <v>60</v>
      </c>
      <c r="E124" s="103" t="s">
        <v>161</v>
      </c>
      <c r="F124" s="61" t="s">
        <v>154</v>
      </c>
      <c r="G124" s="90" t="s">
        <v>62</v>
      </c>
      <c r="H124" s="90"/>
    </row>
    <row r="125" spans="1:10" s="36" customFormat="1" x14ac:dyDescent="0.3">
      <c r="A125" s="90"/>
      <c r="B125" s="90"/>
      <c r="C125" s="90"/>
      <c r="D125" s="90"/>
      <c r="E125" s="103"/>
      <c r="F125" s="62">
        <v>0.6</v>
      </c>
      <c r="G125" s="90"/>
      <c r="H125" s="90"/>
    </row>
    <row r="126" spans="1:10" s="36" customFormat="1" x14ac:dyDescent="0.3">
      <c r="A126" s="89" t="s">
        <v>226</v>
      </c>
      <c r="B126" s="89"/>
      <c r="C126" s="89"/>
      <c r="D126" s="89"/>
      <c r="E126" s="89"/>
      <c r="F126" s="89"/>
      <c r="G126" s="89"/>
      <c r="H126" s="89"/>
      <c r="J126" s="35"/>
    </row>
    <row r="127" spans="1:10" s="36" customFormat="1" x14ac:dyDescent="0.3">
      <c r="A127" s="89" t="s">
        <v>191</v>
      </c>
      <c r="B127" s="89"/>
      <c r="C127" s="89"/>
      <c r="D127" s="89"/>
      <c r="E127" s="89"/>
      <c r="F127" s="89"/>
      <c r="G127" s="89"/>
      <c r="H127" s="89"/>
      <c r="J127" s="35"/>
    </row>
    <row r="128" spans="1:10" s="36" customFormat="1" x14ac:dyDescent="0.3">
      <c r="A128" s="89" t="s">
        <v>188</v>
      </c>
      <c r="B128" s="89"/>
      <c r="C128" s="89"/>
      <c r="D128" s="89"/>
      <c r="E128" s="89"/>
      <c r="F128" s="89"/>
      <c r="G128" s="89"/>
      <c r="H128" s="89"/>
      <c r="J128" s="35"/>
    </row>
    <row r="129" spans="1:15" s="36" customFormat="1" x14ac:dyDescent="0.3">
      <c r="A129" s="89" t="s">
        <v>231</v>
      </c>
      <c r="B129" s="89"/>
      <c r="C129" s="89"/>
      <c r="D129" s="89"/>
      <c r="E129" s="89"/>
      <c r="F129" s="89"/>
      <c r="G129" s="89"/>
      <c r="H129" s="89"/>
      <c r="I129" s="35"/>
      <c r="J129" s="35"/>
    </row>
    <row r="130" spans="1:15" s="36" customFormat="1" ht="64.5" customHeight="1" x14ac:dyDescent="0.3">
      <c r="A130" s="212" t="s">
        <v>240</v>
      </c>
      <c r="B130" s="212"/>
      <c r="C130" s="53" t="s">
        <v>232</v>
      </c>
      <c r="D130" s="50">
        <f>(815.73+962.61)*(10.764)</f>
        <v>19142.051760000002</v>
      </c>
      <c r="E130" s="53">
        <v>0</v>
      </c>
      <c r="F130" s="53">
        <f t="shared" ref="F130:F135" si="0">(D130+E130)*(($F$125)+1)</f>
        <v>30627.282816000006</v>
      </c>
      <c r="G130" s="75"/>
      <c r="H130" s="75"/>
      <c r="I130" s="35">
        <f>(((13.39+14.97)/2)*9.98)+(((14.39+15.98)/2)*14.33)+(((12.69+14.05)/2)*19.95)+(((13.32+13.66)/2)*4.7)+6.38*4.9+17.47*2.75+8.2*1.5+0.85*2.15+2.7*1.52+1.5*2+0.5*(1.08*13.05)+3*4.32</f>
        <v>809.79495000000009</v>
      </c>
      <c r="J130" s="51"/>
      <c r="L130" s="85"/>
      <c r="M130" s="85"/>
      <c r="N130" s="35"/>
    </row>
    <row r="131" spans="1:15" s="36" customFormat="1" ht="15.75" customHeight="1" x14ac:dyDescent="0.3">
      <c r="A131" s="75">
        <v>10</v>
      </c>
      <c r="B131" s="75"/>
      <c r="C131" s="53" t="s">
        <v>189</v>
      </c>
      <c r="D131" s="50">
        <f>(72.7)*(10.764)</f>
        <v>782.54279999999994</v>
      </c>
      <c r="E131" s="53">
        <v>0</v>
      </c>
      <c r="F131" s="53">
        <f t="shared" si="0"/>
        <v>1252.0684799999999</v>
      </c>
      <c r="G131" s="75"/>
      <c r="H131" s="75"/>
      <c r="I131" s="35">
        <f>(((8.22+8.66)/2)*6.13)+1.55*4.9+2.8*3.25+2.45*1.5</f>
        <v>72.107200000000006</v>
      </c>
      <c r="L131" s="85"/>
      <c r="M131" s="85"/>
      <c r="N131" s="35"/>
    </row>
    <row r="132" spans="1:15" s="36" customFormat="1" ht="15.75" customHeight="1" x14ac:dyDescent="0.3">
      <c r="A132" s="75">
        <f>A131+1</f>
        <v>11</v>
      </c>
      <c r="B132" s="75"/>
      <c r="C132" s="53" t="s">
        <v>189</v>
      </c>
      <c r="D132" s="50">
        <f>(62.19)*(10.764)</f>
        <v>669.41315999999995</v>
      </c>
      <c r="E132" s="53">
        <v>0</v>
      </c>
      <c r="F132" s="53">
        <f t="shared" si="0"/>
        <v>1071.061056</v>
      </c>
      <c r="G132" s="75"/>
      <c r="H132" s="75"/>
      <c r="I132" s="35"/>
      <c r="L132" s="85"/>
      <c r="M132" s="85"/>
      <c r="N132" s="35"/>
    </row>
    <row r="133" spans="1:15" s="36" customFormat="1" ht="15.75" customHeight="1" x14ac:dyDescent="0.3">
      <c r="A133" s="75">
        <f>A132+1</f>
        <v>12</v>
      </c>
      <c r="B133" s="75"/>
      <c r="C133" s="53" t="s">
        <v>189</v>
      </c>
      <c r="D133" s="50">
        <f>(60.61)*(10.764)</f>
        <v>652.40603999999996</v>
      </c>
      <c r="E133" s="53">
        <v>0</v>
      </c>
      <c r="F133" s="53">
        <f t="shared" si="0"/>
        <v>1043.8496640000001</v>
      </c>
      <c r="G133" s="75"/>
      <c r="H133" s="75"/>
      <c r="I133" s="35"/>
      <c r="L133" s="85"/>
      <c r="M133" s="85"/>
      <c r="N133" s="35"/>
    </row>
    <row r="134" spans="1:15" s="36" customFormat="1" ht="15.75" customHeight="1" x14ac:dyDescent="0.3">
      <c r="A134" s="75">
        <f>A133+1</f>
        <v>13</v>
      </c>
      <c r="B134" s="75"/>
      <c r="C134" s="53" t="s">
        <v>189</v>
      </c>
      <c r="D134" s="50">
        <f>(44.86)*(10.764)</f>
        <v>482.87303999999995</v>
      </c>
      <c r="E134" s="53">
        <v>0</v>
      </c>
      <c r="F134" s="53">
        <f t="shared" si="0"/>
        <v>772.59686399999998</v>
      </c>
      <c r="G134" s="75"/>
      <c r="H134" s="75"/>
      <c r="I134" s="35"/>
      <c r="L134" s="85"/>
      <c r="M134" s="85"/>
      <c r="N134" s="35"/>
    </row>
    <row r="135" spans="1:15" s="36" customFormat="1" ht="63" customHeight="1" x14ac:dyDescent="0.3">
      <c r="A135" s="75">
        <f>A134+1</f>
        <v>14</v>
      </c>
      <c r="B135" s="75"/>
      <c r="C135" s="53" t="s">
        <v>232</v>
      </c>
      <c r="D135" s="50">
        <f>(388.06+601.3)*(10.764)</f>
        <v>10649.471039999999</v>
      </c>
      <c r="E135" s="53">
        <v>0</v>
      </c>
      <c r="F135" s="53">
        <f t="shared" si="0"/>
        <v>17039.153663999998</v>
      </c>
      <c r="G135" s="75"/>
      <c r="H135" s="75"/>
      <c r="I135" s="35"/>
      <c r="L135" s="85"/>
      <c r="M135" s="85"/>
      <c r="N135" s="35"/>
    </row>
    <row r="136" spans="1:15" s="36" customFormat="1" x14ac:dyDescent="0.3">
      <c r="A136" s="89" t="s">
        <v>239</v>
      </c>
      <c r="B136" s="89"/>
      <c r="C136" s="89"/>
      <c r="D136" s="89"/>
      <c r="E136" s="89"/>
      <c r="F136" s="89"/>
      <c r="G136" s="89"/>
      <c r="H136" s="89"/>
      <c r="I136" s="35"/>
      <c r="J136" s="35"/>
    </row>
    <row r="137" spans="1:15" s="36" customFormat="1" x14ac:dyDescent="0.3">
      <c r="A137" s="89" t="s">
        <v>229</v>
      </c>
      <c r="B137" s="89"/>
      <c r="C137" s="89"/>
      <c r="D137" s="89"/>
      <c r="E137" s="89"/>
      <c r="F137" s="89"/>
      <c r="G137" s="89"/>
      <c r="H137" s="89"/>
      <c r="I137" s="35"/>
      <c r="J137" s="35"/>
    </row>
    <row r="138" spans="1:15" s="36" customFormat="1" ht="16.5" customHeight="1" x14ac:dyDescent="0.3">
      <c r="A138" s="75" t="s">
        <v>193</v>
      </c>
      <c r="B138" s="75"/>
      <c r="C138" s="95" t="s">
        <v>245</v>
      </c>
      <c r="D138" s="96"/>
      <c r="E138" s="96"/>
      <c r="F138" s="97"/>
      <c r="G138" s="75" t="str">
        <f>A137</f>
        <v>2nd Podium Floor for Commercial &amp; Parking</v>
      </c>
      <c r="H138" s="75"/>
      <c r="I138" s="35">
        <f>6.9*2.6+(((2.93+3.78)/2)*5.25)+(((2+2.77)/2)*1.65)</f>
        <v>39.488999999999997</v>
      </c>
      <c r="J138" s="36">
        <f>6.6*14+(((2.99+3.77)/2)*4.8)+(((1.68+1.95)/2)+1.65)</f>
        <v>112.089</v>
      </c>
      <c r="L138" s="53" t="s">
        <v>245</v>
      </c>
      <c r="M138" s="50">
        <f>(115.88)*(10.764)</f>
        <v>1247.33232</v>
      </c>
      <c r="N138" s="53">
        <v>0</v>
      </c>
      <c r="O138" s="53">
        <f t="shared" ref="O138" si="1">(M138+N138)*(($F$125)+1)</f>
        <v>1995.731712</v>
      </c>
    </row>
    <row r="139" spans="1:15" s="36" customFormat="1" ht="15.75" customHeight="1" x14ac:dyDescent="0.3">
      <c r="A139" s="75">
        <v>1</v>
      </c>
      <c r="B139" s="75"/>
      <c r="C139" s="53" t="s">
        <v>192</v>
      </c>
      <c r="D139" s="50">
        <f>(50.32)*(10.764)</f>
        <v>541.64447999999993</v>
      </c>
      <c r="E139" s="53">
        <v>0</v>
      </c>
      <c r="F139" s="53">
        <f t="shared" ref="F139:F149" si="2">(D139+E139)*(($F$125)+1)</f>
        <v>866.63116799999989</v>
      </c>
      <c r="G139" s="75"/>
      <c r="H139" s="75"/>
      <c r="I139" s="35"/>
      <c r="L139" s="85"/>
      <c r="M139" s="85"/>
      <c r="N139" s="35"/>
    </row>
    <row r="140" spans="1:15" s="36" customFormat="1" ht="15.75" customHeight="1" x14ac:dyDescent="0.3">
      <c r="A140" s="75">
        <v>2</v>
      </c>
      <c r="B140" s="75"/>
      <c r="C140" s="53" t="s">
        <v>192</v>
      </c>
      <c r="D140" s="50">
        <f>(48.91)*(10.764)</f>
        <v>526.46723999999995</v>
      </c>
      <c r="E140" s="53">
        <v>0</v>
      </c>
      <c r="F140" s="53">
        <f t="shared" si="2"/>
        <v>842.34758399999998</v>
      </c>
      <c r="G140" s="75"/>
      <c r="H140" s="75"/>
      <c r="I140" s="35"/>
      <c r="L140" s="85"/>
      <c r="M140" s="85"/>
      <c r="N140" s="35"/>
    </row>
    <row r="141" spans="1:15" s="36" customFormat="1" ht="15.75" customHeight="1" x14ac:dyDescent="0.3">
      <c r="A141" s="75">
        <v>3</v>
      </c>
      <c r="B141" s="75"/>
      <c r="C141" s="53" t="s">
        <v>192</v>
      </c>
      <c r="D141" s="50">
        <f>(34.04)*(10.764)</f>
        <v>366.40655999999996</v>
      </c>
      <c r="E141" s="53">
        <v>0</v>
      </c>
      <c r="F141" s="53">
        <f t="shared" si="2"/>
        <v>586.250496</v>
      </c>
      <c r="G141" s="75"/>
      <c r="H141" s="75"/>
      <c r="I141" s="35"/>
      <c r="L141" s="85"/>
      <c r="M141" s="85"/>
      <c r="N141" s="35"/>
    </row>
    <row r="142" spans="1:15" s="36" customFormat="1" ht="15.75" customHeight="1" x14ac:dyDescent="0.3">
      <c r="A142" s="75">
        <v>4</v>
      </c>
      <c r="B142" s="75"/>
      <c r="C142" s="53" t="s">
        <v>192</v>
      </c>
      <c r="D142" s="50">
        <f>(34.06)*(10.764)</f>
        <v>366.62184000000002</v>
      </c>
      <c r="E142" s="53">
        <v>0</v>
      </c>
      <c r="F142" s="53">
        <f t="shared" si="2"/>
        <v>586.59494400000005</v>
      </c>
      <c r="G142" s="75"/>
      <c r="H142" s="75"/>
      <c r="I142" s="35"/>
      <c r="L142" s="85"/>
      <c r="M142" s="85"/>
      <c r="N142" s="35"/>
    </row>
    <row r="143" spans="1:15" s="36" customFormat="1" x14ac:dyDescent="0.3">
      <c r="A143" s="75">
        <v>5</v>
      </c>
      <c r="B143" s="75"/>
      <c r="C143" s="53" t="s">
        <v>192</v>
      </c>
      <c r="D143" s="50">
        <f>(37.18)*(10.764)</f>
        <v>400.20551999999998</v>
      </c>
      <c r="E143" s="53">
        <v>0</v>
      </c>
      <c r="F143" s="53">
        <f t="shared" si="2"/>
        <v>640.32883200000003</v>
      </c>
      <c r="G143" s="75"/>
      <c r="H143" s="75"/>
      <c r="I143" s="35"/>
      <c r="L143" s="85"/>
      <c r="M143" s="85"/>
      <c r="N143" s="35"/>
    </row>
    <row r="144" spans="1:15" s="36" customFormat="1" x14ac:dyDescent="0.3">
      <c r="A144" s="75">
        <v>6</v>
      </c>
      <c r="B144" s="75"/>
      <c r="C144" s="53" t="s">
        <v>192</v>
      </c>
      <c r="D144" s="50">
        <f>(37.87)*(10.764)</f>
        <v>407.63267999999994</v>
      </c>
      <c r="E144" s="53">
        <v>0</v>
      </c>
      <c r="F144" s="53">
        <f t="shared" si="2"/>
        <v>652.21228799999994</v>
      </c>
      <c r="G144" s="75"/>
      <c r="H144" s="75"/>
      <c r="I144" s="35"/>
      <c r="L144" s="85"/>
      <c r="M144" s="85"/>
      <c r="N144" s="35"/>
    </row>
    <row r="145" spans="1:14" s="36" customFormat="1" ht="15.75" customHeight="1" x14ac:dyDescent="0.3">
      <c r="A145" s="75">
        <v>7</v>
      </c>
      <c r="B145" s="75"/>
      <c r="C145" s="53" t="s">
        <v>192</v>
      </c>
      <c r="D145" s="50">
        <f>(39.52)*(10.764)</f>
        <v>425.39328</v>
      </c>
      <c r="E145" s="53">
        <v>0</v>
      </c>
      <c r="F145" s="53">
        <f t="shared" si="2"/>
        <v>680.62924800000008</v>
      </c>
      <c r="G145" s="75"/>
      <c r="H145" s="75"/>
      <c r="I145" s="35"/>
      <c r="J145" s="66" t="s">
        <v>189</v>
      </c>
      <c r="K145" s="66" t="s">
        <v>192</v>
      </c>
      <c r="L145" s="85"/>
      <c r="M145" s="85"/>
      <c r="N145" s="35"/>
    </row>
    <row r="146" spans="1:14" s="36" customFormat="1" ht="15.75" customHeight="1" x14ac:dyDescent="0.3">
      <c r="A146" s="75">
        <v>8</v>
      </c>
      <c r="B146" s="75"/>
      <c r="C146" s="53" t="s">
        <v>192</v>
      </c>
      <c r="D146" s="50">
        <f>(40.18)*(10.764)</f>
        <v>432.49751999999995</v>
      </c>
      <c r="E146" s="53">
        <v>0</v>
      </c>
      <c r="F146" s="53">
        <f t="shared" si="2"/>
        <v>691.99603200000001</v>
      </c>
      <c r="G146" s="75"/>
      <c r="H146" s="75"/>
      <c r="I146" s="35"/>
      <c r="J146" s="63">
        <f>22500000/F144</f>
        <v>34497.97008424349</v>
      </c>
      <c r="K146" s="35" t="e">
        <f>32200000/F138</f>
        <v>#DIV/0!</v>
      </c>
      <c r="L146" s="85"/>
      <c r="M146" s="85"/>
      <c r="N146" s="35"/>
    </row>
    <row r="147" spans="1:14" s="36" customFormat="1" ht="15.75" customHeight="1" x14ac:dyDescent="0.3">
      <c r="A147" s="75">
        <v>9</v>
      </c>
      <c r="B147" s="75"/>
      <c r="C147" s="53" t="s">
        <v>192</v>
      </c>
      <c r="D147" s="50">
        <f>(106.4)*(10.764)</f>
        <v>1145.2896000000001</v>
      </c>
      <c r="E147" s="53">
        <v>0</v>
      </c>
      <c r="F147" s="53">
        <f t="shared" si="2"/>
        <v>1832.4633600000002</v>
      </c>
      <c r="G147" s="75"/>
      <c r="H147" s="75"/>
      <c r="I147" s="35"/>
      <c r="J147" s="63">
        <f>23000000/F150</f>
        <v>63806.501933592233</v>
      </c>
      <c r="K147" s="35">
        <f>14100000/F153</f>
        <v>11020.342257503324</v>
      </c>
      <c r="L147" s="85"/>
      <c r="M147" s="85"/>
      <c r="N147" s="35"/>
    </row>
    <row r="148" spans="1:14" s="36" customFormat="1" ht="15.75" customHeight="1" x14ac:dyDescent="0.3">
      <c r="A148" s="75" t="s">
        <v>194</v>
      </c>
      <c r="B148" s="75"/>
      <c r="C148" s="53" t="s">
        <v>192</v>
      </c>
      <c r="D148" s="50">
        <f>(16.69)*(10.764)</f>
        <v>179.65116</v>
      </c>
      <c r="E148" s="53">
        <v>0</v>
      </c>
      <c r="F148" s="53">
        <f t="shared" si="2"/>
        <v>287.44185600000003</v>
      </c>
      <c r="G148" s="75"/>
      <c r="H148" s="75"/>
      <c r="I148" s="35"/>
      <c r="J148" s="64">
        <f>11500000/F155</f>
        <v>38642.074232352003</v>
      </c>
      <c r="L148" s="85"/>
      <c r="M148" s="85"/>
      <c r="N148" s="35"/>
    </row>
    <row r="149" spans="1:14" s="36" customFormat="1" x14ac:dyDescent="0.3">
      <c r="A149" s="75" t="s">
        <v>195</v>
      </c>
      <c r="B149" s="75"/>
      <c r="C149" s="53" t="s">
        <v>192</v>
      </c>
      <c r="D149" s="50">
        <f>(32.08)*(10.764)</f>
        <v>345.30911999999995</v>
      </c>
      <c r="E149" s="53">
        <v>0</v>
      </c>
      <c r="F149" s="53">
        <f t="shared" si="2"/>
        <v>552.4945919999999</v>
      </c>
      <c r="G149" s="75"/>
      <c r="H149" s="75"/>
      <c r="I149" s="35"/>
      <c r="L149" s="85"/>
      <c r="M149" s="85"/>
      <c r="N149" s="35"/>
    </row>
    <row r="150" spans="1:14" s="36" customFormat="1" x14ac:dyDescent="0.3">
      <c r="A150" s="75" t="s">
        <v>198</v>
      </c>
      <c r="B150" s="75"/>
      <c r="C150" s="53" t="s">
        <v>192</v>
      </c>
      <c r="D150" s="50">
        <f>(20.93)*(10.764)</f>
        <v>225.29051999999999</v>
      </c>
      <c r="E150" s="53">
        <v>0</v>
      </c>
      <c r="F150" s="53">
        <f>(D150+E150)*(($F$125)+1)</f>
        <v>360.464832</v>
      </c>
      <c r="G150" s="75"/>
      <c r="H150" s="75"/>
      <c r="I150" s="35"/>
      <c r="L150" s="85"/>
      <c r="M150" s="85"/>
      <c r="N150" s="35"/>
    </row>
    <row r="151" spans="1:14" s="36" customFormat="1" ht="15.75" customHeight="1" x14ac:dyDescent="0.3">
      <c r="A151" s="75" t="s">
        <v>246</v>
      </c>
      <c r="B151" s="75"/>
      <c r="C151" s="53" t="s">
        <v>192</v>
      </c>
      <c r="D151" s="50">
        <f>(40.22)*(10.764)</f>
        <v>432.92807999999997</v>
      </c>
      <c r="E151" s="53">
        <v>0</v>
      </c>
      <c r="F151" s="53">
        <f t="shared" ref="F151:F156" si="3">(D151+E151)*(($F$125)+1)</f>
        <v>692.68492800000001</v>
      </c>
      <c r="G151" s="75"/>
      <c r="H151" s="75"/>
      <c r="I151" s="35"/>
      <c r="L151" s="85"/>
      <c r="M151" s="85"/>
      <c r="N151" s="35"/>
    </row>
    <row r="152" spans="1:14" s="36" customFormat="1" ht="15.75" customHeight="1" x14ac:dyDescent="0.3">
      <c r="A152" s="75" t="s">
        <v>247</v>
      </c>
      <c r="B152" s="75"/>
      <c r="C152" s="53" t="s">
        <v>192</v>
      </c>
      <c r="D152" s="50">
        <f>(25.41)*(10.764)</f>
        <v>273.51324</v>
      </c>
      <c r="E152" s="53">
        <v>0</v>
      </c>
      <c r="F152" s="53">
        <f t="shared" ref="F152" si="4">(D152+E152)*(($F$125)+1)</f>
        <v>437.62118400000003</v>
      </c>
      <c r="G152" s="75"/>
      <c r="H152" s="75"/>
      <c r="I152" s="35"/>
      <c r="L152" s="85"/>
      <c r="M152" s="85"/>
      <c r="N152" s="35"/>
    </row>
    <row r="153" spans="1:14" s="36" customFormat="1" ht="15.75" customHeight="1" x14ac:dyDescent="0.3">
      <c r="A153" s="75">
        <v>11</v>
      </c>
      <c r="B153" s="75"/>
      <c r="C153" s="53" t="s">
        <v>192</v>
      </c>
      <c r="D153" s="50">
        <f>(74.29)*(10.764)</f>
        <v>799.65755999999999</v>
      </c>
      <c r="E153" s="53">
        <v>0</v>
      </c>
      <c r="F153" s="53">
        <f>(D153+E153)*(($F$125)+1)</f>
        <v>1279.452096</v>
      </c>
      <c r="G153" s="75"/>
      <c r="H153" s="75"/>
      <c r="I153" s="35"/>
      <c r="L153" s="85"/>
      <c r="M153" s="85"/>
      <c r="N153" s="35"/>
    </row>
    <row r="154" spans="1:14" s="36" customFormat="1" ht="15.75" customHeight="1" x14ac:dyDescent="0.3">
      <c r="A154" s="75" t="s">
        <v>196</v>
      </c>
      <c r="B154" s="75"/>
      <c r="C154" s="53" t="s">
        <v>192</v>
      </c>
      <c r="D154" s="50">
        <f>(26.7)*(10.764)</f>
        <v>287.39879999999999</v>
      </c>
      <c r="E154" s="53">
        <v>0</v>
      </c>
      <c r="F154" s="53">
        <f t="shared" si="3"/>
        <v>459.83807999999999</v>
      </c>
      <c r="G154" s="75"/>
      <c r="H154" s="75"/>
      <c r="I154" s="35"/>
      <c r="L154" s="85"/>
      <c r="M154" s="85"/>
      <c r="N154" s="35"/>
    </row>
    <row r="155" spans="1:14" s="36" customFormat="1" ht="15.75" customHeight="1" x14ac:dyDescent="0.3">
      <c r="A155" s="75" t="s">
        <v>197</v>
      </c>
      <c r="B155" s="75"/>
      <c r="C155" s="53" t="s">
        <v>192</v>
      </c>
      <c r="D155" s="50">
        <f>(17.28)*(10.764)</f>
        <v>186.00192000000001</v>
      </c>
      <c r="E155" s="53">
        <v>0</v>
      </c>
      <c r="F155" s="53">
        <f t="shared" si="3"/>
        <v>297.60307200000005</v>
      </c>
      <c r="G155" s="75"/>
      <c r="H155" s="75"/>
      <c r="I155" s="35"/>
      <c r="L155" s="85"/>
      <c r="M155" s="85"/>
      <c r="N155" s="35"/>
    </row>
    <row r="156" spans="1:14" s="36" customFormat="1" ht="15.75" customHeight="1" x14ac:dyDescent="0.3">
      <c r="A156" s="75" t="s">
        <v>261</v>
      </c>
      <c r="B156" s="75"/>
      <c r="C156" s="53" t="s">
        <v>192</v>
      </c>
      <c r="D156" s="50">
        <f>(265.65)*(10.764)</f>
        <v>2859.4565999999995</v>
      </c>
      <c r="E156" s="53">
        <v>0</v>
      </c>
      <c r="F156" s="53">
        <f t="shared" si="3"/>
        <v>4575.1305599999996</v>
      </c>
      <c r="G156" s="75"/>
      <c r="H156" s="75"/>
      <c r="I156" s="35"/>
      <c r="L156" s="85"/>
      <c r="M156" s="85"/>
      <c r="N156" s="35"/>
    </row>
    <row r="157" spans="1:14" s="36" customFormat="1" ht="66" customHeight="1" x14ac:dyDescent="0.3">
      <c r="A157" s="75">
        <v>17</v>
      </c>
      <c r="B157" s="75"/>
      <c r="C157" s="53" t="s">
        <v>262</v>
      </c>
      <c r="D157" s="50">
        <f>(187.33+187.42)*(10.764)</f>
        <v>4033.8089999999997</v>
      </c>
      <c r="E157" s="53">
        <v>0</v>
      </c>
      <c r="F157" s="53">
        <f t="shared" ref="F157:F160" si="5">(D157+E157)*(($F$125)+1)</f>
        <v>6454.0944</v>
      </c>
      <c r="G157" s="75"/>
      <c r="H157" s="75"/>
      <c r="I157" s="35"/>
      <c r="L157" s="85"/>
      <c r="M157" s="85"/>
      <c r="N157" s="35"/>
    </row>
    <row r="158" spans="1:14" s="36" customFormat="1" x14ac:dyDescent="0.3">
      <c r="A158" s="75">
        <v>18</v>
      </c>
      <c r="B158" s="75"/>
      <c r="C158" s="53" t="s">
        <v>192</v>
      </c>
      <c r="D158" s="50">
        <f>(62.89)*(10.764)</f>
        <v>676.94795999999997</v>
      </c>
      <c r="E158" s="53">
        <v>0</v>
      </c>
      <c r="F158" s="53">
        <f t="shared" si="5"/>
        <v>1083.1167359999999</v>
      </c>
      <c r="G158" s="75"/>
      <c r="H158" s="75"/>
      <c r="I158" s="35"/>
      <c r="L158" s="85"/>
      <c r="M158" s="85"/>
      <c r="N158" s="35"/>
    </row>
    <row r="159" spans="1:14" s="36" customFormat="1" ht="15.75" customHeight="1" x14ac:dyDescent="0.3">
      <c r="A159" s="75">
        <v>19</v>
      </c>
      <c r="B159" s="75"/>
      <c r="C159" s="53" t="s">
        <v>192</v>
      </c>
      <c r="D159" s="50">
        <f>(77.01)*(10.764)</f>
        <v>828.93564000000003</v>
      </c>
      <c r="E159" s="53">
        <v>0</v>
      </c>
      <c r="F159" s="53">
        <f t="shared" si="5"/>
        <v>1326.2970240000002</v>
      </c>
      <c r="G159" s="75"/>
      <c r="H159" s="75"/>
      <c r="I159" s="35"/>
      <c r="L159" s="85"/>
      <c r="M159" s="85"/>
      <c r="N159" s="35"/>
    </row>
    <row r="160" spans="1:14" s="36" customFormat="1" ht="15.75" customHeight="1" x14ac:dyDescent="0.3">
      <c r="A160" s="75">
        <v>20</v>
      </c>
      <c r="B160" s="75"/>
      <c r="C160" s="53" t="s">
        <v>192</v>
      </c>
      <c r="D160" s="50">
        <f>(61.66)*(10.764)</f>
        <v>663.70823999999993</v>
      </c>
      <c r="E160" s="53">
        <v>0</v>
      </c>
      <c r="F160" s="53">
        <f t="shared" si="5"/>
        <v>1061.933184</v>
      </c>
      <c r="G160" s="75"/>
      <c r="H160" s="75"/>
      <c r="I160" s="35"/>
      <c r="L160" s="85"/>
      <c r="M160" s="85"/>
      <c r="N160" s="35"/>
    </row>
    <row r="161" spans="1:14" s="36" customFormat="1" x14ac:dyDescent="0.3">
      <c r="A161" s="89" t="s">
        <v>263</v>
      </c>
      <c r="B161" s="89"/>
      <c r="C161" s="89"/>
      <c r="D161" s="89"/>
      <c r="E161" s="89"/>
      <c r="F161" s="89"/>
      <c r="G161" s="89"/>
      <c r="H161" s="89"/>
      <c r="I161" s="35"/>
      <c r="J161" s="35"/>
    </row>
    <row r="162" spans="1:14" s="36" customFormat="1" ht="15.75" customHeight="1" x14ac:dyDescent="0.3">
      <c r="A162" s="75" t="s">
        <v>193</v>
      </c>
      <c r="B162" s="75"/>
      <c r="C162" s="53" t="s">
        <v>192</v>
      </c>
      <c r="D162" s="50">
        <f>(115.88)*(10.764)</f>
        <v>1247.33232</v>
      </c>
      <c r="E162" s="53">
        <v>0</v>
      </c>
      <c r="F162" s="53">
        <f t="shared" ref="F162:F174" si="6">(D162+E162)*(($F$125)+1)</f>
        <v>1995.731712</v>
      </c>
      <c r="G162" s="75" t="str">
        <f>A161</f>
        <v>3rd Podium Floor for Commercial &amp; Parking</v>
      </c>
      <c r="H162" s="75"/>
      <c r="I162" s="35"/>
      <c r="L162" s="85"/>
      <c r="M162" s="85"/>
      <c r="N162" s="35"/>
    </row>
    <row r="163" spans="1:14" s="36" customFormat="1" ht="15.75" customHeight="1" x14ac:dyDescent="0.3">
      <c r="A163" s="75">
        <v>1</v>
      </c>
      <c r="B163" s="75"/>
      <c r="C163" s="53" t="s">
        <v>192</v>
      </c>
      <c r="D163" s="50">
        <f>(50.32)*(10.764)</f>
        <v>541.64447999999993</v>
      </c>
      <c r="E163" s="53">
        <v>0</v>
      </c>
      <c r="F163" s="53">
        <f t="shared" si="6"/>
        <v>866.63116799999989</v>
      </c>
      <c r="G163" s="75"/>
      <c r="H163" s="75"/>
      <c r="I163" s="35"/>
      <c r="L163" s="85"/>
      <c r="M163" s="85"/>
      <c r="N163" s="35"/>
    </row>
    <row r="164" spans="1:14" s="36" customFormat="1" ht="15.75" customHeight="1" x14ac:dyDescent="0.3">
      <c r="A164" s="75">
        <v>2</v>
      </c>
      <c r="B164" s="75"/>
      <c r="C164" s="53" t="s">
        <v>192</v>
      </c>
      <c r="D164" s="50">
        <f>(48.91)*(10.764)</f>
        <v>526.46723999999995</v>
      </c>
      <c r="E164" s="53">
        <v>0</v>
      </c>
      <c r="F164" s="53">
        <f t="shared" si="6"/>
        <v>842.34758399999998</v>
      </c>
      <c r="G164" s="75"/>
      <c r="H164" s="75"/>
      <c r="I164" s="35"/>
      <c r="L164" s="85"/>
      <c r="M164" s="85"/>
      <c r="N164" s="35"/>
    </row>
    <row r="165" spans="1:14" s="36" customFormat="1" ht="15.75" customHeight="1" x14ac:dyDescent="0.3">
      <c r="A165" s="75">
        <v>3</v>
      </c>
      <c r="B165" s="75"/>
      <c r="C165" s="53" t="s">
        <v>192</v>
      </c>
      <c r="D165" s="50">
        <f>(34.04)*(10.764)</f>
        <v>366.40655999999996</v>
      </c>
      <c r="E165" s="53">
        <v>0</v>
      </c>
      <c r="F165" s="53">
        <f t="shared" si="6"/>
        <v>586.250496</v>
      </c>
      <c r="G165" s="75"/>
      <c r="H165" s="75"/>
      <c r="I165" s="35"/>
      <c r="L165" s="85"/>
      <c r="M165" s="85"/>
      <c r="N165" s="35"/>
    </row>
    <row r="166" spans="1:14" s="36" customFormat="1" ht="15.75" customHeight="1" x14ac:dyDescent="0.3">
      <c r="A166" s="75">
        <v>4</v>
      </c>
      <c r="B166" s="75"/>
      <c r="C166" s="53" t="s">
        <v>192</v>
      </c>
      <c r="D166" s="50">
        <f>(34.06)*(10.764)</f>
        <v>366.62184000000002</v>
      </c>
      <c r="E166" s="53">
        <v>0</v>
      </c>
      <c r="F166" s="53">
        <f t="shared" si="6"/>
        <v>586.59494400000005</v>
      </c>
      <c r="G166" s="75"/>
      <c r="H166" s="75"/>
      <c r="I166" s="35"/>
      <c r="L166" s="85"/>
      <c r="M166" s="85"/>
      <c r="N166" s="35"/>
    </row>
    <row r="167" spans="1:14" s="36" customFormat="1" x14ac:dyDescent="0.3">
      <c r="A167" s="75">
        <v>5</v>
      </c>
      <c r="B167" s="75"/>
      <c r="C167" s="53" t="s">
        <v>192</v>
      </c>
      <c r="D167" s="50">
        <f>(37.18)*(10.764)</f>
        <v>400.20551999999998</v>
      </c>
      <c r="E167" s="53">
        <v>0</v>
      </c>
      <c r="F167" s="53">
        <f t="shared" si="6"/>
        <v>640.32883200000003</v>
      </c>
      <c r="G167" s="75"/>
      <c r="H167" s="75"/>
      <c r="I167" s="35"/>
      <c r="L167" s="85"/>
      <c r="M167" s="85"/>
      <c r="N167" s="35"/>
    </row>
    <row r="168" spans="1:14" s="36" customFormat="1" x14ac:dyDescent="0.3">
      <c r="A168" s="75">
        <v>6</v>
      </c>
      <c r="B168" s="75"/>
      <c r="C168" s="53" t="s">
        <v>192</v>
      </c>
      <c r="D168" s="50">
        <f>(37.87)*(10.764)</f>
        <v>407.63267999999994</v>
      </c>
      <c r="E168" s="53">
        <v>0</v>
      </c>
      <c r="F168" s="53">
        <f t="shared" si="6"/>
        <v>652.21228799999994</v>
      </c>
      <c r="G168" s="75"/>
      <c r="H168" s="75"/>
      <c r="I168" s="35"/>
      <c r="L168" s="85"/>
      <c r="M168" s="85"/>
      <c r="N168" s="35"/>
    </row>
    <row r="169" spans="1:14" s="36" customFormat="1" ht="15.75" customHeight="1" x14ac:dyDescent="0.3">
      <c r="A169" s="75">
        <v>7</v>
      </c>
      <c r="B169" s="75"/>
      <c r="C169" s="53" t="s">
        <v>192</v>
      </c>
      <c r="D169" s="50">
        <f>(39.52)*(10.764)</f>
        <v>425.39328</v>
      </c>
      <c r="E169" s="53">
        <v>0</v>
      </c>
      <c r="F169" s="53">
        <f t="shared" si="6"/>
        <v>680.62924800000008</v>
      </c>
      <c r="G169" s="75"/>
      <c r="H169" s="75"/>
      <c r="I169" s="35"/>
      <c r="L169" s="85"/>
      <c r="M169" s="85"/>
      <c r="N169" s="35"/>
    </row>
    <row r="170" spans="1:14" s="36" customFormat="1" ht="15.75" customHeight="1" x14ac:dyDescent="0.3">
      <c r="A170" s="75">
        <v>8</v>
      </c>
      <c r="B170" s="75"/>
      <c r="C170" s="53" t="s">
        <v>192</v>
      </c>
      <c r="D170" s="50">
        <f>(40.18)*(10.764)</f>
        <v>432.49751999999995</v>
      </c>
      <c r="E170" s="53">
        <v>0</v>
      </c>
      <c r="F170" s="53">
        <f t="shared" si="6"/>
        <v>691.99603200000001</v>
      </c>
      <c r="G170" s="75"/>
      <c r="H170" s="75"/>
      <c r="I170" s="35"/>
      <c r="L170" s="85"/>
      <c r="M170" s="85"/>
      <c r="N170" s="35"/>
    </row>
    <row r="171" spans="1:14" s="36" customFormat="1" ht="15.75" customHeight="1" x14ac:dyDescent="0.3">
      <c r="A171" s="75">
        <v>9</v>
      </c>
      <c r="B171" s="75"/>
      <c r="C171" s="53" t="s">
        <v>192</v>
      </c>
      <c r="D171" s="50">
        <f>(106.4)*(10.764)</f>
        <v>1145.2896000000001</v>
      </c>
      <c r="E171" s="53">
        <v>0</v>
      </c>
      <c r="F171" s="53">
        <f t="shared" si="6"/>
        <v>1832.4633600000002</v>
      </c>
      <c r="G171" s="75"/>
      <c r="H171" s="75"/>
      <c r="I171" s="35"/>
      <c r="L171" s="85"/>
      <c r="M171" s="85"/>
      <c r="N171" s="35"/>
    </row>
    <row r="172" spans="1:14" s="36" customFormat="1" ht="15.75" customHeight="1" x14ac:dyDescent="0.3">
      <c r="A172" s="75" t="s">
        <v>194</v>
      </c>
      <c r="B172" s="75"/>
      <c r="C172" s="53" t="s">
        <v>192</v>
      </c>
      <c r="D172" s="50">
        <f>(16.69)*(10.764)</f>
        <v>179.65116</v>
      </c>
      <c r="E172" s="53">
        <v>0</v>
      </c>
      <c r="F172" s="53">
        <f t="shared" si="6"/>
        <v>287.44185600000003</v>
      </c>
      <c r="G172" s="75"/>
      <c r="H172" s="75"/>
      <c r="I172" s="35"/>
      <c r="L172" s="85"/>
      <c r="M172" s="85"/>
      <c r="N172" s="35"/>
    </row>
    <row r="173" spans="1:14" s="36" customFormat="1" x14ac:dyDescent="0.3">
      <c r="A173" s="75" t="s">
        <v>195</v>
      </c>
      <c r="B173" s="75"/>
      <c r="C173" s="53" t="s">
        <v>192</v>
      </c>
      <c r="D173" s="50">
        <f>(32.08)*(10.764)</f>
        <v>345.30911999999995</v>
      </c>
      <c r="E173" s="53">
        <v>0</v>
      </c>
      <c r="F173" s="53">
        <f t="shared" si="6"/>
        <v>552.4945919999999</v>
      </c>
      <c r="G173" s="75"/>
      <c r="H173" s="75"/>
      <c r="I173" s="35"/>
      <c r="L173" s="85"/>
      <c r="M173" s="85"/>
      <c r="N173" s="35"/>
    </row>
    <row r="174" spans="1:14" s="36" customFormat="1" x14ac:dyDescent="0.3">
      <c r="A174" s="75" t="s">
        <v>198</v>
      </c>
      <c r="B174" s="75"/>
      <c r="C174" s="53" t="s">
        <v>192</v>
      </c>
      <c r="D174" s="50">
        <f>(20.93)*(10.764)</f>
        <v>225.29051999999999</v>
      </c>
      <c r="E174" s="53">
        <v>0</v>
      </c>
      <c r="F174" s="53">
        <f t="shared" si="6"/>
        <v>360.464832</v>
      </c>
      <c r="G174" s="75"/>
      <c r="H174" s="75"/>
      <c r="I174" s="35"/>
      <c r="L174" s="85"/>
      <c r="M174" s="85"/>
      <c r="N174" s="35"/>
    </row>
    <row r="175" spans="1:14" s="36" customFormat="1" ht="15.75" customHeight="1" x14ac:dyDescent="0.3">
      <c r="A175" s="75" t="s">
        <v>246</v>
      </c>
      <c r="B175" s="75"/>
      <c r="C175" s="53" t="s">
        <v>192</v>
      </c>
      <c r="D175" s="50">
        <f>(40.22)*(10.764)</f>
        <v>432.92807999999997</v>
      </c>
      <c r="E175" s="53">
        <v>0</v>
      </c>
      <c r="F175" s="53">
        <f t="shared" ref="F175:F181" si="7">(D175+E175)*(($F$125)+1)</f>
        <v>692.68492800000001</v>
      </c>
      <c r="G175" s="75"/>
      <c r="H175" s="75"/>
      <c r="I175" s="35"/>
      <c r="L175" s="85"/>
      <c r="M175" s="85"/>
      <c r="N175" s="35"/>
    </row>
    <row r="176" spans="1:14" s="36" customFormat="1" ht="15.75" customHeight="1" x14ac:dyDescent="0.3">
      <c r="A176" s="75" t="s">
        <v>247</v>
      </c>
      <c r="B176" s="75"/>
      <c r="C176" s="53" t="s">
        <v>192</v>
      </c>
      <c r="D176" s="50">
        <f>(25.41)*(10.764)</f>
        <v>273.51324</v>
      </c>
      <c r="E176" s="53">
        <v>0</v>
      </c>
      <c r="F176" s="53">
        <f t="shared" ref="F176" si="8">(D176+E176)*(($F$125)+1)</f>
        <v>437.62118400000003</v>
      </c>
      <c r="G176" s="75"/>
      <c r="H176" s="75"/>
      <c r="I176" s="35"/>
      <c r="L176" s="85"/>
      <c r="M176" s="85"/>
      <c r="N176" s="35"/>
    </row>
    <row r="177" spans="1:14" s="36" customFormat="1" ht="15.75" customHeight="1" x14ac:dyDescent="0.3">
      <c r="A177" s="75">
        <v>11</v>
      </c>
      <c r="B177" s="75"/>
      <c r="C177" s="53" t="s">
        <v>192</v>
      </c>
      <c r="D177" s="50">
        <f>(74.29)*(10.764)</f>
        <v>799.65755999999999</v>
      </c>
      <c r="E177" s="53">
        <v>0</v>
      </c>
      <c r="F177" s="53">
        <f t="shared" si="7"/>
        <v>1279.452096</v>
      </c>
      <c r="G177" s="75"/>
      <c r="H177" s="75"/>
      <c r="I177" s="35"/>
      <c r="L177" s="85"/>
      <c r="M177" s="85"/>
      <c r="N177" s="35"/>
    </row>
    <row r="178" spans="1:14" s="36" customFormat="1" ht="15.75" customHeight="1" x14ac:dyDescent="0.3">
      <c r="A178" s="75" t="s">
        <v>196</v>
      </c>
      <c r="B178" s="75"/>
      <c r="C178" s="53" t="s">
        <v>192</v>
      </c>
      <c r="D178" s="50">
        <f>(26.7)*(10.764)</f>
        <v>287.39879999999999</v>
      </c>
      <c r="E178" s="53">
        <v>0</v>
      </c>
      <c r="F178" s="53">
        <f t="shared" si="7"/>
        <v>459.83807999999999</v>
      </c>
      <c r="G178" s="75"/>
      <c r="H178" s="75"/>
      <c r="I178" s="35"/>
      <c r="L178" s="85"/>
      <c r="M178" s="85"/>
      <c r="N178" s="35"/>
    </row>
    <row r="179" spans="1:14" s="36" customFormat="1" ht="15.75" customHeight="1" x14ac:dyDescent="0.3">
      <c r="A179" s="75" t="s">
        <v>197</v>
      </c>
      <c r="B179" s="75"/>
      <c r="C179" s="53" t="s">
        <v>192</v>
      </c>
      <c r="D179" s="50">
        <f>(17.37)*(10.764)</f>
        <v>186.97067999999999</v>
      </c>
      <c r="E179" s="53">
        <v>0</v>
      </c>
      <c r="F179" s="53">
        <f t="shared" si="7"/>
        <v>299.15308799999997</v>
      </c>
      <c r="G179" s="75"/>
      <c r="H179" s="75"/>
      <c r="I179" s="35"/>
      <c r="L179" s="85"/>
      <c r="M179" s="85"/>
      <c r="N179" s="35"/>
    </row>
    <row r="180" spans="1:14" s="36" customFormat="1" ht="15.75" customHeight="1" x14ac:dyDescent="0.3">
      <c r="A180" s="75">
        <v>12</v>
      </c>
      <c r="B180" s="75"/>
      <c r="C180" s="53" t="s">
        <v>192</v>
      </c>
      <c r="D180" s="50">
        <f>(62.26)*(10.764)</f>
        <v>670.16663999999992</v>
      </c>
      <c r="E180" s="53">
        <v>0</v>
      </c>
      <c r="F180" s="53">
        <f t="shared" si="7"/>
        <v>1072.2666239999999</v>
      </c>
      <c r="G180" s="75"/>
      <c r="H180" s="75"/>
      <c r="I180" s="35"/>
      <c r="L180" s="85"/>
      <c r="M180" s="85"/>
      <c r="N180" s="35"/>
    </row>
    <row r="181" spans="1:14" s="36" customFormat="1" x14ac:dyDescent="0.3">
      <c r="A181" s="75">
        <v>13</v>
      </c>
      <c r="B181" s="75"/>
      <c r="C181" s="53" t="s">
        <v>192</v>
      </c>
      <c r="D181" s="50">
        <f>(54.19)*(10.764)</f>
        <v>583.30115999999998</v>
      </c>
      <c r="E181" s="53">
        <v>0</v>
      </c>
      <c r="F181" s="53">
        <f t="shared" si="7"/>
        <v>933.28185600000006</v>
      </c>
      <c r="G181" s="75"/>
      <c r="H181" s="75"/>
      <c r="I181" s="35"/>
      <c r="L181" s="85"/>
      <c r="M181" s="85"/>
      <c r="N181" s="35"/>
    </row>
    <row r="182" spans="1:14" s="36" customFormat="1" x14ac:dyDescent="0.3">
      <c r="A182" s="75" t="s">
        <v>264</v>
      </c>
      <c r="B182" s="75"/>
      <c r="C182" s="53" t="s">
        <v>192</v>
      </c>
      <c r="D182" s="50">
        <f>(98.54)*(10.764)</f>
        <v>1060.6845599999999</v>
      </c>
      <c r="E182" s="53">
        <v>0</v>
      </c>
      <c r="F182" s="53">
        <f t="shared" ref="F182:F187" si="9">(D182+E182)*(($F$125)+1)</f>
        <v>1697.095296</v>
      </c>
      <c r="G182" s="75"/>
      <c r="H182" s="75"/>
      <c r="I182" s="35"/>
      <c r="L182" s="85"/>
      <c r="M182" s="85"/>
      <c r="N182" s="35"/>
    </row>
    <row r="183" spans="1:14" s="36" customFormat="1" ht="15.75" customHeight="1" x14ac:dyDescent="0.3">
      <c r="A183" s="75">
        <v>16</v>
      </c>
      <c r="B183" s="75"/>
      <c r="C183" s="53" t="s">
        <v>192</v>
      </c>
      <c r="D183" s="50">
        <f>(46.13)*(10.764)</f>
        <v>496.54331999999999</v>
      </c>
      <c r="E183" s="53">
        <v>0</v>
      </c>
      <c r="F183" s="53">
        <f t="shared" si="9"/>
        <v>794.46931200000006</v>
      </c>
      <c r="G183" s="75"/>
      <c r="H183" s="75"/>
      <c r="I183" s="35"/>
      <c r="L183" s="85"/>
      <c r="M183" s="85"/>
      <c r="N183" s="35"/>
    </row>
    <row r="184" spans="1:14" s="36" customFormat="1" x14ac:dyDescent="0.3">
      <c r="A184" s="75">
        <v>17</v>
      </c>
      <c r="B184" s="75"/>
      <c r="C184" s="95" t="s">
        <v>265</v>
      </c>
      <c r="D184" s="96"/>
      <c r="E184" s="96"/>
      <c r="F184" s="97"/>
      <c r="G184" s="75"/>
      <c r="H184" s="75"/>
      <c r="I184" s="35"/>
      <c r="L184" s="85"/>
      <c r="M184" s="85"/>
      <c r="N184" s="35"/>
    </row>
    <row r="185" spans="1:14" s="36" customFormat="1" x14ac:dyDescent="0.3">
      <c r="A185" s="75">
        <v>18</v>
      </c>
      <c r="B185" s="75"/>
      <c r="C185" s="53" t="s">
        <v>192</v>
      </c>
      <c r="D185" s="50">
        <f>(62.89)*(10.764)</f>
        <v>676.94795999999997</v>
      </c>
      <c r="E185" s="53">
        <v>0</v>
      </c>
      <c r="F185" s="53">
        <f t="shared" si="9"/>
        <v>1083.1167359999999</v>
      </c>
      <c r="G185" s="75"/>
      <c r="H185" s="75"/>
      <c r="I185" s="35"/>
      <c r="L185" s="85"/>
      <c r="M185" s="85"/>
      <c r="N185" s="35"/>
    </row>
    <row r="186" spans="1:14" s="36" customFormat="1" ht="15.75" customHeight="1" x14ac:dyDescent="0.3">
      <c r="A186" s="75">
        <v>19</v>
      </c>
      <c r="B186" s="75"/>
      <c r="C186" s="53" t="s">
        <v>192</v>
      </c>
      <c r="D186" s="50">
        <f>(77.01)*(10.764)</f>
        <v>828.93564000000003</v>
      </c>
      <c r="E186" s="53">
        <v>0</v>
      </c>
      <c r="F186" s="53">
        <f t="shared" si="9"/>
        <v>1326.2970240000002</v>
      </c>
      <c r="G186" s="75"/>
      <c r="H186" s="75"/>
      <c r="I186" s="35"/>
      <c r="L186" s="85"/>
      <c r="M186" s="85"/>
      <c r="N186" s="35"/>
    </row>
    <row r="187" spans="1:14" s="36" customFormat="1" ht="15.75" customHeight="1" x14ac:dyDescent="0.3">
      <c r="A187" s="75">
        <v>20</v>
      </c>
      <c r="B187" s="75"/>
      <c r="C187" s="53" t="s">
        <v>192</v>
      </c>
      <c r="D187" s="50">
        <f>(61.66)*(10.764)</f>
        <v>663.70823999999993</v>
      </c>
      <c r="E187" s="53">
        <v>0</v>
      </c>
      <c r="F187" s="53">
        <f t="shared" si="9"/>
        <v>1061.933184</v>
      </c>
      <c r="G187" s="75"/>
      <c r="H187" s="75"/>
      <c r="I187" s="35"/>
      <c r="L187" s="85"/>
      <c r="M187" s="85"/>
      <c r="N187" s="35"/>
    </row>
    <row r="188" spans="1:14" s="36" customFormat="1" x14ac:dyDescent="0.3">
      <c r="A188" s="89" t="s">
        <v>266</v>
      </c>
      <c r="B188" s="89"/>
      <c r="C188" s="89"/>
      <c r="D188" s="89"/>
      <c r="E188" s="89"/>
      <c r="F188" s="89"/>
      <c r="G188" s="89"/>
      <c r="H188" s="89"/>
      <c r="I188" s="35"/>
      <c r="J188" s="35"/>
    </row>
    <row r="189" spans="1:14" s="36" customFormat="1" ht="15.75" customHeight="1" x14ac:dyDescent="0.3">
      <c r="A189" s="75" t="s">
        <v>193</v>
      </c>
      <c r="B189" s="75"/>
      <c r="C189" s="53" t="s">
        <v>192</v>
      </c>
      <c r="D189" s="50">
        <f>(115.88)*(10.764)</f>
        <v>1247.33232</v>
      </c>
      <c r="E189" s="53">
        <v>0</v>
      </c>
      <c r="F189" s="53">
        <f t="shared" ref="F189:F215" si="10">(D189+E189)*(($F$125)+1)</f>
        <v>1995.731712</v>
      </c>
      <c r="G189" s="75" t="str">
        <f>A188</f>
        <v>4th Podium Floor for Commercial &amp; Parking</v>
      </c>
      <c r="H189" s="75"/>
      <c r="I189" s="35"/>
      <c r="L189" s="85"/>
      <c r="M189" s="85"/>
      <c r="N189" s="35"/>
    </row>
    <row r="190" spans="1:14" s="36" customFormat="1" ht="15.75" customHeight="1" x14ac:dyDescent="0.3">
      <c r="A190" s="75">
        <v>1</v>
      </c>
      <c r="B190" s="75"/>
      <c r="C190" s="53" t="s">
        <v>192</v>
      </c>
      <c r="D190" s="50">
        <f>(50.32)*(10.764)</f>
        <v>541.64447999999993</v>
      </c>
      <c r="E190" s="53">
        <v>0</v>
      </c>
      <c r="F190" s="53">
        <f t="shared" si="10"/>
        <v>866.63116799999989</v>
      </c>
      <c r="G190" s="75"/>
      <c r="H190" s="75"/>
      <c r="I190" s="35"/>
      <c r="L190" s="85"/>
      <c r="M190" s="85"/>
      <c r="N190" s="35"/>
    </row>
    <row r="191" spans="1:14" s="36" customFormat="1" ht="15.75" customHeight="1" x14ac:dyDescent="0.3">
      <c r="A191" s="75">
        <v>2</v>
      </c>
      <c r="B191" s="75"/>
      <c r="C191" s="53" t="s">
        <v>192</v>
      </c>
      <c r="D191" s="50">
        <f>(48.91)*(10.764)</f>
        <v>526.46723999999995</v>
      </c>
      <c r="E191" s="53">
        <v>0</v>
      </c>
      <c r="F191" s="53">
        <f t="shared" si="10"/>
        <v>842.34758399999998</v>
      </c>
      <c r="G191" s="75"/>
      <c r="H191" s="75"/>
      <c r="I191" s="35"/>
      <c r="L191" s="85"/>
      <c r="M191" s="85"/>
      <c r="N191" s="35"/>
    </row>
    <row r="192" spans="1:14" s="36" customFormat="1" ht="15.75" customHeight="1" x14ac:dyDescent="0.3">
      <c r="A192" s="75">
        <v>3</v>
      </c>
      <c r="B192" s="75"/>
      <c r="C192" s="53" t="s">
        <v>192</v>
      </c>
      <c r="D192" s="50">
        <f>(34.04)*(10.764)</f>
        <v>366.40655999999996</v>
      </c>
      <c r="E192" s="53">
        <v>0</v>
      </c>
      <c r="F192" s="53">
        <f t="shared" si="10"/>
        <v>586.250496</v>
      </c>
      <c r="G192" s="75"/>
      <c r="H192" s="75"/>
      <c r="I192" s="35"/>
      <c r="L192" s="85"/>
      <c r="M192" s="85"/>
      <c r="N192" s="35"/>
    </row>
    <row r="193" spans="1:14" s="36" customFormat="1" ht="15.75" customHeight="1" x14ac:dyDescent="0.3">
      <c r="A193" s="75">
        <v>4</v>
      </c>
      <c r="B193" s="75"/>
      <c r="C193" s="53" t="s">
        <v>192</v>
      </c>
      <c r="D193" s="50">
        <f>(34.06)*(10.764)</f>
        <v>366.62184000000002</v>
      </c>
      <c r="E193" s="53">
        <v>0</v>
      </c>
      <c r="F193" s="53">
        <f t="shared" si="10"/>
        <v>586.59494400000005</v>
      </c>
      <c r="G193" s="75"/>
      <c r="H193" s="75"/>
      <c r="I193" s="35"/>
      <c r="L193" s="85"/>
      <c r="M193" s="85"/>
      <c r="N193" s="35"/>
    </row>
    <row r="194" spans="1:14" s="36" customFormat="1" x14ac:dyDescent="0.3">
      <c r="A194" s="75">
        <v>5</v>
      </c>
      <c r="B194" s="75"/>
      <c r="C194" s="53" t="s">
        <v>192</v>
      </c>
      <c r="D194" s="50">
        <f>(37.18)*(10.764)</f>
        <v>400.20551999999998</v>
      </c>
      <c r="E194" s="53">
        <v>0</v>
      </c>
      <c r="F194" s="53">
        <f t="shared" si="10"/>
        <v>640.32883200000003</v>
      </c>
      <c r="G194" s="75"/>
      <c r="H194" s="75"/>
      <c r="I194" s="35"/>
      <c r="L194" s="85"/>
      <c r="M194" s="85"/>
      <c r="N194" s="35"/>
    </row>
    <row r="195" spans="1:14" s="36" customFormat="1" x14ac:dyDescent="0.3">
      <c r="A195" s="75">
        <v>6</v>
      </c>
      <c r="B195" s="75"/>
      <c r="C195" s="53" t="s">
        <v>192</v>
      </c>
      <c r="D195" s="50">
        <f>(37.87)*(10.764)</f>
        <v>407.63267999999994</v>
      </c>
      <c r="E195" s="53">
        <v>0</v>
      </c>
      <c r="F195" s="53">
        <f t="shared" si="10"/>
        <v>652.21228799999994</v>
      </c>
      <c r="G195" s="75"/>
      <c r="H195" s="75"/>
      <c r="I195" s="35"/>
      <c r="L195" s="85"/>
      <c r="M195" s="85"/>
      <c r="N195" s="35"/>
    </row>
    <row r="196" spans="1:14" s="36" customFormat="1" ht="15.75" customHeight="1" x14ac:dyDescent="0.3">
      <c r="A196" s="75">
        <v>7</v>
      </c>
      <c r="B196" s="75"/>
      <c r="C196" s="53" t="s">
        <v>192</v>
      </c>
      <c r="D196" s="50">
        <f>(39.52)*(10.764)</f>
        <v>425.39328</v>
      </c>
      <c r="E196" s="53">
        <v>0</v>
      </c>
      <c r="F196" s="53">
        <f t="shared" si="10"/>
        <v>680.62924800000008</v>
      </c>
      <c r="G196" s="75"/>
      <c r="H196" s="75"/>
      <c r="I196" s="35"/>
      <c r="L196" s="85"/>
      <c r="M196" s="85"/>
      <c r="N196" s="35"/>
    </row>
    <row r="197" spans="1:14" s="36" customFormat="1" ht="15.75" customHeight="1" x14ac:dyDescent="0.3">
      <c r="A197" s="75">
        <v>8</v>
      </c>
      <c r="B197" s="75"/>
      <c r="C197" s="53" t="s">
        <v>192</v>
      </c>
      <c r="D197" s="50">
        <f>(40.18)*(10.764)</f>
        <v>432.49751999999995</v>
      </c>
      <c r="E197" s="53">
        <v>0</v>
      </c>
      <c r="F197" s="53">
        <f t="shared" si="10"/>
        <v>691.99603200000001</v>
      </c>
      <c r="G197" s="75"/>
      <c r="H197" s="75"/>
      <c r="I197" s="35"/>
      <c r="L197" s="85"/>
      <c r="M197" s="85"/>
      <c r="N197" s="35"/>
    </row>
    <row r="198" spans="1:14" s="36" customFormat="1" ht="15.75" customHeight="1" x14ac:dyDescent="0.3">
      <c r="A198" s="75">
        <v>9</v>
      </c>
      <c r="B198" s="75"/>
      <c r="C198" s="53" t="s">
        <v>192</v>
      </c>
      <c r="D198" s="50">
        <f>(106.4)*(10.764)</f>
        <v>1145.2896000000001</v>
      </c>
      <c r="E198" s="53">
        <v>0</v>
      </c>
      <c r="F198" s="53">
        <f t="shared" si="10"/>
        <v>1832.4633600000002</v>
      </c>
      <c r="G198" s="75"/>
      <c r="H198" s="75"/>
      <c r="I198" s="35"/>
      <c r="L198" s="85"/>
      <c r="M198" s="85"/>
      <c r="N198" s="35"/>
    </row>
    <row r="199" spans="1:14" s="36" customFormat="1" ht="15.75" customHeight="1" x14ac:dyDescent="0.3">
      <c r="A199" s="75" t="s">
        <v>194</v>
      </c>
      <c r="B199" s="75"/>
      <c r="C199" s="53" t="s">
        <v>192</v>
      </c>
      <c r="D199" s="50">
        <f>(16.69)*(10.764)</f>
        <v>179.65116</v>
      </c>
      <c r="E199" s="53">
        <v>0</v>
      </c>
      <c r="F199" s="53">
        <f t="shared" si="10"/>
        <v>287.44185600000003</v>
      </c>
      <c r="G199" s="75"/>
      <c r="H199" s="75"/>
      <c r="I199" s="35"/>
      <c r="L199" s="85"/>
      <c r="M199" s="85"/>
      <c r="N199" s="35"/>
    </row>
    <row r="200" spans="1:14" s="36" customFormat="1" x14ac:dyDescent="0.3">
      <c r="A200" s="75" t="s">
        <v>195</v>
      </c>
      <c r="B200" s="75"/>
      <c r="C200" s="53" t="s">
        <v>192</v>
      </c>
      <c r="D200" s="50">
        <f>(32.08)*(10.764)</f>
        <v>345.30911999999995</v>
      </c>
      <c r="E200" s="53">
        <v>0</v>
      </c>
      <c r="F200" s="53">
        <f t="shared" si="10"/>
        <v>552.4945919999999</v>
      </c>
      <c r="G200" s="75"/>
      <c r="H200" s="75"/>
      <c r="I200" s="35"/>
      <c r="L200" s="85"/>
      <c r="M200" s="85"/>
      <c r="N200" s="35"/>
    </row>
    <row r="201" spans="1:14" s="36" customFormat="1" x14ac:dyDescent="0.3">
      <c r="A201" s="75" t="s">
        <v>198</v>
      </c>
      <c r="B201" s="75"/>
      <c r="C201" s="53" t="s">
        <v>192</v>
      </c>
      <c r="D201" s="50">
        <f>(20.93)*(10.764)</f>
        <v>225.29051999999999</v>
      </c>
      <c r="E201" s="53">
        <v>0</v>
      </c>
      <c r="F201" s="53">
        <f t="shared" si="10"/>
        <v>360.464832</v>
      </c>
      <c r="G201" s="75"/>
      <c r="H201" s="75"/>
      <c r="I201" s="35"/>
      <c r="L201" s="85"/>
      <c r="M201" s="85"/>
      <c r="N201" s="35"/>
    </row>
    <row r="202" spans="1:14" s="36" customFormat="1" ht="15.75" customHeight="1" x14ac:dyDescent="0.3">
      <c r="A202" s="75" t="s">
        <v>246</v>
      </c>
      <c r="B202" s="75"/>
      <c r="C202" s="53" t="s">
        <v>192</v>
      </c>
      <c r="D202" s="50">
        <f>(40.22)*(10.764)</f>
        <v>432.92807999999997</v>
      </c>
      <c r="E202" s="53">
        <v>0</v>
      </c>
      <c r="F202" s="53">
        <f t="shared" si="10"/>
        <v>692.68492800000001</v>
      </c>
      <c r="G202" s="75"/>
      <c r="H202" s="75"/>
      <c r="I202" s="35"/>
      <c r="L202" s="85"/>
      <c r="M202" s="85"/>
      <c r="N202" s="35"/>
    </row>
    <row r="203" spans="1:14" s="36" customFormat="1" ht="15.75" customHeight="1" x14ac:dyDescent="0.3">
      <c r="A203" s="75" t="s">
        <v>247</v>
      </c>
      <c r="B203" s="75"/>
      <c r="C203" s="53" t="s">
        <v>192</v>
      </c>
      <c r="D203" s="50">
        <f>(25.41)*(10.764)</f>
        <v>273.51324</v>
      </c>
      <c r="E203" s="53">
        <v>0</v>
      </c>
      <c r="F203" s="53">
        <f t="shared" si="10"/>
        <v>437.62118400000003</v>
      </c>
      <c r="G203" s="75"/>
      <c r="H203" s="75"/>
      <c r="I203" s="35"/>
      <c r="L203" s="85"/>
      <c r="M203" s="85"/>
      <c r="N203" s="35"/>
    </row>
    <row r="204" spans="1:14" s="36" customFormat="1" ht="15.75" customHeight="1" x14ac:dyDescent="0.3">
      <c r="A204" s="75">
        <v>11</v>
      </c>
      <c r="B204" s="75"/>
      <c r="C204" s="53" t="s">
        <v>192</v>
      </c>
      <c r="D204" s="50">
        <f>(74.29)*(10.764)</f>
        <v>799.65755999999999</v>
      </c>
      <c r="E204" s="53">
        <v>0</v>
      </c>
      <c r="F204" s="53">
        <f t="shared" si="10"/>
        <v>1279.452096</v>
      </c>
      <c r="G204" s="75"/>
      <c r="H204" s="75"/>
      <c r="I204" s="35"/>
      <c r="L204" s="85"/>
      <c r="M204" s="85"/>
      <c r="N204" s="35"/>
    </row>
    <row r="205" spans="1:14" s="36" customFormat="1" ht="15.75" customHeight="1" x14ac:dyDescent="0.3">
      <c r="A205" s="75" t="s">
        <v>196</v>
      </c>
      <c r="B205" s="75"/>
      <c r="C205" s="53" t="s">
        <v>192</v>
      </c>
      <c r="D205" s="50">
        <f>(26.7)*(10.764)</f>
        <v>287.39879999999999</v>
      </c>
      <c r="E205" s="53">
        <v>0</v>
      </c>
      <c r="F205" s="53">
        <f t="shared" si="10"/>
        <v>459.83807999999999</v>
      </c>
      <c r="G205" s="75"/>
      <c r="H205" s="75"/>
      <c r="I205" s="35"/>
      <c r="L205" s="85"/>
      <c r="M205" s="85"/>
      <c r="N205" s="35"/>
    </row>
    <row r="206" spans="1:14" s="36" customFormat="1" ht="15.75" customHeight="1" x14ac:dyDescent="0.3">
      <c r="A206" s="75" t="s">
        <v>197</v>
      </c>
      <c r="B206" s="75"/>
      <c r="C206" s="53" t="s">
        <v>192</v>
      </c>
      <c r="D206" s="50">
        <f>(17.37)*(10.764)</f>
        <v>186.97067999999999</v>
      </c>
      <c r="E206" s="53">
        <v>0</v>
      </c>
      <c r="F206" s="53">
        <f t="shared" si="10"/>
        <v>299.15308799999997</v>
      </c>
      <c r="G206" s="75"/>
      <c r="H206" s="75"/>
      <c r="I206" s="35"/>
      <c r="L206" s="85"/>
      <c r="M206" s="85"/>
      <c r="N206" s="35"/>
    </row>
    <row r="207" spans="1:14" s="36" customFormat="1" ht="15.75" customHeight="1" x14ac:dyDescent="0.3">
      <c r="A207" s="75">
        <v>12</v>
      </c>
      <c r="B207" s="75"/>
      <c r="C207" s="53" t="s">
        <v>192</v>
      </c>
      <c r="D207" s="50">
        <f>(62.26)*(10.764)</f>
        <v>670.16663999999992</v>
      </c>
      <c r="E207" s="53">
        <v>0</v>
      </c>
      <c r="F207" s="53">
        <f t="shared" si="10"/>
        <v>1072.2666239999999</v>
      </c>
      <c r="G207" s="75"/>
      <c r="H207" s="75"/>
      <c r="I207" s="35"/>
      <c r="L207" s="85"/>
      <c r="M207" s="85"/>
      <c r="N207" s="35"/>
    </row>
    <row r="208" spans="1:14" s="36" customFormat="1" x14ac:dyDescent="0.3">
      <c r="A208" s="75">
        <v>13</v>
      </c>
      <c r="B208" s="75"/>
      <c r="C208" s="53" t="s">
        <v>192</v>
      </c>
      <c r="D208" s="50">
        <f>(54.19)*(10.764)</f>
        <v>583.30115999999998</v>
      </c>
      <c r="E208" s="53">
        <v>0</v>
      </c>
      <c r="F208" s="53">
        <f t="shared" si="10"/>
        <v>933.28185600000006</v>
      </c>
      <c r="G208" s="75"/>
      <c r="H208" s="75"/>
      <c r="I208" s="35"/>
      <c r="L208" s="85"/>
      <c r="M208" s="85"/>
      <c r="N208" s="35"/>
    </row>
    <row r="209" spans="1:14" s="36" customFormat="1" x14ac:dyDescent="0.3">
      <c r="A209" s="75">
        <v>14</v>
      </c>
      <c r="B209" s="75"/>
      <c r="C209" s="53" t="s">
        <v>192</v>
      </c>
      <c r="D209" s="50">
        <f>(51.55)*(10.764)</f>
        <v>554.88419999999996</v>
      </c>
      <c r="E209" s="53">
        <v>0</v>
      </c>
      <c r="F209" s="53">
        <f t="shared" si="10"/>
        <v>887.81471999999997</v>
      </c>
      <c r="G209" s="75"/>
      <c r="H209" s="75"/>
      <c r="I209" s="35"/>
      <c r="L209" s="85"/>
      <c r="M209" s="85"/>
      <c r="N209" s="35"/>
    </row>
    <row r="210" spans="1:14" s="36" customFormat="1" ht="15.75" customHeight="1" x14ac:dyDescent="0.3">
      <c r="A210" s="75">
        <v>15</v>
      </c>
      <c r="B210" s="75"/>
      <c r="C210" s="53" t="s">
        <v>192</v>
      </c>
      <c r="D210" s="50">
        <f>(45.34)*(10.764)</f>
        <v>488.03976</v>
      </c>
      <c r="E210" s="53">
        <v>0</v>
      </c>
      <c r="F210" s="53">
        <f t="shared" si="10"/>
        <v>780.86361600000009</v>
      </c>
      <c r="G210" s="75"/>
      <c r="H210" s="75"/>
      <c r="I210" s="35"/>
      <c r="L210" s="85"/>
      <c r="M210" s="85"/>
      <c r="N210" s="35"/>
    </row>
    <row r="211" spans="1:14" s="36" customFormat="1" ht="15.75" customHeight="1" x14ac:dyDescent="0.3">
      <c r="A211" s="75">
        <v>16</v>
      </c>
      <c r="B211" s="75"/>
      <c r="C211" s="53" t="s">
        <v>192</v>
      </c>
      <c r="D211" s="50">
        <f>(46.13)*(10.764)</f>
        <v>496.54331999999999</v>
      </c>
      <c r="E211" s="53">
        <v>0</v>
      </c>
      <c r="F211" s="53">
        <f t="shared" si="10"/>
        <v>794.46931200000006</v>
      </c>
      <c r="G211" s="75"/>
      <c r="H211" s="75"/>
      <c r="I211" s="35"/>
      <c r="L211" s="85"/>
      <c r="M211" s="85"/>
      <c r="N211" s="35"/>
    </row>
    <row r="212" spans="1:14" s="36" customFormat="1" x14ac:dyDescent="0.3">
      <c r="A212" s="75">
        <v>17</v>
      </c>
      <c r="B212" s="75"/>
      <c r="C212" s="53" t="s">
        <v>192</v>
      </c>
      <c r="D212" s="50">
        <f>(187.42)*(10.764)</f>
        <v>2017.3888799999997</v>
      </c>
      <c r="E212" s="53">
        <v>0</v>
      </c>
      <c r="F212" s="53">
        <f t="shared" si="10"/>
        <v>3227.8222079999996</v>
      </c>
      <c r="G212" s="75"/>
      <c r="H212" s="75"/>
      <c r="I212" s="35"/>
      <c r="L212" s="85"/>
      <c r="M212" s="85"/>
      <c r="N212" s="35"/>
    </row>
    <row r="213" spans="1:14" s="36" customFormat="1" x14ac:dyDescent="0.3">
      <c r="A213" s="75">
        <v>18</v>
      </c>
      <c r="B213" s="75"/>
      <c r="C213" s="53" t="s">
        <v>192</v>
      </c>
      <c r="D213" s="50">
        <f>(62.89)*(10.764)</f>
        <v>676.94795999999997</v>
      </c>
      <c r="E213" s="53">
        <v>0</v>
      </c>
      <c r="F213" s="53">
        <f t="shared" si="10"/>
        <v>1083.1167359999999</v>
      </c>
      <c r="G213" s="75"/>
      <c r="H213" s="75"/>
      <c r="I213" s="35"/>
      <c r="L213" s="85"/>
      <c r="M213" s="85"/>
      <c r="N213" s="35"/>
    </row>
    <row r="214" spans="1:14" s="36" customFormat="1" ht="15.75" customHeight="1" x14ac:dyDescent="0.3">
      <c r="A214" s="75">
        <v>19</v>
      </c>
      <c r="B214" s="75"/>
      <c r="C214" s="53" t="s">
        <v>192</v>
      </c>
      <c r="D214" s="50">
        <f>(77.01)*(10.764)</f>
        <v>828.93564000000003</v>
      </c>
      <c r="E214" s="53">
        <v>0</v>
      </c>
      <c r="F214" s="53">
        <f t="shared" si="10"/>
        <v>1326.2970240000002</v>
      </c>
      <c r="G214" s="75"/>
      <c r="H214" s="75"/>
      <c r="I214" s="35"/>
      <c r="L214" s="85"/>
      <c r="M214" s="85"/>
      <c r="N214" s="35"/>
    </row>
    <row r="215" spans="1:14" s="36" customFormat="1" ht="15.75" customHeight="1" x14ac:dyDescent="0.3">
      <c r="A215" s="75">
        <v>20</v>
      </c>
      <c r="B215" s="75"/>
      <c r="C215" s="53" t="s">
        <v>192</v>
      </c>
      <c r="D215" s="50">
        <f>(61.66)*(10.764)</f>
        <v>663.70823999999993</v>
      </c>
      <c r="E215" s="53">
        <v>0</v>
      </c>
      <c r="F215" s="53">
        <f t="shared" si="10"/>
        <v>1061.933184</v>
      </c>
      <c r="G215" s="75"/>
      <c r="H215" s="75"/>
      <c r="I215" s="35"/>
      <c r="L215" s="85"/>
      <c r="M215" s="85"/>
      <c r="N215" s="35"/>
    </row>
    <row r="216" spans="1:14" s="36" customFormat="1" x14ac:dyDescent="0.3">
      <c r="A216" s="89" t="s">
        <v>267</v>
      </c>
      <c r="B216" s="89"/>
      <c r="C216" s="89"/>
      <c r="D216" s="89"/>
      <c r="E216" s="89"/>
      <c r="F216" s="89"/>
      <c r="G216" s="89"/>
      <c r="H216" s="89"/>
      <c r="I216" s="35"/>
      <c r="J216" s="35"/>
    </row>
    <row r="217" spans="1:14" s="36" customFormat="1" ht="15.75" customHeight="1" x14ac:dyDescent="0.3">
      <c r="A217" s="75" t="s">
        <v>193</v>
      </c>
      <c r="B217" s="75"/>
      <c r="C217" s="53" t="s">
        <v>192</v>
      </c>
      <c r="D217" s="50">
        <f>(115.88)*(10.764)</f>
        <v>1247.33232</v>
      </c>
      <c r="E217" s="53">
        <v>0</v>
      </c>
      <c r="F217" s="53">
        <f t="shared" ref="F217:F241" si="11">(D217+E217)*(($F$125)+1)</f>
        <v>1995.731712</v>
      </c>
      <c r="G217" s="75" t="str">
        <f>A216</f>
        <v>5th Podium Floor for Commercial &amp; Parking</v>
      </c>
      <c r="H217" s="75"/>
      <c r="I217" s="35"/>
      <c r="L217" s="85"/>
      <c r="M217" s="85"/>
      <c r="N217" s="35"/>
    </row>
    <row r="218" spans="1:14" s="36" customFormat="1" ht="15.75" customHeight="1" x14ac:dyDescent="0.3">
      <c r="A218" s="75">
        <v>1</v>
      </c>
      <c r="B218" s="75"/>
      <c r="C218" s="53" t="s">
        <v>192</v>
      </c>
      <c r="D218" s="50">
        <f>(50.32)*(10.764)</f>
        <v>541.64447999999993</v>
      </c>
      <c r="E218" s="53">
        <v>0</v>
      </c>
      <c r="F218" s="53">
        <f t="shared" si="11"/>
        <v>866.63116799999989</v>
      </c>
      <c r="G218" s="75"/>
      <c r="H218" s="75"/>
      <c r="I218" s="35"/>
      <c r="L218" s="85"/>
      <c r="M218" s="85"/>
      <c r="N218" s="35"/>
    </row>
    <row r="219" spans="1:14" s="36" customFormat="1" ht="15.75" customHeight="1" x14ac:dyDescent="0.3">
      <c r="A219" s="75">
        <v>2</v>
      </c>
      <c r="B219" s="75"/>
      <c r="C219" s="53" t="s">
        <v>192</v>
      </c>
      <c r="D219" s="50">
        <f>(48.91)*(10.764)</f>
        <v>526.46723999999995</v>
      </c>
      <c r="E219" s="53">
        <v>0</v>
      </c>
      <c r="F219" s="53">
        <f t="shared" si="11"/>
        <v>842.34758399999998</v>
      </c>
      <c r="G219" s="75"/>
      <c r="H219" s="75"/>
      <c r="I219" s="35"/>
      <c r="L219" s="85"/>
      <c r="M219" s="85"/>
      <c r="N219" s="35"/>
    </row>
    <row r="220" spans="1:14" s="36" customFormat="1" ht="15.75" customHeight="1" x14ac:dyDescent="0.3">
      <c r="A220" s="75">
        <v>3</v>
      </c>
      <c r="B220" s="75"/>
      <c r="C220" s="53" t="s">
        <v>192</v>
      </c>
      <c r="D220" s="50">
        <f>(34.04)*(10.764)</f>
        <v>366.40655999999996</v>
      </c>
      <c r="E220" s="53">
        <v>0</v>
      </c>
      <c r="F220" s="53">
        <f t="shared" si="11"/>
        <v>586.250496</v>
      </c>
      <c r="G220" s="75"/>
      <c r="H220" s="75"/>
      <c r="I220" s="35"/>
      <c r="L220" s="85"/>
      <c r="M220" s="85"/>
      <c r="N220" s="35"/>
    </row>
    <row r="221" spans="1:14" s="36" customFormat="1" ht="15.75" customHeight="1" x14ac:dyDescent="0.3">
      <c r="A221" s="75">
        <v>4</v>
      </c>
      <c r="B221" s="75"/>
      <c r="C221" s="53" t="s">
        <v>192</v>
      </c>
      <c r="D221" s="50">
        <f>(34.06)*(10.764)</f>
        <v>366.62184000000002</v>
      </c>
      <c r="E221" s="53">
        <v>0</v>
      </c>
      <c r="F221" s="53">
        <f t="shared" si="11"/>
        <v>586.59494400000005</v>
      </c>
      <c r="G221" s="75"/>
      <c r="H221" s="75"/>
      <c r="I221" s="35"/>
      <c r="L221" s="85"/>
      <c r="M221" s="85"/>
      <c r="N221" s="35"/>
    </row>
    <row r="222" spans="1:14" s="36" customFormat="1" x14ac:dyDescent="0.3">
      <c r="A222" s="75">
        <v>5</v>
      </c>
      <c r="B222" s="75"/>
      <c r="C222" s="53" t="s">
        <v>192</v>
      </c>
      <c r="D222" s="50">
        <f>(37.18)*(10.764)</f>
        <v>400.20551999999998</v>
      </c>
      <c r="E222" s="53">
        <v>0</v>
      </c>
      <c r="F222" s="53">
        <f t="shared" si="11"/>
        <v>640.32883200000003</v>
      </c>
      <c r="G222" s="75"/>
      <c r="H222" s="75"/>
      <c r="I222" s="35"/>
      <c r="L222" s="85"/>
      <c r="M222" s="85"/>
      <c r="N222" s="35"/>
    </row>
    <row r="223" spans="1:14" s="36" customFormat="1" x14ac:dyDescent="0.3">
      <c r="A223" s="75">
        <v>6</v>
      </c>
      <c r="B223" s="75"/>
      <c r="C223" s="53" t="s">
        <v>192</v>
      </c>
      <c r="D223" s="50">
        <f>(37.87)*(10.764)</f>
        <v>407.63267999999994</v>
      </c>
      <c r="E223" s="53">
        <v>0</v>
      </c>
      <c r="F223" s="53">
        <f t="shared" si="11"/>
        <v>652.21228799999994</v>
      </c>
      <c r="G223" s="75"/>
      <c r="H223" s="75"/>
      <c r="I223" s="35"/>
      <c r="L223" s="85"/>
      <c r="M223" s="85"/>
      <c r="N223" s="35"/>
    </row>
    <row r="224" spans="1:14" s="36" customFormat="1" ht="15.75" customHeight="1" x14ac:dyDescent="0.3">
      <c r="A224" s="75" t="s">
        <v>268</v>
      </c>
      <c r="B224" s="75"/>
      <c r="C224" s="53" t="s">
        <v>192</v>
      </c>
      <c r="D224" s="50">
        <f>(189.52)*(10.764)</f>
        <v>2039.9932799999999</v>
      </c>
      <c r="E224" s="53">
        <v>0</v>
      </c>
      <c r="F224" s="53">
        <f t="shared" si="11"/>
        <v>3263.9892479999999</v>
      </c>
      <c r="G224" s="75"/>
      <c r="H224" s="75"/>
      <c r="I224" s="35"/>
      <c r="L224" s="85"/>
      <c r="M224" s="85"/>
      <c r="N224" s="35"/>
    </row>
    <row r="225" spans="1:14" s="36" customFormat="1" ht="15.75" customHeight="1" x14ac:dyDescent="0.3">
      <c r="A225" s="75" t="s">
        <v>194</v>
      </c>
      <c r="B225" s="75"/>
      <c r="C225" s="53" t="s">
        <v>192</v>
      </c>
      <c r="D225" s="50">
        <f>(16.69)*(10.764)</f>
        <v>179.65116</v>
      </c>
      <c r="E225" s="53">
        <v>0</v>
      </c>
      <c r="F225" s="53">
        <f t="shared" si="11"/>
        <v>287.44185600000003</v>
      </c>
      <c r="G225" s="75"/>
      <c r="H225" s="75"/>
      <c r="I225" s="35"/>
      <c r="L225" s="85"/>
      <c r="M225" s="85"/>
      <c r="N225" s="35"/>
    </row>
    <row r="226" spans="1:14" s="36" customFormat="1" x14ac:dyDescent="0.3">
      <c r="A226" s="75" t="s">
        <v>195</v>
      </c>
      <c r="B226" s="75"/>
      <c r="C226" s="53" t="s">
        <v>192</v>
      </c>
      <c r="D226" s="50">
        <f>(32.08)*(10.764)</f>
        <v>345.30911999999995</v>
      </c>
      <c r="E226" s="53">
        <v>0</v>
      </c>
      <c r="F226" s="53">
        <f t="shared" si="11"/>
        <v>552.4945919999999</v>
      </c>
      <c r="G226" s="75"/>
      <c r="H226" s="75"/>
      <c r="I226" s="35"/>
      <c r="L226" s="85"/>
      <c r="M226" s="85"/>
      <c r="N226" s="35"/>
    </row>
    <row r="227" spans="1:14" s="36" customFormat="1" x14ac:dyDescent="0.3">
      <c r="A227" s="75" t="s">
        <v>198</v>
      </c>
      <c r="B227" s="75"/>
      <c r="C227" s="53" t="s">
        <v>192</v>
      </c>
      <c r="D227" s="50">
        <f>(20.93)*(10.764)</f>
        <v>225.29051999999999</v>
      </c>
      <c r="E227" s="53">
        <v>0</v>
      </c>
      <c r="F227" s="53">
        <f t="shared" si="11"/>
        <v>360.464832</v>
      </c>
      <c r="G227" s="75"/>
      <c r="H227" s="75"/>
      <c r="I227" s="35"/>
      <c r="L227" s="85"/>
      <c r="M227" s="85"/>
      <c r="N227" s="35"/>
    </row>
    <row r="228" spans="1:14" s="36" customFormat="1" ht="15.75" customHeight="1" x14ac:dyDescent="0.3">
      <c r="A228" s="75" t="s">
        <v>246</v>
      </c>
      <c r="B228" s="75"/>
      <c r="C228" s="53" t="s">
        <v>192</v>
      </c>
      <c r="D228" s="50">
        <f>(40.22)*(10.764)</f>
        <v>432.92807999999997</v>
      </c>
      <c r="E228" s="53">
        <v>0</v>
      </c>
      <c r="F228" s="53">
        <f t="shared" si="11"/>
        <v>692.68492800000001</v>
      </c>
      <c r="G228" s="75"/>
      <c r="H228" s="75"/>
      <c r="I228" s="35"/>
      <c r="L228" s="85"/>
      <c r="M228" s="85"/>
      <c r="N228" s="35"/>
    </row>
    <row r="229" spans="1:14" s="36" customFormat="1" ht="15.75" customHeight="1" x14ac:dyDescent="0.3">
      <c r="A229" s="75" t="s">
        <v>247</v>
      </c>
      <c r="B229" s="75"/>
      <c r="C229" s="53" t="s">
        <v>192</v>
      </c>
      <c r="D229" s="50">
        <f>(25.41)*(10.764)</f>
        <v>273.51324</v>
      </c>
      <c r="E229" s="53">
        <v>0</v>
      </c>
      <c r="F229" s="53">
        <f t="shared" si="11"/>
        <v>437.62118400000003</v>
      </c>
      <c r="G229" s="75"/>
      <c r="H229" s="75"/>
      <c r="I229" s="35"/>
      <c r="L229" s="85"/>
      <c r="M229" s="85"/>
      <c r="N229" s="35"/>
    </row>
    <row r="230" spans="1:14" s="36" customFormat="1" ht="15.75" customHeight="1" x14ac:dyDescent="0.3">
      <c r="A230" s="75">
        <v>11</v>
      </c>
      <c r="B230" s="75"/>
      <c r="C230" s="53" t="s">
        <v>192</v>
      </c>
      <c r="D230" s="50">
        <f>(74.29)*(10.764)</f>
        <v>799.65755999999999</v>
      </c>
      <c r="E230" s="53">
        <v>0</v>
      </c>
      <c r="F230" s="53">
        <f t="shared" si="11"/>
        <v>1279.452096</v>
      </c>
      <c r="G230" s="75"/>
      <c r="H230" s="75"/>
      <c r="I230" s="35"/>
      <c r="L230" s="85"/>
      <c r="M230" s="85"/>
      <c r="N230" s="35"/>
    </row>
    <row r="231" spans="1:14" s="36" customFormat="1" ht="15.75" customHeight="1" x14ac:dyDescent="0.3">
      <c r="A231" s="75" t="s">
        <v>196</v>
      </c>
      <c r="B231" s="75"/>
      <c r="C231" s="53" t="s">
        <v>192</v>
      </c>
      <c r="D231" s="50">
        <f>(26.7)*(10.764)</f>
        <v>287.39879999999999</v>
      </c>
      <c r="E231" s="53">
        <v>0</v>
      </c>
      <c r="F231" s="53">
        <f t="shared" si="11"/>
        <v>459.83807999999999</v>
      </c>
      <c r="G231" s="75"/>
      <c r="H231" s="75"/>
      <c r="I231" s="35"/>
      <c r="L231" s="85"/>
      <c r="M231" s="85"/>
      <c r="N231" s="35"/>
    </row>
    <row r="232" spans="1:14" s="36" customFormat="1" ht="15.75" customHeight="1" x14ac:dyDescent="0.3">
      <c r="A232" s="75" t="s">
        <v>197</v>
      </c>
      <c r="B232" s="75"/>
      <c r="C232" s="53" t="s">
        <v>192</v>
      </c>
      <c r="D232" s="50">
        <f>(17.37)*(10.764)</f>
        <v>186.97067999999999</v>
      </c>
      <c r="E232" s="53">
        <v>0</v>
      </c>
      <c r="F232" s="53">
        <f t="shared" si="11"/>
        <v>299.15308799999997</v>
      </c>
      <c r="G232" s="75"/>
      <c r="H232" s="75"/>
      <c r="I232" s="35"/>
      <c r="L232" s="85"/>
      <c r="M232" s="85"/>
      <c r="N232" s="35"/>
    </row>
    <row r="233" spans="1:14" s="36" customFormat="1" ht="15.75" customHeight="1" x14ac:dyDescent="0.3">
      <c r="A233" s="75">
        <v>12</v>
      </c>
      <c r="B233" s="75"/>
      <c r="C233" s="53" t="s">
        <v>192</v>
      </c>
      <c r="D233" s="50">
        <f>(62.26)*(10.764)</f>
        <v>670.16663999999992</v>
      </c>
      <c r="E233" s="53">
        <v>0</v>
      </c>
      <c r="F233" s="53">
        <f t="shared" si="11"/>
        <v>1072.2666239999999</v>
      </c>
      <c r="G233" s="75"/>
      <c r="H233" s="75"/>
      <c r="I233" s="35"/>
      <c r="L233" s="85"/>
      <c r="M233" s="85"/>
      <c r="N233" s="35"/>
    </row>
    <row r="234" spans="1:14" s="36" customFormat="1" x14ac:dyDescent="0.3">
      <c r="A234" s="75">
        <v>13</v>
      </c>
      <c r="B234" s="75"/>
      <c r="C234" s="53" t="s">
        <v>192</v>
      </c>
      <c r="D234" s="50">
        <f>(54.19)*(10.764)</f>
        <v>583.30115999999998</v>
      </c>
      <c r="E234" s="53">
        <v>0</v>
      </c>
      <c r="F234" s="53">
        <f t="shared" si="11"/>
        <v>933.28185600000006</v>
      </c>
      <c r="G234" s="75"/>
      <c r="H234" s="75"/>
      <c r="I234" s="35"/>
      <c r="L234" s="85"/>
      <c r="M234" s="85"/>
      <c r="N234" s="35"/>
    </row>
    <row r="235" spans="1:14" s="36" customFormat="1" x14ac:dyDescent="0.3">
      <c r="A235" s="75">
        <v>14</v>
      </c>
      <c r="B235" s="75"/>
      <c r="C235" s="53" t="s">
        <v>192</v>
      </c>
      <c r="D235" s="50">
        <f>(51.55)*(10.764)</f>
        <v>554.88419999999996</v>
      </c>
      <c r="E235" s="53">
        <v>0</v>
      </c>
      <c r="F235" s="53">
        <f t="shared" si="11"/>
        <v>887.81471999999997</v>
      </c>
      <c r="G235" s="75"/>
      <c r="H235" s="75"/>
      <c r="I235" s="35"/>
      <c r="L235" s="85"/>
      <c r="M235" s="85"/>
      <c r="N235" s="35"/>
    </row>
    <row r="236" spans="1:14" s="36" customFormat="1" ht="15.75" customHeight="1" x14ac:dyDescent="0.3">
      <c r="A236" s="75">
        <v>15</v>
      </c>
      <c r="B236" s="75"/>
      <c r="C236" s="53" t="s">
        <v>192</v>
      </c>
      <c r="D236" s="50">
        <f>(45.34)*(10.764)</f>
        <v>488.03976</v>
      </c>
      <c r="E236" s="53">
        <v>0</v>
      </c>
      <c r="F236" s="53">
        <f t="shared" si="11"/>
        <v>780.86361600000009</v>
      </c>
      <c r="G236" s="75"/>
      <c r="H236" s="75"/>
      <c r="I236" s="35"/>
      <c r="L236" s="85"/>
      <c r="M236" s="85"/>
      <c r="N236" s="35"/>
    </row>
    <row r="237" spans="1:14" s="36" customFormat="1" ht="15.75" customHeight="1" x14ac:dyDescent="0.3">
      <c r="A237" s="75">
        <v>16</v>
      </c>
      <c r="B237" s="75"/>
      <c r="C237" s="53" t="s">
        <v>192</v>
      </c>
      <c r="D237" s="50">
        <f>(46.13)*(10.764)</f>
        <v>496.54331999999999</v>
      </c>
      <c r="E237" s="53">
        <v>0</v>
      </c>
      <c r="F237" s="53">
        <f t="shared" si="11"/>
        <v>794.46931200000006</v>
      </c>
      <c r="G237" s="75"/>
      <c r="H237" s="75"/>
      <c r="I237" s="35"/>
      <c r="L237" s="85"/>
      <c r="M237" s="85"/>
      <c r="N237" s="35"/>
    </row>
    <row r="238" spans="1:14" s="36" customFormat="1" x14ac:dyDescent="0.3">
      <c r="A238" s="75">
        <v>17</v>
      </c>
      <c r="B238" s="75"/>
      <c r="C238" s="53" t="s">
        <v>192</v>
      </c>
      <c r="D238" s="50">
        <f>(187.42)*(10.764)</f>
        <v>2017.3888799999997</v>
      </c>
      <c r="E238" s="53">
        <v>0</v>
      </c>
      <c r="F238" s="53">
        <f t="shared" si="11"/>
        <v>3227.8222079999996</v>
      </c>
      <c r="G238" s="75"/>
      <c r="H238" s="75"/>
      <c r="I238" s="35"/>
      <c r="L238" s="85"/>
      <c r="M238" s="85"/>
      <c r="N238" s="35"/>
    </row>
    <row r="239" spans="1:14" s="36" customFormat="1" x14ac:dyDescent="0.3">
      <c r="A239" s="75">
        <v>18</v>
      </c>
      <c r="B239" s="75"/>
      <c r="C239" s="53" t="s">
        <v>192</v>
      </c>
      <c r="D239" s="50">
        <f>(62.89)*(10.764)</f>
        <v>676.94795999999997</v>
      </c>
      <c r="E239" s="53">
        <v>0</v>
      </c>
      <c r="F239" s="53">
        <f t="shared" si="11"/>
        <v>1083.1167359999999</v>
      </c>
      <c r="G239" s="75"/>
      <c r="H239" s="75"/>
      <c r="I239" s="35"/>
      <c r="L239" s="85"/>
      <c r="M239" s="85"/>
      <c r="N239" s="35"/>
    </row>
    <row r="240" spans="1:14" s="36" customFormat="1" ht="15.75" customHeight="1" x14ac:dyDescent="0.3">
      <c r="A240" s="75">
        <v>19</v>
      </c>
      <c r="B240" s="75"/>
      <c r="C240" s="53" t="s">
        <v>192</v>
      </c>
      <c r="D240" s="50">
        <f>(77.01)*(10.764)</f>
        <v>828.93564000000003</v>
      </c>
      <c r="E240" s="53">
        <v>0</v>
      </c>
      <c r="F240" s="53">
        <f t="shared" si="11"/>
        <v>1326.2970240000002</v>
      </c>
      <c r="G240" s="75"/>
      <c r="H240" s="75"/>
      <c r="I240" s="35"/>
      <c r="L240" s="85"/>
      <c r="M240" s="85"/>
      <c r="N240" s="35"/>
    </row>
    <row r="241" spans="1:14" s="36" customFormat="1" ht="15.75" customHeight="1" x14ac:dyDescent="0.3">
      <c r="A241" s="75">
        <v>20</v>
      </c>
      <c r="B241" s="75"/>
      <c r="C241" s="53" t="s">
        <v>192</v>
      </c>
      <c r="D241" s="50">
        <f>(61.66)*(10.764)</f>
        <v>663.70823999999993</v>
      </c>
      <c r="E241" s="53">
        <v>0</v>
      </c>
      <c r="F241" s="53">
        <f t="shared" si="11"/>
        <v>1061.933184</v>
      </c>
      <c r="G241" s="75"/>
      <c r="H241" s="75"/>
      <c r="I241" s="35"/>
      <c r="L241" s="85"/>
      <c r="M241" s="85"/>
      <c r="N241" s="35"/>
    </row>
    <row r="242" spans="1:14" s="36" customFormat="1" x14ac:dyDescent="0.3">
      <c r="A242" s="89" t="s">
        <v>230</v>
      </c>
      <c r="B242" s="89"/>
      <c r="C242" s="89"/>
      <c r="D242" s="89"/>
      <c r="E242" s="89"/>
      <c r="F242" s="89"/>
      <c r="G242" s="89"/>
      <c r="H242" s="89"/>
      <c r="I242" s="35"/>
      <c r="J242" s="35"/>
    </row>
    <row r="243" spans="1:14" s="36" customFormat="1" ht="15.75" customHeight="1" x14ac:dyDescent="0.3">
      <c r="A243" s="75" t="s">
        <v>193</v>
      </c>
      <c r="B243" s="75"/>
      <c r="C243" s="53" t="s">
        <v>192</v>
      </c>
      <c r="D243" s="50">
        <f>(13.94)*(10.764)</f>
        <v>150.05015999999998</v>
      </c>
      <c r="E243" s="53">
        <v>0</v>
      </c>
      <c r="F243" s="53">
        <f t="shared" ref="F243:F259" si="12">(D243+E243)*(($F$125)+1)</f>
        <v>240.08025599999996</v>
      </c>
      <c r="G243" s="76" t="str">
        <f>A242</f>
        <v>6th Podium Floor for Commercial &amp; Parking</v>
      </c>
      <c r="H243" s="78"/>
      <c r="I243" s="35"/>
      <c r="L243" s="85"/>
      <c r="M243" s="85"/>
      <c r="N243" s="35"/>
    </row>
    <row r="244" spans="1:14" s="36" customFormat="1" ht="15.75" customHeight="1" x14ac:dyDescent="0.3">
      <c r="A244" s="75">
        <v>1</v>
      </c>
      <c r="B244" s="75"/>
      <c r="C244" s="53" t="s">
        <v>192</v>
      </c>
      <c r="D244" s="50">
        <f>(17.55)*(10.764)</f>
        <v>188.90819999999999</v>
      </c>
      <c r="E244" s="53">
        <v>0</v>
      </c>
      <c r="F244" s="53">
        <f t="shared" si="12"/>
        <v>302.25312000000002</v>
      </c>
      <c r="G244" s="86"/>
      <c r="H244" s="87"/>
      <c r="I244" s="35"/>
      <c r="L244" s="85"/>
      <c r="M244" s="85"/>
      <c r="N244" s="35"/>
    </row>
    <row r="245" spans="1:14" s="36" customFormat="1" ht="15.75" customHeight="1" x14ac:dyDescent="0.3">
      <c r="A245" s="75">
        <v>2</v>
      </c>
      <c r="B245" s="75"/>
      <c r="C245" s="53" t="s">
        <v>192</v>
      </c>
      <c r="D245" s="50">
        <f>(29.47)*(10.764)</f>
        <v>317.21507999999994</v>
      </c>
      <c r="E245" s="53">
        <v>0</v>
      </c>
      <c r="F245" s="53">
        <f t="shared" si="12"/>
        <v>507.54412799999994</v>
      </c>
      <c r="G245" s="86"/>
      <c r="H245" s="87"/>
      <c r="I245" s="35"/>
      <c r="L245" s="85"/>
      <c r="M245" s="85"/>
      <c r="N245" s="35"/>
    </row>
    <row r="246" spans="1:14" s="36" customFormat="1" ht="15.75" customHeight="1" x14ac:dyDescent="0.3">
      <c r="A246" s="75">
        <v>3</v>
      </c>
      <c r="B246" s="75"/>
      <c r="C246" s="53" t="s">
        <v>192</v>
      </c>
      <c r="D246" s="50">
        <f>(17.12)*(10.764)</f>
        <v>184.27968000000001</v>
      </c>
      <c r="E246" s="53">
        <v>0</v>
      </c>
      <c r="F246" s="53">
        <f t="shared" si="12"/>
        <v>294.84748800000006</v>
      </c>
      <c r="G246" s="86"/>
      <c r="H246" s="87"/>
      <c r="I246" s="35"/>
      <c r="L246" s="85"/>
      <c r="M246" s="85"/>
      <c r="N246" s="35"/>
    </row>
    <row r="247" spans="1:14" s="36" customFormat="1" ht="15.75" customHeight="1" x14ac:dyDescent="0.3">
      <c r="A247" s="75" t="s">
        <v>248</v>
      </c>
      <c r="B247" s="75"/>
      <c r="C247" s="53" t="s">
        <v>192</v>
      </c>
      <c r="D247" s="50">
        <f>(37.18)*(10.764)</f>
        <v>400.20551999999998</v>
      </c>
      <c r="E247" s="53">
        <v>0</v>
      </c>
      <c r="F247" s="53">
        <f t="shared" si="12"/>
        <v>640.32883200000003</v>
      </c>
      <c r="G247" s="86"/>
      <c r="H247" s="87"/>
      <c r="I247" s="35"/>
      <c r="L247" s="85"/>
      <c r="M247" s="85"/>
      <c r="N247" s="35"/>
    </row>
    <row r="248" spans="1:14" s="36" customFormat="1" x14ac:dyDescent="0.3">
      <c r="A248" s="75" t="s">
        <v>249</v>
      </c>
      <c r="B248" s="75"/>
      <c r="C248" s="53" t="s">
        <v>192</v>
      </c>
      <c r="D248" s="50">
        <f>(37.87)*(10.764)</f>
        <v>407.63267999999994</v>
      </c>
      <c r="E248" s="53">
        <v>0</v>
      </c>
      <c r="F248" s="53">
        <f t="shared" si="12"/>
        <v>652.21228799999994</v>
      </c>
      <c r="G248" s="86"/>
      <c r="H248" s="87"/>
      <c r="I248" s="35"/>
      <c r="L248" s="85"/>
      <c r="M248" s="85"/>
      <c r="N248" s="35"/>
    </row>
    <row r="249" spans="1:14" s="36" customFormat="1" x14ac:dyDescent="0.3">
      <c r="A249" s="75">
        <v>4</v>
      </c>
      <c r="B249" s="75"/>
      <c r="C249" s="53" t="s">
        <v>192</v>
      </c>
      <c r="D249" s="50">
        <f>(39.52)*(10.764)</f>
        <v>425.39328</v>
      </c>
      <c r="E249" s="53">
        <v>0</v>
      </c>
      <c r="F249" s="53">
        <f t="shared" si="12"/>
        <v>680.62924800000008</v>
      </c>
      <c r="G249" s="86"/>
      <c r="H249" s="87"/>
      <c r="I249" s="35"/>
      <c r="L249" s="85"/>
      <c r="M249" s="85"/>
      <c r="N249" s="35"/>
    </row>
    <row r="250" spans="1:14" s="36" customFormat="1" ht="15.75" customHeight="1" x14ac:dyDescent="0.3">
      <c r="A250" s="75">
        <v>5</v>
      </c>
      <c r="B250" s="75"/>
      <c r="C250" s="53" t="s">
        <v>192</v>
      </c>
      <c r="D250" s="50">
        <f>(40.18)*(10.764)</f>
        <v>432.49751999999995</v>
      </c>
      <c r="E250" s="53">
        <v>0</v>
      </c>
      <c r="F250" s="53">
        <f t="shared" si="12"/>
        <v>691.99603200000001</v>
      </c>
      <c r="G250" s="86"/>
      <c r="H250" s="87"/>
      <c r="I250" s="35"/>
      <c r="L250" s="85"/>
      <c r="M250" s="85"/>
      <c r="N250" s="35"/>
    </row>
    <row r="251" spans="1:14" s="36" customFormat="1" ht="15.75" customHeight="1" x14ac:dyDescent="0.3">
      <c r="A251" s="75">
        <v>6</v>
      </c>
      <c r="B251" s="75"/>
      <c r="C251" s="53" t="s">
        <v>192</v>
      </c>
      <c r="D251" s="50">
        <f>(108.4)*(10.764)</f>
        <v>1166.8176000000001</v>
      </c>
      <c r="E251" s="53">
        <v>0</v>
      </c>
      <c r="F251" s="53">
        <f t="shared" si="12"/>
        <v>1866.9081600000002</v>
      </c>
      <c r="G251" s="86"/>
      <c r="H251" s="87"/>
      <c r="I251" s="35"/>
      <c r="L251" s="85"/>
      <c r="M251" s="85"/>
      <c r="N251" s="35"/>
    </row>
    <row r="252" spans="1:14" s="36" customFormat="1" ht="15.75" customHeight="1" x14ac:dyDescent="0.3">
      <c r="A252" s="75">
        <v>7</v>
      </c>
      <c r="B252" s="75"/>
      <c r="C252" s="53" t="s">
        <v>192</v>
      </c>
      <c r="D252" s="50">
        <f>(62.25)*(10.764)</f>
        <v>670.05899999999997</v>
      </c>
      <c r="E252" s="53">
        <v>0</v>
      </c>
      <c r="F252" s="53">
        <f t="shared" si="12"/>
        <v>1072.0944</v>
      </c>
      <c r="G252" s="86"/>
      <c r="H252" s="87"/>
      <c r="I252" s="35"/>
      <c r="L252" s="85"/>
      <c r="M252" s="85"/>
      <c r="N252" s="35"/>
    </row>
    <row r="253" spans="1:14" s="36" customFormat="1" ht="15.75" customHeight="1" x14ac:dyDescent="0.3">
      <c r="A253" s="75">
        <v>8</v>
      </c>
      <c r="B253" s="75"/>
      <c r="C253" s="53" t="s">
        <v>192</v>
      </c>
      <c r="D253" s="50">
        <f>(54.19)*(10.764)</f>
        <v>583.30115999999998</v>
      </c>
      <c r="E253" s="53">
        <v>0</v>
      </c>
      <c r="F253" s="53">
        <f t="shared" si="12"/>
        <v>933.28185600000006</v>
      </c>
      <c r="G253" s="86"/>
      <c r="H253" s="87"/>
      <c r="I253" s="35"/>
      <c r="L253" s="85"/>
      <c r="M253" s="85"/>
      <c r="N253" s="35"/>
    </row>
    <row r="254" spans="1:14" s="36" customFormat="1" x14ac:dyDescent="0.3">
      <c r="A254" s="75" t="s">
        <v>270</v>
      </c>
      <c r="B254" s="75"/>
      <c r="C254" s="53" t="s">
        <v>192</v>
      </c>
      <c r="D254" s="50">
        <f>(51.55+45.34)*(10.764)</f>
        <v>1042.9239599999999</v>
      </c>
      <c r="E254" s="53">
        <v>0</v>
      </c>
      <c r="F254" s="53">
        <f t="shared" si="12"/>
        <v>1668.6783359999999</v>
      </c>
      <c r="G254" s="86"/>
      <c r="H254" s="87"/>
      <c r="I254" s="35"/>
      <c r="L254" s="85"/>
      <c r="M254" s="85"/>
      <c r="N254" s="35"/>
    </row>
    <row r="255" spans="1:14" s="36" customFormat="1" ht="15.75" customHeight="1" x14ac:dyDescent="0.3">
      <c r="A255" s="75">
        <v>11</v>
      </c>
      <c r="B255" s="75"/>
      <c r="C255" s="53" t="s">
        <v>192</v>
      </c>
      <c r="D255" s="50">
        <f>(46.13)*(10.764)</f>
        <v>496.54331999999999</v>
      </c>
      <c r="E255" s="53">
        <v>0</v>
      </c>
      <c r="F255" s="53">
        <f t="shared" si="12"/>
        <v>794.46931200000006</v>
      </c>
      <c r="G255" s="86"/>
      <c r="H255" s="87"/>
      <c r="I255" s="35"/>
      <c r="L255" s="85"/>
      <c r="M255" s="85"/>
      <c r="N255" s="35"/>
    </row>
    <row r="256" spans="1:14" s="36" customFormat="1" ht="15.75" customHeight="1" x14ac:dyDescent="0.3">
      <c r="A256" s="75">
        <v>12</v>
      </c>
      <c r="B256" s="75"/>
      <c r="C256" s="53" t="s">
        <v>192</v>
      </c>
      <c r="D256" s="50">
        <f>(187.42)*(10.764)</f>
        <v>2017.3888799999997</v>
      </c>
      <c r="E256" s="53">
        <v>0</v>
      </c>
      <c r="F256" s="53">
        <f t="shared" si="12"/>
        <v>3227.8222079999996</v>
      </c>
      <c r="G256" s="86"/>
      <c r="H256" s="87"/>
      <c r="I256" s="35"/>
      <c r="L256" s="85"/>
      <c r="M256" s="85"/>
      <c r="N256" s="35"/>
    </row>
    <row r="257" spans="1:14" s="36" customFormat="1" ht="15.75" customHeight="1" x14ac:dyDescent="0.3">
      <c r="A257" s="75">
        <v>13</v>
      </c>
      <c r="B257" s="75"/>
      <c r="C257" s="53" t="s">
        <v>192</v>
      </c>
      <c r="D257" s="50">
        <f>(62.69)*(10.764)</f>
        <v>674.7951599999999</v>
      </c>
      <c r="E257" s="53">
        <v>0</v>
      </c>
      <c r="F257" s="53">
        <f t="shared" si="12"/>
        <v>1079.6722559999998</v>
      </c>
      <c r="G257" s="86"/>
      <c r="H257" s="87"/>
      <c r="I257" s="35"/>
      <c r="L257" s="85"/>
      <c r="M257" s="85"/>
      <c r="N257" s="35"/>
    </row>
    <row r="258" spans="1:14" s="36" customFormat="1" ht="15.75" customHeight="1" x14ac:dyDescent="0.3">
      <c r="A258" s="75">
        <v>14</v>
      </c>
      <c r="B258" s="75"/>
      <c r="C258" s="53" t="s">
        <v>192</v>
      </c>
      <c r="D258" s="50">
        <f>(77.01)*(10.764)</f>
        <v>828.93564000000003</v>
      </c>
      <c r="E258" s="53">
        <v>0</v>
      </c>
      <c r="F258" s="53">
        <f t="shared" si="12"/>
        <v>1326.2970240000002</v>
      </c>
      <c r="G258" s="86"/>
      <c r="H258" s="87"/>
      <c r="I258" s="35"/>
      <c r="L258" s="85"/>
      <c r="M258" s="85"/>
      <c r="N258" s="35"/>
    </row>
    <row r="259" spans="1:14" s="36" customFormat="1" ht="15.75" customHeight="1" x14ac:dyDescent="0.3">
      <c r="A259" s="75">
        <v>15</v>
      </c>
      <c r="B259" s="75"/>
      <c r="C259" s="53" t="s">
        <v>192</v>
      </c>
      <c r="D259" s="50">
        <f>(61.66)*(10.764)</f>
        <v>663.70823999999993</v>
      </c>
      <c r="E259" s="53">
        <v>0</v>
      </c>
      <c r="F259" s="53">
        <f t="shared" si="12"/>
        <v>1061.933184</v>
      </c>
      <c r="G259" s="86"/>
      <c r="H259" s="87"/>
      <c r="I259" s="35"/>
      <c r="L259" s="85"/>
      <c r="M259" s="85"/>
      <c r="N259" s="35"/>
    </row>
    <row r="260" spans="1:14" s="36" customFormat="1" x14ac:dyDescent="0.3">
      <c r="A260" s="89" t="s">
        <v>269</v>
      </c>
      <c r="B260" s="89"/>
      <c r="C260" s="89"/>
      <c r="D260" s="89"/>
      <c r="E260" s="89"/>
      <c r="F260" s="89"/>
      <c r="G260" s="89"/>
      <c r="H260" s="89"/>
      <c r="I260" s="35"/>
      <c r="J260" s="35"/>
    </row>
    <row r="261" spans="1:14" s="36" customFormat="1" ht="15.75" customHeight="1" x14ac:dyDescent="0.3">
      <c r="A261" s="75" t="s">
        <v>193</v>
      </c>
      <c r="B261" s="75"/>
      <c r="C261" s="53" t="s">
        <v>192</v>
      </c>
      <c r="D261" s="50">
        <f>(13.94)*(10.764)</f>
        <v>150.05015999999998</v>
      </c>
      <c r="E261" s="53">
        <v>0</v>
      </c>
      <c r="F261" s="53">
        <f t="shared" ref="F261:F277" si="13">(D261+E261)*(($F$125)+1)</f>
        <v>240.08025599999996</v>
      </c>
      <c r="G261" s="76" t="str">
        <f>A260</f>
        <v>7th Podium Floor for Commercial &amp; Parking</v>
      </c>
      <c r="H261" s="78"/>
      <c r="I261" s="35"/>
      <c r="L261" s="85"/>
      <c r="M261" s="85"/>
      <c r="N261" s="35"/>
    </row>
    <row r="262" spans="1:14" s="36" customFormat="1" ht="15.75" customHeight="1" x14ac:dyDescent="0.3">
      <c r="A262" s="75">
        <v>1</v>
      </c>
      <c r="B262" s="75"/>
      <c r="C262" s="53" t="s">
        <v>192</v>
      </c>
      <c r="D262" s="50">
        <f>(17.55)*(10.764)</f>
        <v>188.90819999999999</v>
      </c>
      <c r="E262" s="53">
        <v>0</v>
      </c>
      <c r="F262" s="53">
        <f t="shared" si="13"/>
        <v>302.25312000000002</v>
      </c>
      <c r="G262" s="86"/>
      <c r="H262" s="87"/>
      <c r="I262" s="35"/>
      <c r="L262" s="85"/>
      <c r="M262" s="85"/>
      <c r="N262" s="35"/>
    </row>
    <row r="263" spans="1:14" s="36" customFormat="1" ht="15.75" customHeight="1" x14ac:dyDescent="0.3">
      <c r="A263" s="75">
        <v>2</v>
      </c>
      <c r="B263" s="75"/>
      <c r="C263" s="53" t="s">
        <v>192</v>
      </c>
      <c r="D263" s="50">
        <f>(29.47)*(10.764)</f>
        <v>317.21507999999994</v>
      </c>
      <c r="E263" s="53">
        <v>0</v>
      </c>
      <c r="F263" s="53">
        <f t="shared" si="13"/>
        <v>507.54412799999994</v>
      </c>
      <c r="G263" s="86"/>
      <c r="H263" s="87"/>
      <c r="I263" s="35"/>
      <c r="L263" s="85"/>
      <c r="M263" s="85"/>
      <c r="N263" s="35"/>
    </row>
    <row r="264" spans="1:14" s="36" customFormat="1" ht="15.75" customHeight="1" x14ac:dyDescent="0.3">
      <c r="A264" s="75">
        <v>3</v>
      </c>
      <c r="B264" s="75"/>
      <c r="C264" s="53" t="s">
        <v>192</v>
      </c>
      <c r="D264" s="50">
        <f>(17.12)*(10.764)</f>
        <v>184.27968000000001</v>
      </c>
      <c r="E264" s="53">
        <v>0</v>
      </c>
      <c r="F264" s="53">
        <f t="shared" si="13"/>
        <v>294.84748800000006</v>
      </c>
      <c r="G264" s="86"/>
      <c r="H264" s="87"/>
      <c r="I264" s="35"/>
      <c r="L264" s="85"/>
      <c r="M264" s="85"/>
      <c r="N264" s="35"/>
    </row>
    <row r="265" spans="1:14" s="36" customFormat="1" ht="15.75" customHeight="1" x14ac:dyDescent="0.3">
      <c r="A265" s="75" t="s">
        <v>248</v>
      </c>
      <c r="B265" s="75"/>
      <c r="C265" s="53" t="s">
        <v>192</v>
      </c>
      <c r="D265" s="50">
        <f>(37.18)*(10.764)</f>
        <v>400.20551999999998</v>
      </c>
      <c r="E265" s="53">
        <v>0</v>
      </c>
      <c r="F265" s="53">
        <f t="shared" si="13"/>
        <v>640.32883200000003</v>
      </c>
      <c r="G265" s="86"/>
      <c r="H265" s="87"/>
      <c r="I265" s="35"/>
      <c r="L265" s="85"/>
      <c r="M265" s="85"/>
      <c r="N265" s="35"/>
    </row>
    <row r="266" spans="1:14" s="36" customFormat="1" x14ac:dyDescent="0.3">
      <c r="A266" s="75">
        <v>4</v>
      </c>
      <c r="B266" s="75"/>
      <c r="C266" s="53" t="s">
        <v>192</v>
      </c>
      <c r="D266" s="50">
        <f>(37.87)*(10.764)</f>
        <v>407.63267999999994</v>
      </c>
      <c r="E266" s="53">
        <v>0</v>
      </c>
      <c r="F266" s="53">
        <f t="shared" si="13"/>
        <v>652.21228799999994</v>
      </c>
      <c r="G266" s="86"/>
      <c r="H266" s="87"/>
      <c r="I266" s="35"/>
      <c r="L266" s="85"/>
      <c r="M266" s="85"/>
      <c r="N266" s="35"/>
    </row>
    <row r="267" spans="1:14" s="36" customFormat="1" x14ac:dyDescent="0.3">
      <c r="A267" s="75">
        <f>A266+1</f>
        <v>5</v>
      </c>
      <c r="B267" s="75"/>
      <c r="C267" s="53" t="s">
        <v>192</v>
      </c>
      <c r="D267" s="50">
        <f>(39.52)*(10.764)</f>
        <v>425.39328</v>
      </c>
      <c r="E267" s="53">
        <v>0</v>
      </c>
      <c r="F267" s="53">
        <f t="shared" si="13"/>
        <v>680.62924800000008</v>
      </c>
      <c r="G267" s="86"/>
      <c r="H267" s="87"/>
      <c r="I267" s="35"/>
      <c r="L267" s="85"/>
      <c r="M267" s="85"/>
      <c r="N267" s="35"/>
    </row>
    <row r="268" spans="1:14" s="36" customFormat="1" ht="15.75" customHeight="1" x14ac:dyDescent="0.3">
      <c r="A268" s="75">
        <f t="shared" ref="A268:A277" si="14">A267+1</f>
        <v>6</v>
      </c>
      <c r="B268" s="75"/>
      <c r="C268" s="53" t="s">
        <v>192</v>
      </c>
      <c r="D268" s="50">
        <f>(40.18)*(10.764)</f>
        <v>432.49751999999995</v>
      </c>
      <c r="E268" s="53">
        <v>0</v>
      </c>
      <c r="F268" s="53">
        <f t="shared" si="13"/>
        <v>691.99603200000001</v>
      </c>
      <c r="G268" s="86"/>
      <c r="H268" s="87"/>
      <c r="I268" s="35"/>
      <c r="L268" s="85"/>
      <c r="M268" s="85"/>
      <c r="N268" s="35"/>
    </row>
    <row r="269" spans="1:14" s="36" customFormat="1" ht="15.75" customHeight="1" x14ac:dyDescent="0.3">
      <c r="A269" s="75">
        <f t="shared" si="14"/>
        <v>7</v>
      </c>
      <c r="B269" s="75"/>
      <c r="C269" s="53" t="s">
        <v>192</v>
      </c>
      <c r="D269" s="50">
        <f>(108.4)*(10.764)</f>
        <v>1166.8176000000001</v>
      </c>
      <c r="E269" s="53">
        <v>0</v>
      </c>
      <c r="F269" s="53">
        <f t="shared" si="13"/>
        <v>1866.9081600000002</v>
      </c>
      <c r="G269" s="86"/>
      <c r="H269" s="87"/>
      <c r="I269" s="35"/>
      <c r="L269" s="85"/>
      <c r="M269" s="85"/>
      <c r="N269" s="35"/>
    </row>
    <row r="270" spans="1:14" s="36" customFormat="1" ht="15.75" customHeight="1" x14ac:dyDescent="0.3">
      <c r="A270" s="75">
        <f t="shared" si="14"/>
        <v>8</v>
      </c>
      <c r="B270" s="75"/>
      <c r="C270" s="53" t="s">
        <v>192</v>
      </c>
      <c r="D270" s="50">
        <f>(62.25)*(10.764)</f>
        <v>670.05899999999997</v>
      </c>
      <c r="E270" s="53">
        <v>0</v>
      </c>
      <c r="F270" s="53">
        <f t="shared" si="13"/>
        <v>1072.0944</v>
      </c>
      <c r="G270" s="86"/>
      <c r="H270" s="87"/>
      <c r="I270" s="35"/>
      <c r="L270" s="85"/>
      <c r="M270" s="85"/>
      <c r="N270" s="35"/>
    </row>
    <row r="271" spans="1:14" s="36" customFormat="1" ht="15.75" customHeight="1" x14ac:dyDescent="0.3">
      <c r="A271" s="75">
        <f t="shared" si="14"/>
        <v>9</v>
      </c>
      <c r="B271" s="75"/>
      <c r="C271" s="53" t="s">
        <v>192</v>
      </c>
      <c r="D271" s="50">
        <f>(54.19)*(10.764)</f>
        <v>583.30115999999998</v>
      </c>
      <c r="E271" s="53">
        <v>0</v>
      </c>
      <c r="F271" s="53">
        <f t="shared" si="13"/>
        <v>933.28185600000006</v>
      </c>
      <c r="G271" s="86"/>
      <c r="H271" s="87"/>
      <c r="I271" s="35"/>
      <c r="L271" s="85"/>
      <c r="M271" s="85"/>
      <c r="N271" s="35"/>
    </row>
    <row r="272" spans="1:14" s="36" customFormat="1" x14ac:dyDescent="0.3">
      <c r="A272" s="75">
        <f t="shared" si="14"/>
        <v>10</v>
      </c>
      <c r="B272" s="75"/>
      <c r="C272" s="53" t="s">
        <v>192</v>
      </c>
      <c r="D272" s="50">
        <f>(51.55)*(10.764)</f>
        <v>554.88419999999996</v>
      </c>
      <c r="E272" s="53">
        <v>0</v>
      </c>
      <c r="F272" s="53">
        <f t="shared" si="13"/>
        <v>887.81471999999997</v>
      </c>
      <c r="G272" s="86"/>
      <c r="H272" s="87"/>
      <c r="I272" s="35"/>
      <c r="L272" s="85"/>
      <c r="M272" s="85"/>
      <c r="N272" s="35"/>
    </row>
    <row r="273" spans="1:14" s="36" customFormat="1" x14ac:dyDescent="0.3">
      <c r="A273" s="75">
        <f t="shared" si="14"/>
        <v>11</v>
      </c>
      <c r="B273" s="75"/>
      <c r="C273" s="53" t="s">
        <v>192</v>
      </c>
      <c r="D273" s="50">
        <f>(45.34+46.13)*(10.764)</f>
        <v>984.58307999999988</v>
      </c>
      <c r="E273" s="53">
        <v>0</v>
      </c>
      <c r="F273" s="53">
        <f t="shared" si="13"/>
        <v>1575.3329279999998</v>
      </c>
      <c r="G273" s="86"/>
      <c r="H273" s="87"/>
      <c r="I273" s="35"/>
      <c r="L273" s="85"/>
      <c r="M273" s="85"/>
      <c r="N273" s="35"/>
    </row>
    <row r="274" spans="1:14" s="36" customFormat="1" ht="15.75" customHeight="1" x14ac:dyDescent="0.3">
      <c r="A274" s="75">
        <f t="shared" ref="A274" si="15">A273+1</f>
        <v>12</v>
      </c>
      <c r="B274" s="75"/>
      <c r="C274" s="53" t="s">
        <v>192</v>
      </c>
      <c r="D274" s="50">
        <f>(187.42)*(10.764)</f>
        <v>2017.3888799999997</v>
      </c>
      <c r="E274" s="53">
        <v>0</v>
      </c>
      <c r="F274" s="53">
        <f t="shared" si="13"/>
        <v>3227.8222079999996</v>
      </c>
      <c r="G274" s="86"/>
      <c r="H274" s="87"/>
      <c r="I274" s="35"/>
      <c r="L274" s="85"/>
      <c r="M274" s="85"/>
      <c r="N274" s="35"/>
    </row>
    <row r="275" spans="1:14" s="36" customFormat="1" ht="15.75" customHeight="1" x14ac:dyDescent="0.3">
      <c r="A275" s="75">
        <f t="shared" si="14"/>
        <v>13</v>
      </c>
      <c r="B275" s="75"/>
      <c r="C275" s="53" t="s">
        <v>192</v>
      </c>
      <c r="D275" s="50">
        <f>(62.69)*(10.764)</f>
        <v>674.7951599999999</v>
      </c>
      <c r="E275" s="53">
        <v>0</v>
      </c>
      <c r="F275" s="53">
        <f t="shared" si="13"/>
        <v>1079.6722559999998</v>
      </c>
      <c r="G275" s="86"/>
      <c r="H275" s="87"/>
      <c r="I275" s="35"/>
      <c r="L275" s="85"/>
      <c r="M275" s="85"/>
      <c r="N275" s="35"/>
    </row>
    <row r="276" spans="1:14" s="36" customFormat="1" ht="15.75" customHeight="1" x14ac:dyDescent="0.3">
      <c r="A276" s="75">
        <f t="shared" si="14"/>
        <v>14</v>
      </c>
      <c r="B276" s="75"/>
      <c r="C276" s="53" t="s">
        <v>192</v>
      </c>
      <c r="D276" s="50">
        <f>(77.01)*(10.764)</f>
        <v>828.93564000000003</v>
      </c>
      <c r="E276" s="53">
        <v>0</v>
      </c>
      <c r="F276" s="53">
        <f t="shared" si="13"/>
        <v>1326.2970240000002</v>
      </c>
      <c r="G276" s="86"/>
      <c r="H276" s="87"/>
      <c r="I276" s="35"/>
      <c r="L276" s="85"/>
      <c r="M276" s="85"/>
      <c r="N276" s="35"/>
    </row>
    <row r="277" spans="1:14" s="36" customFormat="1" ht="15.75" customHeight="1" x14ac:dyDescent="0.3">
      <c r="A277" s="75">
        <f t="shared" si="14"/>
        <v>15</v>
      </c>
      <c r="B277" s="75"/>
      <c r="C277" s="53" t="s">
        <v>192</v>
      </c>
      <c r="D277" s="50">
        <f>(61.66)*(10.764)</f>
        <v>663.70823999999993</v>
      </c>
      <c r="E277" s="53">
        <v>0</v>
      </c>
      <c r="F277" s="53">
        <f t="shared" si="13"/>
        <v>1061.933184</v>
      </c>
      <c r="G277" s="86"/>
      <c r="H277" s="87"/>
      <c r="I277" s="35"/>
      <c r="L277" s="85"/>
      <c r="M277" s="85"/>
      <c r="N277" s="35"/>
    </row>
    <row r="278" spans="1:14" s="36" customFormat="1" x14ac:dyDescent="0.3">
      <c r="A278" s="89" t="s">
        <v>190</v>
      </c>
      <c r="B278" s="89"/>
      <c r="C278" s="89"/>
      <c r="D278" s="89"/>
      <c r="E278" s="89"/>
      <c r="F278" s="89"/>
      <c r="G278" s="89"/>
      <c r="H278" s="89"/>
      <c r="J278" s="35"/>
    </row>
    <row r="279" spans="1:14" s="36" customFormat="1" x14ac:dyDescent="0.3">
      <c r="A279" s="89" t="s">
        <v>188</v>
      </c>
      <c r="B279" s="89"/>
      <c r="C279" s="89"/>
      <c r="D279" s="89"/>
      <c r="E279" s="89"/>
      <c r="F279" s="89"/>
      <c r="G279" s="89"/>
      <c r="H279" s="89"/>
      <c r="J279" s="35"/>
    </row>
    <row r="280" spans="1:14" s="36" customFormat="1" x14ac:dyDescent="0.3">
      <c r="A280" s="89" t="s">
        <v>260</v>
      </c>
      <c r="B280" s="89"/>
      <c r="C280" s="89"/>
      <c r="D280" s="89"/>
      <c r="E280" s="89"/>
      <c r="F280" s="89"/>
      <c r="G280" s="89"/>
      <c r="H280" s="89"/>
      <c r="I280" s="35">
        <f>6+10</f>
        <v>16</v>
      </c>
      <c r="J280" s="35"/>
    </row>
    <row r="281" spans="1:14" s="36" customFormat="1" ht="15.75" customHeight="1" x14ac:dyDescent="0.3">
      <c r="A281" s="75">
        <v>1</v>
      </c>
      <c r="B281" s="75"/>
      <c r="C281" s="53" t="s">
        <v>189</v>
      </c>
      <c r="D281" s="50">
        <f>(16.13)*(10.764)</f>
        <v>173.62331999999998</v>
      </c>
      <c r="E281" s="53">
        <v>0</v>
      </c>
      <c r="F281" s="53">
        <f t="shared" ref="F281:F290" si="16">(D281+E281)*(($F$125)+1)</f>
        <v>277.79731199999998</v>
      </c>
      <c r="G281" s="76" t="str">
        <f>A280</f>
        <v>Ground Floor For Commercial, Entrance Lobby &amp; Parking</v>
      </c>
      <c r="H281" s="78"/>
      <c r="I281" s="35"/>
      <c r="L281" s="85"/>
      <c r="M281" s="85"/>
      <c r="N281" s="35"/>
    </row>
    <row r="282" spans="1:14" s="36" customFormat="1" ht="15.75" customHeight="1" x14ac:dyDescent="0.3">
      <c r="A282" s="75" t="s">
        <v>193</v>
      </c>
      <c r="B282" s="75"/>
      <c r="C282" s="53" t="s">
        <v>189</v>
      </c>
      <c r="D282" s="50">
        <f>(21.57)*(10.764)</f>
        <v>232.17947999999998</v>
      </c>
      <c r="E282" s="53">
        <v>0</v>
      </c>
      <c r="F282" s="53">
        <f t="shared" si="16"/>
        <v>371.487168</v>
      </c>
      <c r="G282" s="86"/>
      <c r="H282" s="87"/>
      <c r="I282" s="35"/>
      <c r="L282" s="85"/>
      <c r="M282" s="85"/>
      <c r="N282" s="35"/>
    </row>
    <row r="283" spans="1:14" s="36" customFormat="1" ht="15.75" customHeight="1" x14ac:dyDescent="0.3">
      <c r="A283" s="75">
        <v>2</v>
      </c>
      <c r="B283" s="75"/>
      <c r="C283" s="53" t="s">
        <v>189</v>
      </c>
      <c r="D283" s="50">
        <f>(40.25)*(10.764)</f>
        <v>433.25099999999998</v>
      </c>
      <c r="E283" s="53">
        <v>0</v>
      </c>
      <c r="F283" s="53">
        <f t="shared" si="16"/>
        <v>693.20159999999998</v>
      </c>
      <c r="G283" s="86"/>
      <c r="H283" s="87"/>
      <c r="I283" s="35"/>
      <c r="L283" s="85"/>
      <c r="M283" s="85"/>
      <c r="N283" s="35"/>
    </row>
    <row r="284" spans="1:14" s="36" customFormat="1" ht="15.75" customHeight="1" x14ac:dyDescent="0.3">
      <c r="A284" s="75">
        <v>3</v>
      </c>
      <c r="B284" s="75"/>
      <c r="C284" s="53" t="s">
        <v>189</v>
      </c>
      <c r="D284" s="50">
        <f>(33.9)*(10.764)</f>
        <v>364.89959999999996</v>
      </c>
      <c r="E284" s="53">
        <v>0</v>
      </c>
      <c r="F284" s="53">
        <f t="shared" si="16"/>
        <v>583.83935999999994</v>
      </c>
      <c r="G284" s="86"/>
      <c r="H284" s="87"/>
      <c r="I284" s="35"/>
      <c r="L284" s="85"/>
      <c r="M284" s="85"/>
      <c r="N284" s="35"/>
    </row>
    <row r="285" spans="1:14" s="36" customFormat="1" ht="15.75" customHeight="1" x14ac:dyDescent="0.3">
      <c r="A285" s="75">
        <v>4</v>
      </c>
      <c r="B285" s="75"/>
      <c r="C285" s="53" t="s">
        <v>189</v>
      </c>
      <c r="D285" s="50">
        <f>(84.77)*(10.764)</f>
        <v>912.46427999999992</v>
      </c>
      <c r="E285" s="53">
        <v>0</v>
      </c>
      <c r="F285" s="53">
        <f t="shared" si="16"/>
        <v>1459.9428479999999</v>
      </c>
      <c r="G285" s="86"/>
      <c r="H285" s="87"/>
      <c r="I285" s="35"/>
      <c r="L285" s="85"/>
      <c r="M285" s="85"/>
      <c r="N285" s="35"/>
    </row>
    <row r="286" spans="1:14" s="36" customFormat="1" x14ac:dyDescent="0.3">
      <c r="A286" s="75">
        <v>5</v>
      </c>
      <c r="B286" s="75"/>
      <c r="C286" s="53" t="s">
        <v>189</v>
      </c>
      <c r="D286" s="50">
        <f>(69.05)*(10.764)</f>
        <v>743.25419999999997</v>
      </c>
      <c r="E286" s="53">
        <v>0</v>
      </c>
      <c r="F286" s="53">
        <f t="shared" si="16"/>
        <v>1189.2067199999999</v>
      </c>
      <c r="G286" s="86"/>
      <c r="H286" s="87"/>
      <c r="I286" s="35"/>
      <c r="L286" s="85"/>
      <c r="M286" s="85"/>
      <c r="N286" s="35"/>
    </row>
    <row r="287" spans="1:14" s="36" customFormat="1" x14ac:dyDescent="0.3">
      <c r="A287" s="75">
        <v>6</v>
      </c>
      <c r="B287" s="75"/>
      <c r="C287" s="53" t="s">
        <v>189</v>
      </c>
      <c r="D287" s="50">
        <f>(34.62)*(10.764)</f>
        <v>372.64967999999993</v>
      </c>
      <c r="E287" s="53">
        <v>0</v>
      </c>
      <c r="F287" s="53">
        <f t="shared" si="16"/>
        <v>596.23948799999994</v>
      </c>
      <c r="G287" s="86"/>
      <c r="H287" s="87"/>
      <c r="I287" s="35"/>
      <c r="L287" s="85"/>
      <c r="M287" s="85"/>
      <c r="N287" s="35"/>
    </row>
    <row r="288" spans="1:14" s="36" customFormat="1" ht="15.75" customHeight="1" x14ac:dyDescent="0.3">
      <c r="A288" s="75" t="s">
        <v>242</v>
      </c>
      <c r="B288" s="75"/>
      <c r="C288" s="53" t="s">
        <v>189</v>
      </c>
      <c r="D288" s="50">
        <f>(32.15)*(10.764)</f>
        <v>346.06259999999997</v>
      </c>
      <c r="E288" s="53">
        <v>0</v>
      </c>
      <c r="F288" s="53">
        <f t="shared" si="16"/>
        <v>553.70015999999998</v>
      </c>
      <c r="G288" s="86"/>
      <c r="H288" s="87"/>
      <c r="I288" s="35"/>
      <c r="L288" s="85"/>
      <c r="M288" s="85"/>
      <c r="N288" s="35"/>
    </row>
    <row r="289" spans="1:14" s="36" customFormat="1" ht="15.75" customHeight="1" x14ac:dyDescent="0.3">
      <c r="A289" s="75" t="s">
        <v>243</v>
      </c>
      <c r="B289" s="75"/>
      <c r="C289" s="53" t="s">
        <v>189</v>
      </c>
      <c r="D289" s="50">
        <f>(37.15)*(10.764)</f>
        <v>399.88259999999997</v>
      </c>
      <c r="E289" s="53">
        <v>0</v>
      </c>
      <c r="F289" s="53">
        <f t="shared" si="16"/>
        <v>639.81215999999995</v>
      </c>
      <c r="G289" s="86"/>
      <c r="H289" s="87"/>
      <c r="I289" s="35"/>
      <c r="L289" s="85"/>
      <c r="M289" s="85"/>
      <c r="N289" s="35"/>
    </row>
    <row r="290" spans="1:14" s="36" customFormat="1" ht="15.75" customHeight="1" x14ac:dyDescent="0.3">
      <c r="A290" s="75" t="s">
        <v>244</v>
      </c>
      <c r="B290" s="75"/>
      <c r="C290" s="53" t="s">
        <v>189</v>
      </c>
      <c r="D290" s="50">
        <f>(39.05)*(10.764)</f>
        <v>420.33419999999995</v>
      </c>
      <c r="E290" s="53">
        <v>0</v>
      </c>
      <c r="F290" s="53">
        <f t="shared" si="16"/>
        <v>672.53471999999999</v>
      </c>
      <c r="G290" s="86"/>
      <c r="H290" s="87"/>
      <c r="I290" s="35"/>
      <c r="L290" s="85"/>
      <c r="M290" s="85"/>
      <c r="N290" s="35"/>
    </row>
    <row r="291" spans="1:14" s="36" customFormat="1" x14ac:dyDescent="0.3">
      <c r="A291" s="75"/>
      <c r="B291" s="75"/>
      <c r="C291" s="75"/>
      <c r="D291" s="75"/>
      <c r="E291" s="75"/>
      <c r="F291" s="75"/>
      <c r="G291" s="75"/>
      <c r="H291" s="75"/>
      <c r="I291" s="35"/>
      <c r="N291" s="35"/>
    </row>
    <row r="292" spans="1:14" ht="47.25" customHeight="1" x14ac:dyDescent="0.3">
      <c r="A292" s="90" t="s">
        <v>125</v>
      </c>
      <c r="B292" s="90" t="s">
        <v>126</v>
      </c>
      <c r="C292" s="90" t="s">
        <v>59</v>
      </c>
      <c r="D292" s="90" t="s">
        <v>60</v>
      </c>
      <c r="E292" s="103" t="s">
        <v>61</v>
      </c>
      <c r="F292" s="61" t="s">
        <v>154</v>
      </c>
      <c r="G292" s="90" t="s">
        <v>62</v>
      </c>
      <c r="H292" s="90"/>
      <c r="I292" s="35"/>
    </row>
    <row r="293" spans="1:14" s="36" customFormat="1" x14ac:dyDescent="0.3">
      <c r="A293" s="90"/>
      <c r="B293" s="90"/>
      <c r="C293" s="90"/>
      <c r="D293" s="90"/>
      <c r="E293" s="103"/>
      <c r="F293" s="62">
        <v>0.55000000000000004</v>
      </c>
      <c r="G293" s="90"/>
      <c r="H293" s="90"/>
      <c r="I293" s="35"/>
    </row>
    <row r="294" spans="1:14" s="36" customFormat="1" x14ac:dyDescent="0.3">
      <c r="A294" s="89" t="s">
        <v>226</v>
      </c>
      <c r="B294" s="89"/>
      <c r="C294" s="89"/>
      <c r="D294" s="89"/>
      <c r="E294" s="89"/>
      <c r="F294" s="89"/>
      <c r="G294" s="89"/>
      <c r="H294" s="89"/>
      <c r="I294" s="35"/>
    </row>
    <row r="295" spans="1:14" s="36" customFormat="1" x14ac:dyDescent="0.3">
      <c r="A295" s="89" t="s">
        <v>201</v>
      </c>
      <c r="B295" s="89"/>
      <c r="C295" s="89"/>
      <c r="D295" s="89"/>
      <c r="E295" s="89"/>
      <c r="F295" s="89"/>
      <c r="G295" s="89"/>
      <c r="H295" s="89"/>
      <c r="I295" s="35"/>
    </row>
    <row r="296" spans="1:14" s="36" customFormat="1" x14ac:dyDescent="0.3">
      <c r="A296" s="89" t="s">
        <v>271</v>
      </c>
      <c r="B296" s="89"/>
      <c r="C296" s="89"/>
      <c r="D296" s="89"/>
      <c r="E296" s="89"/>
      <c r="F296" s="89"/>
      <c r="G296" s="89"/>
      <c r="H296" s="89"/>
      <c r="I296" s="35"/>
      <c r="J296" s="35"/>
    </row>
    <row r="297" spans="1:14" s="36" customFormat="1" x14ac:dyDescent="0.3">
      <c r="A297" s="89" t="s">
        <v>272</v>
      </c>
      <c r="B297" s="89"/>
      <c r="C297" s="89"/>
      <c r="D297" s="89"/>
      <c r="E297" s="89"/>
      <c r="F297" s="89"/>
      <c r="G297" s="89"/>
      <c r="H297" s="89"/>
      <c r="I297" s="35"/>
      <c r="J297" s="35"/>
    </row>
    <row r="298" spans="1:14" s="36" customFormat="1" ht="15.75" customHeight="1" x14ac:dyDescent="0.3">
      <c r="A298" s="75">
        <v>1</v>
      </c>
      <c r="B298" s="75"/>
      <c r="C298" s="76" t="s">
        <v>207</v>
      </c>
      <c r="D298" s="77"/>
      <c r="E298" s="77"/>
      <c r="F298" s="78"/>
      <c r="G298" s="76" t="str">
        <f>A297</f>
        <v>9th E-Deck Floor (Fitness Center &amp; Swimming Pool) (Part Refuge Area)</v>
      </c>
      <c r="H298" s="78"/>
      <c r="I298" s="49">
        <f>1.05*3+2.45*2.45+0.9*1.68+1.5*2.15+3.2*6.75+3.35*3.1+0.6*0.9+1.05*0.9+1.65*0.9+1.5*2.6+3.35*3.65+0.65*3.35+0.7*3.2+0.7*3.2</f>
        <v>71.629499999999993</v>
      </c>
    </row>
    <row r="299" spans="1:14" s="36" customFormat="1" ht="15.75" customHeight="1" x14ac:dyDescent="0.3">
      <c r="A299" s="75">
        <v>2</v>
      </c>
      <c r="B299" s="75"/>
      <c r="C299" s="79"/>
      <c r="D299" s="80"/>
      <c r="E299" s="80"/>
      <c r="F299" s="81"/>
      <c r="G299" s="86"/>
      <c r="H299" s="87"/>
      <c r="I299" s="35"/>
    </row>
    <row r="300" spans="1:14" s="36" customFormat="1" ht="15.75" customHeight="1" x14ac:dyDescent="0.3">
      <c r="A300" s="75">
        <v>3</v>
      </c>
      <c r="B300" s="75"/>
      <c r="C300" s="53" t="s">
        <v>200</v>
      </c>
      <c r="D300" s="50">
        <f>(161.66)*(10.764)</f>
        <v>1740.1082399999998</v>
      </c>
      <c r="E300" s="53">
        <v>0</v>
      </c>
      <c r="F300" s="53">
        <f t="shared" ref="F300" si="17">D300*(($F$293)+1)+(IF(E300&lt;101,E300,IF(E300&lt;201,E300/2,IF(E300&lt;=301,E300/3,E300/4))))</f>
        <v>2697.1677719999998</v>
      </c>
      <c r="G300" s="86"/>
      <c r="H300" s="87"/>
      <c r="I300" s="49">
        <f>1.05*3+2.45*2.45+0.9*1.68+1.5*2.15+3.2*6.75+3.35*3.1+0.6*0.9+1.05*0.9+1.65*0.9+1.5*2.6+3.35*3.65+0.65*3.35+0.7*3.2+0.7*3.2</f>
        <v>71.629499999999993</v>
      </c>
    </row>
    <row r="301" spans="1:14" s="36" customFormat="1" ht="15.75" customHeight="1" x14ac:dyDescent="0.3">
      <c r="A301" s="75">
        <v>4</v>
      </c>
      <c r="B301" s="75"/>
      <c r="C301" s="76" t="s">
        <v>273</v>
      </c>
      <c r="D301" s="77"/>
      <c r="E301" s="77"/>
      <c r="F301" s="78"/>
      <c r="G301" s="86"/>
      <c r="H301" s="87"/>
      <c r="I301" s="35"/>
    </row>
    <row r="302" spans="1:14" s="36" customFormat="1" ht="15.75" customHeight="1" x14ac:dyDescent="0.3">
      <c r="A302" s="75">
        <v>5</v>
      </c>
      <c r="B302" s="75"/>
      <c r="C302" s="86"/>
      <c r="D302" s="88"/>
      <c r="E302" s="88"/>
      <c r="F302" s="87"/>
      <c r="G302" s="86"/>
      <c r="H302" s="87"/>
      <c r="I302" s="35"/>
    </row>
    <row r="303" spans="1:14" s="36" customFormat="1" ht="15.75" customHeight="1" x14ac:dyDescent="0.3">
      <c r="A303" s="75">
        <v>6</v>
      </c>
      <c r="B303" s="75"/>
      <c r="C303" s="86"/>
      <c r="D303" s="88"/>
      <c r="E303" s="88"/>
      <c r="F303" s="87"/>
      <c r="G303" s="86"/>
      <c r="H303" s="87"/>
      <c r="I303" s="35"/>
    </row>
    <row r="304" spans="1:14" s="36" customFormat="1" ht="15.75" customHeight="1" x14ac:dyDescent="0.3">
      <c r="A304" s="75">
        <v>7</v>
      </c>
      <c r="B304" s="75"/>
      <c r="C304" s="79"/>
      <c r="D304" s="80"/>
      <c r="E304" s="80"/>
      <c r="F304" s="81"/>
      <c r="G304" s="79"/>
      <c r="H304" s="81"/>
      <c r="I304" s="35"/>
    </row>
    <row r="305" spans="1:10" s="36" customFormat="1" x14ac:dyDescent="0.3">
      <c r="A305" s="89" t="s">
        <v>274</v>
      </c>
      <c r="B305" s="89"/>
      <c r="C305" s="89"/>
      <c r="D305" s="89"/>
      <c r="E305" s="89"/>
      <c r="F305" s="89"/>
      <c r="G305" s="89"/>
      <c r="H305" s="89"/>
      <c r="I305" s="35"/>
    </row>
    <row r="306" spans="1:10" s="36" customFormat="1" ht="15.75" customHeight="1" x14ac:dyDescent="0.3">
      <c r="A306" s="75">
        <v>1</v>
      </c>
      <c r="B306" s="75"/>
      <c r="C306" s="53" t="s">
        <v>202</v>
      </c>
      <c r="D306" s="50">
        <f>(77.16)*(10.764)</f>
        <v>830.55023999999992</v>
      </c>
      <c r="E306" s="53">
        <v>0</v>
      </c>
      <c r="F306" s="53">
        <f t="shared" ref="F306:F312" si="18">D306*(($F$293)+1)+(IF(E306&lt;101,E306,IF(E306&lt;201,E306/2,IF(E306&lt;=301,E306/3,E306/4))))</f>
        <v>1287.3528719999999</v>
      </c>
      <c r="G306" s="75" t="str">
        <f>A305</f>
        <v>1st to 6th, 9th to 13th, 16th to 20th, 23rd to 27th Floor For Residential</v>
      </c>
      <c r="H306" s="75"/>
      <c r="I306" s="49">
        <f>1.05*3+2.45*2.5+3.25*6.925+1.7*0.9+1.6*0.9+3.425*3.15+3.4*4.725+1.5*2.675+1.5*2.15</f>
        <v>68.842499999999987</v>
      </c>
      <c r="J306" s="36">
        <f>2.97*1.05+1.67*0.775</f>
        <v>4.4127500000000008</v>
      </c>
    </row>
    <row r="307" spans="1:10" s="36" customFormat="1" ht="15.75" customHeight="1" x14ac:dyDescent="0.3">
      <c r="A307" s="75">
        <v>2</v>
      </c>
      <c r="B307" s="75"/>
      <c r="C307" s="53" t="s">
        <v>202</v>
      </c>
      <c r="D307" s="50">
        <f>(77.16)*(10.764)</f>
        <v>830.55023999999992</v>
      </c>
      <c r="E307" s="53">
        <v>0</v>
      </c>
      <c r="F307" s="53">
        <f t="shared" si="18"/>
        <v>1287.3528719999999</v>
      </c>
      <c r="G307" s="75"/>
      <c r="H307" s="75"/>
      <c r="I307" s="35"/>
    </row>
    <row r="308" spans="1:10" s="36" customFormat="1" ht="15.75" customHeight="1" x14ac:dyDescent="0.3">
      <c r="A308" s="75">
        <v>3</v>
      </c>
      <c r="B308" s="75"/>
      <c r="C308" s="53" t="s">
        <v>200</v>
      </c>
      <c r="D308" s="50">
        <f>(161.66)*(10.764)</f>
        <v>1740.1082399999998</v>
      </c>
      <c r="E308" s="53">
        <v>0</v>
      </c>
      <c r="F308" s="53">
        <f t="shared" si="18"/>
        <v>2697.1677719999998</v>
      </c>
      <c r="G308" s="75"/>
      <c r="H308" s="75"/>
      <c r="I308" s="35"/>
    </row>
    <row r="309" spans="1:10" s="36" customFormat="1" ht="15.75" customHeight="1" x14ac:dyDescent="0.3">
      <c r="A309" s="75">
        <v>4</v>
      </c>
      <c r="B309" s="75"/>
      <c r="C309" s="53" t="s">
        <v>203</v>
      </c>
      <c r="D309" s="50">
        <f>(97.56)*(10.764)</f>
        <v>1050.1358399999999</v>
      </c>
      <c r="E309" s="53">
        <v>0</v>
      </c>
      <c r="F309" s="53">
        <f t="shared" si="18"/>
        <v>1627.710552</v>
      </c>
      <c r="G309" s="75"/>
      <c r="H309" s="75"/>
      <c r="I309" s="35"/>
    </row>
    <row r="310" spans="1:10" s="36" customFormat="1" ht="15.75" customHeight="1" x14ac:dyDescent="0.3">
      <c r="A310" s="75">
        <v>5</v>
      </c>
      <c r="B310" s="75"/>
      <c r="C310" s="53" t="s">
        <v>203</v>
      </c>
      <c r="D310" s="50">
        <f>(97.56)*(10.764)</f>
        <v>1050.1358399999999</v>
      </c>
      <c r="E310" s="53">
        <v>0</v>
      </c>
      <c r="F310" s="53">
        <f t="shared" si="18"/>
        <v>1627.710552</v>
      </c>
      <c r="G310" s="75"/>
      <c r="H310" s="75"/>
      <c r="I310" s="35"/>
    </row>
    <row r="311" spans="1:10" s="36" customFormat="1" ht="15.75" customHeight="1" x14ac:dyDescent="0.3">
      <c r="A311" s="75">
        <v>6</v>
      </c>
      <c r="B311" s="75"/>
      <c r="C311" s="53" t="s">
        <v>202</v>
      </c>
      <c r="D311" s="50">
        <f>(68.38)*(10.764)</f>
        <v>736.0423199999999</v>
      </c>
      <c r="E311" s="53">
        <v>0</v>
      </c>
      <c r="F311" s="53">
        <f t="shared" si="18"/>
        <v>1140.8655959999999</v>
      </c>
      <c r="G311" s="75"/>
      <c r="H311" s="75"/>
      <c r="I311" s="35"/>
    </row>
    <row r="312" spans="1:10" s="36" customFormat="1" ht="15.75" customHeight="1" x14ac:dyDescent="0.3">
      <c r="A312" s="75">
        <v>7</v>
      </c>
      <c r="B312" s="75"/>
      <c r="C312" s="53" t="s">
        <v>202</v>
      </c>
      <c r="D312" s="50">
        <f>(68.38)*(10.764)</f>
        <v>736.0423199999999</v>
      </c>
      <c r="E312" s="53">
        <v>0</v>
      </c>
      <c r="F312" s="53">
        <f t="shared" si="18"/>
        <v>1140.8655959999999</v>
      </c>
      <c r="G312" s="75"/>
      <c r="H312" s="75"/>
      <c r="I312" s="35"/>
    </row>
    <row r="313" spans="1:10" s="36" customFormat="1" x14ac:dyDescent="0.3">
      <c r="A313" s="89" t="s">
        <v>252</v>
      </c>
      <c r="B313" s="89"/>
      <c r="C313" s="89"/>
      <c r="D313" s="89"/>
      <c r="E313" s="89"/>
      <c r="F313" s="89"/>
      <c r="G313" s="89"/>
      <c r="H313" s="89"/>
      <c r="I313" s="35"/>
    </row>
    <row r="314" spans="1:10" s="36" customFormat="1" ht="15.75" customHeight="1" x14ac:dyDescent="0.3">
      <c r="A314" s="75">
        <v>1</v>
      </c>
      <c r="B314" s="75"/>
      <c r="C314" s="76" t="s">
        <v>207</v>
      </c>
      <c r="D314" s="77"/>
      <c r="E314" s="77"/>
      <c r="F314" s="78"/>
      <c r="G314" s="75" t="str">
        <f>A313</f>
        <v>7th, 14th &amp; 21st Floor (Part Refuge Area)</v>
      </c>
      <c r="H314" s="75"/>
      <c r="I314" s="35"/>
    </row>
    <row r="315" spans="1:10" s="36" customFormat="1" ht="15.75" customHeight="1" x14ac:dyDescent="0.3">
      <c r="A315" s="75">
        <v>2</v>
      </c>
      <c r="B315" s="75"/>
      <c r="C315" s="79"/>
      <c r="D315" s="80"/>
      <c r="E315" s="80"/>
      <c r="F315" s="81"/>
      <c r="G315" s="75"/>
      <c r="H315" s="75"/>
      <c r="I315" s="35"/>
    </row>
    <row r="316" spans="1:10" s="36" customFormat="1" ht="15.75" customHeight="1" x14ac:dyDescent="0.3">
      <c r="A316" s="75">
        <v>3</v>
      </c>
      <c r="B316" s="75"/>
      <c r="C316" s="53" t="s">
        <v>200</v>
      </c>
      <c r="D316" s="50">
        <f>(161.66)*(10.764)</f>
        <v>1740.1082399999998</v>
      </c>
      <c r="E316" s="53">
        <v>0</v>
      </c>
      <c r="F316" s="53">
        <f>D316*(($F$293)+1)+(IF(E316&lt;101,E316,IF(E316&lt;201,E316/2,IF(E316&lt;=301,E316/3,E316/4))))</f>
        <v>2697.1677719999998</v>
      </c>
      <c r="G316" s="75"/>
      <c r="H316" s="75"/>
      <c r="I316" s="35"/>
    </row>
    <row r="317" spans="1:10" s="36" customFormat="1" ht="15.75" customHeight="1" x14ac:dyDescent="0.3">
      <c r="A317" s="75">
        <v>4</v>
      </c>
      <c r="B317" s="75"/>
      <c r="C317" s="53" t="s">
        <v>203</v>
      </c>
      <c r="D317" s="50">
        <f>(97.56)*(10.764)</f>
        <v>1050.1358399999999</v>
      </c>
      <c r="E317" s="53">
        <v>0</v>
      </c>
      <c r="F317" s="53">
        <f>D317*(($F$293)+1)+(IF(E317&lt;101,E317,IF(E317&lt;201,E317/2,IF(E317&lt;=301,E317/3,E317/4))))</f>
        <v>1627.710552</v>
      </c>
      <c r="G317" s="75"/>
      <c r="H317" s="75"/>
      <c r="I317" s="35"/>
    </row>
    <row r="318" spans="1:10" s="36" customFormat="1" ht="15.75" customHeight="1" x14ac:dyDescent="0.3">
      <c r="A318" s="75">
        <v>5</v>
      </c>
      <c r="B318" s="75"/>
      <c r="C318" s="53" t="s">
        <v>203</v>
      </c>
      <c r="D318" s="50">
        <f>(97.56)*(10.764)</f>
        <v>1050.1358399999999</v>
      </c>
      <c r="E318" s="53">
        <v>0</v>
      </c>
      <c r="F318" s="53">
        <f>D318*(($F$293)+1)+(IF(E318&lt;101,E318,IF(E318&lt;201,E318/2,IF(E318&lt;=301,E318/3,E318/4))))</f>
        <v>1627.710552</v>
      </c>
      <c r="G318" s="75"/>
      <c r="H318" s="75"/>
      <c r="I318" s="35"/>
    </row>
    <row r="319" spans="1:10" s="36" customFormat="1" ht="15.75" customHeight="1" x14ac:dyDescent="0.3">
      <c r="A319" s="75">
        <v>6</v>
      </c>
      <c r="B319" s="75"/>
      <c r="C319" s="53" t="s">
        <v>202</v>
      </c>
      <c r="D319" s="50">
        <f>(68.38)*(10.764)</f>
        <v>736.0423199999999</v>
      </c>
      <c r="E319" s="53">
        <v>0</v>
      </c>
      <c r="F319" s="53">
        <f>D319*(($F$293)+1)+(IF(E319&lt;101,E319,IF(E319&lt;201,E319/2,IF(E319&lt;=301,E319/3,E319/4))))</f>
        <v>1140.8655959999999</v>
      </c>
      <c r="G319" s="75"/>
      <c r="H319" s="75"/>
      <c r="I319" s="35"/>
    </row>
    <row r="320" spans="1:10" s="36" customFormat="1" ht="15.75" customHeight="1" x14ac:dyDescent="0.3">
      <c r="A320" s="75">
        <v>7</v>
      </c>
      <c r="B320" s="75"/>
      <c r="C320" s="53" t="s">
        <v>202</v>
      </c>
      <c r="D320" s="50">
        <f>(68.38)*(10.764)</f>
        <v>736.0423199999999</v>
      </c>
      <c r="E320" s="53">
        <v>0</v>
      </c>
      <c r="F320" s="53">
        <f>D320*(($F$293)+1)+(IF(E320&lt;101,E320,IF(E320&lt;201,E320/2,IF(E320&lt;=301,E320/3,E320/4))))</f>
        <v>1140.8655959999999</v>
      </c>
      <c r="G320" s="75"/>
      <c r="H320" s="75"/>
      <c r="I320" s="35"/>
    </row>
    <row r="321" spans="1:9" s="36" customFormat="1" x14ac:dyDescent="0.3">
      <c r="A321" s="89" t="s">
        <v>275</v>
      </c>
      <c r="B321" s="89"/>
      <c r="C321" s="89"/>
      <c r="D321" s="89"/>
      <c r="E321" s="89"/>
      <c r="F321" s="89"/>
      <c r="G321" s="89"/>
      <c r="H321" s="89"/>
      <c r="I321" s="35"/>
    </row>
    <row r="322" spans="1:9" s="36" customFormat="1" ht="15.75" customHeight="1" x14ac:dyDescent="0.3">
      <c r="A322" s="75">
        <v>1</v>
      </c>
      <c r="B322" s="75"/>
      <c r="C322" s="53" t="s">
        <v>202</v>
      </c>
      <c r="D322" s="50">
        <f>(77.16)*(10.764)</f>
        <v>830.55023999999992</v>
      </c>
      <c r="E322" s="53">
        <v>0</v>
      </c>
      <c r="F322" s="53">
        <f t="shared" ref="F322:F328" si="19">D322*(($F$293)+1)+(IF(E322&lt;101,E322,IF(E322&lt;201,E322/2,IF(E322&lt;=301,E322/3,E322/4))))</f>
        <v>1287.3528719999999</v>
      </c>
      <c r="G322" s="75" t="str">
        <f>A321</f>
        <v>8th, 15th &amp; 22nd Floor For Residential</v>
      </c>
      <c r="H322" s="75"/>
      <c r="I322" s="49">
        <f>1.05*3+2.45*2.45+0.9*1.68+1.5*2.15+3.2*6.75+3.35*3.1+0.6*0.9+1.05*0.9+1.65*0.9+1.5*2.6+3.35*3.65+0.65*3.35+0.7*3.2+0.7*3.2</f>
        <v>71.629499999999993</v>
      </c>
    </row>
    <row r="323" spans="1:9" s="36" customFormat="1" ht="15.75" customHeight="1" x14ac:dyDescent="0.3">
      <c r="A323" s="75">
        <v>2</v>
      </c>
      <c r="B323" s="75"/>
      <c r="C323" s="53" t="s">
        <v>202</v>
      </c>
      <c r="D323" s="50">
        <f>(77.16)*(10.764)</f>
        <v>830.55023999999992</v>
      </c>
      <c r="E323" s="53">
        <v>0</v>
      </c>
      <c r="F323" s="53">
        <f t="shared" si="19"/>
        <v>1287.3528719999999</v>
      </c>
      <c r="G323" s="75"/>
      <c r="H323" s="75"/>
      <c r="I323" s="35"/>
    </row>
    <row r="324" spans="1:9" s="36" customFormat="1" ht="15.75" customHeight="1" x14ac:dyDescent="0.3">
      <c r="A324" s="75">
        <v>3</v>
      </c>
      <c r="B324" s="75"/>
      <c r="C324" s="53" t="s">
        <v>200</v>
      </c>
      <c r="D324" s="50">
        <f>(161.66)*(10.764)</f>
        <v>1740.1082399999998</v>
      </c>
      <c r="E324" s="53">
        <v>0</v>
      </c>
      <c r="F324" s="53">
        <f t="shared" si="19"/>
        <v>2697.1677719999998</v>
      </c>
      <c r="G324" s="75"/>
      <c r="H324" s="75"/>
      <c r="I324" s="35"/>
    </row>
    <row r="325" spans="1:9" s="36" customFormat="1" ht="15.75" customHeight="1" x14ac:dyDescent="0.3">
      <c r="A325" s="75">
        <v>4</v>
      </c>
      <c r="B325" s="75"/>
      <c r="C325" s="53" t="s">
        <v>203</v>
      </c>
      <c r="D325" s="50">
        <f>(97.56)*(10.764)</f>
        <v>1050.1358399999999</v>
      </c>
      <c r="E325" s="53">
        <v>0</v>
      </c>
      <c r="F325" s="53">
        <f t="shared" si="19"/>
        <v>1627.710552</v>
      </c>
      <c r="G325" s="75"/>
      <c r="H325" s="75"/>
      <c r="I325" s="35"/>
    </row>
    <row r="326" spans="1:9" s="36" customFormat="1" ht="15.75" customHeight="1" x14ac:dyDescent="0.3">
      <c r="A326" s="75">
        <v>5</v>
      </c>
      <c r="B326" s="75"/>
      <c r="C326" s="53" t="s">
        <v>203</v>
      </c>
      <c r="D326" s="50">
        <f>(97.56)*(10.764)</f>
        <v>1050.1358399999999</v>
      </c>
      <c r="E326" s="53">
        <v>0</v>
      </c>
      <c r="F326" s="53">
        <f t="shared" si="19"/>
        <v>1627.710552</v>
      </c>
      <c r="G326" s="75"/>
      <c r="H326" s="75"/>
      <c r="I326" s="35"/>
    </row>
    <row r="327" spans="1:9" s="36" customFormat="1" ht="15.75" customHeight="1" x14ac:dyDescent="0.3">
      <c r="A327" s="75">
        <v>6</v>
      </c>
      <c r="B327" s="75"/>
      <c r="C327" s="53" t="s">
        <v>202</v>
      </c>
      <c r="D327" s="50">
        <f>(68.38)*(10.764)</f>
        <v>736.0423199999999</v>
      </c>
      <c r="E327" s="53">
        <v>0</v>
      </c>
      <c r="F327" s="53">
        <f t="shared" si="19"/>
        <v>1140.8655959999999</v>
      </c>
      <c r="G327" s="75"/>
      <c r="H327" s="75"/>
      <c r="I327" s="35"/>
    </row>
    <row r="328" spans="1:9" s="36" customFormat="1" ht="15.75" customHeight="1" x14ac:dyDescent="0.3">
      <c r="A328" s="75">
        <v>7</v>
      </c>
      <c r="B328" s="75"/>
      <c r="C328" s="53" t="s">
        <v>202</v>
      </c>
      <c r="D328" s="50">
        <f>(68.38)*(10.764)</f>
        <v>736.0423199999999</v>
      </c>
      <c r="E328" s="53">
        <v>0</v>
      </c>
      <c r="F328" s="53">
        <f t="shared" si="19"/>
        <v>1140.8655959999999</v>
      </c>
      <c r="G328" s="75"/>
      <c r="H328" s="75"/>
      <c r="I328" s="35"/>
    </row>
    <row r="329" spans="1:9" s="36" customFormat="1" x14ac:dyDescent="0.3">
      <c r="A329" s="89" t="s">
        <v>253</v>
      </c>
      <c r="B329" s="89"/>
      <c r="C329" s="89"/>
      <c r="D329" s="89"/>
      <c r="E329" s="89"/>
      <c r="F329" s="89"/>
      <c r="G329" s="89"/>
      <c r="H329" s="89"/>
      <c r="I329" s="35"/>
    </row>
    <row r="330" spans="1:9" s="36" customFormat="1" ht="15.75" customHeight="1" x14ac:dyDescent="0.3">
      <c r="A330" s="75">
        <v>1</v>
      </c>
      <c r="B330" s="75"/>
      <c r="C330" s="53" t="s">
        <v>202</v>
      </c>
      <c r="D330" s="50">
        <f>(77.16)*(10.764)</f>
        <v>830.55023999999992</v>
      </c>
      <c r="E330" s="53">
        <v>0</v>
      </c>
      <c r="F330" s="53">
        <f>D330*(($F$293)+1)+(IF(E330&lt;101,E330,IF(E330&lt;201,E330/2,IF(E330&lt;=301,E330/3,E330/4))))</f>
        <v>1287.3528719999999</v>
      </c>
      <c r="G330" s="75" t="str">
        <f>A329</f>
        <v>28th Floor (Part Refuge Area)</v>
      </c>
      <c r="H330" s="75"/>
      <c r="I330" s="35"/>
    </row>
    <row r="331" spans="1:9" s="36" customFormat="1" ht="15.75" customHeight="1" x14ac:dyDescent="0.3">
      <c r="A331" s="75">
        <v>2</v>
      </c>
      <c r="B331" s="75"/>
      <c r="C331" s="95" t="s">
        <v>207</v>
      </c>
      <c r="D331" s="96"/>
      <c r="E331" s="96"/>
      <c r="F331" s="97"/>
      <c r="G331" s="75"/>
      <c r="H331" s="75"/>
      <c r="I331" s="35"/>
    </row>
    <row r="332" spans="1:9" s="36" customFormat="1" ht="15.75" customHeight="1" x14ac:dyDescent="0.3">
      <c r="A332" s="75">
        <v>3</v>
      </c>
      <c r="B332" s="75"/>
      <c r="C332" s="53" t="s">
        <v>200</v>
      </c>
      <c r="D332" s="50">
        <f>(161.66)*(10.764)</f>
        <v>1740.1082399999998</v>
      </c>
      <c r="E332" s="53">
        <v>0</v>
      </c>
      <c r="F332" s="53">
        <f>D332*(($F$293)+1)+(IF(E332&lt;101,E332,IF(E332&lt;201,E332/2,IF(E332&lt;=301,E332/3,E332/4))))</f>
        <v>2697.1677719999998</v>
      </c>
      <c r="G332" s="75"/>
      <c r="H332" s="75"/>
      <c r="I332" s="35"/>
    </row>
    <row r="333" spans="1:9" s="36" customFormat="1" ht="15.75" customHeight="1" x14ac:dyDescent="0.3">
      <c r="A333" s="75">
        <v>4</v>
      </c>
      <c r="B333" s="75"/>
      <c r="C333" s="53" t="s">
        <v>203</v>
      </c>
      <c r="D333" s="50">
        <f>(97.56)*(10.764)</f>
        <v>1050.1358399999999</v>
      </c>
      <c r="E333" s="53">
        <v>0</v>
      </c>
      <c r="F333" s="53">
        <f>D333*(($F$293)+1)+(IF(E333&lt;101,E333,IF(E333&lt;201,E333/2,IF(E333&lt;=301,E333/3,E333/4))))</f>
        <v>1627.710552</v>
      </c>
      <c r="G333" s="75"/>
      <c r="H333" s="75"/>
      <c r="I333" s="35"/>
    </row>
    <row r="334" spans="1:9" s="36" customFormat="1" ht="15.75" customHeight="1" x14ac:dyDescent="0.3">
      <c r="A334" s="75">
        <v>5</v>
      </c>
      <c r="B334" s="75"/>
      <c r="C334" s="53" t="s">
        <v>203</v>
      </c>
      <c r="D334" s="50">
        <f>(97.56)*(10.764)</f>
        <v>1050.1358399999999</v>
      </c>
      <c r="E334" s="53">
        <v>0</v>
      </c>
      <c r="F334" s="53">
        <f>D334*(($F$293)+1)+(IF(E334&lt;101,E334,IF(E334&lt;201,E334/2,IF(E334&lt;=301,E334/3,E334/4))))</f>
        <v>1627.710552</v>
      </c>
      <c r="G334" s="75"/>
      <c r="H334" s="75"/>
      <c r="I334" s="35"/>
    </row>
    <row r="335" spans="1:9" s="36" customFormat="1" ht="15.75" customHeight="1" x14ac:dyDescent="0.3">
      <c r="A335" s="75">
        <v>6</v>
      </c>
      <c r="B335" s="75"/>
      <c r="C335" s="53" t="s">
        <v>202</v>
      </c>
      <c r="D335" s="50">
        <f>(68.38)*(10.764)</f>
        <v>736.0423199999999</v>
      </c>
      <c r="E335" s="53">
        <v>0</v>
      </c>
      <c r="F335" s="53">
        <f>D335*(($F$293)+1)+(IF(E335&lt;101,E335,IF(E335&lt;201,E335/2,IF(E335&lt;=301,E335/3,E335/4))))</f>
        <v>1140.8655959999999</v>
      </c>
      <c r="G335" s="75"/>
      <c r="H335" s="75"/>
      <c r="I335" s="35"/>
    </row>
    <row r="336" spans="1:9" s="36" customFormat="1" ht="15.75" customHeight="1" x14ac:dyDescent="0.3">
      <c r="A336" s="75">
        <v>7</v>
      </c>
      <c r="B336" s="75"/>
      <c r="C336" s="53" t="s">
        <v>202</v>
      </c>
      <c r="D336" s="50">
        <f>(68.38)*(10.764)</f>
        <v>736.0423199999999</v>
      </c>
      <c r="E336" s="53">
        <v>0</v>
      </c>
      <c r="F336" s="53">
        <f>D336*(($F$293)+1)+(IF(E336&lt;101,E336,IF(E336&lt;201,E336/2,IF(E336&lt;=301,E336/3,E336/4))))</f>
        <v>1140.8655959999999</v>
      </c>
      <c r="G336" s="75"/>
      <c r="H336" s="75"/>
      <c r="I336" s="35"/>
    </row>
    <row r="337" spans="1:14" s="54" customFormat="1" x14ac:dyDescent="0.3">
      <c r="A337" s="215" t="s">
        <v>204</v>
      </c>
      <c r="B337" s="215"/>
      <c r="C337" s="215"/>
      <c r="D337" s="215"/>
      <c r="E337" s="215"/>
      <c r="F337" s="215"/>
      <c r="G337" s="215"/>
      <c r="H337" s="215"/>
      <c r="J337" s="55"/>
    </row>
    <row r="338" spans="1:14" s="36" customFormat="1" hidden="1" x14ac:dyDescent="0.3">
      <c r="A338" s="89" t="s">
        <v>250</v>
      </c>
      <c r="B338" s="89"/>
      <c r="C338" s="89"/>
      <c r="D338" s="89"/>
      <c r="E338" s="89"/>
      <c r="F338" s="89"/>
      <c r="G338" s="89"/>
      <c r="H338" s="89"/>
      <c r="I338" s="35">
        <f>104+12</f>
        <v>116</v>
      </c>
      <c r="J338" s="35"/>
    </row>
    <row r="339" spans="1:14" s="36" customFormat="1" hidden="1" x14ac:dyDescent="0.3">
      <c r="A339" s="89" t="s">
        <v>251</v>
      </c>
      <c r="B339" s="89"/>
      <c r="C339" s="89"/>
      <c r="D339" s="89"/>
      <c r="E339" s="89"/>
      <c r="F339" s="89"/>
      <c r="G339" s="89"/>
      <c r="H339" s="89"/>
      <c r="I339" s="35"/>
      <c r="J339" s="35"/>
    </row>
    <row r="340" spans="1:14" s="36" customFormat="1" ht="15.6" customHeight="1" x14ac:dyDescent="0.3">
      <c r="A340" s="74" t="s">
        <v>292</v>
      </c>
      <c r="B340" s="74"/>
      <c r="C340" s="74"/>
      <c r="D340" s="74"/>
      <c r="E340" s="74"/>
      <c r="F340" s="74"/>
      <c r="G340" s="74"/>
      <c r="H340" s="74"/>
      <c r="I340" s="35">
        <f>6+5+5+5+2</f>
        <v>23</v>
      </c>
    </row>
    <row r="341" spans="1:14" s="36" customFormat="1" ht="15.75" customHeight="1" x14ac:dyDescent="0.3">
      <c r="A341" s="75">
        <v>1</v>
      </c>
      <c r="B341" s="75" t="s">
        <v>293</v>
      </c>
      <c r="C341" s="53" t="s">
        <v>202</v>
      </c>
      <c r="D341" s="50">
        <f>(77.16)*(10.764)</f>
        <v>830.55023999999992</v>
      </c>
      <c r="E341" s="53">
        <v>0</v>
      </c>
      <c r="F341" s="53">
        <f t="shared" ref="F341:F348" si="20">D341*(($F$293)+1)+(IF(E341&lt;101,E341,IF(E341&lt;201,E341/2,IF(E341&lt;=301,E341/3,E341/4))))</f>
        <v>1287.3528719999999</v>
      </c>
      <c r="G341" s="75" t="str">
        <f>A340</f>
        <v>1st to 6th, 9th to 13th, 16th to 20th, 23rd to 27th, 29th &amp; 30th Floor Residential</v>
      </c>
      <c r="H341" s="75"/>
      <c r="I341" s="49">
        <f>1.05*3+2.45*2.45+0.9*1.68+1.5*2.15+3.2*6.75+3.35*3.1+0.6*0.9+1.05*0.9+1.65*0.9+1.5*2.6+3.35*3.65+0.65*3.35+0.7*3.2+0.7*3.2</f>
        <v>71.629499999999993</v>
      </c>
      <c r="J341" s="36">
        <f>3.25*6.925+2.5*2.45+3.4*3.15+3.4*4.725+1.525*2.675+1.525*2.15+1.625*0.9+1.725*0.9+1.05*3+2.97*1.05+1.67*0.775</f>
        <v>73.342124999999996</v>
      </c>
    </row>
    <row r="342" spans="1:14" s="36" customFormat="1" ht="15.75" customHeight="1" x14ac:dyDescent="0.3">
      <c r="A342" s="75">
        <v>2</v>
      </c>
      <c r="B342" s="75" t="s">
        <v>293</v>
      </c>
      <c r="C342" s="53" t="s">
        <v>202</v>
      </c>
      <c r="D342" s="50">
        <f>(77.16)*(10.764)</f>
        <v>830.55023999999992</v>
      </c>
      <c r="E342" s="53">
        <v>0</v>
      </c>
      <c r="F342" s="53">
        <f t="shared" si="20"/>
        <v>1287.3528719999999</v>
      </c>
      <c r="G342" s="75"/>
      <c r="H342" s="75"/>
      <c r="I342" s="35"/>
    </row>
    <row r="343" spans="1:14" s="36" customFormat="1" ht="15.75" customHeight="1" x14ac:dyDescent="0.3">
      <c r="A343" s="75">
        <v>3</v>
      </c>
      <c r="B343" s="75" t="s">
        <v>293</v>
      </c>
      <c r="C343" s="53" t="s">
        <v>202</v>
      </c>
      <c r="D343" s="50">
        <f>(68.38)*(10.764)</f>
        <v>736.0423199999999</v>
      </c>
      <c r="E343" s="53">
        <v>0</v>
      </c>
      <c r="F343" s="53">
        <f t="shared" si="20"/>
        <v>1140.8655959999999</v>
      </c>
      <c r="G343" s="75"/>
      <c r="H343" s="75"/>
      <c r="I343" s="35"/>
      <c r="M343" s="36">
        <v>8</v>
      </c>
    </row>
    <row r="344" spans="1:14" s="36" customFormat="1" ht="15.75" customHeight="1" x14ac:dyDescent="0.3">
      <c r="A344" s="75">
        <v>4</v>
      </c>
      <c r="B344" s="75" t="s">
        <v>293</v>
      </c>
      <c r="C344" s="53" t="s">
        <v>202</v>
      </c>
      <c r="D344" s="50">
        <f>(68.38)*(10.764)</f>
        <v>736.0423199999999</v>
      </c>
      <c r="E344" s="53">
        <v>0</v>
      </c>
      <c r="F344" s="53">
        <f t="shared" si="20"/>
        <v>1140.8655959999999</v>
      </c>
      <c r="G344" s="75"/>
      <c r="H344" s="75"/>
      <c r="I344" s="35"/>
      <c r="M344" s="36">
        <v>15</v>
      </c>
    </row>
    <row r="345" spans="1:14" s="36" customFormat="1" ht="15.75" customHeight="1" x14ac:dyDescent="0.3">
      <c r="A345" s="75">
        <v>5</v>
      </c>
      <c r="B345" s="75" t="s">
        <v>293</v>
      </c>
      <c r="C345" s="53" t="s">
        <v>203</v>
      </c>
      <c r="D345" s="50">
        <f>(97.61)*(10.764)</f>
        <v>1050.6740399999999</v>
      </c>
      <c r="E345" s="53">
        <v>0</v>
      </c>
      <c r="F345" s="53">
        <f t="shared" si="20"/>
        <v>1628.5447619999998</v>
      </c>
      <c r="G345" s="75"/>
      <c r="H345" s="75"/>
      <c r="I345" s="35"/>
      <c r="M345" s="36">
        <v>22</v>
      </c>
    </row>
    <row r="346" spans="1:14" s="36" customFormat="1" ht="15.75" customHeight="1" x14ac:dyDescent="0.3">
      <c r="A346" s="75">
        <v>6</v>
      </c>
      <c r="B346" s="75" t="s">
        <v>293</v>
      </c>
      <c r="C346" s="53" t="s">
        <v>203</v>
      </c>
      <c r="D346" s="50">
        <f>(97.52)*(10.764)</f>
        <v>1049.7052799999999</v>
      </c>
      <c r="E346" s="53">
        <v>0</v>
      </c>
      <c r="F346" s="53">
        <f t="shared" si="20"/>
        <v>1627.0431839999999</v>
      </c>
      <c r="G346" s="75"/>
      <c r="H346" s="75"/>
      <c r="I346" s="35"/>
      <c r="M346" s="36">
        <v>28</v>
      </c>
    </row>
    <row r="347" spans="1:14" s="36" customFormat="1" ht="15.75" customHeight="1" x14ac:dyDescent="0.3">
      <c r="A347" s="75">
        <v>7</v>
      </c>
      <c r="B347" s="75" t="s">
        <v>293</v>
      </c>
      <c r="C347" s="53" t="s">
        <v>202</v>
      </c>
      <c r="D347" s="50">
        <f>(66.21)*(10.764)</f>
        <v>712.68443999999988</v>
      </c>
      <c r="E347" s="53">
        <v>0</v>
      </c>
      <c r="F347" s="53">
        <f t="shared" si="20"/>
        <v>1104.6608819999999</v>
      </c>
      <c r="G347" s="75"/>
      <c r="H347" s="75"/>
      <c r="I347" s="35"/>
    </row>
    <row r="348" spans="1:14" s="36" customFormat="1" ht="15.75" customHeight="1" x14ac:dyDescent="0.3">
      <c r="A348" s="75">
        <v>8</v>
      </c>
      <c r="B348" s="75" t="s">
        <v>293</v>
      </c>
      <c r="C348" s="53" t="s">
        <v>202</v>
      </c>
      <c r="D348" s="50">
        <f>(66.21)*(10.764)</f>
        <v>712.68443999999988</v>
      </c>
      <c r="E348" s="53">
        <v>0</v>
      </c>
      <c r="F348" s="53">
        <f t="shared" si="20"/>
        <v>1104.6608819999999</v>
      </c>
      <c r="G348" s="75"/>
      <c r="H348" s="75"/>
      <c r="I348" s="35"/>
    </row>
    <row r="349" spans="1:14" s="36" customFormat="1" hidden="1" x14ac:dyDescent="0.3">
      <c r="A349" s="89" t="s">
        <v>206</v>
      </c>
      <c r="B349" s="89"/>
      <c r="C349" s="89"/>
      <c r="D349" s="89"/>
      <c r="E349" s="89"/>
      <c r="F349" s="89"/>
      <c r="G349" s="89"/>
      <c r="H349" s="89"/>
      <c r="I349" s="35"/>
      <c r="L349" s="85"/>
      <c r="M349" s="85"/>
    </row>
    <row r="350" spans="1:14" s="36" customFormat="1" hidden="1" x14ac:dyDescent="0.3">
      <c r="A350" s="75">
        <v>1</v>
      </c>
      <c r="B350" s="75"/>
      <c r="C350" s="53" t="s">
        <v>205</v>
      </c>
      <c r="D350" s="75" t="s">
        <v>207</v>
      </c>
      <c r="E350" s="75"/>
      <c r="F350" s="75"/>
      <c r="G350" s="75" t="str">
        <f>A349</f>
        <v>7th &amp; 14th Floor (Part Refuge Area)</v>
      </c>
      <c r="H350" s="75"/>
      <c r="I350" s="35"/>
      <c r="N350" s="35"/>
    </row>
    <row r="351" spans="1:14" s="36" customFormat="1" hidden="1" x14ac:dyDescent="0.3">
      <c r="A351" s="75">
        <f t="shared" ref="A351:A357" si="21">A350+1</f>
        <v>2</v>
      </c>
      <c r="B351" s="75"/>
      <c r="C351" s="53" t="s">
        <v>205</v>
      </c>
      <c r="D351" s="75" t="s">
        <v>207</v>
      </c>
      <c r="E351" s="75"/>
      <c r="F351" s="75"/>
      <c r="G351" s="75"/>
      <c r="H351" s="75"/>
      <c r="I351" s="35"/>
      <c r="N351" s="35"/>
    </row>
    <row r="352" spans="1:14" s="36" customFormat="1" hidden="1" x14ac:dyDescent="0.3">
      <c r="A352" s="75">
        <f t="shared" si="21"/>
        <v>3</v>
      </c>
      <c r="B352" s="75"/>
      <c r="C352" s="53" t="s">
        <v>202</v>
      </c>
      <c r="D352" s="53">
        <f>(58.68)*(10.764)</f>
        <v>631.63151999999991</v>
      </c>
      <c r="E352" s="53">
        <v>0</v>
      </c>
      <c r="F352" s="53">
        <f t="shared" ref="F352:F357" si="22">D352*(($F$293)+1)+(IF(E352&lt;101,E352,IF(E352&lt;201,E352/2,IF(E352&lt;=301,E352/3,E352/4))))</f>
        <v>979.02885599999991</v>
      </c>
      <c r="G352" s="75"/>
      <c r="H352" s="75"/>
      <c r="I352" s="35"/>
      <c r="N352" s="35"/>
    </row>
    <row r="353" spans="1:14" s="36" customFormat="1" hidden="1" x14ac:dyDescent="0.3">
      <c r="A353" s="75">
        <f t="shared" si="21"/>
        <v>4</v>
      </c>
      <c r="B353" s="75"/>
      <c r="C353" s="53" t="s">
        <v>202</v>
      </c>
      <c r="D353" s="53">
        <f>(58.68)*(10.764)</f>
        <v>631.63151999999991</v>
      </c>
      <c r="E353" s="53">
        <v>0</v>
      </c>
      <c r="F353" s="53">
        <f t="shared" si="22"/>
        <v>979.02885599999991</v>
      </c>
      <c r="G353" s="75"/>
      <c r="H353" s="75"/>
      <c r="I353" s="35"/>
      <c r="N353" s="35"/>
    </row>
    <row r="354" spans="1:14" s="36" customFormat="1" hidden="1" x14ac:dyDescent="0.3">
      <c r="A354" s="75">
        <f t="shared" si="21"/>
        <v>5</v>
      </c>
      <c r="B354" s="75"/>
      <c r="C354" s="53" t="s">
        <v>203</v>
      </c>
      <c r="D354" s="53">
        <f>(93.3)*(10.764)</f>
        <v>1004.2811999999999</v>
      </c>
      <c r="E354" s="53">
        <v>0</v>
      </c>
      <c r="F354" s="53">
        <f t="shared" si="22"/>
        <v>1556.6358599999999</v>
      </c>
      <c r="G354" s="75"/>
      <c r="H354" s="75"/>
      <c r="I354" s="35"/>
      <c r="N354" s="35"/>
    </row>
    <row r="355" spans="1:14" s="36" customFormat="1" hidden="1" x14ac:dyDescent="0.3">
      <c r="A355" s="75">
        <f t="shared" si="21"/>
        <v>6</v>
      </c>
      <c r="B355" s="75"/>
      <c r="C355" s="53" t="s">
        <v>203</v>
      </c>
      <c r="D355" s="53">
        <f>(93.3)*(10.764)</f>
        <v>1004.2811999999999</v>
      </c>
      <c r="E355" s="53">
        <v>0</v>
      </c>
      <c r="F355" s="53">
        <f t="shared" si="22"/>
        <v>1556.6358599999999</v>
      </c>
      <c r="G355" s="75"/>
      <c r="H355" s="75"/>
      <c r="I355" s="35"/>
      <c r="N355" s="35"/>
    </row>
    <row r="356" spans="1:14" s="36" customFormat="1" hidden="1" x14ac:dyDescent="0.3">
      <c r="A356" s="75">
        <f t="shared" si="21"/>
        <v>7</v>
      </c>
      <c r="B356" s="75"/>
      <c r="C356" s="53" t="s">
        <v>202</v>
      </c>
      <c r="D356" s="53">
        <f>(65.55)*(10.764)</f>
        <v>705.58019999999988</v>
      </c>
      <c r="E356" s="53">
        <v>0</v>
      </c>
      <c r="F356" s="53">
        <f t="shared" si="22"/>
        <v>1093.6493099999998</v>
      </c>
      <c r="G356" s="75"/>
      <c r="H356" s="75"/>
      <c r="I356" s="35"/>
      <c r="N356" s="35"/>
    </row>
    <row r="357" spans="1:14" s="36" customFormat="1" hidden="1" x14ac:dyDescent="0.3">
      <c r="A357" s="75">
        <f t="shared" si="21"/>
        <v>8</v>
      </c>
      <c r="B357" s="75"/>
      <c r="C357" s="53" t="s">
        <v>202</v>
      </c>
      <c r="D357" s="53">
        <f>(65.55)*(10.764)</f>
        <v>705.58019999999988</v>
      </c>
      <c r="E357" s="53">
        <v>0</v>
      </c>
      <c r="F357" s="53">
        <f t="shared" si="22"/>
        <v>1093.6493099999998</v>
      </c>
      <c r="G357" s="75"/>
      <c r="H357" s="75"/>
      <c r="I357" s="35"/>
      <c r="N357" s="35"/>
    </row>
    <row r="358" spans="1:14" s="36" customFormat="1" ht="15.75" hidden="1" customHeight="1" x14ac:dyDescent="0.3">
      <c r="A358" s="89" t="s">
        <v>208</v>
      </c>
      <c r="B358" s="89"/>
      <c r="C358" s="89"/>
      <c r="D358" s="89"/>
      <c r="E358" s="89"/>
      <c r="F358" s="89"/>
      <c r="G358" s="89"/>
      <c r="H358" s="89"/>
      <c r="I358" s="35"/>
    </row>
    <row r="359" spans="1:14" s="36" customFormat="1" hidden="1" x14ac:dyDescent="0.3">
      <c r="A359" s="75">
        <v>1</v>
      </c>
      <c r="B359" s="75"/>
      <c r="C359" s="53" t="s">
        <v>202</v>
      </c>
      <c r="D359" s="50">
        <f>(72.83)*(10.764)</f>
        <v>783.94211999999993</v>
      </c>
      <c r="E359" s="53">
        <v>0</v>
      </c>
      <c r="F359" s="53">
        <f t="shared" ref="F359:F366" si="23">D359*(($F$293)+1)+(IF(E359&lt;101,E359,IF(E359&lt;201,E359/2,IF(E359&lt;=301,E359/3,E359/4))))</f>
        <v>1215.1102859999999</v>
      </c>
      <c r="G359" s="75" t="str">
        <f>A358</f>
        <v>15th Floor</v>
      </c>
      <c r="H359" s="75"/>
      <c r="I359" s="35"/>
    </row>
    <row r="360" spans="1:14" s="36" customFormat="1" hidden="1" x14ac:dyDescent="0.3">
      <c r="A360" s="75">
        <v>2</v>
      </c>
      <c r="B360" s="75"/>
      <c r="C360" s="53" t="s">
        <v>202</v>
      </c>
      <c r="D360" s="50">
        <f>(72.83)*(10.764)</f>
        <v>783.94211999999993</v>
      </c>
      <c r="E360" s="53">
        <v>0</v>
      </c>
      <c r="F360" s="53">
        <f t="shared" si="23"/>
        <v>1215.1102859999999</v>
      </c>
      <c r="G360" s="75"/>
      <c r="H360" s="75"/>
      <c r="I360" s="35"/>
      <c r="J360" s="66" t="s">
        <v>236</v>
      </c>
      <c r="K360" s="66" t="s">
        <v>237</v>
      </c>
      <c r="L360" s="66" t="s">
        <v>238</v>
      </c>
    </row>
    <row r="361" spans="1:14" s="36" customFormat="1" ht="15.75" hidden="1" customHeight="1" x14ac:dyDescent="0.3">
      <c r="A361" s="75">
        <v>3</v>
      </c>
      <c r="B361" s="75"/>
      <c r="C361" s="53" t="s">
        <v>202</v>
      </c>
      <c r="D361" s="50">
        <f>(58.68)*(10.764)</f>
        <v>631.63151999999991</v>
      </c>
      <c r="E361" s="53">
        <v>0</v>
      </c>
      <c r="F361" s="53">
        <f t="shared" si="23"/>
        <v>979.02885599999991</v>
      </c>
      <c r="G361" s="75"/>
      <c r="H361" s="75"/>
      <c r="I361" s="35" t="s">
        <v>233</v>
      </c>
      <c r="J361" s="63">
        <f>16000000/979</f>
        <v>16343.20735444331</v>
      </c>
      <c r="K361" s="36">
        <v>25500</v>
      </c>
      <c r="L361" s="63">
        <f>16000000/979</f>
        <v>16343.20735444331</v>
      </c>
    </row>
    <row r="362" spans="1:14" s="36" customFormat="1" ht="15.75" hidden="1" customHeight="1" x14ac:dyDescent="0.3">
      <c r="A362" s="75">
        <v>4</v>
      </c>
      <c r="B362" s="75"/>
      <c r="C362" s="53" t="s">
        <v>202</v>
      </c>
      <c r="D362" s="50">
        <f>(58.68)*(10.764)</f>
        <v>631.63151999999991</v>
      </c>
      <c r="E362" s="53">
        <v>0</v>
      </c>
      <c r="F362" s="53">
        <f t="shared" si="23"/>
        <v>979.02885599999991</v>
      </c>
      <c r="G362" s="75"/>
      <c r="H362" s="75"/>
      <c r="I362" s="35" t="s">
        <v>234</v>
      </c>
      <c r="J362" s="63">
        <f>19000000/F365</f>
        <v>17373.027922451671</v>
      </c>
      <c r="K362" s="67">
        <f>K361/1.55</f>
        <v>16451.612903225807</v>
      </c>
      <c r="L362" s="63">
        <f>25000000/1557</f>
        <v>16056.518946692357</v>
      </c>
    </row>
    <row r="363" spans="1:14" s="36" customFormat="1" ht="15.75" hidden="1" customHeight="1" x14ac:dyDescent="0.3">
      <c r="A363" s="75">
        <v>5</v>
      </c>
      <c r="B363" s="75"/>
      <c r="C363" s="53" t="s">
        <v>203</v>
      </c>
      <c r="D363" s="50">
        <f>(93.3)*(10.764)</f>
        <v>1004.2811999999999</v>
      </c>
      <c r="E363" s="53">
        <v>0</v>
      </c>
      <c r="F363" s="53">
        <f t="shared" si="23"/>
        <v>1556.6358599999999</v>
      </c>
      <c r="G363" s="75"/>
      <c r="H363" s="75"/>
      <c r="I363" s="35" t="s">
        <v>235</v>
      </c>
      <c r="J363" s="65">
        <f>AVERAGE(J361:J362)</f>
        <v>16858.117638447489</v>
      </c>
      <c r="L363" s="65">
        <f>AVERAGE(L361:L362)</f>
        <v>16199.863150567833</v>
      </c>
    </row>
    <row r="364" spans="1:14" s="36" customFormat="1" ht="15.75" hidden="1" customHeight="1" x14ac:dyDescent="0.3">
      <c r="A364" s="75">
        <v>6</v>
      </c>
      <c r="B364" s="75"/>
      <c r="C364" s="53" t="s">
        <v>203</v>
      </c>
      <c r="D364" s="50">
        <f>(93.3)*(10.764)</f>
        <v>1004.2811999999999</v>
      </c>
      <c r="E364" s="53">
        <v>0</v>
      </c>
      <c r="F364" s="53">
        <f t="shared" si="23"/>
        <v>1556.6358599999999</v>
      </c>
      <c r="G364" s="75"/>
      <c r="H364" s="75"/>
      <c r="I364" s="35"/>
    </row>
    <row r="365" spans="1:14" s="36" customFormat="1" ht="15.75" hidden="1" customHeight="1" x14ac:dyDescent="0.3">
      <c r="A365" s="75">
        <v>7</v>
      </c>
      <c r="B365" s="75"/>
      <c r="C365" s="53" t="s">
        <v>202</v>
      </c>
      <c r="D365" s="50">
        <f>(65.55)*(10.764)</f>
        <v>705.58019999999988</v>
      </c>
      <c r="E365" s="53">
        <v>0</v>
      </c>
      <c r="F365" s="53">
        <f t="shared" si="23"/>
        <v>1093.6493099999998</v>
      </c>
      <c r="G365" s="75"/>
      <c r="H365" s="75"/>
      <c r="I365" s="35"/>
    </row>
    <row r="366" spans="1:14" s="36" customFormat="1" ht="15.75" hidden="1" customHeight="1" x14ac:dyDescent="0.3">
      <c r="A366" s="75">
        <v>8</v>
      </c>
      <c r="B366" s="75"/>
      <c r="C366" s="53" t="s">
        <v>202</v>
      </c>
      <c r="D366" s="50">
        <f>(65.55)*(10.764)</f>
        <v>705.58019999999988</v>
      </c>
      <c r="E366" s="53">
        <v>0</v>
      </c>
      <c r="F366" s="53">
        <f t="shared" si="23"/>
        <v>1093.6493099999998</v>
      </c>
      <c r="G366" s="75"/>
      <c r="H366" s="75"/>
      <c r="I366" s="35"/>
    </row>
    <row r="367" spans="1:14" s="36" customFormat="1" ht="15.75" hidden="1" customHeight="1" x14ac:dyDescent="0.3">
      <c r="A367" s="89" t="s">
        <v>209</v>
      </c>
      <c r="B367" s="89"/>
      <c r="C367" s="89"/>
      <c r="D367" s="89"/>
      <c r="E367" s="89"/>
      <c r="F367" s="89"/>
      <c r="G367" s="89"/>
      <c r="H367" s="89"/>
      <c r="I367" s="35"/>
    </row>
    <row r="368" spans="1:14" s="36" customFormat="1" hidden="1" x14ac:dyDescent="0.3">
      <c r="A368" s="75">
        <v>1</v>
      </c>
      <c r="B368" s="75"/>
      <c r="C368" s="53" t="s">
        <v>202</v>
      </c>
      <c r="D368" s="50">
        <f>(76.89)*(10.764)</f>
        <v>827.64395999999999</v>
      </c>
      <c r="E368" s="53">
        <v>0</v>
      </c>
      <c r="F368" s="53">
        <f t="shared" ref="F368:F375" si="24">D368*(($F$293)+1)+(IF(E368&lt;101,E368,IF(E368&lt;201,E368/2,IF(E368&lt;=301,E368/3,E368/4))))</f>
        <v>1282.8481380000001</v>
      </c>
      <c r="G368" s="75" t="str">
        <f>A367</f>
        <v>16th Floor</v>
      </c>
      <c r="H368" s="75"/>
      <c r="I368" s="35"/>
    </row>
    <row r="369" spans="1:9" s="36" customFormat="1" hidden="1" x14ac:dyDescent="0.3">
      <c r="A369" s="75">
        <v>2</v>
      </c>
      <c r="B369" s="75"/>
      <c r="C369" s="53" t="s">
        <v>202</v>
      </c>
      <c r="D369" s="50">
        <f>(76.89)*(10.764)</f>
        <v>827.64395999999999</v>
      </c>
      <c r="E369" s="53">
        <v>0</v>
      </c>
      <c r="F369" s="53">
        <f t="shared" si="24"/>
        <v>1282.8481380000001</v>
      </c>
      <c r="G369" s="75"/>
      <c r="H369" s="75"/>
      <c r="I369" s="35"/>
    </row>
    <row r="370" spans="1:9" s="36" customFormat="1" ht="15.75" hidden="1" customHeight="1" x14ac:dyDescent="0.3">
      <c r="A370" s="75">
        <v>3</v>
      </c>
      <c r="B370" s="75"/>
      <c r="C370" s="53" t="s">
        <v>202</v>
      </c>
      <c r="D370" s="50">
        <f>(58.68)*(10.764)</f>
        <v>631.63151999999991</v>
      </c>
      <c r="E370" s="53">
        <v>0</v>
      </c>
      <c r="F370" s="53">
        <f t="shared" si="24"/>
        <v>979.02885599999991</v>
      </c>
      <c r="G370" s="75"/>
      <c r="H370" s="75"/>
      <c r="I370" s="35"/>
    </row>
    <row r="371" spans="1:9" s="36" customFormat="1" ht="15.75" hidden="1" customHeight="1" x14ac:dyDescent="0.3">
      <c r="A371" s="75">
        <v>4</v>
      </c>
      <c r="B371" s="75"/>
      <c r="C371" s="53" t="s">
        <v>202</v>
      </c>
      <c r="D371" s="50">
        <f>(58.68)*(10.764)</f>
        <v>631.63151999999991</v>
      </c>
      <c r="E371" s="53">
        <v>0</v>
      </c>
      <c r="F371" s="53">
        <f t="shared" si="24"/>
        <v>979.02885599999991</v>
      </c>
      <c r="G371" s="75"/>
      <c r="H371" s="75"/>
      <c r="I371" s="35"/>
    </row>
    <row r="372" spans="1:9" s="36" customFormat="1" ht="15.75" hidden="1" customHeight="1" x14ac:dyDescent="0.3">
      <c r="A372" s="75">
        <v>5</v>
      </c>
      <c r="B372" s="75"/>
      <c r="C372" s="53" t="s">
        <v>203</v>
      </c>
      <c r="D372" s="50">
        <f>(96.99)*(10.764)</f>
        <v>1044.0003599999998</v>
      </c>
      <c r="E372" s="53">
        <v>0</v>
      </c>
      <c r="F372" s="53">
        <f t="shared" si="24"/>
        <v>1618.2005579999998</v>
      </c>
      <c r="G372" s="75"/>
      <c r="H372" s="75"/>
      <c r="I372" s="35"/>
    </row>
    <row r="373" spans="1:9" s="36" customFormat="1" ht="15.75" hidden="1" customHeight="1" x14ac:dyDescent="0.3">
      <c r="A373" s="75">
        <v>6</v>
      </c>
      <c r="B373" s="75"/>
      <c r="C373" s="53" t="s">
        <v>203</v>
      </c>
      <c r="D373" s="50">
        <f>(96.99)*(10.764)</f>
        <v>1044.0003599999998</v>
      </c>
      <c r="E373" s="53">
        <v>0</v>
      </c>
      <c r="F373" s="53">
        <f t="shared" si="24"/>
        <v>1618.2005579999998</v>
      </c>
      <c r="G373" s="75"/>
      <c r="H373" s="75"/>
      <c r="I373" s="35"/>
    </row>
    <row r="374" spans="1:9" s="36" customFormat="1" ht="15.75" hidden="1" customHeight="1" x14ac:dyDescent="0.3">
      <c r="A374" s="75">
        <v>7</v>
      </c>
      <c r="B374" s="75"/>
      <c r="C374" s="53" t="s">
        <v>202</v>
      </c>
      <c r="D374" s="50">
        <f>(65.55)*(10.764)</f>
        <v>705.58019999999988</v>
      </c>
      <c r="E374" s="53">
        <v>0</v>
      </c>
      <c r="F374" s="53">
        <f t="shared" si="24"/>
        <v>1093.6493099999998</v>
      </c>
      <c r="G374" s="75"/>
      <c r="H374" s="75"/>
      <c r="I374" s="35"/>
    </row>
    <row r="375" spans="1:9" s="36" customFormat="1" ht="15.75" hidden="1" customHeight="1" x14ac:dyDescent="0.3">
      <c r="A375" s="75">
        <v>8</v>
      </c>
      <c r="B375" s="75"/>
      <c r="C375" s="53" t="s">
        <v>202</v>
      </c>
      <c r="D375" s="50">
        <f>(65.55)*(10.764)</f>
        <v>705.58019999999988</v>
      </c>
      <c r="E375" s="53">
        <v>0</v>
      </c>
      <c r="F375" s="53">
        <f t="shared" si="24"/>
        <v>1093.6493099999998</v>
      </c>
      <c r="G375" s="75"/>
      <c r="H375" s="75"/>
      <c r="I375" s="35"/>
    </row>
    <row r="376" spans="1:9" s="36" customFormat="1" ht="15.75" hidden="1" customHeight="1" x14ac:dyDescent="0.3">
      <c r="A376" s="89" t="s">
        <v>210</v>
      </c>
      <c r="B376" s="89"/>
      <c r="C376" s="89"/>
      <c r="D376" s="89"/>
      <c r="E376" s="89"/>
      <c r="F376" s="89"/>
      <c r="G376" s="89"/>
      <c r="H376" s="89"/>
      <c r="I376" s="35"/>
    </row>
    <row r="377" spans="1:9" s="36" customFormat="1" hidden="1" x14ac:dyDescent="0.3">
      <c r="A377" s="75">
        <v>1</v>
      </c>
      <c r="B377" s="75"/>
      <c r="C377" s="53" t="s">
        <v>202</v>
      </c>
      <c r="D377" s="50">
        <f>(76.89)*(10.764)</f>
        <v>827.64395999999999</v>
      </c>
      <c r="E377" s="53">
        <v>0</v>
      </c>
      <c r="F377" s="53">
        <f>D377*(($F$293)+1)+(IF(E377&lt;101,E377,IF(E377&lt;201,E377/2,IF(E377&lt;=301,E377/3,E377/4))))</f>
        <v>1282.8481380000001</v>
      </c>
      <c r="G377" s="75" t="str">
        <f>A376</f>
        <v>17th Floor (Part Terrace Area)</v>
      </c>
      <c r="H377" s="75"/>
      <c r="I377" s="35"/>
    </row>
    <row r="378" spans="1:9" s="36" customFormat="1" hidden="1" x14ac:dyDescent="0.3">
      <c r="A378" s="75">
        <v>2</v>
      </c>
      <c r="B378" s="75"/>
      <c r="C378" s="53" t="s">
        <v>202</v>
      </c>
      <c r="D378" s="50">
        <f>(76.89)*(10.764)</f>
        <v>827.64395999999999</v>
      </c>
      <c r="E378" s="53">
        <v>0</v>
      </c>
      <c r="F378" s="53">
        <f>D378*(($F$293)+1)+(IF(E378&lt;101,E378,IF(E378&lt;201,E378/2,IF(E378&lt;=301,E378/3,E378/4))))</f>
        <v>1282.8481380000001</v>
      </c>
      <c r="G378" s="75"/>
      <c r="H378" s="75"/>
      <c r="I378" s="35"/>
    </row>
    <row r="379" spans="1:9" s="36" customFormat="1" ht="15.75" hidden="1" customHeight="1" x14ac:dyDescent="0.3">
      <c r="A379" s="75">
        <v>3</v>
      </c>
      <c r="B379" s="75"/>
      <c r="C379" s="53" t="s">
        <v>205</v>
      </c>
      <c r="D379" s="98" t="s">
        <v>211</v>
      </c>
      <c r="E379" s="98"/>
      <c r="F379" s="98"/>
      <c r="G379" s="75"/>
      <c r="H379" s="75"/>
      <c r="I379" s="35"/>
    </row>
    <row r="380" spans="1:9" s="36" customFormat="1" ht="15.75" hidden="1" customHeight="1" x14ac:dyDescent="0.3">
      <c r="A380" s="75">
        <v>4</v>
      </c>
      <c r="B380" s="75"/>
      <c r="C380" s="53" t="s">
        <v>205</v>
      </c>
      <c r="D380" s="98" t="s">
        <v>211</v>
      </c>
      <c r="E380" s="98"/>
      <c r="F380" s="98"/>
      <c r="G380" s="75"/>
      <c r="H380" s="75"/>
      <c r="I380" s="35"/>
    </row>
    <row r="381" spans="1:9" s="36" customFormat="1" ht="15.75" hidden="1" customHeight="1" x14ac:dyDescent="0.3">
      <c r="A381" s="75">
        <v>5</v>
      </c>
      <c r="B381" s="75"/>
      <c r="C381" s="53" t="s">
        <v>203</v>
      </c>
      <c r="D381" s="50">
        <f>(96.99)*(10.764)</f>
        <v>1044.0003599999998</v>
      </c>
      <c r="E381" s="53">
        <v>0</v>
      </c>
      <c r="F381" s="53">
        <f>D381*(($F$293)+1)+(IF(E381&lt;101,E381,IF(E381&lt;201,E381/2,IF(E381&lt;=301,E381/3,E381/4))))</f>
        <v>1618.2005579999998</v>
      </c>
      <c r="G381" s="75"/>
      <c r="H381" s="75"/>
      <c r="I381" s="35"/>
    </row>
    <row r="382" spans="1:9" s="36" customFormat="1" ht="15.75" hidden="1" customHeight="1" x14ac:dyDescent="0.3">
      <c r="A382" s="75">
        <v>6</v>
      </c>
      <c r="B382" s="75"/>
      <c r="C382" s="53" t="s">
        <v>203</v>
      </c>
      <c r="D382" s="50">
        <f>(96.99)*(10.764)</f>
        <v>1044.0003599999998</v>
      </c>
      <c r="E382" s="53">
        <v>0</v>
      </c>
      <c r="F382" s="53">
        <f>D382*(($F$293)+1)+(IF(E382&lt;101,E382,IF(E382&lt;201,E382/2,IF(E382&lt;=301,E382/3,E382/4))))</f>
        <v>1618.2005579999998</v>
      </c>
      <c r="G382" s="75"/>
      <c r="H382" s="75"/>
      <c r="I382" s="35"/>
    </row>
    <row r="383" spans="1:9" s="36" customFormat="1" ht="15.75" hidden="1" customHeight="1" x14ac:dyDescent="0.3">
      <c r="A383" s="75">
        <v>7</v>
      </c>
      <c r="B383" s="75"/>
      <c r="C383" s="53" t="s">
        <v>205</v>
      </c>
      <c r="D383" s="98" t="s">
        <v>211</v>
      </c>
      <c r="E383" s="98">
        <v>0</v>
      </c>
      <c r="F383" s="98" t="e">
        <f>D383*(($F$293)+1)+(IF(E383&lt;101,E383,IF(E383&lt;201,E383/2,IF(E383&lt;=301,E383/3,E383/4))))</f>
        <v>#VALUE!</v>
      </c>
      <c r="G383" s="75"/>
      <c r="H383" s="75"/>
      <c r="I383" s="35"/>
    </row>
    <row r="384" spans="1:9" s="36" customFormat="1" ht="15.75" hidden="1" customHeight="1" x14ac:dyDescent="0.3">
      <c r="A384" s="75">
        <v>8</v>
      </c>
      <c r="B384" s="75"/>
      <c r="C384" s="53" t="s">
        <v>205</v>
      </c>
      <c r="D384" s="98" t="s">
        <v>211</v>
      </c>
      <c r="E384" s="98">
        <v>1</v>
      </c>
      <c r="F384" s="98" t="e">
        <f>D384*(($F$293)+1)+(IF(E384&lt;101,E384,IF(E384&lt;201,E384/2,IF(E384&lt;=301,E384/3,E384/4))))</f>
        <v>#VALUE!</v>
      </c>
      <c r="G384" s="75"/>
      <c r="H384" s="75"/>
      <c r="I384" s="35"/>
    </row>
    <row r="385" spans="1:9" s="36" customFormat="1" hidden="1" x14ac:dyDescent="0.3">
      <c r="A385" s="89" t="s">
        <v>212</v>
      </c>
      <c r="B385" s="89"/>
      <c r="C385" s="89"/>
      <c r="D385" s="89"/>
      <c r="E385" s="89"/>
      <c r="F385" s="89"/>
      <c r="G385" s="89"/>
      <c r="H385" s="89"/>
      <c r="I385" s="35"/>
    </row>
    <row r="386" spans="1:9" s="36" customFormat="1" ht="15.75" hidden="1" customHeight="1" x14ac:dyDescent="0.3">
      <c r="A386" s="75">
        <v>1</v>
      </c>
      <c r="B386" s="75"/>
      <c r="C386" s="53" t="s">
        <v>202</v>
      </c>
      <c r="D386" s="53">
        <f>(76.89)*(10.764)</f>
        <v>827.64395999999999</v>
      </c>
      <c r="E386" s="53">
        <v>0</v>
      </c>
      <c r="F386" s="53">
        <f>D386*(($F$293)+1)+(IF(E386&lt;101,E386,IF(E386&lt;201,E386/2,IF(E386&lt;=301,E386/3,E386/4))))</f>
        <v>1282.8481380000001</v>
      </c>
      <c r="G386" s="75" t="str">
        <f>A385</f>
        <v>18th to 20th &amp; 22nd &amp; 23rd Floor</v>
      </c>
      <c r="H386" s="75"/>
      <c r="I386" s="35"/>
    </row>
    <row r="387" spans="1:9" s="36" customFormat="1" ht="15.75" hidden="1" customHeight="1" x14ac:dyDescent="0.3">
      <c r="A387" s="75">
        <v>2</v>
      </c>
      <c r="B387" s="75"/>
      <c r="C387" s="53" t="s">
        <v>202</v>
      </c>
      <c r="D387" s="53">
        <f>(76.89)*(10.764)</f>
        <v>827.64395999999999</v>
      </c>
      <c r="E387" s="53">
        <v>0</v>
      </c>
      <c r="F387" s="53">
        <f>D387*(($F$293)+1)+(IF(E387&lt;101,E387,IF(E387&lt;201,E387/2,IF(E387&lt;=301,E387/3,E387/4))))</f>
        <v>1282.8481380000001</v>
      </c>
      <c r="G387" s="75"/>
      <c r="H387" s="75"/>
      <c r="I387" s="35"/>
    </row>
    <row r="388" spans="1:9" s="36" customFormat="1" ht="15.75" hidden="1" customHeight="1" x14ac:dyDescent="0.3">
      <c r="A388" s="75">
        <v>3</v>
      </c>
      <c r="B388" s="75"/>
      <c r="C388" s="53" t="s">
        <v>205</v>
      </c>
      <c r="D388" s="75" t="s">
        <v>213</v>
      </c>
      <c r="E388" s="75"/>
      <c r="F388" s="75"/>
      <c r="G388" s="75"/>
      <c r="H388" s="75"/>
      <c r="I388" s="35"/>
    </row>
    <row r="389" spans="1:9" s="36" customFormat="1" ht="15.75" hidden="1" customHeight="1" x14ac:dyDescent="0.3">
      <c r="A389" s="75">
        <v>4</v>
      </c>
      <c r="B389" s="75"/>
      <c r="C389" s="53" t="s">
        <v>205</v>
      </c>
      <c r="D389" s="75" t="s">
        <v>213</v>
      </c>
      <c r="E389" s="75"/>
      <c r="F389" s="75"/>
      <c r="G389" s="75"/>
      <c r="H389" s="75"/>
      <c r="I389" s="35"/>
    </row>
    <row r="390" spans="1:9" s="36" customFormat="1" ht="15.75" hidden="1" customHeight="1" x14ac:dyDescent="0.3">
      <c r="A390" s="75">
        <v>5</v>
      </c>
      <c r="B390" s="75"/>
      <c r="C390" s="53" t="s">
        <v>203</v>
      </c>
      <c r="D390" s="53">
        <f>(96.99)*(10.764)</f>
        <v>1044.0003599999998</v>
      </c>
      <c r="E390" s="53">
        <v>0</v>
      </c>
      <c r="F390" s="53">
        <f>D390*(($F$293)+1)+(IF(E390&lt;101,E390,IF(E390&lt;201,E390/2,IF(E390&lt;=301,E390/3,E390/4))))</f>
        <v>1618.2005579999998</v>
      </c>
      <c r="G390" s="75"/>
      <c r="H390" s="75"/>
      <c r="I390" s="35"/>
    </row>
    <row r="391" spans="1:9" s="36" customFormat="1" ht="15.75" hidden="1" customHeight="1" x14ac:dyDescent="0.3">
      <c r="A391" s="75">
        <v>6</v>
      </c>
      <c r="B391" s="75"/>
      <c r="C391" s="53" t="s">
        <v>203</v>
      </c>
      <c r="D391" s="53">
        <f>(96.99)*(10.764)</f>
        <v>1044.0003599999998</v>
      </c>
      <c r="E391" s="53">
        <v>0</v>
      </c>
      <c r="F391" s="53">
        <f>D391*(($F$293)+1)+(IF(E391&lt;101,E391,IF(E391&lt;201,E391/2,IF(E391&lt;=301,E391/3,E391/4))))</f>
        <v>1618.2005579999998</v>
      </c>
      <c r="G391" s="75"/>
      <c r="H391" s="75"/>
      <c r="I391" s="35"/>
    </row>
    <row r="392" spans="1:9" s="36" customFormat="1" ht="15.75" hidden="1" customHeight="1" x14ac:dyDescent="0.3">
      <c r="A392" s="75">
        <v>7</v>
      </c>
      <c r="B392" s="75"/>
      <c r="C392" s="53" t="s">
        <v>205</v>
      </c>
      <c r="D392" s="75" t="s">
        <v>213</v>
      </c>
      <c r="E392" s="75"/>
      <c r="F392" s="75"/>
      <c r="G392" s="75"/>
      <c r="H392" s="75"/>
      <c r="I392" s="35"/>
    </row>
    <row r="393" spans="1:9" s="36" customFormat="1" ht="15.75" hidden="1" customHeight="1" x14ac:dyDescent="0.3">
      <c r="A393" s="75">
        <v>8</v>
      </c>
      <c r="B393" s="75"/>
      <c r="C393" s="53" t="s">
        <v>205</v>
      </c>
      <c r="D393" s="75" t="s">
        <v>213</v>
      </c>
      <c r="E393" s="75"/>
      <c r="F393" s="75"/>
      <c r="G393" s="75"/>
      <c r="H393" s="75"/>
      <c r="I393" s="35"/>
    </row>
    <row r="394" spans="1:9" s="36" customFormat="1" hidden="1" x14ac:dyDescent="0.3">
      <c r="A394" s="89" t="s">
        <v>214</v>
      </c>
      <c r="B394" s="89"/>
      <c r="C394" s="89"/>
      <c r="D394" s="89"/>
      <c r="E394" s="89"/>
      <c r="F394" s="89"/>
      <c r="G394" s="89"/>
      <c r="H394" s="89"/>
      <c r="I394" s="35"/>
    </row>
    <row r="395" spans="1:9" s="36" customFormat="1" ht="15.75" hidden="1" customHeight="1" x14ac:dyDescent="0.3">
      <c r="A395" s="75">
        <v>1</v>
      </c>
      <c r="B395" s="75"/>
      <c r="C395" s="53" t="s">
        <v>205</v>
      </c>
      <c r="D395" s="75" t="s">
        <v>207</v>
      </c>
      <c r="E395" s="75"/>
      <c r="F395" s="75"/>
      <c r="G395" s="75" t="str">
        <f>A394</f>
        <v>21st Floor (Part Refuge Area)</v>
      </c>
      <c r="H395" s="75"/>
      <c r="I395" s="35"/>
    </row>
    <row r="396" spans="1:9" s="36" customFormat="1" ht="15.75" hidden="1" customHeight="1" x14ac:dyDescent="0.3">
      <c r="A396" s="75">
        <v>2</v>
      </c>
      <c r="B396" s="75"/>
      <c r="C396" s="53" t="s">
        <v>205</v>
      </c>
      <c r="D396" s="75" t="s">
        <v>207</v>
      </c>
      <c r="E396" s="75"/>
      <c r="F396" s="75"/>
      <c r="G396" s="75"/>
      <c r="H396" s="75"/>
      <c r="I396" s="35"/>
    </row>
    <row r="397" spans="1:9" s="36" customFormat="1" ht="15.75" hidden="1" customHeight="1" x14ac:dyDescent="0.3">
      <c r="A397" s="75">
        <v>3</v>
      </c>
      <c r="B397" s="75"/>
      <c r="C397" s="53" t="s">
        <v>205</v>
      </c>
      <c r="D397" s="75" t="s">
        <v>213</v>
      </c>
      <c r="E397" s="75"/>
      <c r="F397" s="75"/>
      <c r="G397" s="75"/>
      <c r="H397" s="75"/>
      <c r="I397" s="35"/>
    </row>
    <row r="398" spans="1:9" s="36" customFormat="1" ht="15.75" hidden="1" customHeight="1" x14ac:dyDescent="0.3">
      <c r="A398" s="75">
        <v>4</v>
      </c>
      <c r="B398" s="75"/>
      <c r="C398" s="53" t="s">
        <v>205</v>
      </c>
      <c r="D398" s="75" t="s">
        <v>213</v>
      </c>
      <c r="E398" s="75"/>
      <c r="F398" s="75"/>
      <c r="G398" s="75"/>
      <c r="H398" s="75"/>
      <c r="I398" s="35"/>
    </row>
    <row r="399" spans="1:9" s="36" customFormat="1" ht="15.75" hidden="1" customHeight="1" x14ac:dyDescent="0.3">
      <c r="A399" s="75">
        <v>5</v>
      </c>
      <c r="B399" s="75"/>
      <c r="C399" s="53" t="s">
        <v>203</v>
      </c>
      <c r="D399" s="53">
        <f>(96.99)*(10.764)</f>
        <v>1044.0003599999998</v>
      </c>
      <c r="E399" s="53">
        <v>0</v>
      </c>
      <c r="F399" s="53">
        <f>D399*(($F$293)+1)+(IF(E399&lt;101,E399,IF(E399&lt;201,E399/2,IF(E399&lt;=301,E399/3,E399/4))))</f>
        <v>1618.2005579999998</v>
      </c>
      <c r="G399" s="75"/>
      <c r="H399" s="75"/>
      <c r="I399" s="35"/>
    </row>
    <row r="400" spans="1:9" s="36" customFormat="1" ht="15.75" hidden="1" customHeight="1" x14ac:dyDescent="0.3">
      <c r="A400" s="75">
        <v>6</v>
      </c>
      <c r="B400" s="75"/>
      <c r="C400" s="53" t="s">
        <v>203</v>
      </c>
      <c r="D400" s="53">
        <f>(96.99)*(10.764)</f>
        <v>1044.0003599999998</v>
      </c>
      <c r="E400" s="53">
        <v>0</v>
      </c>
      <c r="F400" s="53">
        <f>D400*(($F$293)+1)+(IF(E400&lt;101,E400,IF(E400&lt;201,E400/2,IF(E400&lt;=301,E400/3,E400/4))))</f>
        <v>1618.2005579999998</v>
      </c>
      <c r="G400" s="75"/>
      <c r="H400" s="75"/>
      <c r="I400" s="35"/>
    </row>
    <row r="401" spans="1:10" s="36" customFormat="1" ht="15.75" hidden="1" customHeight="1" x14ac:dyDescent="0.3">
      <c r="A401" s="75">
        <v>7</v>
      </c>
      <c r="B401" s="75"/>
      <c r="C401" s="53" t="s">
        <v>205</v>
      </c>
      <c r="D401" s="75" t="s">
        <v>213</v>
      </c>
      <c r="E401" s="75"/>
      <c r="F401" s="75"/>
      <c r="G401" s="75"/>
      <c r="H401" s="75"/>
      <c r="I401" s="35"/>
    </row>
    <row r="402" spans="1:10" s="36" customFormat="1" ht="15.75" hidden="1" customHeight="1" x14ac:dyDescent="0.3">
      <c r="A402" s="75">
        <v>8</v>
      </c>
      <c r="B402" s="75"/>
      <c r="C402" s="53" t="s">
        <v>205</v>
      </c>
      <c r="D402" s="75" t="s">
        <v>213</v>
      </c>
      <c r="E402" s="75"/>
      <c r="F402" s="75"/>
      <c r="G402" s="75"/>
      <c r="H402" s="75"/>
      <c r="I402" s="35"/>
    </row>
    <row r="403" spans="1:10" s="36" customFormat="1" ht="15.6" customHeight="1" x14ac:dyDescent="0.3">
      <c r="A403" s="74" t="s">
        <v>296</v>
      </c>
      <c r="B403" s="74"/>
      <c r="C403" s="74"/>
      <c r="D403" s="74"/>
      <c r="E403" s="74"/>
      <c r="F403" s="74"/>
      <c r="G403" s="74"/>
      <c r="H403" s="74"/>
      <c r="I403" s="35">
        <v>3</v>
      </c>
    </row>
    <row r="404" spans="1:10" s="36" customFormat="1" ht="15.75" customHeight="1" x14ac:dyDescent="0.3">
      <c r="A404" s="75">
        <v>1</v>
      </c>
      <c r="B404" s="75" t="s">
        <v>293</v>
      </c>
      <c r="C404" s="76" t="s">
        <v>207</v>
      </c>
      <c r="D404" s="77"/>
      <c r="E404" s="77"/>
      <c r="F404" s="78"/>
      <c r="G404" s="75" t="str">
        <f>A403</f>
        <v>7th, 14th &amp; 21st Floor Residential (Part Refuge Area)</v>
      </c>
      <c r="H404" s="75"/>
      <c r="I404" s="49">
        <f>1.05*3+2.45*2.45+0.9*1.68+1.5*2.15+3.2*6.75+3.35*3.1+0.6*0.9+1.05*0.9+1.65*0.9+1.5*2.6+3.35*3.65+0.65*3.35+0.7*3.2+0.7*3.2</f>
        <v>71.629499999999993</v>
      </c>
      <c r="J404" s="36">
        <f>3.25*6.925+2.5*2.45+3.4*3.15+3.4*4.725+1.525*2.675+1.525*2.15+1.625*0.9+1.725*0.9+1.05*3+2.97*1.05+1.67*0.775</f>
        <v>73.342124999999996</v>
      </c>
    </row>
    <row r="405" spans="1:10" s="36" customFormat="1" ht="15.75" customHeight="1" x14ac:dyDescent="0.3">
      <c r="A405" s="75">
        <v>2</v>
      </c>
      <c r="B405" s="75" t="s">
        <v>293</v>
      </c>
      <c r="C405" s="79"/>
      <c r="D405" s="80"/>
      <c r="E405" s="80"/>
      <c r="F405" s="81"/>
      <c r="G405" s="75"/>
      <c r="H405" s="75"/>
      <c r="I405" s="35"/>
    </row>
    <row r="406" spans="1:10" s="36" customFormat="1" ht="15.75" customHeight="1" x14ac:dyDescent="0.3">
      <c r="A406" s="75">
        <v>3</v>
      </c>
      <c r="B406" s="75" t="s">
        <v>293</v>
      </c>
      <c r="C406" s="53" t="s">
        <v>202</v>
      </c>
      <c r="D406" s="50">
        <f>(68.38)*(10.764)</f>
        <v>736.0423199999999</v>
      </c>
      <c r="E406" s="53">
        <v>0</v>
      </c>
      <c r="F406" s="53">
        <f t="shared" ref="F406:F411" si="25">D406*(($F$293)+1)+(IF(E406&lt;101,E406,IF(E406&lt;201,E406/2,IF(E406&lt;=301,E406/3,E406/4))))</f>
        <v>1140.8655959999999</v>
      </c>
      <c r="G406" s="75"/>
      <c r="H406" s="75"/>
      <c r="I406" s="35"/>
    </row>
    <row r="407" spans="1:10" s="36" customFormat="1" ht="15.75" customHeight="1" x14ac:dyDescent="0.3">
      <c r="A407" s="75">
        <v>4</v>
      </c>
      <c r="B407" s="75" t="s">
        <v>293</v>
      </c>
      <c r="C407" s="53" t="s">
        <v>202</v>
      </c>
      <c r="D407" s="50">
        <f>(68.38)*(10.764)</f>
        <v>736.0423199999999</v>
      </c>
      <c r="E407" s="53">
        <v>0</v>
      </c>
      <c r="F407" s="53">
        <f t="shared" si="25"/>
        <v>1140.8655959999999</v>
      </c>
      <c r="G407" s="75"/>
      <c r="H407" s="75"/>
      <c r="I407" s="35"/>
    </row>
    <row r="408" spans="1:10" s="36" customFormat="1" ht="15.75" customHeight="1" x14ac:dyDescent="0.3">
      <c r="A408" s="75">
        <v>5</v>
      </c>
      <c r="B408" s="75" t="s">
        <v>293</v>
      </c>
      <c r="C408" s="53" t="s">
        <v>203</v>
      </c>
      <c r="D408" s="50">
        <f>(97.61)*(10.764)</f>
        <v>1050.6740399999999</v>
      </c>
      <c r="E408" s="53">
        <v>0</v>
      </c>
      <c r="F408" s="53">
        <f t="shared" si="25"/>
        <v>1628.5447619999998</v>
      </c>
      <c r="G408" s="75"/>
      <c r="H408" s="75"/>
      <c r="I408" s="35"/>
    </row>
    <row r="409" spans="1:10" s="36" customFormat="1" ht="15.75" customHeight="1" x14ac:dyDescent="0.3">
      <c r="A409" s="75">
        <v>6</v>
      </c>
      <c r="B409" s="75" t="s">
        <v>293</v>
      </c>
      <c r="C409" s="53" t="s">
        <v>203</v>
      </c>
      <c r="D409" s="50">
        <f>(97.52)*(10.764)</f>
        <v>1049.7052799999999</v>
      </c>
      <c r="E409" s="53">
        <v>0</v>
      </c>
      <c r="F409" s="53">
        <f t="shared" si="25"/>
        <v>1627.0431839999999</v>
      </c>
      <c r="G409" s="75"/>
      <c r="H409" s="75"/>
      <c r="I409" s="35"/>
    </row>
    <row r="410" spans="1:10" s="36" customFormat="1" ht="15.75" customHeight="1" x14ac:dyDescent="0.3">
      <c r="A410" s="75">
        <v>7</v>
      </c>
      <c r="B410" s="75" t="s">
        <v>293</v>
      </c>
      <c r="C410" s="53" t="s">
        <v>202</v>
      </c>
      <c r="D410" s="50">
        <f>(66.21)*(10.764)</f>
        <v>712.68443999999988</v>
      </c>
      <c r="E410" s="53">
        <v>0</v>
      </c>
      <c r="F410" s="53">
        <f t="shared" si="25"/>
        <v>1104.6608819999999</v>
      </c>
      <c r="G410" s="75"/>
      <c r="H410" s="75"/>
      <c r="I410" s="35"/>
    </row>
    <row r="411" spans="1:10" s="36" customFormat="1" ht="15.75" customHeight="1" x14ac:dyDescent="0.3">
      <c r="A411" s="75">
        <v>8</v>
      </c>
      <c r="B411" s="75" t="s">
        <v>293</v>
      </c>
      <c r="C411" s="53" t="s">
        <v>202</v>
      </c>
      <c r="D411" s="50">
        <f>(66.21)*(10.764)</f>
        <v>712.68443999999988</v>
      </c>
      <c r="E411" s="53">
        <v>0</v>
      </c>
      <c r="F411" s="53">
        <f t="shared" si="25"/>
        <v>1104.6608819999999</v>
      </c>
      <c r="G411" s="75"/>
      <c r="H411" s="75"/>
      <c r="I411" s="35"/>
    </row>
    <row r="412" spans="1:10" s="34" customFormat="1" x14ac:dyDescent="0.3">
      <c r="A412" s="214" t="s">
        <v>70</v>
      </c>
      <c r="B412" s="214"/>
      <c r="C412" s="214"/>
      <c r="D412" s="214"/>
      <c r="E412" s="214"/>
      <c r="F412" s="214"/>
      <c r="G412" s="214"/>
      <c r="H412" s="214"/>
    </row>
    <row r="413" spans="1:10" s="34" customFormat="1" ht="30.9" customHeight="1" x14ac:dyDescent="0.3">
      <c r="A413" s="44" t="s">
        <v>158</v>
      </c>
      <c r="B413" s="82" t="s">
        <v>278</v>
      </c>
      <c r="C413" s="83"/>
      <c r="D413" s="83"/>
      <c r="E413" s="83"/>
      <c r="F413" s="83"/>
      <c r="G413" s="83"/>
      <c r="H413" s="84"/>
    </row>
    <row r="414" spans="1:10" s="34" customFormat="1" x14ac:dyDescent="0.3">
      <c r="A414" s="44" t="s">
        <v>158</v>
      </c>
      <c r="B414" s="82" t="str">
        <f>(IF(F292="Saleable area Loading :","We have considered Saleable area of Flats as per our Calculation.","We considered Saleable area of Flat as per Builder area Sheet."))</f>
        <v>We have considered Saleable area of Flats as per our Calculation.</v>
      </c>
      <c r="C414" s="83"/>
      <c r="D414" s="83"/>
      <c r="E414" s="83"/>
      <c r="F414" s="83"/>
      <c r="G414" s="83"/>
      <c r="H414" s="84"/>
    </row>
    <row r="415" spans="1:10" s="34" customFormat="1" x14ac:dyDescent="0.3">
      <c r="A415" s="44" t="s">
        <v>158</v>
      </c>
      <c r="B415" s="82" t="str">
        <f>(IF(F124="Saleable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15" s="83"/>
      <c r="D415" s="83"/>
      <c r="E415" s="83"/>
      <c r="F415" s="83"/>
      <c r="G415" s="83"/>
      <c r="H415" s="84"/>
    </row>
    <row r="416" spans="1:10" s="34" customFormat="1" x14ac:dyDescent="0.3">
      <c r="A416" s="44" t="s">
        <v>158</v>
      </c>
      <c r="B416" s="71" t="s">
        <v>128</v>
      </c>
      <c r="C416" s="72"/>
      <c r="D416" s="72"/>
      <c r="E416" s="72"/>
      <c r="F416" s="72"/>
      <c r="G416" s="72"/>
      <c r="H416" s="73"/>
    </row>
    <row r="417" spans="1:8" s="34" customFormat="1" x14ac:dyDescent="0.3">
      <c r="A417" s="44" t="s">
        <v>158</v>
      </c>
      <c r="B417" s="71" t="s">
        <v>215</v>
      </c>
      <c r="C417" s="72"/>
      <c r="D417" s="72"/>
      <c r="E417" s="72"/>
      <c r="F417" s="72"/>
      <c r="G417" s="72"/>
      <c r="H417" s="73"/>
    </row>
    <row r="418" spans="1:8" s="34" customFormat="1" x14ac:dyDescent="0.3">
      <c r="A418" s="44" t="s">
        <v>158</v>
      </c>
      <c r="B418" s="71" t="s">
        <v>157</v>
      </c>
      <c r="C418" s="72"/>
      <c r="D418" s="72"/>
      <c r="E418" s="72"/>
      <c r="F418" s="72"/>
      <c r="G418" s="72"/>
      <c r="H418" s="73"/>
    </row>
    <row r="419" spans="1:8" s="34" customFormat="1" x14ac:dyDescent="0.3">
      <c r="A419" s="44" t="s">
        <v>158</v>
      </c>
      <c r="B419" s="71" t="s">
        <v>129</v>
      </c>
      <c r="C419" s="72"/>
      <c r="D419" s="72"/>
      <c r="E419" s="72"/>
      <c r="F419" s="72"/>
      <c r="G419" s="72"/>
      <c r="H419" s="73"/>
    </row>
    <row r="420" spans="1:8" s="34" customFormat="1" ht="34.5" customHeight="1" x14ac:dyDescent="0.3">
      <c r="A420" s="44" t="s">
        <v>158</v>
      </c>
      <c r="B420" s="71" t="s">
        <v>159</v>
      </c>
      <c r="C420" s="72"/>
      <c r="D420" s="72"/>
      <c r="E420" s="72"/>
      <c r="F420" s="72"/>
      <c r="G420" s="72"/>
      <c r="H420" s="73"/>
    </row>
    <row r="421" spans="1:8" s="34" customFormat="1" x14ac:dyDescent="0.3">
      <c r="A421" s="44" t="s">
        <v>158</v>
      </c>
      <c r="B421" s="71" t="s">
        <v>130</v>
      </c>
      <c r="C421" s="72"/>
      <c r="D421" s="72"/>
      <c r="E421" s="72"/>
      <c r="F421" s="72"/>
      <c r="G421" s="72"/>
      <c r="H421" s="73"/>
    </row>
    <row r="422" spans="1:8" s="34" customFormat="1" ht="49.95" hidden="1" customHeight="1" x14ac:dyDescent="0.3">
      <c r="A422" s="44" t="s">
        <v>158</v>
      </c>
      <c r="B422" s="71" t="s">
        <v>254</v>
      </c>
      <c r="C422" s="72"/>
      <c r="D422" s="72"/>
      <c r="E422" s="72"/>
      <c r="F422" s="72"/>
      <c r="G422" s="72"/>
      <c r="H422" s="73"/>
    </row>
    <row r="423" spans="1:8" s="34" customFormat="1" hidden="1" x14ac:dyDescent="0.3">
      <c r="A423" s="44" t="s">
        <v>158</v>
      </c>
      <c r="B423" s="71" t="s">
        <v>255</v>
      </c>
      <c r="C423" s="72"/>
      <c r="D423" s="72"/>
      <c r="E423" s="72"/>
      <c r="F423" s="72"/>
      <c r="G423" s="72"/>
      <c r="H423" s="73"/>
    </row>
    <row r="424" spans="1:8" s="34" customFormat="1" x14ac:dyDescent="0.3">
      <c r="A424" s="44" t="s">
        <v>158</v>
      </c>
      <c r="B424" s="71" t="s">
        <v>259</v>
      </c>
      <c r="C424" s="72"/>
      <c r="D424" s="72"/>
      <c r="E424" s="72"/>
      <c r="F424" s="72"/>
      <c r="G424" s="72"/>
      <c r="H424" s="73"/>
    </row>
    <row r="425" spans="1:8" s="34" customFormat="1" hidden="1" x14ac:dyDescent="0.3">
      <c r="A425" s="44" t="s">
        <v>158</v>
      </c>
      <c r="B425" s="71" t="s">
        <v>256</v>
      </c>
      <c r="C425" s="72"/>
      <c r="D425" s="72"/>
      <c r="E425" s="72"/>
      <c r="F425" s="72"/>
      <c r="G425" s="72"/>
      <c r="H425" s="73"/>
    </row>
    <row r="426" spans="1:8" s="34" customFormat="1" x14ac:dyDescent="0.3">
      <c r="A426" s="44" t="s">
        <v>158</v>
      </c>
      <c r="B426" s="71" t="s">
        <v>282</v>
      </c>
      <c r="C426" s="72"/>
      <c r="D426" s="72"/>
      <c r="E426" s="72"/>
      <c r="F426" s="72"/>
      <c r="G426" s="72"/>
      <c r="H426" s="73"/>
    </row>
    <row r="427" spans="1:8" s="34" customFormat="1" ht="31.2" customHeight="1" x14ac:dyDescent="0.3">
      <c r="A427" s="44" t="s">
        <v>158</v>
      </c>
      <c r="B427" s="71" t="s">
        <v>301</v>
      </c>
      <c r="C427" s="72"/>
      <c r="D427" s="72"/>
      <c r="E427" s="72"/>
      <c r="F427" s="72"/>
      <c r="G427" s="72"/>
      <c r="H427" s="73"/>
    </row>
    <row r="428" spans="1:8" s="34" customFormat="1" ht="66" hidden="1" customHeight="1" x14ac:dyDescent="0.3">
      <c r="A428" s="44" t="s">
        <v>158</v>
      </c>
      <c r="B428" s="71" t="s">
        <v>284</v>
      </c>
      <c r="C428" s="72"/>
      <c r="D428" s="72"/>
      <c r="E428" s="72"/>
      <c r="F428" s="72"/>
      <c r="G428" s="72"/>
      <c r="H428" s="73"/>
    </row>
    <row r="429" spans="1:8" s="34" customFormat="1" ht="50.25" hidden="1" customHeight="1" x14ac:dyDescent="0.3">
      <c r="A429" s="44" t="s">
        <v>158</v>
      </c>
      <c r="B429" s="71" t="s">
        <v>283</v>
      </c>
      <c r="C429" s="72"/>
      <c r="D429" s="72"/>
      <c r="E429" s="72"/>
      <c r="F429" s="72"/>
      <c r="G429" s="72"/>
      <c r="H429" s="73"/>
    </row>
    <row r="430" spans="1:8" s="34" customFormat="1" x14ac:dyDescent="0.3">
      <c r="A430" s="44" t="s">
        <v>158</v>
      </c>
      <c r="B430" s="82" t="s">
        <v>297</v>
      </c>
      <c r="C430" s="83"/>
      <c r="D430" s="83"/>
      <c r="E430" s="83"/>
      <c r="F430" s="83"/>
      <c r="G430" s="83"/>
      <c r="H430" s="84"/>
    </row>
    <row r="431" spans="1:8" s="34" customFormat="1" ht="36.6" customHeight="1" x14ac:dyDescent="0.3">
      <c r="A431" s="44" t="s">
        <v>158</v>
      </c>
      <c r="B431" s="71" t="s">
        <v>302</v>
      </c>
      <c r="C431" s="72"/>
      <c r="D431" s="72"/>
      <c r="E431" s="72"/>
      <c r="F431" s="72"/>
      <c r="G431" s="72"/>
      <c r="H431" s="73"/>
    </row>
    <row r="432" spans="1:8" s="34" customFormat="1" x14ac:dyDescent="0.3">
      <c r="A432" s="44" t="s">
        <v>158</v>
      </c>
      <c r="B432" s="71" t="s">
        <v>306</v>
      </c>
      <c r="C432" s="72"/>
      <c r="D432" s="72"/>
      <c r="E432" s="72"/>
      <c r="F432" s="72"/>
      <c r="G432" s="72"/>
      <c r="H432" s="73"/>
    </row>
    <row r="433" spans="1:8" x14ac:dyDescent="0.3">
      <c r="A433" s="132" t="s">
        <v>63</v>
      </c>
      <c r="B433" s="132"/>
      <c r="C433" s="132"/>
      <c r="D433" s="132"/>
      <c r="E433" s="132"/>
      <c r="F433" s="132"/>
      <c r="G433" s="132"/>
      <c r="H433" s="132"/>
    </row>
    <row r="434" spans="1:8" x14ac:dyDescent="0.3">
      <c r="A434" s="100" t="s">
        <v>64</v>
      </c>
      <c r="B434" s="100"/>
      <c r="C434" s="100"/>
      <c r="D434" s="100"/>
      <c r="E434" s="100"/>
      <c r="F434" s="100"/>
      <c r="G434" s="100"/>
      <c r="H434" s="100"/>
    </row>
    <row r="435" spans="1:8" ht="15.75" customHeight="1" x14ac:dyDescent="0.3">
      <c r="A435" s="101" t="s">
        <v>65</v>
      </c>
      <c r="B435" s="101"/>
      <c r="C435" s="101"/>
      <c r="D435" s="101"/>
      <c r="E435" s="101"/>
      <c r="F435" s="101"/>
      <c r="G435" s="101"/>
      <c r="H435" s="101"/>
    </row>
    <row r="436" spans="1:8" x14ac:dyDescent="0.3">
      <c r="A436" s="100" t="s">
        <v>66</v>
      </c>
      <c r="B436" s="100"/>
      <c r="C436" s="100"/>
      <c r="D436" s="100"/>
      <c r="E436" s="100"/>
      <c r="F436" s="100"/>
      <c r="G436" s="100"/>
      <c r="H436" s="100"/>
    </row>
    <row r="437" spans="1:8" x14ac:dyDescent="0.3">
      <c r="A437" s="100" t="s">
        <v>67</v>
      </c>
      <c r="B437" s="100"/>
      <c r="C437" s="100"/>
      <c r="D437" s="100"/>
      <c r="E437" s="100"/>
      <c r="F437" s="100"/>
      <c r="G437" s="100"/>
      <c r="H437" s="100"/>
    </row>
    <row r="438" spans="1:8" x14ac:dyDescent="0.3">
      <c r="A438" s="100" t="s">
        <v>131</v>
      </c>
      <c r="B438" s="100"/>
      <c r="C438" s="100"/>
      <c r="D438" s="100"/>
      <c r="E438" s="100"/>
      <c r="F438" s="100"/>
      <c r="G438" s="100"/>
      <c r="H438" s="100"/>
    </row>
    <row r="439" spans="1:8" x14ac:dyDescent="0.3">
      <c r="A439" s="133" t="s">
        <v>132</v>
      </c>
      <c r="B439" s="133"/>
      <c r="C439" s="133"/>
      <c r="D439" s="133"/>
      <c r="E439" s="133"/>
      <c r="F439" s="133"/>
      <c r="G439" s="133"/>
      <c r="H439" s="133"/>
    </row>
    <row r="440" spans="1:8" x14ac:dyDescent="0.3">
      <c r="A440" s="143" t="s">
        <v>80</v>
      </c>
      <c r="B440" s="143"/>
      <c r="C440" s="143" t="s">
        <v>305</v>
      </c>
      <c r="D440" s="143"/>
      <c r="E440" s="143" t="s">
        <v>110</v>
      </c>
      <c r="F440" s="143"/>
      <c r="G440" s="143" t="s">
        <v>295</v>
      </c>
      <c r="H440" s="143"/>
    </row>
    <row r="441" spans="1:8" x14ac:dyDescent="0.3">
      <c r="A441" s="142" t="s">
        <v>82</v>
      </c>
      <c r="B441" s="142"/>
      <c r="C441" s="142"/>
      <c r="D441" s="142"/>
      <c r="E441" s="142"/>
      <c r="F441" s="142"/>
      <c r="G441" s="142"/>
      <c r="H441" s="142"/>
    </row>
    <row r="442" spans="1:8" x14ac:dyDescent="0.3">
      <c r="A442" s="142"/>
      <c r="B442" s="142"/>
      <c r="C442" s="142"/>
      <c r="D442" s="142"/>
      <c r="E442" s="142"/>
      <c r="F442" s="142"/>
      <c r="G442" s="142"/>
      <c r="H442" s="142"/>
    </row>
    <row r="443" spans="1:8" x14ac:dyDescent="0.3">
      <c r="A443" s="142"/>
      <c r="B443" s="142"/>
      <c r="C443" s="142"/>
      <c r="D443" s="142"/>
      <c r="E443" s="142"/>
      <c r="F443" s="142"/>
      <c r="G443" s="142"/>
      <c r="H443" s="142"/>
    </row>
    <row r="444" spans="1:8" x14ac:dyDescent="0.3">
      <c r="A444" s="142"/>
      <c r="B444" s="142"/>
      <c r="C444" s="142"/>
      <c r="D444" s="142"/>
      <c r="E444" s="142"/>
      <c r="F444" s="142"/>
      <c r="G444" s="142"/>
      <c r="H444" s="142"/>
    </row>
    <row r="445" spans="1:8" x14ac:dyDescent="0.3">
      <c r="A445" s="37" t="s">
        <v>68</v>
      </c>
      <c r="B445" s="38"/>
      <c r="C445" s="38"/>
      <c r="D445" s="37" t="str">
        <f>E8</f>
        <v>Icon</v>
      </c>
      <c r="F445" s="38"/>
      <c r="G445" s="38"/>
      <c r="H445" s="38"/>
    </row>
    <row r="446" spans="1:8" x14ac:dyDescent="0.3">
      <c r="A446" s="38"/>
      <c r="B446" s="38"/>
      <c r="C446" s="38"/>
      <c r="D446" s="38"/>
      <c r="E446" s="38"/>
      <c r="F446" s="38"/>
      <c r="G446" s="38"/>
      <c r="H446" s="38"/>
    </row>
    <row r="447" spans="1:8" x14ac:dyDescent="0.3">
      <c r="A447" s="38"/>
      <c r="B447" s="38"/>
      <c r="C447" s="38"/>
      <c r="D447" s="38"/>
      <c r="E447" s="38"/>
      <c r="F447" s="38"/>
      <c r="G447" s="38"/>
      <c r="H447" s="38"/>
    </row>
    <row r="448" spans="1:8" ht="15" customHeight="1" x14ac:dyDescent="0.3"/>
    <row r="461" spans="9:9" x14ac:dyDescent="0.3">
      <c r="I461" s="20" t="s">
        <v>290</v>
      </c>
    </row>
    <row r="485" spans="1:1" x14ac:dyDescent="0.3">
      <c r="A485" s="40"/>
    </row>
    <row r="487" spans="1:1" x14ac:dyDescent="0.3">
      <c r="A487" s="40" t="s">
        <v>172</v>
      </c>
    </row>
    <row r="528" spans="1:1" x14ac:dyDescent="0.3">
      <c r="A528" s="40" t="s">
        <v>69</v>
      </c>
    </row>
  </sheetData>
  <mergeCells count="780">
    <mergeCell ref="A295:H295"/>
    <mergeCell ref="A303:B303"/>
    <mergeCell ref="A304:B304"/>
    <mergeCell ref="A289:B289"/>
    <mergeCell ref="A227:B227"/>
    <mergeCell ref="A329:H329"/>
    <mergeCell ref="A121:B121"/>
    <mergeCell ref="C121:D121"/>
    <mergeCell ref="E121:F121"/>
    <mergeCell ref="G121:H121"/>
    <mergeCell ref="A314:B314"/>
    <mergeCell ref="A313:H313"/>
    <mergeCell ref="A311:B311"/>
    <mergeCell ref="A312:B312"/>
    <mergeCell ref="A201:B201"/>
    <mergeCell ref="C138:F138"/>
    <mergeCell ref="C314:F315"/>
    <mergeCell ref="A310:B310"/>
    <mergeCell ref="A193:B193"/>
    <mergeCell ref="A198:B198"/>
    <mergeCell ref="A260:H260"/>
    <mergeCell ref="A321:H321"/>
    <mergeCell ref="A322:B322"/>
    <mergeCell ref="G322:H328"/>
    <mergeCell ref="A107:E107"/>
    <mergeCell ref="G120:H120"/>
    <mergeCell ref="C114:D114"/>
    <mergeCell ref="A243:B243"/>
    <mergeCell ref="A261:B261"/>
    <mergeCell ref="A127:H127"/>
    <mergeCell ref="A136:H136"/>
    <mergeCell ref="A137:H137"/>
    <mergeCell ref="A138:B138"/>
    <mergeCell ref="A142:B142"/>
    <mergeCell ref="A159:B159"/>
    <mergeCell ref="A226:B226"/>
    <mergeCell ref="A231:B231"/>
    <mergeCell ref="A240:B240"/>
    <mergeCell ref="E124:E125"/>
    <mergeCell ref="G124:H125"/>
    <mergeCell ref="C124:C125"/>
    <mergeCell ref="A147:B147"/>
    <mergeCell ref="A154:B154"/>
    <mergeCell ref="A155:B155"/>
    <mergeCell ref="A143:B143"/>
    <mergeCell ref="G130:H135"/>
    <mergeCell ref="A148:B148"/>
    <mergeCell ref="A149:B149"/>
    <mergeCell ref="A99:E99"/>
    <mergeCell ref="F99:H99"/>
    <mergeCell ref="B427:H427"/>
    <mergeCell ref="A144:B144"/>
    <mergeCell ref="A126:H126"/>
    <mergeCell ref="A145:B145"/>
    <mergeCell ref="B420:H420"/>
    <mergeCell ref="A400:B400"/>
    <mergeCell ref="A401:B401"/>
    <mergeCell ref="A402:B402"/>
    <mergeCell ref="B416:H416"/>
    <mergeCell ref="B417:H417"/>
    <mergeCell ref="A412:H412"/>
    <mergeCell ref="B413:H413"/>
    <mergeCell ref="B414:H414"/>
    <mergeCell ref="C112:D112"/>
    <mergeCell ref="E112:F112"/>
    <mergeCell ref="B124:B125"/>
    <mergeCell ref="A124:A125"/>
    <mergeCell ref="C292:C293"/>
    <mergeCell ref="C120:D120"/>
    <mergeCell ref="A337:H337"/>
    <mergeCell ref="A308:B308"/>
    <mergeCell ref="A150:B150"/>
    <mergeCell ref="C37:H37"/>
    <mergeCell ref="A47:B47"/>
    <mergeCell ref="C47:H47"/>
    <mergeCell ref="B418:H418"/>
    <mergeCell ref="G85:H94"/>
    <mergeCell ref="A86:B86"/>
    <mergeCell ref="A87:B87"/>
    <mergeCell ref="A88:B88"/>
    <mergeCell ref="F97:H97"/>
    <mergeCell ref="A97:E97"/>
    <mergeCell ref="D124:D125"/>
    <mergeCell ref="A100:E100"/>
    <mergeCell ref="A130:B130"/>
    <mergeCell ref="A131:B131"/>
    <mergeCell ref="A132:B132"/>
    <mergeCell ref="A133:B133"/>
    <mergeCell ref="A101:E101"/>
    <mergeCell ref="A128:H128"/>
    <mergeCell ref="G119:H119"/>
    <mergeCell ref="C117:D117"/>
    <mergeCell ref="G117:H117"/>
    <mergeCell ref="A120:B120"/>
    <mergeCell ref="A119:B119"/>
    <mergeCell ref="E114:F114"/>
    <mergeCell ref="F98:H98"/>
    <mergeCell ref="A104:E104"/>
    <mergeCell ref="A98:E98"/>
    <mergeCell ref="A372:B372"/>
    <mergeCell ref="A373:B373"/>
    <mergeCell ref="A395:B395"/>
    <mergeCell ref="A396:B396"/>
    <mergeCell ref="A399:B399"/>
    <mergeCell ref="A398:B398"/>
    <mergeCell ref="G395:H402"/>
    <mergeCell ref="D395:F395"/>
    <mergeCell ref="D396:F396"/>
    <mergeCell ref="D397:F397"/>
    <mergeCell ref="D398:F398"/>
    <mergeCell ref="D401:F401"/>
    <mergeCell ref="D402:F402"/>
    <mergeCell ref="F104:H104"/>
    <mergeCell ref="C111:D111"/>
    <mergeCell ref="F107:H107"/>
    <mergeCell ref="F105:H105"/>
    <mergeCell ref="A360:B360"/>
    <mergeCell ref="A123:H123"/>
    <mergeCell ref="G111:H111"/>
    <mergeCell ref="A106:E106"/>
    <mergeCell ref="L349:M349"/>
    <mergeCell ref="A85:B85"/>
    <mergeCell ref="E85:F94"/>
    <mergeCell ref="A92:B92"/>
    <mergeCell ref="A93:B93"/>
    <mergeCell ref="A94:B94"/>
    <mergeCell ref="F106:H106"/>
    <mergeCell ref="A369:B369"/>
    <mergeCell ref="A354:B354"/>
    <mergeCell ref="A351:B351"/>
    <mergeCell ref="A352:B352"/>
    <mergeCell ref="A105:E105"/>
    <mergeCell ref="E111:F111"/>
    <mergeCell ref="A111:B111"/>
    <mergeCell ref="C119:D119"/>
    <mergeCell ref="E119:F119"/>
    <mergeCell ref="A247:B247"/>
    <mergeCell ref="A338:H338"/>
    <mergeCell ref="A306:B306"/>
    <mergeCell ref="A307:B307"/>
    <mergeCell ref="A305:H305"/>
    <mergeCell ref="A280:H280"/>
    <mergeCell ref="G306:H312"/>
    <mergeCell ref="A122:H122"/>
    <mergeCell ref="A36:H36"/>
    <mergeCell ref="A35:B35"/>
    <mergeCell ref="C118:D118"/>
    <mergeCell ref="E118:F118"/>
    <mergeCell ref="G118:H118"/>
    <mergeCell ref="F103:H103"/>
    <mergeCell ref="A96:E96"/>
    <mergeCell ref="G114:H114"/>
    <mergeCell ref="A115:B115"/>
    <mergeCell ref="C115:D115"/>
    <mergeCell ref="E115:F115"/>
    <mergeCell ref="G115:H115"/>
    <mergeCell ref="F95:H95"/>
    <mergeCell ref="F101:H101"/>
    <mergeCell ref="A95:E95"/>
    <mergeCell ref="F100:H100"/>
    <mergeCell ref="A83:B83"/>
    <mergeCell ref="C83:H83"/>
    <mergeCell ref="A84:B84"/>
    <mergeCell ref="E84:F84"/>
    <mergeCell ref="G84:H84"/>
    <mergeCell ref="A102:E102"/>
    <mergeCell ref="F102:H102"/>
    <mergeCell ref="A103:E103"/>
    <mergeCell ref="A44:D44"/>
    <mergeCell ref="A45:D45"/>
    <mergeCell ref="A46:H46"/>
    <mergeCell ref="D57:H57"/>
    <mergeCell ref="A57:C57"/>
    <mergeCell ref="A78:B78"/>
    <mergeCell ref="A38:B38"/>
    <mergeCell ref="C38:H38"/>
    <mergeCell ref="A39:D39"/>
    <mergeCell ref="E39:F39"/>
    <mergeCell ref="G39:H39"/>
    <mergeCell ref="E40:F4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C35:E35"/>
    <mergeCell ref="A40:D40"/>
    <mergeCell ref="F32:H32"/>
    <mergeCell ref="F33:H33"/>
    <mergeCell ref="A60:C60"/>
    <mergeCell ref="A61:C61"/>
    <mergeCell ref="D60:H60"/>
    <mergeCell ref="E41:F41"/>
    <mergeCell ref="E42:F42"/>
    <mergeCell ref="E43:F43"/>
    <mergeCell ref="E44:F44"/>
    <mergeCell ref="G40:H40"/>
    <mergeCell ref="G41:H41"/>
    <mergeCell ref="G42:H42"/>
    <mergeCell ref="G43:H43"/>
    <mergeCell ref="G44:H44"/>
    <mergeCell ref="G49:H49"/>
    <mergeCell ref="A51:B52"/>
    <mergeCell ref="D61:H61"/>
    <mergeCell ref="A42:D42"/>
    <mergeCell ref="E45:H45"/>
    <mergeCell ref="A43:D43"/>
    <mergeCell ref="F35:H35"/>
    <mergeCell ref="A37:B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70:F70"/>
    <mergeCell ref="A63:C63"/>
    <mergeCell ref="D63:H63"/>
    <mergeCell ref="A66:C66"/>
    <mergeCell ref="D66:H66"/>
    <mergeCell ref="A64:C64"/>
    <mergeCell ref="D64:H64"/>
    <mergeCell ref="A65:C65"/>
    <mergeCell ref="G71:H80"/>
    <mergeCell ref="A79:B79"/>
    <mergeCell ref="A80:B80"/>
    <mergeCell ref="D65:H65"/>
    <mergeCell ref="A71:B71"/>
    <mergeCell ref="E71:F80"/>
    <mergeCell ref="G70:H70"/>
    <mergeCell ref="A441:H444"/>
    <mergeCell ref="A440:B440"/>
    <mergeCell ref="E440:F440"/>
    <mergeCell ref="C440:D440"/>
    <mergeCell ref="G440:H440"/>
    <mergeCell ref="A110:H110"/>
    <mergeCell ref="A108:E108"/>
    <mergeCell ref="F108:H108"/>
    <mergeCell ref="A109:E109"/>
    <mergeCell ref="F109:H109"/>
    <mergeCell ref="A349:H349"/>
    <mergeCell ref="A118:B118"/>
    <mergeCell ref="A361:B361"/>
    <mergeCell ref="A436:H436"/>
    <mergeCell ref="A116:H116"/>
    <mergeCell ref="A439:H439"/>
    <mergeCell ref="A437:H437"/>
    <mergeCell ref="A433:H433"/>
    <mergeCell ref="A434:H434"/>
    <mergeCell ref="E117:F117"/>
    <mergeCell ref="B421:H421"/>
    <mergeCell ref="A129:H129"/>
    <mergeCell ref="B419:H419"/>
    <mergeCell ref="E120:F120"/>
    <mergeCell ref="A397:B397"/>
    <mergeCell ref="A394:H394"/>
    <mergeCell ref="A156:B156"/>
    <mergeCell ref="A170:B170"/>
    <mergeCell ref="A242:H242"/>
    <mergeCell ref="A296:H296"/>
    <mergeCell ref="A167:B167"/>
    <mergeCell ref="A250:B250"/>
    <mergeCell ref="A389:B389"/>
    <mergeCell ref="A390:B390"/>
    <mergeCell ref="A317:B317"/>
    <mergeCell ref="A318:B318"/>
    <mergeCell ref="A319:B319"/>
    <mergeCell ref="A320:B320"/>
    <mergeCell ref="G314:H320"/>
    <mergeCell ref="A345:B345"/>
    <mergeCell ref="A346:B346"/>
    <mergeCell ref="A348:B348"/>
    <mergeCell ref="A161:H161"/>
    <mergeCell ref="A162:B162"/>
    <mergeCell ref="A163:B163"/>
    <mergeCell ref="A157:B157"/>
    <mergeCell ref="A158:B158"/>
    <mergeCell ref="B292:B293"/>
    <mergeCell ref="D55:H55"/>
    <mergeCell ref="C51:E51"/>
    <mergeCell ref="A58:C59"/>
    <mergeCell ref="D58:H58"/>
    <mergeCell ref="D59:H59"/>
    <mergeCell ref="C49:E49"/>
    <mergeCell ref="A53:B53"/>
    <mergeCell ref="C53:E53"/>
    <mergeCell ref="A49:B49"/>
    <mergeCell ref="A54:H54"/>
    <mergeCell ref="A55:C55"/>
    <mergeCell ref="A56:C56"/>
    <mergeCell ref="D56:H56"/>
    <mergeCell ref="G53:H53"/>
    <mergeCell ref="C52:H52"/>
    <mergeCell ref="A50:B50"/>
    <mergeCell ref="C50:E50"/>
    <mergeCell ref="G50:H50"/>
    <mergeCell ref="A16:B16"/>
    <mergeCell ref="C16:H16"/>
    <mergeCell ref="A41:D41"/>
    <mergeCell ref="A438:H438"/>
    <mergeCell ref="A435:H435"/>
    <mergeCell ref="A350:B350"/>
    <mergeCell ref="A117:B117"/>
    <mergeCell ref="D292:D293"/>
    <mergeCell ref="E292:E293"/>
    <mergeCell ref="G292:H293"/>
    <mergeCell ref="A89:B89"/>
    <mergeCell ref="A90:B90"/>
    <mergeCell ref="A91:B91"/>
    <mergeCell ref="A81:B81"/>
    <mergeCell ref="C81:H81"/>
    <mergeCell ref="A76:B76"/>
    <mergeCell ref="F96:H96"/>
    <mergeCell ref="G112:H112"/>
    <mergeCell ref="A48:B48"/>
    <mergeCell ref="C48:E48"/>
    <mergeCell ref="A134:B134"/>
    <mergeCell ref="A146:B146"/>
    <mergeCell ref="G48:H48"/>
    <mergeCell ref="G51:H51"/>
    <mergeCell ref="L133:M133"/>
    <mergeCell ref="L132:M132"/>
    <mergeCell ref="L131:M131"/>
    <mergeCell ref="L130:M130"/>
    <mergeCell ref="L141:M141"/>
    <mergeCell ref="A139:B139"/>
    <mergeCell ref="L139:M139"/>
    <mergeCell ref="A140:B140"/>
    <mergeCell ref="L140:M140"/>
    <mergeCell ref="A141:B141"/>
    <mergeCell ref="G138:H160"/>
    <mergeCell ref="A153:B153"/>
    <mergeCell ref="L146:M146"/>
    <mergeCell ref="L147:M147"/>
    <mergeCell ref="L148:M148"/>
    <mergeCell ref="L149:M149"/>
    <mergeCell ref="A151:B151"/>
    <mergeCell ref="L150:M150"/>
    <mergeCell ref="L153:M153"/>
    <mergeCell ref="L159:M159"/>
    <mergeCell ref="L145:M145"/>
    <mergeCell ref="L134:M134"/>
    <mergeCell ref="A135:B135"/>
    <mergeCell ref="L135:M135"/>
    <mergeCell ref="L142:M142"/>
    <mergeCell ref="L162:M162"/>
    <mergeCell ref="L157:M157"/>
    <mergeCell ref="L158:M158"/>
    <mergeCell ref="L151:M151"/>
    <mergeCell ref="L154:M154"/>
    <mergeCell ref="L143:M143"/>
    <mergeCell ref="L156:M156"/>
    <mergeCell ref="L155:M155"/>
    <mergeCell ref="L144:M144"/>
    <mergeCell ref="L152:M152"/>
    <mergeCell ref="L170:M170"/>
    <mergeCell ref="A173:B173"/>
    <mergeCell ref="L173:M173"/>
    <mergeCell ref="A174:B174"/>
    <mergeCell ref="L174:M174"/>
    <mergeCell ref="L168:M168"/>
    <mergeCell ref="A169:B169"/>
    <mergeCell ref="L160:M160"/>
    <mergeCell ref="L171:M171"/>
    <mergeCell ref="A160:B160"/>
    <mergeCell ref="A172:B172"/>
    <mergeCell ref="L172:M172"/>
    <mergeCell ref="L163:M163"/>
    <mergeCell ref="A164:B164"/>
    <mergeCell ref="L164:M164"/>
    <mergeCell ref="A165:B165"/>
    <mergeCell ref="L165:M165"/>
    <mergeCell ref="A166:B166"/>
    <mergeCell ref="L167:M167"/>
    <mergeCell ref="L179:M179"/>
    <mergeCell ref="A180:B180"/>
    <mergeCell ref="L180:M180"/>
    <mergeCell ref="A181:B181"/>
    <mergeCell ref="L181:M181"/>
    <mergeCell ref="A186:B186"/>
    <mergeCell ref="L186:M186"/>
    <mergeCell ref="A187:B187"/>
    <mergeCell ref="L187:M187"/>
    <mergeCell ref="G162:H187"/>
    <mergeCell ref="A168:B168"/>
    <mergeCell ref="A175:B175"/>
    <mergeCell ref="L175:M175"/>
    <mergeCell ref="A177:B177"/>
    <mergeCell ref="L177:M177"/>
    <mergeCell ref="A178:B178"/>
    <mergeCell ref="L178:M178"/>
    <mergeCell ref="A179:B179"/>
    <mergeCell ref="L169:M169"/>
    <mergeCell ref="A171:B171"/>
    <mergeCell ref="L166:M166"/>
    <mergeCell ref="A176:B176"/>
    <mergeCell ref="L176:M176"/>
    <mergeCell ref="C184:F184"/>
    <mergeCell ref="L287:M287"/>
    <mergeCell ref="A288:B288"/>
    <mergeCell ref="L288:M288"/>
    <mergeCell ref="A256:B256"/>
    <mergeCell ref="A253:B253"/>
    <mergeCell ref="A269:B269"/>
    <mergeCell ref="A271:B271"/>
    <mergeCell ref="L271:M271"/>
    <mergeCell ref="A267:B267"/>
    <mergeCell ref="A272:B272"/>
    <mergeCell ref="L268:M268"/>
    <mergeCell ref="L284:M284"/>
    <mergeCell ref="L269:M269"/>
    <mergeCell ref="A270:B270"/>
    <mergeCell ref="L270:M270"/>
    <mergeCell ref="A281:B281"/>
    <mergeCell ref="L272:M272"/>
    <mergeCell ref="L283:M283"/>
    <mergeCell ref="A284:B284"/>
    <mergeCell ref="A273:B273"/>
    <mergeCell ref="L273:M273"/>
    <mergeCell ref="A274:B274"/>
    <mergeCell ref="A285:B285"/>
    <mergeCell ref="L259:M259"/>
    <mergeCell ref="L290:M290"/>
    <mergeCell ref="A286:B286"/>
    <mergeCell ref="L281:M281"/>
    <mergeCell ref="G281:H290"/>
    <mergeCell ref="A386:B386"/>
    <mergeCell ref="A340:H340"/>
    <mergeCell ref="A339:H339"/>
    <mergeCell ref="A343:B343"/>
    <mergeCell ref="A363:B363"/>
    <mergeCell ref="A385:H385"/>
    <mergeCell ref="A358:H358"/>
    <mergeCell ref="A344:B344"/>
    <mergeCell ref="A341:B341"/>
    <mergeCell ref="A355:B355"/>
    <mergeCell ref="A356:B356"/>
    <mergeCell ref="A357:B357"/>
    <mergeCell ref="G350:H357"/>
    <mergeCell ref="D350:F350"/>
    <mergeCell ref="D351:F351"/>
    <mergeCell ref="G341:H348"/>
    <mergeCell ref="A378:B378"/>
    <mergeCell ref="A379:B379"/>
    <mergeCell ref="L286:M286"/>
    <mergeCell ref="A287:B287"/>
    <mergeCell ref="A347:B347"/>
    <mergeCell ref="G359:H366"/>
    <mergeCell ref="A367:H367"/>
    <mergeCell ref="A368:B368"/>
    <mergeCell ref="G368:H375"/>
    <mergeCell ref="A353:B353"/>
    <mergeCell ref="A342:B342"/>
    <mergeCell ref="A370:B370"/>
    <mergeCell ref="A371:B371"/>
    <mergeCell ref="A364:B364"/>
    <mergeCell ref="A365:B365"/>
    <mergeCell ref="A366:B366"/>
    <mergeCell ref="A362:B362"/>
    <mergeCell ref="A359:B359"/>
    <mergeCell ref="A376:H376"/>
    <mergeCell ref="A377:B377"/>
    <mergeCell ref="G377:H384"/>
    <mergeCell ref="A374:B374"/>
    <mergeCell ref="A375:B375"/>
    <mergeCell ref="A380:B380"/>
    <mergeCell ref="A381:B381"/>
    <mergeCell ref="A382:B382"/>
    <mergeCell ref="A383:B383"/>
    <mergeCell ref="A384:B384"/>
    <mergeCell ref="D379:F379"/>
    <mergeCell ref="D380:F380"/>
    <mergeCell ref="D383:F383"/>
    <mergeCell ref="D384:F384"/>
    <mergeCell ref="A223:B223"/>
    <mergeCell ref="L223:M223"/>
    <mergeCell ref="A224:B224"/>
    <mergeCell ref="L224:M224"/>
    <mergeCell ref="L225:M225"/>
    <mergeCell ref="L226:M226"/>
    <mergeCell ref="L201:M201"/>
    <mergeCell ref="A202:B202"/>
    <mergeCell ref="L202:M202"/>
    <mergeCell ref="A203:B203"/>
    <mergeCell ref="L203:M203"/>
    <mergeCell ref="A204:B204"/>
    <mergeCell ref="L211:M211"/>
    <mergeCell ref="A212:B212"/>
    <mergeCell ref="L212:M212"/>
    <mergeCell ref="L222:M222"/>
    <mergeCell ref="A219:B219"/>
    <mergeCell ref="L219:M219"/>
    <mergeCell ref="L220:M220"/>
    <mergeCell ref="A221:B221"/>
    <mergeCell ref="L221:M221"/>
    <mergeCell ref="A220:B220"/>
    <mergeCell ref="A213:B213"/>
    <mergeCell ref="L289:M289"/>
    <mergeCell ref="A290:B290"/>
    <mergeCell ref="L182:M182"/>
    <mergeCell ref="A183:B183"/>
    <mergeCell ref="L183:M183"/>
    <mergeCell ref="A184:B184"/>
    <mergeCell ref="L184:M184"/>
    <mergeCell ref="A185:B185"/>
    <mergeCell ref="L185:M185"/>
    <mergeCell ref="L199:M199"/>
    <mergeCell ref="A200:B200"/>
    <mergeCell ref="L200:M200"/>
    <mergeCell ref="A199:B199"/>
    <mergeCell ref="A225:B225"/>
    <mergeCell ref="A188:H188"/>
    <mergeCell ref="A189:B189"/>
    <mergeCell ref="G189:H215"/>
    <mergeCell ref="L189:M189"/>
    <mergeCell ref="A190:B190"/>
    <mergeCell ref="L190:M190"/>
    <mergeCell ref="A191:B191"/>
    <mergeCell ref="L191:M191"/>
    <mergeCell ref="A192:B192"/>
    <mergeCell ref="L192:M192"/>
    <mergeCell ref="C113:D113"/>
    <mergeCell ref="E113:F113"/>
    <mergeCell ref="G113:H113"/>
    <mergeCell ref="A330:B330"/>
    <mergeCell ref="G330:H336"/>
    <mergeCell ref="A331:B331"/>
    <mergeCell ref="A332:B332"/>
    <mergeCell ref="A333:B333"/>
    <mergeCell ref="A334:B334"/>
    <mergeCell ref="A335:B335"/>
    <mergeCell ref="A336:B336"/>
    <mergeCell ref="C331:F331"/>
    <mergeCell ref="G243:H259"/>
    <mergeCell ref="A300:B300"/>
    <mergeCell ref="A255:B255"/>
    <mergeCell ref="A251:B251"/>
    <mergeCell ref="A152:B152"/>
    <mergeCell ref="A315:B315"/>
    <mergeCell ref="A316:B316"/>
    <mergeCell ref="A278:H278"/>
    <mergeCell ref="A279:H279"/>
    <mergeCell ref="A182:B182"/>
    <mergeCell ref="A245:B245"/>
    <mergeCell ref="A309:B309"/>
    <mergeCell ref="A391:B391"/>
    <mergeCell ref="A392:B392"/>
    <mergeCell ref="A387:B387"/>
    <mergeCell ref="A388:B388"/>
    <mergeCell ref="A393:B393"/>
    <mergeCell ref="G386:H393"/>
    <mergeCell ref="D388:F388"/>
    <mergeCell ref="D389:F389"/>
    <mergeCell ref="D392:F392"/>
    <mergeCell ref="D393:F393"/>
    <mergeCell ref="A323:B323"/>
    <mergeCell ref="A324:B324"/>
    <mergeCell ref="A325:B325"/>
    <mergeCell ref="A326:B326"/>
    <mergeCell ref="A327:B327"/>
    <mergeCell ref="A328:B328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L198:M198"/>
    <mergeCell ref="A208:B208"/>
    <mergeCell ref="L208:M208"/>
    <mergeCell ref="A209:B209"/>
    <mergeCell ref="L209:M209"/>
    <mergeCell ref="A210:B210"/>
    <mergeCell ref="L210:M210"/>
    <mergeCell ref="A211:B211"/>
    <mergeCell ref="A222:B222"/>
    <mergeCell ref="L213:M213"/>
    <mergeCell ref="L204:M204"/>
    <mergeCell ref="A205:B205"/>
    <mergeCell ref="L205:M205"/>
    <mergeCell ref="A206:B206"/>
    <mergeCell ref="L206:M206"/>
    <mergeCell ref="A207:B207"/>
    <mergeCell ref="A214:B214"/>
    <mergeCell ref="L214:M214"/>
    <mergeCell ref="L207:M207"/>
    <mergeCell ref="A215:B215"/>
    <mergeCell ref="L215:M215"/>
    <mergeCell ref="A228:B228"/>
    <mergeCell ref="L228:M228"/>
    <mergeCell ref="A229:B229"/>
    <mergeCell ref="L229:M229"/>
    <mergeCell ref="A230:B230"/>
    <mergeCell ref="L230:M230"/>
    <mergeCell ref="A216:H216"/>
    <mergeCell ref="A217:B217"/>
    <mergeCell ref="G217:H241"/>
    <mergeCell ref="L217:M217"/>
    <mergeCell ref="A218:B218"/>
    <mergeCell ref="L218:M218"/>
    <mergeCell ref="L231:M231"/>
    <mergeCell ref="A232:B232"/>
    <mergeCell ref="L232:M232"/>
    <mergeCell ref="A233:B233"/>
    <mergeCell ref="L233:M233"/>
    <mergeCell ref="A234:B234"/>
    <mergeCell ref="L227:M227"/>
    <mergeCell ref="L234:M234"/>
    <mergeCell ref="A235:B235"/>
    <mergeCell ref="L235:M235"/>
    <mergeCell ref="A236:B236"/>
    <mergeCell ref="L236:M236"/>
    <mergeCell ref="A237:B237"/>
    <mergeCell ref="L237:M237"/>
    <mergeCell ref="L251:M251"/>
    <mergeCell ref="A252:B252"/>
    <mergeCell ref="L252:M252"/>
    <mergeCell ref="L250:M250"/>
    <mergeCell ref="L245:M245"/>
    <mergeCell ref="A238:B238"/>
    <mergeCell ref="L238:M238"/>
    <mergeCell ref="A239:B239"/>
    <mergeCell ref="L239:M239"/>
    <mergeCell ref="L240:M240"/>
    <mergeCell ref="A241:B241"/>
    <mergeCell ref="L241:M241"/>
    <mergeCell ref="L243:M243"/>
    <mergeCell ref="A244:B244"/>
    <mergeCell ref="L244:M244"/>
    <mergeCell ref="L255:M255"/>
    <mergeCell ref="L256:M256"/>
    <mergeCell ref="A257:B257"/>
    <mergeCell ref="L257:M257"/>
    <mergeCell ref="A258:B258"/>
    <mergeCell ref="L258:M258"/>
    <mergeCell ref="A259:B259"/>
    <mergeCell ref="A246:B246"/>
    <mergeCell ref="L246:M246"/>
    <mergeCell ref="L247:M247"/>
    <mergeCell ref="A248:B248"/>
    <mergeCell ref="L248:M248"/>
    <mergeCell ref="A249:B249"/>
    <mergeCell ref="L249:M249"/>
    <mergeCell ref="L253:M253"/>
    <mergeCell ref="A254:B254"/>
    <mergeCell ref="L254:M254"/>
    <mergeCell ref="L275:M275"/>
    <mergeCell ref="G261:H277"/>
    <mergeCell ref="L261:M261"/>
    <mergeCell ref="A262:B262"/>
    <mergeCell ref="L262:M262"/>
    <mergeCell ref="A263:B263"/>
    <mergeCell ref="L263:M263"/>
    <mergeCell ref="A264:B264"/>
    <mergeCell ref="L264:M264"/>
    <mergeCell ref="A265:B265"/>
    <mergeCell ref="L265:M265"/>
    <mergeCell ref="A266:B266"/>
    <mergeCell ref="L266:M266"/>
    <mergeCell ref="L285:M285"/>
    <mergeCell ref="L267:M267"/>
    <mergeCell ref="A268:B268"/>
    <mergeCell ref="B426:H426"/>
    <mergeCell ref="A276:B276"/>
    <mergeCell ref="L276:M276"/>
    <mergeCell ref="A277:B277"/>
    <mergeCell ref="L277:M277"/>
    <mergeCell ref="A298:B298"/>
    <mergeCell ref="A299:B299"/>
    <mergeCell ref="C298:F299"/>
    <mergeCell ref="A301:B301"/>
    <mergeCell ref="A302:B302"/>
    <mergeCell ref="G298:H304"/>
    <mergeCell ref="C301:F304"/>
    <mergeCell ref="A294:H294"/>
    <mergeCell ref="A297:H297"/>
    <mergeCell ref="A291:H291"/>
    <mergeCell ref="A292:A293"/>
    <mergeCell ref="A282:B282"/>
    <mergeCell ref="L282:M282"/>
    <mergeCell ref="A283:B283"/>
    <mergeCell ref="L274:M274"/>
    <mergeCell ref="A275:B275"/>
    <mergeCell ref="B432:H432"/>
    <mergeCell ref="A403:H403"/>
    <mergeCell ref="A404:B404"/>
    <mergeCell ref="G404:H411"/>
    <mergeCell ref="A405:B405"/>
    <mergeCell ref="A406:B406"/>
    <mergeCell ref="A407:B407"/>
    <mergeCell ref="A408:B408"/>
    <mergeCell ref="A409:B409"/>
    <mergeCell ref="A410:B410"/>
    <mergeCell ref="A411:B411"/>
    <mergeCell ref="C404:F405"/>
    <mergeCell ref="B430:H430"/>
    <mergeCell ref="B428:H428"/>
    <mergeCell ref="B429:H429"/>
    <mergeCell ref="B423:H423"/>
    <mergeCell ref="B422:H422"/>
    <mergeCell ref="B424:H424"/>
    <mergeCell ref="B431:H431"/>
    <mergeCell ref="B425:H425"/>
    <mergeCell ref="B415:H415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44" max="16383" man="1"/>
    <brk id="486" max="16383" man="1"/>
    <brk id="52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0" zoomScale="85" zoomScaleNormal="85" workbookViewId="0">
      <selection activeCell="H33" sqref="H33"/>
    </sheetView>
  </sheetViews>
  <sheetFormatPr defaultColWidth="8.5546875" defaultRowHeight="14.4" x14ac:dyDescent="0.3"/>
  <cols>
    <col min="1" max="1" width="8.554687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55468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21" t="s">
        <v>111</v>
      </c>
      <c r="C3" s="221"/>
      <c r="D3" s="221"/>
      <c r="E3" s="221"/>
      <c r="F3" s="221"/>
      <c r="G3" s="221"/>
      <c r="H3" s="221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2025-09-29T12:39:23Z</cp:lastPrinted>
  <dcterms:created xsi:type="dcterms:W3CDTF">2019-07-16T09:29:46Z</dcterms:created>
  <dcterms:modified xsi:type="dcterms:W3CDTF">2025-09-29T12:39:23Z</dcterms:modified>
</cp:coreProperties>
</file>