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Old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  <c r="H109" i="1"/>
  <c r="J113" i="1" l="1"/>
  <c r="C112" i="1" s="1"/>
  <c r="D112" i="1" s="1"/>
  <c r="J111" i="1"/>
  <c r="J108" i="1"/>
  <c r="J110" i="1" s="1"/>
  <c r="D118" i="1"/>
  <c r="D114" i="1"/>
  <c r="D121" i="1"/>
  <c r="D119" i="1"/>
  <c r="D117" i="1"/>
  <c r="D115" i="1"/>
  <c r="D120" i="1"/>
  <c r="D116" i="1"/>
  <c r="J112" i="1"/>
  <c r="J114" i="1"/>
  <c r="J115" i="1" s="1"/>
  <c r="J120" i="1" s="1"/>
  <c r="J121" i="1" s="1"/>
  <c r="C113" i="1" s="1"/>
  <c r="J116" i="1"/>
  <c r="J118" i="1"/>
  <c r="J117" i="1"/>
  <c r="J119" i="1"/>
  <c r="B81" i="1"/>
  <c r="H81" i="1"/>
  <c r="E112" i="1" l="1"/>
  <c r="D113" i="1"/>
  <c r="I109" i="1" s="1"/>
  <c r="I110" i="1" s="1"/>
  <c r="G112" i="1"/>
  <c r="J109" i="1"/>
  <c r="J85" i="1"/>
  <c r="C84" i="1" s="1"/>
  <c r="D84" i="1" s="1"/>
  <c r="J83" i="1"/>
  <c r="J80" i="1"/>
  <c r="J82" i="1" s="1"/>
  <c r="D93" i="1"/>
  <c r="D89" i="1"/>
  <c r="D92" i="1"/>
  <c r="D88" i="1"/>
  <c r="J84" i="1"/>
  <c r="D90" i="1"/>
  <c r="D91" i="1"/>
  <c r="D87" i="1"/>
  <c r="D86" i="1"/>
  <c r="J91" i="1"/>
  <c r="J86" i="1"/>
  <c r="J90" i="1"/>
  <c r="J88" i="1"/>
  <c r="J89" i="1"/>
  <c r="B67" i="1"/>
  <c r="H67" i="1"/>
  <c r="I108" i="1" l="1"/>
  <c r="C110" i="1" s="1"/>
  <c r="J87" i="1"/>
  <c r="J92" i="1" s="1"/>
  <c r="J93" i="1" s="1"/>
  <c r="C85" i="1" s="1"/>
  <c r="E84" i="1" s="1"/>
  <c r="J71" i="1"/>
  <c r="C70" i="1" s="1"/>
  <c r="D70" i="1" s="1"/>
  <c r="D78" i="1"/>
  <c r="D74" i="1"/>
  <c r="J66" i="1"/>
  <c r="J68" i="1" s="1"/>
  <c r="D72" i="1"/>
  <c r="D73" i="1"/>
  <c r="J69" i="1"/>
  <c r="D76" i="1"/>
  <c r="D75" i="1"/>
  <c r="J70" i="1"/>
  <c r="D77" i="1"/>
  <c r="D79" i="1"/>
  <c r="J77" i="1"/>
  <c r="J75" i="1"/>
  <c r="J74" i="1"/>
  <c r="J76" i="1"/>
  <c r="J72" i="1"/>
  <c r="D271" i="1"/>
  <c r="D219" i="1"/>
  <c r="F219" i="1" s="1"/>
  <c r="D218" i="1"/>
  <c r="F218" i="1" s="1"/>
  <c r="D217" i="1"/>
  <c r="F217" i="1" s="1"/>
  <c r="D216" i="1"/>
  <c r="D212" i="1"/>
  <c r="D211" i="1"/>
  <c r="D210" i="1"/>
  <c r="F210" i="1" s="1"/>
  <c r="D209" i="1"/>
  <c r="F209" i="1" s="1"/>
  <c r="E206" i="1"/>
  <c r="D207" i="1"/>
  <c r="F207" i="1" s="1"/>
  <c r="D206" i="1"/>
  <c r="D205" i="1"/>
  <c r="F205" i="1" s="1"/>
  <c r="D204" i="1"/>
  <c r="F204" i="1" s="1"/>
  <c r="D201" i="1"/>
  <c r="F201" i="1" s="1"/>
  <c r="D200" i="1"/>
  <c r="F200" i="1" s="1"/>
  <c r="D199" i="1"/>
  <c r="F199" i="1" s="1"/>
  <c r="D198" i="1"/>
  <c r="F198" i="1" s="1"/>
  <c r="E195" i="1"/>
  <c r="E194" i="1"/>
  <c r="D196" i="1"/>
  <c r="F196" i="1" s="1"/>
  <c r="D195" i="1"/>
  <c r="D194" i="1"/>
  <c r="D193" i="1"/>
  <c r="F193" i="1" s="1"/>
  <c r="D190" i="1"/>
  <c r="F190" i="1" s="1"/>
  <c r="D189" i="1"/>
  <c r="F189" i="1" s="1"/>
  <c r="D188" i="1"/>
  <c r="F188" i="1" s="1"/>
  <c r="I188" i="1" s="1"/>
  <c r="D187" i="1"/>
  <c r="F187" i="1" s="1"/>
  <c r="D186" i="1"/>
  <c r="F186" i="1" s="1"/>
  <c r="D185" i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D156" i="1"/>
  <c r="D155" i="1"/>
  <c r="D154" i="1"/>
  <c r="E180" i="1"/>
  <c r="E179" i="1"/>
  <c r="D183" i="1"/>
  <c r="F183" i="1" s="1"/>
  <c r="D182" i="1"/>
  <c r="F182" i="1" s="1"/>
  <c r="D181" i="1"/>
  <c r="F181" i="1" s="1"/>
  <c r="D180" i="1"/>
  <c r="D179" i="1"/>
  <c r="D178" i="1"/>
  <c r="F178" i="1" s="1"/>
  <c r="J177" i="1"/>
  <c r="G216" i="1"/>
  <c r="F216" i="1"/>
  <c r="F212" i="1"/>
  <c r="F211" i="1"/>
  <c r="G209" i="1"/>
  <c r="A205" i="1"/>
  <c r="A206" i="1" s="1"/>
  <c r="A207" i="1" s="1"/>
  <c r="G204" i="1"/>
  <c r="G198" i="1"/>
  <c r="G193" i="1"/>
  <c r="A194" i="1"/>
  <c r="A195" i="1" s="1"/>
  <c r="A196" i="1" s="1"/>
  <c r="F185" i="1"/>
  <c r="J180" i="1"/>
  <c r="J178" i="1"/>
  <c r="A179" i="1"/>
  <c r="A180" i="1" s="1"/>
  <c r="A181" i="1" s="1"/>
  <c r="A182" i="1" s="1"/>
  <c r="A183" i="1" s="1"/>
  <c r="G178" i="1"/>
  <c r="G185" i="1"/>
  <c r="G186" i="1" s="1"/>
  <c r="G187" i="1" s="1"/>
  <c r="G188" i="1" s="1"/>
  <c r="G189" i="1" s="1"/>
  <c r="G190" i="1" s="1"/>
  <c r="K155" i="1"/>
  <c r="J155" i="1"/>
  <c r="J154" i="1"/>
  <c r="A185" i="1"/>
  <c r="A216" i="1"/>
  <c r="A198" i="1"/>
  <c r="A209" i="1"/>
  <c r="F180" i="1" l="1"/>
  <c r="F206" i="1"/>
  <c r="F194" i="1"/>
  <c r="J81" i="1"/>
  <c r="G84" i="1"/>
  <c r="D85" i="1"/>
  <c r="I81" i="1" s="1"/>
  <c r="I82" i="1" s="1"/>
  <c r="C144" i="1"/>
  <c r="J73" i="1"/>
  <c r="J78" i="1" s="1"/>
  <c r="J79" i="1" s="1"/>
  <c r="C71" i="1" s="1"/>
  <c r="E70" i="1" s="1"/>
  <c r="F195" i="1"/>
  <c r="E144" i="1"/>
  <c r="C138" i="1"/>
  <c r="C139" i="1" s="1"/>
  <c r="E145" i="1"/>
  <c r="C145" i="1"/>
  <c r="G144" i="1"/>
  <c r="F179" i="1"/>
  <c r="G142" i="1" s="1"/>
  <c r="E138" i="1"/>
  <c r="E139" i="1" s="1"/>
  <c r="C142" i="1"/>
  <c r="G145" i="1"/>
  <c r="C143" i="1"/>
  <c r="E142" i="1"/>
  <c r="E143" i="1"/>
  <c r="A217" i="1"/>
  <c r="A210" i="1"/>
  <c r="A199" i="1"/>
  <c r="A186" i="1"/>
  <c r="C146" i="1" l="1"/>
  <c r="C147" i="1" s="1"/>
  <c r="G143" i="1"/>
  <c r="G70" i="1"/>
  <c r="D64" i="1" s="1"/>
  <c r="J67" i="1"/>
  <c r="D71" i="1"/>
  <c r="I67" i="1" s="1"/>
  <c r="I68" i="1" s="1"/>
  <c r="I80" i="1"/>
  <c r="C82" i="1" s="1"/>
  <c r="G146" i="1"/>
  <c r="E146" i="1"/>
  <c r="E147" i="1" s="1"/>
  <c r="E43" i="1"/>
  <c r="E44" i="1" s="1"/>
  <c r="A211" i="1"/>
  <c r="A218" i="1"/>
  <c r="A200" i="1"/>
  <c r="A187" i="1"/>
  <c r="I66" i="1" l="1"/>
  <c r="C68" i="1" s="1"/>
  <c r="C15" i="1"/>
  <c r="A201" i="1"/>
  <c r="A212" i="1"/>
  <c r="A219" i="1"/>
  <c r="A188" i="1"/>
  <c r="E30" i="1" l="1"/>
  <c r="A189" i="1"/>
  <c r="F222" i="1" l="1"/>
  <c r="F223" i="1"/>
  <c r="F224" i="1"/>
  <c r="F221" i="1"/>
  <c r="A222" i="1"/>
  <c r="A223" i="1" s="1"/>
  <c r="A224" i="1" s="1"/>
  <c r="G221" i="1"/>
  <c r="G222" i="1" s="1"/>
  <c r="G223" i="1" s="1"/>
  <c r="G224" i="1" s="1"/>
  <c r="A190" i="1"/>
  <c r="F135" i="1" l="1"/>
  <c r="F155" i="1" l="1"/>
  <c r="F156" i="1"/>
  <c r="F157" i="1"/>
  <c r="F154" i="1"/>
  <c r="G138" i="1" l="1"/>
  <c r="G139" i="1" s="1"/>
  <c r="G147" i="1" s="1"/>
  <c r="B251" i="1"/>
  <c r="A232" i="1"/>
  <c r="A238" i="1"/>
  <c r="A244" i="1"/>
  <c r="F248" i="1" l="1"/>
  <c r="F247" i="1"/>
  <c r="F246" i="1"/>
  <c r="F245" i="1"/>
  <c r="F244" i="1"/>
  <c r="F242" i="1"/>
  <c r="F241" i="1"/>
  <c r="F240" i="1"/>
  <c r="F239" i="1"/>
  <c r="F238" i="1"/>
  <c r="F236" i="1"/>
  <c r="F235" i="1"/>
  <c r="F234" i="1"/>
  <c r="F233" i="1"/>
  <c r="F232" i="1"/>
  <c r="F230" i="1"/>
  <c r="F229" i="1"/>
  <c r="F227" i="1"/>
  <c r="F226" i="1"/>
  <c r="F228" i="1"/>
  <c r="A245" i="1"/>
  <c r="A233" i="1"/>
  <c r="A239" i="1"/>
  <c r="B252" i="1" l="1"/>
  <c r="A246" i="1"/>
  <c r="A240" i="1"/>
  <c r="A23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244" i="1"/>
  <c r="G245" i="1" s="1"/>
  <c r="G246" i="1" s="1"/>
  <c r="G247" i="1" s="1"/>
  <c r="G248" i="1" s="1"/>
  <c r="G238" i="1"/>
  <c r="G239" i="1" s="1"/>
  <c r="G240" i="1" s="1"/>
  <c r="G241" i="1" s="1"/>
  <c r="G242" i="1" s="1"/>
  <c r="G232" i="1"/>
  <c r="G233" i="1" s="1"/>
  <c r="G234" i="1" s="1"/>
  <c r="G235" i="1" s="1"/>
  <c r="G236" i="1" s="1"/>
  <c r="G226" i="1"/>
  <c r="G227" i="1" s="1"/>
  <c r="G228" i="1" s="1"/>
  <c r="G229" i="1" s="1"/>
  <c r="G230" i="1" s="1"/>
  <c r="A226" i="1"/>
  <c r="A227" i="1" s="1"/>
  <c r="A228" i="1" s="1"/>
  <c r="A229" i="1" s="1"/>
  <c r="A230" i="1" s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G154" i="1"/>
  <c r="B95" i="1"/>
  <c r="D55" i="1"/>
  <c r="G50" i="1"/>
  <c r="G51" i="1" s="1"/>
  <c r="C50" i="1"/>
  <c r="C51" i="1" s="1"/>
  <c r="E27" i="1"/>
  <c r="E25" i="1"/>
  <c r="E7" i="1"/>
  <c r="E3" i="1"/>
  <c r="A241" i="1"/>
  <c r="H95" i="1"/>
  <c r="A235" i="1"/>
  <c r="A247" i="1"/>
  <c r="D60" i="1" l="1"/>
  <c r="D107" i="1"/>
  <c r="D105" i="1"/>
  <c r="D104" i="1"/>
  <c r="D103" i="1"/>
  <c r="D101" i="1"/>
  <c r="J94" i="1"/>
  <c r="D106" i="1"/>
  <c r="D102" i="1"/>
  <c r="J98" i="1"/>
  <c r="J99" i="1"/>
  <c r="C98" i="1" s="1"/>
  <c r="J97" i="1"/>
  <c r="J100" i="1"/>
  <c r="J101" i="1" s="1"/>
  <c r="J106" i="1" s="1"/>
  <c r="A242" i="1"/>
  <c r="A248" i="1"/>
  <c r="A236" i="1"/>
  <c r="J102" i="1" l="1"/>
  <c r="J103" i="1" s="1"/>
  <c r="J104" i="1" s="1"/>
  <c r="J105" i="1" s="1"/>
  <c r="D100" i="1"/>
  <c r="J96" i="1"/>
  <c r="D98" i="1"/>
  <c r="J107" i="1" l="1"/>
  <c r="C99" i="1" l="1"/>
  <c r="J95" i="1" s="1"/>
  <c r="E98" i="1" l="1"/>
  <c r="G98" i="1"/>
  <c r="D99" i="1"/>
  <c r="I95" i="1" s="1"/>
  <c r="I96" i="1" s="1"/>
  <c r="D65" i="1" l="1"/>
  <c r="F65" i="1"/>
  <c r="I94" i="1"/>
  <c r="C96" i="1" s="1"/>
</calcChain>
</file>

<file path=xl/sharedStrings.xml><?xml version="1.0" encoding="utf-8"?>
<sst xmlns="http://schemas.openxmlformats.org/spreadsheetml/2006/main" count="411" uniqueCount="232">
  <si>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</si>
  <si>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</si>
  <si>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</si>
  <si>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</si>
  <si>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</si>
  <si>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</si>
  <si>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</si>
  <si>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</si>
  <si>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</si>
  <si>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</si>
  <si>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</si>
  <si>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</si>
  <si>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</si>
  <si>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</si>
  <si>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</si>
  <si>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</si>
  <si>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</si>
  <si>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</si>
  <si>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</si>
  <si>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</si>
  <si>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</si>
  <si>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</si>
  <si>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</si>
  <si>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</si>
  <si>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</si>
  <si>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</si>
  <si>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</si>
  <si>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</si>
  <si>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</si>
  <si>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</si>
  <si>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</si>
  <si>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</si>
  <si>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</si>
  <si>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</si>
  <si>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</si>
  <si>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</si>
  <si>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</si>
  <si>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</si>
  <si>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</si>
  <si>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</si>
  <si>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</si>
  <si>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</si>
  <si>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</si>
  <si>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</si>
  <si>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</si>
  <si>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</si>
  <si>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</si>
  <si>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</si>
  <si>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</si>
  <si>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</si>
  <si>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</si>
  <si>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</si>
  <si>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</si>
  <si>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</si>
  <si>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</si>
  <si>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</si>
  <si>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</si>
  <si>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</si>
  <si>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</si>
  <si>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</si>
  <si>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</si>
  <si>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</si>
  <si>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</si>
  <si>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</si>
  <si>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</si>
  <si>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</si>
  <si>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</si>
  <si>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</si>
  <si>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</si>
  <si>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</si>
  <si>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</si>
  <si>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</si>
  <si>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</si>
  <si>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</si>
  <si>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</si>
  <si>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</si>
  <si>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</si>
  <si>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</si>
  <si>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</si>
  <si>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</si>
  <si>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</si>
  <si>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</si>
  <si>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</si>
  <si>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</si>
  <si>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</si>
  <si>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</si>
  <si>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</si>
  <si>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</si>
  <si>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</si>
  <si>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</si>
  <si>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</si>
  <si>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</si>
  <si>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</si>
  <si>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</si>
  <si>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</si>
  <si>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</si>
  <si>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</si>
  <si>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</si>
  <si>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</si>
  <si>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</si>
  <si>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</si>
  <si>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</si>
  <si>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</si>
  <si>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</si>
  <si>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</si>
  <si>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</si>
  <si>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</si>
  <si>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</si>
  <si>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</si>
  <si>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</si>
  <si>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</si>
  <si>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</si>
  <si>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</si>
  <si>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</si>
  <si>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</si>
  <si>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</si>
  <si>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</si>
  <si>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</si>
  <si>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</si>
  <si>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</si>
  <si>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</si>
  <si>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</si>
  <si>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</si>
  <si>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</si>
  <si>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</si>
  <si>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</si>
  <si>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</si>
  <si>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</si>
  <si>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</si>
  <si>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</si>
  <si>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</si>
  <si>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</si>
  <si>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</si>
  <si>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</si>
  <si>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</si>
  <si>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</si>
  <si>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</si>
  <si>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</si>
  <si>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</si>
  <si>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</si>
  <si>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</si>
  <si>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</si>
  <si>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</si>
  <si>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</si>
  <si>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</si>
  <si>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</si>
  <si>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</si>
  <si>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</si>
  <si>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</si>
  <si>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</si>
  <si>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</si>
  <si>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</si>
  <si>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</si>
  <si>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</si>
  <si>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</si>
  <si>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</si>
  <si>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</si>
  <si>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</si>
  <si>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</si>
  <si>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</si>
  <si>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</si>
  <si>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</si>
  <si>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</si>
  <si>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</si>
  <si>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</si>
  <si>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</si>
  <si>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</si>
  <si>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</si>
  <si>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</si>
  <si>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</si>
  <si>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</si>
  <si>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</si>
  <si>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</si>
  <si>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</si>
  <si>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</si>
  <si>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</si>
  <si>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</si>
  <si>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</si>
  <si>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</si>
  <si>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 xml:space="preserve">Name of the Building </t>
  </si>
  <si>
    <t>Star Signature City</t>
  </si>
  <si>
    <t>Star Emerald (Building No.9)</t>
  </si>
  <si>
    <t>Axis Goregaon</t>
  </si>
  <si>
    <t>Star Builders &amp; Developers</t>
  </si>
  <si>
    <t>Approved Plans, CC</t>
  </si>
  <si>
    <t>P99000049637</t>
  </si>
  <si>
    <t>Gut No</t>
  </si>
  <si>
    <t>279/280/2/305/1</t>
  </si>
  <si>
    <t>Santoshi Mata Temple</t>
  </si>
  <si>
    <t>Palghar</t>
  </si>
  <si>
    <t>Makane</t>
  </si>
  <si>
    <t>Internal Road</t>
  </si>
  <si>
    <t>Saphale West</t>
  </si>
  <si>
    <t>Nutan Nagar</t>
  </si>
  <si>
    <t>19.575473, 72.813473</t>
  </si>
  <si>
    <t>https://goo.gl/maps/MhJUPq1X9czaiuwb8</t>
  </si>
  <si>
    <t>0.85KM from Saphale Railway Station</t>
  </si>
  <si>
    <t>Open Plot</t>
  </si>
  <si>
    <t>Building No.8</t>
  </si>
  <si>
    <t>Existing Building</t>
  </si>
  <si>
    <t>District Collector, Palghar</t>
  </si>
  <si>
    <t>Mahsul/K-1/Mej-1/BSP/SR/CR/20/21</t>
  </si>
  <si>
    <t>Ground Floor For Commercial &amp; Parking</t>
  </si>
  <si>
    <t>Wing A + B + C</t>
  </si>
  <si>
    <t>Building No.9 (Wing A to D)</t>
  </si>
  <si>
    <t>Shop</t>
  </si>
  <si>
    <t>Wing A</t>
  </si>
  <si>
    <t>1st Floor For Residential</t>
  </si>
  <si>
    <t>2nd to 7th Floor</t>
  </si>
  <si>
    <t>Wing B</t>
  </si>
  <si>
    <t>Wing C</t>
  </si>
  <si>
    <t>Wing D</t>
  </si>
  <si>
    <t>Ground Floor For Parking</t>
  </si>
  <si>
    <t>We considered Gross carpet area = Net carpet + Balcony + Arch. Proj. Area.</t>
  </si>
  <si>
    <t>Wing A + B + C (Shops)</t>
  </si>
  <si>
    <t>Flats - 126, Shops - 9</t>
  </si>
  <si>
    <t>Emerald (Building No.9)- Wing A to D = G/St + 1st to 7th Floor</t>
  </si>
  <si>
    <t>Footpaths/Pedestrian, Open Car Parking, 24X7 Water Supply, Fire Fighting System, Internal Roads, Recreational Open Space, Meter Room, Landscape Garden and Tree Planting, Street Lighting, Water Conservation, Rain water Harvesting</t>
  </si>
  <si>
    <t>Emerald (Building No.9) - Wing A to D = G/St + 1st to 7th Floor</t>
  </si>
  <si>
    <t>04 Wings</t>
  </si>
  <si>
    <t>Santoshi Mata Mandir/ Internal Road</t>
  </si>
  <si>
    <t>1st to 7th Floor For Residential</t>
  </si>
  <si>
    <t>Wing B = G/St + 1st to 7th Floor</t>
  </si>
  <si>
    <t>Wing D = G/St + 1st to 7th Floor</t>
  </si>
  <si>
    <t>Wing C &amp; D = G/St + 1st to 7th Floor</t>
  </si>
  <si>
    <t>RPPLG/PO/2025/APL/00038
Approved upto : Building No.9 (Wing A to D) = Gr/St + 1st to 7th Floor</t>
  </si>
  <si>
    <t>Completed</t>
  </si>
  <si>
    <t>Wing A to D = G/St + 1st to 7th Floor</t>
  </si>
  <si>
    <t>All work Completed. OC Received.</t>
  </si>
  <si>
    <t>We have updated OC (On 16/06/2025).</t>
  </si>
  <si>
    <t>Shruti Tathare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</si>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</sst>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25" fillId="0" borderId="24" xfId="0" applyFont="1" applyBorder="1"/>
    <xf numFmtId="0" fontId="7" fillId="0" borderId="1" xfId="1" applyFont="1" applyBorder="1"/>
    <xf numFmtId="0" fontId="12" fillId="0" borderId="25" xfId="1" applyFont="1" applyBorder="1" applyAlignment="1" applyProtection="1">
      <alignment horizontal="center" vertical="top"/>
      <protection locked="0"/>
    </xf>
    <xf numFmtId="0" fontId="12" fillId="0" borderId="12" xfId="1" applyFont="1" applyBorder="1" applyAlignment="1" applyProtection="1">
      <alignment horizontal="center" vertical="top"/>
      <protection locked="0"/>
    </xf>
    <xf numFmtId="0" fontId="12" fillId="0" borderId="24" xfId="1" applyFont="1" applyBorder="1" applyAlignment="1" applyProtection="1">
      <alignment horizontal="center" vertical="top"/>
      <protection locked="0"/>
    </xf>
    <xf numFmtId="0" fontId="25" fillId="0" borderId="12" xfId="0" applyFont="1" applyBorder="1"/>
    <xf numFmtId="0" fontId="24" fillId="2" borderId="1" xfId="0" applyFont="1" applyFill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8" xfId="0" applyFont="1" applyFill="1" applyBorder="1"/>
    <xf numFmtId="0" fontId="25" fillId="0" borderId="16" xfId="0" applyFont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3" xfId="8" applyFont="1" applyFill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201755</xdr:colOff>
      <xdr:row>355</xdr:row>
      <xdr:rowOff>95250</xdr:rowOff>
    </xdr:from>
    <xdr:to>
      <xdr:col>7</xdr:col>
      <xdr:colOff>632732</xdr:colOff>
      <xdr:row>395</xdr:row>
      <xdr:rowOff>92075</xdr:rowOff>
    </xdr:to>
    <xdr:grpSp>
      <xdr:nvGrpSpPr>
        <xdr:cNvPr id="5" name="Group 4"/>
        <xdr:cNvGrpSpPr/>
      </xdr:nvGrpSpPr>
      <xdr:grpSpPr>
        <a:xfrm>
          <a:off x="201755" y="59074050"/>
          <a:ext cx="6126927" cy="7997825"/>
          <a:chOff x="173180" y="59178825"/>
          <a:chExt cx="6126927" cy="7997825"/>
        </a:xfrm>
      </xdr:grpSpPr>
      <xdr:pic>
        <xdr:nvPicPr>
          <xdr:cNvPr id="9" name="Picture 8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73180" y="59178825"/>
            <a:ext cx="6126927" cy="33035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" name="Group 2"/>
          <xdr:cNvGrpSpPr/>
        </xdr:nvGrpSpPr>
        <xdr:grpSpPr>
          <a:xfrm>
            <a:off x="173180" y="62574922"/>
            <a:ext cx="6126927" cy="4601728"/>
            <a:chOff x="173180" y="62622547"/>
            <a:chExt cx="6126927" cy="4601728"/>
          </a:xfrm>
        </xdr:grpSpPr>
        <xdr:pic>
          <xdr:nvPicPr>
            <xdr:cNvPr id="10" name="Picture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73180" y="62622547"/>
              <a:ext cx="6126927" cy="460172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1" name="Rectangle 10"/>
            <xdr:cNvSpPr/>
          </xdr:nvSpPr>
          <xdr:spPr>
            <a:xfrm rot="19672135">
              <a:off x="1851537" y="64870259"/>
              <a:ext cx="350176" cy="443346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23454" y="65188234"/>
              <a:ext cx="1186222" cy="530658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r>
                <a:rPr lang="en-IN" sz="1400" b="1"/>
                <a:t>Building</a:t>
              </a:r>
              <a:r>
                <a:rPr lang="en-IN" sz="1400" b="1" baseline="0"/>
                <a:t> No.8</a:t>
              </a:r>
            </a:p>
            <a:p>
              <a:pPr algn="ctr"/>
              <a:r>
                <a:rPr lang="en-IN" sz="1400" b="1" baseline="0"/>
                <a:t>Star Pearl</a:t>
              </a:r>
            </a:p>
          </xdr:txBody>
        </xdr:sp>
        <xdr:sp macro="" textlink="">
          <xdr:nvSpPr>
            <xdr:cNvPr id="13" name="TextBox 12"/>
            <xdr:cNvSpPr txBox="1"/>
          </xdr:nvSpPr>
          <xdr:spPr>
            <a:xfrm>
              <a:off x="3341544" y="64062552"/>
              <a:ext cx="1186222" cy="530658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r>
                <a:rPr lang="en-IN" sz="1400" b="1"/>
                <a:t>Building</a:t>
              </a:r>
              <a:r>
                <a:rPr lang="en-IN" sz="1400" b="1" baseline="0"/>
                <a:t> No.9</a:t>
              </a:r>
            </a:p>
            <a:p>
              <a:pPr algn="ctr"/>
              <a:r>
                <a:rPr lang="en-IN" sz="1400" b="1" baseline="0"/>
                <a:t>Star Emerald</a:t>
              </a:r>
            </a:p>
          </xdr:txBody>
        </xdr:sp>
        <xdr:sp macro="" textlink="">
          <xdr:nvSpPr>
            <xdr:cNvPr id="14" name="Rectangle 13"/>
            <xdr:cNvSpPr/>
          </xdr:nvSpPr>
          <xdr:spPr>
            <a:xfrm rot="19349781">
              <a:off x="2254283" y="64574788"/>
              <a:ext cx="369643" cy="789736"/>
            </a:xfrm>
            <a:prstGeom prst="rect">
              <a:avLst/>
            </a:prstGeom>
            <a:noFill/>
            <a:ln w="57150">
              <a:solidFill>
                <a:srgbClr val="CC00C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>
                <a:solidFill>
                  <a:srgbClr val="CC00CC"/>
                </a:solidFill>
              </a:endParaRPr>
            </a:p>
          </xdr:txBody>
        </xdr:sp>
        <xdr:cxnSp macro="">
          <xdr:nvCxnSpPr>
            <xdr:cNvPr id="16" name="Straight Arrow Connector 15"/>
            <xdr:cNvCxnSpPr/>
          </xdr:nvCxnSpPr>
          <xdr:spPr>
            <a:xfrm flipH="1">
              <a:off x="2620273" y="64431429"/>
              <a:ext cx="681439" cy="425442"/>
            </a:xfrm>
            <a:prstGeom prst="straightConnector1">
              <a:avLst/>
            </a:prstGeom>
            <a:ln w="38100">
              <a:solidFill>
                <a:srgbClr val="CC00CC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2</xdr:col>
      <xdr:colOff>437645</xdr:colOff>
      <xdr:row>340</xdr:row>
      <xdr:rowOff>181849</xdr:rowOff>
    </xdr:from>
    <xdr:to>
      <xdr:col>5</xdr:col>
      <xdr:colOff>385895</xdr:colOff>
      <xdr:row>353</xdr:row>
      <xdr:rowOff>17769</xdr:rowOff>
    </xdr:to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9048" r="742"/>
        <a:stretch/>
      </xdr:blipFill>
      <xdr:spPr>
        <a:xfrm>
          <a:off x="1996281" y="53712349"/>
          <a:ext cx="2520000" cy="2424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322981</xdr:colOff>
      <xdr:row>312</xdr:row>
      <xdr:rowOff>142876</xdr:rowOff>
    </xdr:from>
    <xdr:to>
      <xdr:col>7</xdr:col>
      <xdr:colOff>573958</xdr:colOff>
      <xdr:row>340</xdr:row>
      <xdr:rowOff>67670</xdr:rowOff>
    </xdr:to>
    <xdr:grpSp>
      <xdr:nvGrpSpPr>
        <xdr:cNvPr id="6" name="Group 5"/>
        <xdr:cNvGrpSpPr/>
      </xdr:nvGrpSpPr>
      <xdr:grpSpPr>
        <a:xfrm>
          <a:off x="322981" y="50520601"/>
          <a:ext cx="5946927" cy="5525494"/>
          <a:chOff x="294406" y="50568226"/>
          <a:chExt cx="5946927" cy="5525494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94406" y="50568226"/>
            <a:ext cx="5946927" cy="55254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6" name="TextBox 25"/>
          <xdr:cNvSpPr txBox="1"/>
        </xdr:nvSpPr>
        <xdr:spPr>
          <a:xfrm>
            <a:off x="736019" y="54751433"/>
            <a:ext cx="1186222" cy="530658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r>
              <a:rPr lang="en-IN" sz="1400" b="1"/>
              <a:t>Building</a:t>
            </a:r>
            <a:r>
              <a:rPr lang="en-IN" sz="1400" b="1" baseline="0"/>
              <a:t> No.9</a:t>
            </a:r>
          </a:p>
          <a:p>
            <a:pPr algn="ctr"/>
            <a:r>
              <a:rPr lang="en-IN" sz="1400" b="1" baseline="0"/>
              <a:t>Star Emerald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2712894" y="53978175"/>
            <a:ext cx="371192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2400" b="1">
                <a:solidFill>
                  <a:srgbClr val="FF0000"/>
                </a:solidFill>
              </a:rPr>
              <a:t>A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1705843" y="52530375"/>
            <a:ext cx="378693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2400" b="1">
                <a:solidFill>
                  <a:srgbClr val="FF0000"/>
                </a:solidFill>
              </a:rPr>
              <a:t>D</a:t>
            </a:r>
          </a:p>
        </xdr:txBody>
      </xdr:sp>
      <xdr:sp macro="" textlink="">
        <xdr:nvSpPr>
          <xdr:cNvPr id="28" name="TextBox 27"/>
          <xdr:cNvSpPr txBox="1"/>
        </xdr:nvSpPr>
        <xdr:spPr>
          <a:xfrm>
            <a:off x="2057401" y="52997100"/>
            <a:ext cx="347596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2400" b="1">
                <a:solidFill>
                  <a:srgbClr val="FF0000"/>
                </a:solidFill>
              </a:rPr>
              <a:t>C</a:t>
            </a: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2451389" y="53488937"/>
            <a:ext cx="357214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2400" b="1">
                <a:solidFill>
                  <a:srgbClr val="FF0000"/>
                </a:solidFill>
              </a:rPr>
              <a:t>B</a:t>
            </a:r>
          </a:p>
        </xdr:txBody>
      </xdr:sp>
    </xdr:grpSp>
    <xdr:clientData/>
  </xdr:twoCellAnchor>
  <xdr:twoCellAnchor>
    <xdr:from>
      <xdr:col>0</xdr:col>
      <xdr:colOff>123826</xdr:colOff>
      <xdr:row>272</xdr:row>
      <xdr:rowOff>38099</xdr:rowOff>
    </xdr:from>
    <xdr:to>
      <xdr:col>7</xdr:col>
      <xdr:colOff>780114</xdr:colOff>
      <xdr:row>305</xdr:row>
      <xdr:rowOff>128430</xdr:rowOff>
    </xdr:to>
    <xdr:grpSp>
      <xdr:nvGrpSpPr>
        <xdr:cNvPr id="2" name="Group 1"/>
        <xdr:cNvGrpSpPr/>
      </xdr:nvGrpSpPr>
      <xdr:grpSpPr>
        <a:xfrm>
          <a:off x="123826" y="42424349"/>
          <a:ext cx="6352238" cy="6681631"/>
          <a:chOff x="171451" y="42224324"/>
          <a:chExt cx="6352238" cy="6681631"/>
        </a:xfrm>
      </xdr:grpSpPr>
      <xdr:pic>
        <xdr:nvPicPr>
          <xdr:cNvPr id="30" name="Picture 29" descr="https://vsjcllp.vsjadon.com/upload/insp-24954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78244" y="47186850"/>
            <a:ext cx="1279159" cy="17073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954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850" y="47196375"/>
            <a:ext cx="2277602" cy="17095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9541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82763" y="44910375"/>
            <a:ext cx="2928489" cy="21981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9541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5750" y="42224324"/>
            <a:ext cx="1948213" cy="2600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9541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3625" y="42224324"/>
            <a:ext cx="1948213" cy="2600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9541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71975" y="42224324"/>
            <a:ext cx="1948213" cy="2600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9541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1" y="44910375"/>
            <a:ext cx="1646888" cy="21981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9541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08661" y="47186850"/>
            <a:ext cx="2274595" cy="17073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9541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76801" y="44910375"/>
            <a:ext cx="1646888" cy="21981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hJUPq1X9czaiuwb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5"/>
  <sheetViews>
    <sheetView tabSelected="1" view="pageBreakPreview" topLeftCell="A267" zoomScaleNormal="100" zoomScaleSheetLayoutView="100" zoomScalePageLayoutView="70" workbookViewId="0">
      <selection activeCell="L280" sqref="L280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48" t="s">
        <v>174</v>
      </c>
      <c r="B1" s="148"/>
      <c r="C1" s="148"/>
      <c r="D1" s="148"/>
      <c r="E1" s="148"/>
      <c r="F1" s="148"/>
      <c r="G1" s="148"/>
      <c r="H1" s="148"/>
    </row>
    <row r="2" spans="1:8" ht="16.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0" t="s">
        <v>1</v>
      </c>
      <c r="B3" s="120"/>
      <c r="C3" s="120"/>
      <c r="D3" s="120"/>
      <c r="E3" s="120" t="str">
        <f ca="1">TEXT(TODAY(),"DD/MM/YYYY")</f>
        <v>29/09/2025</v>
      </c>
      <c r="F3" s="120"/>
      <c r="G3" s="120"/>
      <c r="H3" s="120"/>
    </row>
    <row r="4" spans="1:8" ht="15" customHeight="1" x14ac:dyDescent="0.25">
      <c r="A4" s="120" t="s">
        <v>2</v>
      </c>
      <c r="B4" s="120"/>
      <c r="C4" s="120"/>
      <c r="D4" s="120"/>
      <c r="E4" s="120" t="s">
        <v>182</v>
      </c>
      <c r="F4" s="120"/>
      <c r="G4" s="120"/>
      <c r="H4" s="120"/>
    </row>
    <row r="5" spans="1:8" x14ac:dyDescent="0.25">
      <c r="A5" s="120" t="s">
        <v>3</v>
      </c>
      <c r="B5" s="120"/>
      <c r="C5" s="120"/>
      <c r="D5" s="120"/>
      <c r="E5" s="147">
        <v>45929</v>
      </c>
      <c r="F5" s="120"/>
      <c r="G5" s="120"/>
      <c r="H5" s="120"/>
    </row>
    <row r="6" spans="1:8" ht="16.5" customHeight="1" x14ac:dyDescent="0.25">
      <c r="A6" s="120" t="s">
        <v>4</v>
      </c>
      <c r="B6" s="120"/>
      <c r="C6" s="120"/>
      <c r="D6" s="120"/>
      <c r="E6" s="120" t="s">
        <v>183</v>
      </c>
      <c r="F6" s="120"/>
      <c r="G6" s="120"/>
      <c r="H6" s="120"/>
    </row>
    <row r="7" spans="1:8" ht="15" customHeight="1" x14ac:dyDescent="0.25">
      <c r="A7" s="120" t="s">
        <v>5</v>
      </c>
      <c r="B7" s="120"/>
      <c r="C7" s="120"/>
      <c r="D7" s="120"/>
      <c r="E7" s="120" t="str">
        <f>E6</f>
        <v>Star Builders &amp; Developers</v>
      </c>
      <c r="F7" s="120"/>
      <c r="G7" s="120"/>
      <c r="H7" s="120"/>
    </row>
    <row r="8" spans="1:8" x14ac:dyDescent="0.25">
      <c r="A8" s="120" t="s">
        <v>6</v>
      </c>
      <c r="B8" s="120"/>
      <c r="C8" s="120"/>
      <c r="D8" s="120"/>
      <c r="E8" s="78" t="s">
        <v>180</v>
      </c>
      <c r="F8" s="78"/>
      <c r="G8" s="78"/>
      <c r="H8" s="78"/>
    </row>
    <row r="9" spans="1:8" x14ac:dyDescent="0.25">
      <c r="A9" s="120" t="s">
        <v>179</v>
      </c>
      <c r="B9" s="120"/>
      <c r="C9" s="120"/>
      <c r="D9" s="120"/>
      <c r="E9" s="78" t="s">
        <v>181</v>
      </c>
      <c r="F9" s="78"/>
      <c r="G9" s="78"/>
      <c r="H9" s="78"/>
    </row>
    <row r="10" spans="1:8" x14ac:dyDescent="0.25">
      <c r="A10" s="120" t="s">
        <v>177</v>
      </c>
      <c r="B10" s="120"/>
      <c r="C10" s="120"/>
      <c r="D10" s="120"/>
      <c r="E10" s="120">
        <v>8999589183</v>
      </c>
      <c r="F10" s="120"/>
      <c r="G10" s="120"/>
      <c r="H10" s="120"/>
    </row>
    <row r="11" spans="1:8" hidden="1" x14ac:dyDescent="0.25">
      <c r="A11" s="120" t="s">
        <v>178</v>
      </c>
      <c r="B11" s="120"/>
      <c r="C11" s="120"/>
      <c r="D11" s="120"/>
      <c r="E11" s="120"/>
      <c r="F11" s="120"/>
      <c r="G11" s="120"/>
      <c r="H11" s="120"/>
    </row>
    <row r="12" spans="1:8" x14ac:dyDescent="0.25">
      <c r="A12" s="120" t="s">
        <v>7</v>
      </c>
      <c r="B12" s="120"/>
      <c r="C12" s="120"/>
      <c r="D12" s="120"/>
      <c r="E12" s="120" t="s">
        <v>204</v>
      </c>
      <c r="F12" s="120"/>
      <c r="G12" s="120"/>
      <c r="H12" s="120"/>
    </row>
    <row r="13" spans="1:8" x14ac:dyDescent="0.25">
      <c r="A13" s="95" t="s">
        <v>8</v>
      </c>
      <c r="B13" s="95"/>
      <c r="C13" s="95"/>
      <c r="D13" s="95"/>
      <c r="E13" s="119" t="s">
        <v>184</v>
      </c>
      <c r="F13" s="119"/>
      <c r="G13" s="119"/>
      <c r="H13" s="119"/>
    </row>
    <row r="14" spans="1:8" x14ac:dyDescent="0.25">
      <c r="A14" s="95" t="s">
        <v>9</v>
      </c>
      <c r="B14" s="95"/>
      <c r="C14" s="95"/>
      <c r="D14" s="95"/>
      <c r="E14" s="119" t="s">
        <v>185</v>
      </c>
      <c r="F14" s="120"/>
      <c r="G14" s="120"/>
      <c r="H14" s="120"/>
    </row>
    <row r="15" spans="1:8" ht="35.25" customHeight="1" x14ac:dyDescent="0.25">
      <c r="A15" s="135" t="s">
        <v>10</v>
      </c>
      <c r="B15" s="135"/>
      <c r="C15" s="13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Star Signature City, Gut No.279/280/2/305/1, near Santoshi Mata Temple, Internal Road, Nutan Nagar, Makane, Saphale West, Palghar, Palghar - 401402.</v>
      </c>
      <c r="D15" s="135"/>
      <c r="E15" s="135"/>
      <c r="F15" s="135"/>
      <c r="G15" s="135"/>
      <c r="H15" s="135"/>
    </row>
    <row r="16" spans="1:8" x14ac:dyDescent="0.25">
      <c r="A16" s="119" t="s">
        <v>186</v>
      </c>
      <c r="B16" s="119"/>
      <c r="C16" s="119" t="s">
        <v>187</v>
      </c>
      <c r="D16" s="119"/>
      <c r="E16" s="119"/>
      <c r="F16" s="119"/>
      <c r="G16" s="119"/>
      <c r="H16" s="119"/>
    </row>
    <row r="17" spans="1:8" ht="15.75" customHeight="1" x14ac:dyDescent="0.25">
      <c r="A17" s="119" t="s">
        <v>172</v>
      </c>
      <c r="B17" s="119"/>
      <c r="C17" s="119" t="s">
        <v>193</v>
      </c>
      <c r="D17" s="119"/>
      <c r="E17" s="119"/>
      <c r="F17" s="119"/>
      <c r="G17" s="119"/>
      <c r="H17" s="119"/>
    </row>
    <row r="18" spans="1:8" ht="15.75" customHeight="1" x14ac:dyDescent="0.25">
      <c r="A18" s="135" t="s">
        <v>11</v>
      </c>
      <c r="B18" s="135"/>
      <c r="C18" s="120" t="s">
        <v>191</v>
      </c>
      <c r="D18" s="120"/>
      <c r="E18" s="135" t="s">
        <v>75</v>
      </c>
      <c r="F18" s="135"/>
      <c r="G18" s="119" t="s">
        <v>190</v>
      </c>
      <c r="H18" s="119"/>
    </row>
    <row r="19" spans="1:8" x14ac:dyDescent="0.25">
      <c r="A19" s="95" t="s">
        <v>13</v>
      </c>
      <c r="B19" s="95"/>
      <c r="C19" s="119" t="s">
        <v>192</v>
      </c>
      <c r="D19" s="119"/>
      <c r="E19" s="135" t="s">
        <v>12</v>
      </c>
      <c r="F19" s="135"/>
      <c r="G19" s="149" t="s">
        <v>189</v>
      </c>
      <c r="H19" s="149"/>
    </row>
    <row r="20" spans="1:8" x14ac:dyDescent="0.25">
      <c r="A20" s="95" t="s">
        <v>76</v>
      </c>
      <c r="B20" s="95"/>
      <c r="C20" s="119" t="s">
        <v>189</v>
      </c>
      <c r="D20" s="119"/>
      <c r="E20" s="135" t="s">
        <v>14</v>
      </c>
      <c r="F20" s="135"/>
      <c r="G20" s="119">
        <v>401402</v>
      </c>
      <c r="H20" s="119"/>
    </row>
    <row r="21" spans="1:8" ht="32.25" customHeight="1" x14ac:dyDescent="0.25">
      <c r="A21" s="95" t="s">
        <v>127</v>
      </c>
      <c r="B21" s="95"/>
      <c r="C21" s="119" t="s">
        <v>188</v>
      </c>
      <c r="D21" s="119"/>
      <c r="E21" s="135" t="s">
        <v>15</v>
      </c>
      <c r="F21" s="135"/>
      <c r="G21" s="119" t="s">
        <v>196</v>
      </c>
      <c r="H21" s="119"/>
    </row>
    <row r="22" spans="1:8" ht="15" customHeight="1" x14ac:dyDescent="0.25">
      <c r="A22" s="135" t="s">
        <v>79</v>
      </c>
      <c r="B22" s="135"/>
      <c r="C22" s="135"/>
      <c r="D22" s="135"/>
      <c r="E22" s="120" t="s">
        <v>16</v>
      </c>
      <c r="F22" s="120"/>
      <c r="G22" s="120"/>
      <c r="H22" s="120"/>
    </row>
    <row r="23" spans="1:8" ht="18.75" customHeight="1" x14ac:dyDescent="0.25">
      <c r="A23" s="135"/>
      <c r="B23" s="135"/>
      <c r="C23" s="135"/>
      <c r="D23" s="135"/>
      <c r="E23" s="120"/>
      <c r="F23" s="120"/>
      <c r="G23" s="120"/>
      <c r="H23" s="120"/>
    </row>
    <row r="24" spans="1:8" ht="15" customHeight="1" x14ac:dyDescent="0.25">
      <c r="A24" s="135" t="s">
        <v>17</v>
      </c>
      <c r="B24" s="135"/>
      <c r="C24" s="135"/>
      <c r="D24" s="135"/>
      <c r="E24" s="119" t="s">
        <v>18</v>
      </c>
      <c r="F24" s="119"/>
      <c r="G24" s="119"/>
      <c r="H24" s="119"/>
    </row>
    <row r="25" spans="1:8" ht="15" customHeight="1" x14ac:dyDescent="0.25">
      <c r="A25" s="95" t="s">
        <v>19</v>
      </c>
      <c r="B25" s="95"/>
      <c r="C25" s="95"/>
      <c r="D25" s="95"/>
      <c r="E25" s="119" t="str">
        <f>IF(AND(G19="Mumbai"),"Upper Class","Middle Class")</f>
        <v>Middle Class</v>
      </c>
      <c r="F25" s="119"/>
      <c r="G25" s="119"/>
      <c r="H25" s="119"/>
    </row>
    <row r="26" spans="1:8" x14ac:dyDescent="0.25">
      <c r="A26" s="95" t="s">
        <v>20</v>
      </c>
      <c r="B26" s="95"/>
      <c r="C26" s="95"/>
      <c r="D26" s="95"/>
      <c r="E26" s="119" t="s">
        <v>21</v>
      </c>
      <c r="F26" s="119"/>
      <c r="G26" s="119"/>
      <c r="H26" s="119"/>
    </row>
    <row r="27" spans="1:8" ht="15.75" customHeight="1" x14ac:dyDescent="0.25">
      <c r="A27" s="95" t="s">
        <v>22</v>
      </c>
      <c r="B27" s="95"/>
      <c r="C27" s="95"/>
      <c r="D27" s="95"/>
      <c r="E27" s="119" t="str">
        <f>IF(AND(G19="Mumbai"),"Developed","Developing")</f>
        <v>Developing</v>
      </c>
      <c r="F27" s="119"/>
      <c r="G27" s="119"/>
      <c r="H27" s="119"/>
    </row>
    <row r="28" spans="1:8" x14ac:dyDescent="0.25">
      <c r="A28" s="95" t="s">
        <v>23</v>
      </c>
      <c r="B28" s="95"/>
      <c r="C28" s="95"/>
      <c r="D28" s="95"/>
      <c r="E28" s="119" t="s">
        <v>24</v>
      </c>
      <c r="F28" s="119"/>
      <c r="G28" s="119"/>
      <c r="H28" s="119"/>
    </row>
    <row r="29" spans="1:8" ht="15.75" customHeight="1" x14ac:dyDescent="0.25">
      <c r="A29" s="95" t="s">
        <v>84</v>
      </c>
      <c r="B29" s="95"/>
      <c r="C29" s="95"/>
      <c r="D29" s="95"/>
      <c r="E29" s="119" t="s">
        <v>85</v>
      </c>
      <c r="F29" s="119"/>
      <c r="G29" s="119"/>
      <c r="H29" s="119"/>
    </row>
    <row r="30" spans="1:8" ht="15" customHeight="1" x14ac:dyDescent="0.25">
      <c r="A30" s="95" t="s">
        <v>33</v>
      </c>
      <c r="B30" s="95"/>
      <c r="C30" s="95"/>
      <c r="D30" s="95"/>
      <c r="E30" s="11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9"/>
      <c r="G30" s="119"/>
      <c r="H30" s="119"/>
    </row>
    <row r="31" spans="1:8" ht="15.75" customHeight="1" x14ac:dyDescent="0.25">
      <c r="A31" s="95" t="s">
        <v>96</v>
      </c>
      <c r="B31" s="95"/>
      <c r="C31" s="95"/>
      <c r="D31" s="95"/>
      <c r="E31" s="119" t="s">
        <v>34</v>
      </c>
      <c r="F31" s="119"/>
      <c r="G31" s="119"/>
      <c r="H31" s="119"/>
    </row>
    <row r="32" spans="1:8" s="20" customFormat="1" x14ac:dyDescent="0.25">
      <c r="A32" s="153" t="s">
        <v>97</v>
      </c>
      <c r="B32" s="153"/>
      <c r="C32" s="152" t="s">
        <v>29</v>
      </c>
      <c r="D32" s="152"/>
      <c r="E32" s="152"/>
      <c r="F32" s="152" t="s">
        <v>31</v>
      </c>
      <c r="G32" s="152"/>
      <c r="H32" s="152"/>
    </row>
    <row r="33" spans="1:8" s="20" customFormat="1" x14ac:dyDescent="0.25">
      <c r="A33" s="150" t="s">
        <v>25</v>
      </c>
      <c r="B33" s="150" t="s">
        <v>30</v>
      </c>
      <c r="C33" s="151" t="s">
        <v>30</v>
      </c>
      <c r="D33" s="151"/>
      <c r="E33" s="151"/>
      <c r="F33" s="151" t="s">
        <v>197</v>
      </c>
      <c r="G33" s="151"/>
      <c r="H33" s="151"/>
    </row>
    <row r="34" spans="1:8" x14ac:dyDescent="0.25">
      <c r="A34" s="150" t="s">
        <v>26</v>
      </c>
      <c r="B34" s="150" t="s">
        <v>30</v>
      </c>
      <c r="C34" s="151" t="s">
        <v>30</v>
      </c>
      <c r="D34" s="151"/>
      <c r="E34" s="151"/>
      <c r="F34" s="151" t="s">
        <v>198</v>
      </c>
      <c r="G34" s="151"/>
      <c r="H34" s="151"/>
    </row>
    <row r="35" spans="1:8" s="20" customFormat="1" x14ac:dyDescent="0.25">
      <c r="A35" s="150" t="s">
        <v>28</v>
      </c>
      <c r="B35" s="150" t="s">
        <v>30</v>
      </c>
      <c r="C35" s="151" t="s">
        <v>30</v>
      </c>
      <c r="D35" s="151"/>
      <c r="E35" s="151"/>
      <c r="F35" s="151" t="s">
        <v>199</v>
      </c>
      <c r="G35" s="151"/>
      <c r="H35" s="151"/>
    </row>
    <row r="36" spans="1:8" x14ac:dyDescent="0.25">
      <c r="A36" s="150" t="s">
        <v>27</v>
      </c>
      <c r="B36" s="150" t="s">
        <v>30</v>
      </c>
      <c r="C36" s="151" t="s">
        <v>30</v>
      </c>
      <c r="D36" s="151"/>
      <c r="E36" s="151"/>
      <c r="F36" s="151" t="s">
        <v>220</v>
      </c>
      <c r="G36" s="151"/>
      <c r="H36" s="151"/>
    </row>
    <row r="37" spans="1:8" x14ac:dyDescent="0.25">
      <c r="A37" s="95" t="s">
        <v>32</v>
      </c>
      <c r="B37" s="95"/>
      <c r="C37" s="95"/>
      <c r="D37" s="95"/>
      <c r="E37" s="95"/>
      <c r="F37" s="95"/>
      <c r="G37" s="95"/>
      <c r="H37" s="95"/>
    </row>
    <row r="38" spans="1:8" ht="15.75" customHeight="1" x14ac:dyDescent="0.25">
      <c r="A38" s="95" t="s">
        <v>175</v>
      </c>
      <c r="B38" s="95"/>
      <c r="C38" s="155" t="s">
        <v>194</v>
      </c>
      <c r="D38" s="155"/>
      <c r="E38" s="155"/>
      <c r="F38" s="155"/>
      <c r="G38" s="155"/>
      <c r="H38" s="155"/>
    </row>
    <row r="39" spans="1:8" x14ac:dyDescent="0.25">
      <c r="A39" s="95" t="s">
        <v>171</v>
      </c>
      <c r="B39" s="95"/>
      <c r="C39" s="185" t="s">
        <v>195</v>
      </c>
      <c r="D39" s="119"/>
      <c r="E39" s="119"/>
      <c r="F39" s="119"/>
      <c r="G39" s="119"/>
      <c r="H39" s="119"/>
    </row>
    <row r="40" spans="1:8" x14ac:dyDescent="0.25">
      <c r="A40" s="155" t="s">
        <v>35</v>
      </c>
      <c r="B40" s="155"/>
      <c r="C40" s="155"/>
      <c r="D40" s="155"/>
      <c r="E40" s="155"/>
      <c r="F40" s="155"/>
      <c r="G40" s="155"/>
      <c r="H40" s="155"/>
    </row>
    <row r="41" spans="1:8" x14ac:dyDescent="0.25">
      <c r="A41" s="95" t="s">
        <v>36</v>
      </c>
      <c r="B41" s="95"/>
      <c r="C41" s="95"/>
      <c r="D41" s="95"/>
      <c r="E41" s="154">
        <v>12939.45</v>
      </c>
      <c r="F41" s="154"/>
      <c r="G41" s="154"/>
      <c r="H41" s="154"/>
    </row>
    <row r="42" spans="1:8" x14ac:dyDescent="0.25">
      <c r="A42" s="95" t="s">
        <v>37</v>
      </c>
      <c r="B42" s="95"/>
      <c r="C42" s="95"/>
      <c r="D42" s="95"/>
      <c r="E42" s="94">
        <v>1.1000000000000001</v>
      </c>
      <c r="F42" s="94"/>
      <c r="G42" s="94"/>
      <c r="H42" s="94"/>
    </row>
    <row r="43" spans="1:8" x14ac:dyDescent="0.25">
      <c r="A43" s="95" t="s">
        <v>38</v>
      </c>
      <c r="B43" s="95"/>
      <c r="C43" s="95"/>
      <c r="D43" s="95"/>
      <c r="E43" s="94">
        <f>E45/E41-E42</f>
        <v>1.047027114753718</v>
      </c>
      <c r="F43" s="94"/>
      <c r="G43" s="94"/>
      <c r="H43" s="94"/>
    </row>
    <row r="44" spans="1:8" x14ac:dyDescent="0.25">
      <c r="A44" s="95" t="s">
        <v>39</v>
      </c>
      <c r="B44" s="95"/>
      <c r="C44" s="95"/>
      <c r="D44" s="95"/>
      <c r="E44" s="94">
        <f>E42+E43</f>
        <v>2.1470271147537181</v>
      </c>
      <c r="F44" s="94"/>
      <c r="G44" s="94"/>
      <c r="H44" s="94"/>
    </row>
    <row r="45" spans="1:8" x14ac:dyDescent="0.25">
      <c r="A45" s="95" t="s">
        <v>95</v>
      </c>
      <c r="B45" s="95"/>
      <c r="C45" s="95"/>
      <c r="D45" s="95"/>
      <c r="E45" s="157">
        <v>27781.35</v>
      </c>
      <c r="F45" s="157"/>
      <c r="G45" s="157"/>
      <c r="H45" s="157"/>
    </row>
    <row r="46" spans="1:8" x14ac:dyDescent="0.25">
      <c r="A46" s="120" t="s">
        <v>40</v>
      </c>
      <c r="B46" s="120"/>
      <c r="C46" s="120"/>
      <c r="D46" s="120"/>
      <c r="E46" s="120" t="s">
        <v>219</v>
      </c>
      <c r="F46" s="120"/>
      <c r="G46" s="120"/>
      <c r="H46" s="120"/>
    </row>
    <row r="47" spans="1:8" x14ac:dyDescent="0.25">
      <c r="A47" s="155" t="s">
        <v>41</v>
      </c>
      <c r="B47" s="155"/>
      <c r="C47" s="155"/>
      <c r="D47" s="155"/>
      <c r="E47" s="155"/>
      <c r="F47" s="155"/>
      <c r="G47" s="155"/>
      <c r="H47" s="155"/>
    </row>
    <row r="48" spans="1:8" ht="33.75" customHeight="1" x14ac:dyDescent="0.25">
      <c r="A48" s="112" t="s">
        <v>159</v>
      </c>
      <c r="B48" s="114"/>
      <c r="C48" s="186" t="s">
        <v>200</v>
      </c>
      <c r="D48" s="187"/>
      <c r="E48" s="187"/>
      <c r="F48" s="187"/>
      <c r="G48" s="187"/>
      <c r="H48" s="188"/>
    </row>
    <row r="49" spans="1:14" ht="15.75" customHeight="1" x14ac:dyDescent="0.25">
      <c r="A49" s="112" t="s">
        <v>42</v>
      </c>
      <c r="B49" s="114"/>
      <c r="C49" s="112" t="s">
        <v>201</v>
      </c>
      <c r="D49" s="113"/>
      <c r="E49" s="114"/>
      <c r="F49" s="16" t="s">
        <v>43</v>
      </c>
      <c r="G49" s="115">
        <v>44371</v>
      </c>
      <c r="H49" s="114"/>
    </row>
    <row r="50" spans="1:14" x14ac:dyDescent="0.25">
      <c r="A50" s="112" t="s">
        <v>44</v>
      </c>
      <c r="B50" s="114"/>
      <c r="C50" s="112" t="str">
        <f>C49</f>
        <v>Mahsul/K-1/Mej-1/BSP/SR/CR/20/21</v>
      </c>
      <c r="D50" s="113"/>
      <c r="E50" s="114"/>
      <c r="F50" s="16" t="s">
        <v>43</v>
      </c>
      <c r="G50" s="115">
        <f>G49</f>
        <v>44371</v>
      </c>
      <c r="H50" s="116"/>
    </row>
    <row r="51" spans="1:14" s="21" customFormat="1" ht="15.75" customHeight="1" x14ac:dyDescent="0.25">
      <c r="A51" s="161" t="s">
        <v>163</v>
      </c>
      <c r="B51" s="162"/>
      <c r="C51" s="112" t="str">
        <f>C50</f>
        <v>Mahsul/K-1/Mej-1/BSP/SR/CR/20/21</v>
      </c>
      <c r="D51" s="113"/>
      <c r="E51" s="114"/>
      <c r="F51" s="16" t="s">
        <v>43</v>
      </c>
      <c r="G51" s="115">
        <f>G50</f>
        <v>44371</v>
      </c>
      <c r="H51" s="116"/>
    </row>
    <row r="52" spans="1:14" s="21" customFormat="1" x14ac:dyDescent="0.25">
      <c r="A52" s="163"/>
      <c r="B52" s="164"/>
      <c r="C52" s="112" t="s">
        <v>218</v>
      </c>
      <c r="D52" s="113"/>
      <c r="E52" s="113"/>
      <c r="F52" s="113"/>
      <c r="G52" s="113"/>
      <c r="H52" s="114"/>
    </row>
    <row r="53" spans="1:14" ht="48.6" customHeight="1" x14ac:dyDescent="0.25">
      <c r="A53" s="121" t="s">
        <v>45</v>
      </c>
      <c r="B53" s="122"/>
      <c r="C53" s="121" t="s">
        <v>225</v>
      </c>
      <c r="D53" s="123"/>
      <c r="E53" s="122"/>
      <c r="F53" s="44" t="s">
        <v>43</v>
      </c>
      <c r="G53" s="136">
        <v>45743</v>
      </c>
      <c r="H53" s="137"/>
    </row>
    <row r="54" spans="1:14" x14ac:dyDescent="0.25">
      <c r="A54" s="134" t="s">
        <v>47</v>
      </c>
      <c r="B54" s="134"/>
      <c r="C54" s="134"/>
      <c r="D54" s="134"/>
      <c r="E54" s="134"/>
      <c r="F54" s="134"/>
      <c r="G54" s="134"/>
      <c r="H54" s="134"/>
    </row>
    <row r="55" spans="1:14" x14ac:dyDescent="0.25">
      <c r="A55" s="135" t="s">
        <v>94</v>
      </c>
      <c r="B55" s="135"/>
      <c r="C55" s="135"/>
      <c r="D55" s="95">
        <f>E45</f>
        <v>27781.35</v>
      </c>
      <c r="E55" s="95"/>
      <c r="F55" s="95"/>
      <c r="G55" s="95"/>
      <c r="H55" s="95"/>
    </row>
    <row r="56" spans="1:14" x14ac:dyDescent="0.25">
      <c r="A56" s="119" t="s">
        <v>48</v>
      </c>
      <c r="B56" s="120"/>
      <c r="C56" s="120"/>
      <c r="D56" s="120" t="s">
        <v>215</v>
      </c>
      <c r="E56" s="120"/>
      <c r="F56" s="120"/>
      <c r="G56" s="120"/>
      <c r="H56" s="120"/>
      <c r="I56" s="22"/>
    </row>
    <row r="57" spans="1:14" x14ac:dyDescent="0.25">
      <c r="A57" s="117" t="s">
        <v>49</v>
      </c>
      <c r="B57" s="118"/>
      <c r="C57" s="160"/>
      <c r="D57" s="158" t="s">
        <v>216</v>
      </c>
      <c r="E57" s="159"/>
      <c r="F57" s="159"/>
      <c r="G57" s="159"/>
      <c r="H57" s="159"/>
    </row>
    <row r="58" spans="1:14" ht="15.75" customHeight="1" x14ac:dyDescent="0.25">
      <c r="A58" s="117" t="s">
        <v>92</v>
      </c>
      <c r="B58" s="118"/>
      <c r="C58" s="118"/>
      <c r="D58" s="119" t="s">
        <v>216</v>
      </c>
      <c r="E58" s="120"/>
      <c r="F58" s="120"/>
      <c r="G58" s="120"/>
      <c r="H58" s="120"/>
    </row>
    <row r="59" spans="1:14" ht="15.75" customHeight="1" x14ac:dyDescent="0.25">
      <c r="A59" s="95" t="s">
        <v>46</v>
      </c>
      <c r="B59" s="95"/>
      <c r="C59" s="95"/>
      <c r="D59" s="156" t="s">
        <v>226</v>
      </c>
      <c r="E59" s="156"/>
      <c r="F59" s="156"/>
      <c r="G59" s="156"/>
      <c r="H59" s="156"/>
      <c r="J59" s="23"/>
      <c r="K59" s="22"/>
      <c r="N59" s="22"/>
    </row>
    <row r="60" spans="1:14" ht="15.75" customHeight="1" x14ac:dyDescent="0.25">
      <c r="A60" s="95" t="s">
        <v>90</v>
      </c>
      <c r="B60" s="95"/>
      <c r="C60" s="95"/>
      <c r="D60" s="170" t="str">
        <f ca="1">(IF(G53="NA","60 Years After Completion",IF(G53&lt;&gt;"NA",""&amp;60-ROUNDDOWN((E3-G53)/360,0)&amp;" Years"," ")))</f>
        <v>60 Years</v>
      </c>
      <c r="E60" s="170"/>
      <c r="F60" s="170"/>
      <c r="G60" s="170"/>
      <c r="H60" s="170"/>
      <c r="N60" s="22"/>
    </row>
    <row r="61" spans="1:14" ht="15.75" customHeight="1" x14ac:dyDescent="0.25">
      <c r="A61" s="95" t="s">
        <v>91</v>
      </c>
      <c r="B61" s="95"/>
      <c r="C61" s="95"/>
      <c r="D61" s="135" t="s">
        <v>24</v>
      </c>
      <c r="E61" s="135"/>
      <c r="F61" s="135"/>
      <c r="G61" s="135"/>
      <c r="H61" s="135"/>
      <c r="J61" s="24"/>
      <c r="K61" s="24"/>
    </row>
    <row r="62" spans="1:14" ht="65.25" customHeight="1" x14ac:dyDescent="0.25">
      <c r="A62" s="95" t="s">
        <v>77</v>
      </c>
      <c r="B62" s="95"/>
      <c r="C62" s="95"/>
      <c r="D62" s="119" t="s">
        <v>217</v>
      </c>
      <c r="E62" s="135"/>
      <c r="F62" s="135"/>
      <c r="G62" s="135"/>
      <c r="H62" s="135"/>
    </row>
    <row r="63" spans="1:14" x14ac:dyDescent="0.25">
      <c r="A63" s="135" t="s">
        <v>155</v>
      </c>
      <c r="B63" s="135"/>
      <c r="C63" s="135"/>
      <c r="D63" s="135" t="s">
        <v>30</v>
      </c>
      <c r="E63" s="135"/>
      <c r="F63" s="135"/>
      <c r="G63" s="135"/>
      <c r="H63" s="135"/>
      <c r="I63" s="25"/>
      <c r="J63" s="25"/>
      <c r="K63" s="25"/>
      <c r="L63" s="25"/>
      <c r="M63" s="25"/>
      <c r="N63" s="25"/>
    </row>
    <row r="64" spans="1:14" ht="15.75" customHeight="1" x14ac:dyDescent="0.25">
      <c r="A64" s="95" t="s">
        <v>89</v>
      </c>
      <c r="B64" s="95"/>
      <c r="C64" s="95"/>
      <c r="D64" s="119" t="str">
        <f ca="1">(IF(G70&gt;95%,"Nothing",IF(G70&gt;0%,"Cement, Aggregate, Steel, etc",IF(G70=0%,"Work not yet Started"))))</f>
        <v>Nothing</v>
      </c>
      <c r="E64" s="119"/>
      <c r="F64" s="119"/>
      <c r="G64" s="119"/>
      <c r="H64" s="119"/>
      <c r="J64" s="24"/>
    </row>
    <row r="65" spans="1:10" ht="33.75" customHeight="1" x14ac:dyDescent="0.25">
      <c r="A65" s="135" t="s">
        <v>120</v>
      </c>
      <c r="B65" s="135"/>
      <c r="C65" s="135"/>
      <c r="D65" s="119" t="str">
        <f ca="1">(IF(D64="Nothing","Yes",IF(D64="Cement, Aggregate, Steel, etc","Under Construction",IF(D64="Work not yet Started","Work not yet Started"))))</f>
        <v>Yes</v>
      </c>
      <c r="E65" s="119"/>
      <c r="F65" s="119" t="str">
        <f ca="1">(IF(D64="Nothing","Yes",IF(D64="Cement, Aggregate, Steel, etc","Under Construction",IF(D64="Work not yet Started","Work not yet Started"))))</f>
        <v>Yes</v>
      </c>
      <c r="G65" s="119"/>
      <c r="H65" s="119"/>
    </row>
    <row r="66" spans="1:10" s="54" customFormat="1" ht="15.75" customHeight="1" x14ac:dyDescent="0.25">
      <c r="A66" s="76" t="s">
        <v>145</v>
      </c>
      <c r="B66" s="76"/>
      <c r="C66" s="76" t="s">
        <v>227</v>
      </c>
      <c r="D66" s="76"/>
      <c r="E66" s="76"/>
      <c r="F66" s="76"/>
      <c r="G66" s="76"/>
      <c r="H66" s="76"/>
      <c r="I66" s="68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46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25">
      <c r="A67" s="66" t="s">
        <v>147</v>
      </c>
      <c r="B67" s="66">
        <f>IF(AND(ISNUMBER(SEARCH("1B",C66))),1,IF(AND(ISNUMBER(SEARCH("2B",C66))),2,IF(AND(ISNUMBER(SEARCH("3B",C66))),3,IF(AND(ISNUMBER(SEARCH("4B",C66))),4,IF(ISNUMBER(SEARCH("5B",C66)),5,0)))))</f>
        <v>0</v>
      </c>
      <c r="C67" s="66" t="s">
        <v>74</v>
      </c>
      <c r="D67" s="66">
        <v>1</v>
      </c>
      <c r="E67" s="66" t="s">
        <v>73</v>
      </c>
      <c r="F67" s="66">
        <v>0</v>
      </c>
      <c r="G67" s="66" t="s">
        <v>83</v>
      </c>
      <c r="H67" s="66">
        <f ca="1">--TRIM(RIGHT(SUBSTITUTE(LEFT(C66,_xlfn.AGGREGATE(16,6,FIND({0,1,2,3,4,5,6,7,8,9},C66,ROW(INDIRECT("1:"&amp;LEN(C66)))),1))," ",REPT(" ",LEN(C66))),LEN(C66)))</f>
        <v>7</v>
      </c>
      <c r="I67" s="6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78" t="s">
        <v>93</v>
      </c>
      <c r="B68" s="78"/>
      <c r="C68" s="76" t="str">
        <f ca="1">I66</f>
        <v>All work Completed. Possession granted to the Building.</v>
      </c>
      <c r="D68" s="76"/>
      <c r="E68" s="76"/>
      <c r="F68" s="76"/>
      <c r="G68" s="76"/>
      <c r="H68" s="76"/>
      <c r="I68" s="70" t="str">
        <f ca="1">IF(I67&lt;&gt;""," Completed","")</f>
        <v xml:space="preserve"> Completed</v>
      </c>
      <c r="J68" s="47" t="str">
        <f ca="1">IF(J66&lt;&gt;"","Completed","")</f>
        <v/>
      </c>
    </row>
    <row r="69" spans="1:10" ht="15.75" customHeight="1" x14ac:dyDescent="0.25">
      <c r="A69" s="81" t="s">
        <v>50</v>
      </c>
      <c r="B69" s="81"/>
      <c r="C69" s="64" t="s">
        <v>144</v>
      </c>
      <c r="D69" s="64" t="s">
        <v>86</v>
      </c>
      <c r="E69" s="81" t="s">
        <v>88</v>
      </c>
      <c r="F69" s="81"/>
      <c r="G69" s="81" t="s">
        <v>87</v>
      </c>
      <c r="H69" s="81"/>
      <c r="I69" s="14" t="s">
        <v>146</v>
      </c>
      <c r="J69" s="26">
        <f ca="1">H67*25%</f>
        <v>1.75</v>
      </c>
    </row>
    <row r="70" spans="1:10" x14ac:dyDescent="0.25">
      <c r="A70" s="81" t="s">
        <v>133</v>
      </c>
      <c r="B70" s="81"/>
      <c r="C70" s="64">
        <f ca="1">J71</f>
        <v>7</v>
      </c>
      <c r="D70" s="17">
        <f ca="1">((100/H67)*C70)/100</f>
        <v>1</v>
      </c>
      <c r="E70" s="138">
        <f ca="1">(((C71/H67*10)+(40/(D67+F67+H67)*C72)+(7.5/(H67)*C73)+(7.5/(H67)*C74)+(10/H67*C75)+(10/H67*C76)+(5/H67*C77)+(5/H67*C78)+(5/H67*C79))/100)</f>
        <v>1</v>
      </c>
      <c r="F70" s="138"/>
      <c r="G70" s="138">
        <f ca="1">((((C70/H67)*20)+((C71/H67)*25)+(30/(H67+F67+D67)*C72)+(5/H67*C73)+(5/H67*C74)+(5/H67*C75)+(5/H67*C76)+(0/H67*C77)+(0/H67*C78)+(5/H67*C79))/100)</f>
        <v>1</v>
      </c>
      <c r="H70" s="138"/>
      <c r="I70" s="14" t="s">
        <v>103</v>
      </c>
      <c r="J70" s="27">
        <f ca="1">H67*50%</f>
        <v>3.5</v>
      </c>
    </row>
    <row r="71" spans="1:10" x14ac:dyDescent="0.25">
      <c r="A71" s="81" t="s">
        <v>51</v>
      </c>
      <c r="B71" s="81"/>
      <c r="C71" s="48">
        <f ca="1">J79</f>
        <v>7</v>
      </c>
      <c r="D71" s="17">
        <f ca="1">((100/H67)*C71)/100</f>
        <v>1</v>
      </c>
      <c r="E71" s="138"/>
      <c r="F71" s="138"/>
      <c r="G71" s="138"/>
      <c r="H71" s="138"/>
      <c r="I71" s="14" t="s">
        <v>104</v>
      </c>
      <c r="J71" s="27">
        <f ca="1">H67</f>
        <v>7</v>
      </c>
    </row>
    <row r="72" spans="1:10" ht="15.75" customHeight="1" x14ac:dyDescent="0.25">
      <c r="A72" s="81" t="s">
        <v>134</v>
      </c>
      <c r="B72" s="81"/>
      <c r="C72" s="64">
        <v>8</v>
      </c>
      <c r="D72" s="17">
        <f ca="1">((100/(D67+F67+H67))*C72)/100</f>
        <v>1</v>
      </c>
      <c r="E72" s="138"/>
      <c r="F72" s="138"/>
      <c r="G72" s="138"/>
      <c r="H72" s="138"/>
      <c r="I72" s="14" t="s">
        <v>105</v>
      </c>
      <c r="J72" s="28">
        <f ca="1">(IF(B67&gt;1,(H67/(B67+2)),H67/4))</f>
        <v>1.75</v>
      </c>
    </row>
    <row r="73" spans="1:10" ht="15.75" customHeight="1" x14ac:dyDescent="0.25">
      <c r="A73" s="81" t="s">
        <v>141</v>
      </c>
      <c r="B73" s="81" t="s">
        <v>135</v>
      </c>
      <c r="C73" s="64">
        <v>7</v>
      </c>
      <c r="D73" s="17">
        <f ca="1">((100/H67)*C73)/100</f>
        <v>1</v>
      </c>
      <c r="E73" s="138"/>
      <c r="F73" s="138"/>
      <c r="G73" s="138"/>
      <c r="H73" s="138"/>
      <c r="I73" s="14" t="s">
        <v>106</v>
      </c>
      <c r="J73" s="28">
        <f ca="1">(IF(B67&gt;1,(H67/(B67+2)+J72),H67/4+J72))</f>
        <v>3.5</v>
      </c>
    </row>
    <row r="74" spans="1:10" ht="15.75" customHeight="1" x14ac:dyDescent="0.25">
      <c r="A74" s="81" t="s">
        <v>142</v>
      </c>
      <c r="B74" s="81" t="s">
        <v>135</v>
      </c>
      <c r="C74" s="64">
        <v>7</v>
      </c>
      <c r="D74" s="17">
        <f ca="1">((100/H67)*C74)/100</f>
        <v>1</v>
      </c>
      <c r="E74" s="138"/>
      <c r="F74" s="138"/>
      <c r="G74" s="138"/>
      <c r="H74" s="138"/>
      <c r="I74" s="14" t="s">
        <v>153</v>
      </c>
      <c r="J74" s="28">
        <f>(IF(B67&gt;1,(H67/(B67+2)+J73),0))</f>
        <v>0</v>
      </c>
    </row>
    <row r="75" spans="1:10" ht="15" customHeight="1" x14ac:dyDescent="0.25">
      <c r="A75" s="81" t="s">
        <v>140</v>
      </c>
      <c r="B75" s="81" t="s">
        <v>137</v>
      </c>
      <c r="C75" s="64">
        <v>7</v>
      </c>
      <c r="D75" s="17">
        <f ca="1">((100/(H67))*C75)/100</f>
        <v>1</v>
      </c>
      <c r="E75" s="138"/>
      <c r="F75" s="138"/>
      <c r="G75" s="138"/>
      <c r="H75" s="138"/>
      <c r="I75" s="14" t="s">
        <v>148</v>
      </c>
      <c r="J75" s="28">
        <f>(IF(B67&gt;2,(H67/(B67+2)+J74),0))</f>
        <v>0</v>
      </c>
    </row>
    <row r="76" spans="1:10" ht="15.75" customHeight="1" x14ac:dyDescent="0.25">
      <c r="A76" s="81" t="s">
        <v>136</v>
      </c>
      <c r="B76" s="81" t="s">
        <v>136</v>
      </c>
      <c r="C76" s="64">
        <v>7</v>
      </c>
      <c r="D76" s="17">
        <f ca="1">((100/H67)*C76)/100</f>
        <v>1</v>
      </c>
      <c r="E76" s="138"/>
      <c r="F76" s="138"/>
      <c r="G76" s="138"/>
      <c r="H76" s="138"/>
      <c r="I76" s="14" t="s">
        <v>149</v>
      </c>
      <c r="J76" s="29">
        <f>(IF(B67&gt;3,(H67/(B67+2)+J75),0))</f>
        <v>0</v>
      </c>
    </row>
    <row r="77" spans="1:10" ht="15.75" customHeight="1" x14ac:dyDescent="0.25">
      <c r="A77" s="81" t="s">
        <v>143</v>
      </c>
      <c r="B77" s="81"/>
      <c r="C77" s="64">
        <v>7</v>
      </c>
      <c r="D77" s="17">
        <f ca="1">((100/H67)*C77)/100</f>
        <v>1</v>
      </c>
      <c r="E77" s="138"/>
      <c r="F77" s="138"/>
      <c r="G77" s="138"/>
      <c r="H77" s="138"/>
      <c r="I77" s="14" t="s">
        <v>150</v>
      </c>
      <c r="J77" s="28">
        <f>(IF(B67&gt;4,(H67/(B67+2)+J76),0))</f>
        <v>0</v>
      </c>
    </row>
    <row r="78" spans="1:10" ht="15.75" customHeight="1" x14ac:dyDescent="0.25">
      <c r="A78" s="81" t="s">
        <v>138</v>
      </c>
      <c r="B78" s="81" t="s">
        <v>138</v>
      </c>
      <c r="C78" s="64">
        <v>7</v>
      </c>
      <c r="D78" s="17">
        <f ca="1">((100/(H67))*C78)/100</f>
        <v>1</v>
      </c>
      <c r="E78" s="138"/>
      <c r="F78" s="138"/>
      <c r="G78" s="138"/>
      <c r="H78" s="138"/>
      <c r="I78" s="14" t="s">
        <v>154</v>
      </c>
      <c r="J78" s="28">
        <f ca="1">(IF(B67=1,(H67/(B67+3)+J73),IF(B67=0,(H67/4+J73),IF(B67&gt;1,0))))</f>
        <v>5.25</v>
      </c>
    </row>
    <row r="79" spans="1:10" ht="16.5" thickBot="1" x14ac:dyDescent="0.3">
      <c r="A79" s="81" t="s">
        <v>139</v>
      </c>
      <c r="B79" s="81"/>
      <c r="C79" s="64">
        <v>7</v>
      </c>
      <c r="D79" s="17">
        <f ca="1">((100/(H67))*C79)/100</f>
        <v>1</v>
      </c>
      <c r="E79" s="138"/>
      <c r="F79" s="138"/>
      <c r="G79" s="138"/>
      <c r="H79" s="138"/>
      <c r="I79" s="15" t="s">
        <v>107</v>
      </c>
      <c r="J79" s="30">
        <f ca="1">(IF(B67&gt;1.5,(H67/(B67+2)+J73+MAX(0,J74-J73)+MAX(0,J75-J74)+MAX(0,J76-J75)+MAX(0,J77-J76)+MAX(0,J78-J77)),IF(B67=1,(H67/(B67+3)+J78),IF(B67=0,H67/4+J78))))</f>
        <v>7</v>
      </c>
    </row>
    <row r="80" spans="1:10" s="54" customFormat="1" ht="15.75" hidden="1" customHeight="1" x14ac:dyDescent="0.25">
      <c r="A80" s="139" t="s">
        <v>145</v>
      </c>
      <c r="B80" s="139"/>
      <c r="C80" s="139" t="s">
        <v>222</v>
      </c>
      <c r="D80" s="139"/>
      <c r="E80" s="139"/>
      <c r="F80" s="139"/>
      <c r="G80" s="139"/>
      <c r="H80" s="139"/>
      <c r="I80" s="59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Plaster, Flooring, Painting Completed, Finishing upto 2 Floor Completed</v>
      </c>
      <c r="J80" s="46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Finishing upto 2 Floor</v>
      </c>
    </row>
    <row r="81" spans="1:10" hidden="1" x14ac:dyDescent="0.25">
      <c r="A81" s="55" t="s">
        <v>147</v>
      </c>
      <c r="B81" s="56">
        <f>IF(AND(ISNUMBER(SEARCH("1B",C80))),1,IF(AND(ISNUMBER(SEARCH("2B",C80))),2,IF(AND(ISNUMBER(SEARCH("3B",C80))),3,IF(AND(ISNUMBER(SEARCH("4B",C80))),4,IF(ISNUMBER(SEARCH("5B",C80)),5,0)))))</f>
        <v>0</v>
      </c>
      <c r="C81" s="56" t="s">
        <v>74</v>
      </c>
      <c r="D81" s="56">
        <v>1</v>
      </c>
      <c r="E81" s="56" t="s">
        <v>73</v>
      </c>
      <c r="F81" s="56">
        <v>0</v>
      </c>
      <c r="G81" s="56" t="s">
        <v>83</v>
      </c>
      <c r="H81" s="57">
        <f ca="1">--TRIM(RIGHT(SUBSTITUTE(LEFT(C80,_xlfn.AGGREGATE(16,6,FIND({0,1,2,3,4,5,6,7,8,9},C80,ROW(INDIRECT("1:"&amp;LEN(C80)))),1))," ",REPT(" ",LEN(C80))),LEN(C80)))</f>
        <v>7</v>
      </c>
      <c r="I81" s="58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Plaster, Flooring, Painting</v>
      </c>
      <c r="J81" s="53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idden="1" x14ac:dyDescent="0.25">
      <c r="A82" s="77" t="s">
        <v>93</v>
      </c>
      <c r="B82" s="78"/>
      <c r="C82" s="76" t="str">
        <f ca="1">I80</f>
        <v>Excavation, Plinth, RCC Slab, Brickwork, Internal Plaster, External Plaster, Flooring, Painting Completed, Finishing upto 2 Floor Completed</v>
      </c>
      <c r="D82" s="76"/>
      <c r="E82" s="76"/>
      <c r="F82" s="76"/>
      <c r="G82" s="76"/>
      <c r="H82" s="79"/>
      <c r="I82" s="46" t="str">
        <f ca="1">IF(I81&lt;&gt;""," Completed","")</f>
        <v xml:space="preserve"> Completed</v>
      </c>
      <c r="J82" s="47" t="str">
        <f ca="1">IF(J80&lt;&gt;"","Completed","")</f>
        <v>Completed</v>
      </c>
    </row>
    <row r="83" spans="1:10" ht="15.75" hidden="1" customHeight="1" x14ac:dyDescent="0.25">
      <c r="A83" s="80" t="s">
        <v>50</v>
      </c>
      <c r="B83" s="81"/>
      <c r="C83" s="60" t="s">
        <v>144</v>
      </c>
      <c r="D83" s="60" t="s">
        <v>86</v>
      </c>
      <c r="E83" s="81" t="s">
        <v>88</v>
      </c>
      <c r="F83" s="81"/>
      <c r="G83" s="81" t="s">
        <v>87</v>
      </c>
      <c r="H83" s="82"/>
      <c r="I83" s="14" t="s">
        <v>146</v>
      </c>
      <c r="J83" s="26">
        <f ca="1">H81*25%</f>
        <v>1.75</v>
      </c>
    </row>
    <row r="84" spans="1:10" hidden="1" x14ac:dyDescent="0.25">
      <c r="A84" s="80" t="s">
        <v>133</v>
      </c>
      <c r="B84" s="81"/>
      <c r="C84" s="60">
        <f ca="1">J85</f>
        <v>7</v>
      </c>
      <c r="D84" s="17">
        <f ca="1">((100/H81)*C84)/100</f>
        <v>1</v>
      </c>
      <c r="E84" s="83">
        <f ca="1">(((C85/H81*10)+(40/(D81+F81+H81)*C86)+(7.5/(H81)*C87)+(7.5/(H81)*C88)+(10/H81*C89)+(10/H81*C90)+(5/H81*C91)+(5/H81*C92)+(5/H81*C93))/100)</f>
        <v>0.91428571428571426</v>
      </c>
      <c r="F84" s="84"/>
      <c r="G84" s="83">
        <f ca="1">((((C84/H81)*20)+((C85/H81)*25)+(30/(H81+F81+D81)*C86)+(5/H81*C87)+(5/H81*C88)+(5/H81*C89)+(5/H81*C90)+(0/H81*C91)+(0/H81*C92)+(5/H81*C93))/100)</f>
        <v>0.95</v>
      </c>
      <c r="H84" s="89"/>
      <c r="I84" s="14" t="s">
        <v>103</v>
      </c>
      <c r="J84" s="27">
        <f ca="1">H81*50%</f>
        <v>3.5</v>
      </c>
    </row>
    <row r="85" spans="1:10" hidden="1" x14ac:dyDescent="0.25">
      <c r="A85" s="80" t="s">
        <v>51</v>
      </c>
      <c r="B85" s="81"/>
      <c r="C85" s="48">
        <f ca="1">J93</f>
        <v>7</v>
      </c>
      <c r="D85" s="17">
        <f ca="1">((100/H81)*C85)/100</f>
        <v>1</v>
      </c>
      <c r="E85" s="85"/>
      <c r="F85" s="86"/>
      <c r="G85" s="85"/>
      <c r="H85" s="90"/>
      <c r="I85" s="14" t="s">
        <v>104</v>
      </c>
      <c r="J85" s="27">
        <f ca="1">H81</f>
        <v>7</v>
      </c>
    </row>
    <row r="86" spans="1:10" ht="15.75" hidden="1" customHeight="1" x14ac:dyDescent="0.25">
      <c r="A86" s="80" t="s">
        <v>134</v>
      </c>
      <c r="B86" s="81"/>
      <c r="C86" s="60">
        <v>8</v>
      </c>
      <c r="D86" s="17">
        <f ca="1">((100/(D81+F81+H81))*C86)/100</f>
        <v>1</v>
      </c>
      <c r="E86" s="85"/>
      <c r="F86" s="86"/>
      <c r="G86" s="85"/>
      <c r="H86" s="90"/>
      <c r="I86" s="14" t="s">
        <v>105</v>
      </c>
      <c r="J86" s="28">
        <f ca="1">(IF(B81&gt;1,(H81/(B81+2)),H81/4))</f>
        <v>1.75</v>
      </c>
    </row>
    <row r="87" spans="1:10" ht="15.75" hidden="1" customHeight="1" x14ac:dyDescent="0.25">
      <c r="A87" s="80" t="s">
        <v>141</v>
      </c>
      <c r="B87" s="81" t="s">
        <v>135</v>
      </c>
      <c r="C87" s="60">
        <v>7</v>
      </c>
      <c r="D87" s="17">
        <f ca="1">((100/H81)*C87)/100</f>
        <v>1</v>
      </c>
      <c r="E87" s="85"/>
      <c r="F87" s="86"/>
      <c r="G87" s="85"/>
      <c r="H87" s="90"/>
      <c r="I87" s="14" t="s">
        <v>106</v>
      </c>
      <c r="J87" s="28">
        <f ca="1">(IF(B81&gt;1,(H81/(B81+2)+J86),H81/4+J86))</f>
        <v>3.5</v>
      </c>
    </row>
    <row r="88" spans="1:10" ht="15.75" hidden="1" customHeight="1" x14ac:dyDescent="0.25">
      <c r="A88" s="80" t="s">
        <v>142</v>
      </c>
      <c r="B88" s="81" t="s">
        <v>135</v>
      </c>
      <c r="C88" s="60">
        <v>7</v>
      </c>
      <c r="D88" s="17">
        <f ca="1">((100/H81)*C88)/100</f>
        <v>1</v>
      </c>
      <c r="E88" s="85"/>
      <c r="F88" s="86"/>
      <c r="G88" s="85"/>
      <c r="H88" s="90"/>
      <c r="I88" s="14" t="s">
        <v>153</v>
      </c>
      <c r="J88" s="28">
        <f>(IF(B81&gt;1,(H81/(B81+2)+J87),0))</f>
        <v>0</v>
      </c>
    </row>
    <row r="89" spans="1:10" ht="15" hidden="1" customHeight="1" x14ac:dyDescent="0.25">
      <c r="A89" s="80" t="s">
        <v>140</v>
      </c>
      <c r="B89" s="81" t="s">
        <v>137</v>
      </c>
      <c r="C89" s="60">
        <v>7</v>
      </c>
      <c r="D89" s="17">
        <f ca="1">((100/(H81))*C89)/100</f>
        <v>1</v>
      </c>
      <c r="E89" s="85"/>
      <c r="F89" s="86"/>
      <c r="G89" s="85"/>
      <c r="H89" s="90"/>
      <c r="I89" s="14" t="s">
        <v>148</v>
      </c>
      <c r="J89" s="28">
        <f>(IF(B81&gt;2,(H81/(B81+2)+J88),0))</f>
        <v>0</v>
      </c>
    </row>
    <row r="90" spans="1:10" ht="15.75" hidden="1" customHeight="1" x14ac:dyDescent="0.25">
      <c r="A90" s="80" t="s">
        <v>136</v>
      </c>
      <c r="B90" s="81" t="s">
        <v>136</v>
      </c>
      <c r="C90" s="60">
        <v>7</v>
      </c>
      <c r="D90" s="17">
        <f ca="1">((100/H81)*C90)/100</f>
        <v>1</v>
      </c>
      <c r="E90" s="85"/>
      <c r="F90" s="86"/>
      <c r="G90" s="85"/>
      <c r="H90" s="90"/>
      <c r="I90" s="14" t="s">
        <v>149</v>
      </c>
      <c r="J90" s="29">
        <f>(IF(B81&gt;3,(H81/(B81+2)+J89),0))</f>
        <v>0</v>
      </c>
    </row>
    <row r="91" spans="1:10" ht="15.75" hidden="1" customHeight="1" x14ac:dyDescent="0.25">
      <c r="A91" s="80" t="s">
        <v>143</v>
      </c>
      <c r="B91" s="81"/>
      <c r="C91" s="60">
        <v>7</v>
      </c>
      <c r="D91" s="17">
        <f ca="1">((100/H81)*C91)/100</f>
        <v>1</v>
      </c>
      <c r="E91" s="85"/>
      <c r="F91" s="86"/>
      <c r="G91" s="85"/>
      <c r="H91" s="90"/>
      <c r="I91" s="14" t="s">
        <v>150</v>
      </c>
      <c r="J91" s="28">
        <f>(IF(B81&gt;4,(H81/(B81+2)+J90),0))</f>
        <v>0</v>
      </c>
    </row>
    <row r="92" spans="1:10" ht="15.75" hidden="1" customHeight="1" x14ac:dyDescent="0.25">
      <c r="A92" s="80" t="s">
        <v>138</v>
      </c>
      <c r="B92" s="81" t="s">
        <v>138</v>
      </c>
      <c r="C92" s="60">
        <v>2</v>
      </c>
      <c r="D92" s="17">
        <f ca="1">((100/(H81))*C92)/100</f>
        <v>0.28571428571428575</v>
      </c>
      <c r="E92" s="85"/>
      <c r="F92" s="86"/>
      <c r="G92" s="85"/>
      <c r="H92" s="90"/>
      <c r="I92" s="14" t="s">
        <v>154</v>
      </c>
      <c r="J92" s="28">
        <f ca="1">(IF(B81=1,(H81/(B81+3)+J87),IF(B81=0,(H81/4+J87),IF(B81&gt;1,0))))</f>
        <v>5.25</v>
      </c>
    </row>
    <row r="93" spans="1:10" ht="16.5" hidden="1" thickBot="1" x14ac:dyDescent="0.3">
      <c r="A93" s="92" t="s">
        <v>139</v>
      </c>
      <c r="B93" s="93"/>
      <c r="C93" s="61">
        <v>0</v>
      </c>
      <c r="D93" s="18">
        <f ca="1">((100/(H81))*C93)/100</f>
        <v>0</v>
      </c>
      <c r="E93" s="87"/>
      <c r="F93" s="88"/>
      <c r="G93" s="87"/>
      <c r="H93" s="91"/>
      <c r="I93" s="15" t="s">
        <v>107</v>
      </c>
      <c r="J93" s="30">
        <f ca="1">(IF(B81&gt;1.5,(H81/(B81+2)+J87+MAX(0,J88-J87)+MAX(0,J89-J88)+MAX(0,J90-J89)+MAX(0,J91-J90)+MAX(0,J92-J91)),IF(B81=1,(H81/(B81+3)+J92),IF(B81=0,H81/4+J92))))</f>
        <v>7</v>
      </c>
    </row>
    <row r="94" spans="1:10" s="54" customFormat="1" ht="15.75" hidden="1" customHeight="1" x14ac:dyDescent="0.25">
      <c r="A94" s="76" t="s">
        <v>145</v>
      </c>
      <c r="B94" s="76"/>
      <c r="C94" s="76" t="s">
        <v>224</v>
      </c>
      <c r="D94" s="76"/>
      <c r="E94" s="76"/>
      <c r="F94" s="76"/>
      <c r="G94" s="76"/>
      <c r="H94" s="76"/>
      <c r="I94" s="59" t="str">
        <f ca="1">IF(D107=100%,"All work Completed. Possession granted to the Building.",IF(D106=100%,"All work Completed, Waiting for OC",I95&amp;""&amp;I96&amp;""&amp;J95&amp;""&amp;J94&amp;" "&amp;J96))</f>
        <v>Excavation, Plinth, RCC Slab, Brickwork, Internal Plaster, External Plaster, Flooring Completed, Painting upto 6 Floor, Finishing upto 4 Floor Completed</v>
      </c>
      <c r="J94" s="46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Painting upto 6 Floor, Finishing upto 4 Floor</v>
      </c>
    </row>
    <row r="95" spans="1:10" hidden="1" x14ac:dyDescent="0.25">
      <c r="A95" s="55" t="s">
        <v>147</v>
      </c>
      <c r="B95" s="56">
        <f>IF(AND(ISNUMBER(SEARCH("1B",C94))),1,IF(AND(ISNUMBER(SEARCH("2B",C94))),2,IF(AND(ISNUMBER(SEARCH("3B",C94))),3,IF(AND(ISNUMBER(SEARCH("4B",C94))),4,IF(ISNUMBER(SEARCH("5B",C94)),5,0)))))</f>
        <v>0</v>
      </c>
      <c r="C95" s="56" t="s">
        <v>74</v>
      </c>
      <c r="D95" s="56">
        <v>1</v>
      </c>
      <c r="E95" s="56" t="s">
        <v>73</v>
      </c>
      <c r="F95" s="56">
        <v>0</v>
      </c>
      <c r="G95" s="56" t="s">
        <v>83</v>
      </c>
      <c r="H95" s="57">
        <f ca="1">--TRIM(RIGHT(SUBSTITUTE(LEFT(C94,_xlfn.AGGREGATE(16,6,FIND({0,1,2,3,4,5,6,7,8,9},C94,ROW(INDIRECT("1:"&amp;LEN(C94)))),1))," ",REPT(" ",LEN(C94))),LEN(C94)))</f>
        <v>7</v>
      </c>
      <c r="I95" s="58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Slab, Brickwork, Internal Plaster, External Plaster, Flooring</v>
      </c>
      <c r="J95" s="53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3" hidden="1" customHeight="1" x14ac:dyDescent="0.25">
      <c r="A96" s="77" t="s">
        <v>93</v>
      </c>
      <c r="B96" s="78"/>
      <c r="C96" s="76" t="str">
        <f ca="1">I94</f>
        <v>Excavation, Plinth, RCC Slab, Brickwork, Internal Plaster, External Plaster, Flooring Completed, Painting upto 6 Floor, Finishing upto 4 Floor Completed</v>
      </c>
      <c r="D96" s="76"/>
      <c r="E96" s="76"/>
      <c r="F96" s="76"/>
      <c r="G96" s="76"/>
      <c r="H96" s="79"/>
      <c r="I96" s="46" t="str">
        <f ca="1">IF(I95&lt;&gt;""," Completed","")</f>
        <v xml:space="preserve"> Completed</v>
      </c>
      <c r="J96" s="47" t="str">
        <f ca="1">IF(J94&lt;&gt;"","Completed","")</f>
        <v>Completed</v>
      </c>
    </row>
    <row r="97" spans="1:10" ht="15.75" hidden="1" customHeight="1" x14ac:dyDescent="0.25">
      <c r="A97" s="80" t="s">
        <v>50</v>
      </c>
      <c r="B97" s="81"/>
      <c r="C97" s="42" t="s">
        <v>144</v>
      </c>
      <c r="D97" s="42" t="s">
        <v>86</v>
      </c>
      <c r="E97" s="81" t="s">
        <v>88</v>
      </c>
      <c r="F97" s="81"/>
      <c r="G97" s="81" t="s">
        <v>87</v>
      </c>
      <c r="H97" s="82"/>
      <c r="I97" s="14" t="s">
        <v>146</v>
      </c>
      <c r="J97" s="26">
        <f ca="1">H95*25%</f>
        <v>1.75</v>
      </c>
    </row>
    <row r="98" spans="1:10" hidden="1" x14ac:dyDescent="0.25">
      <c r="A98" s="80" t="s">
        <v>133</v>
      </c>
      <c r="B98" s="81"/>
      <c r="C98" s="42">
        <f ca="1">J99</f>
        <v>7</v>
      </c>
      <c r="D98" s="17">
        <f ca="1">((100/H95)*C98)/100</f>
        <v>1</v>
      </c>
      <c r="E98" s="83">
        <f ca="1">(((C99/H95*10)+(40/(D95+F95+H95)*C100)+(7.5/(H95)*C101)+(7.5/(H95)*C102)+(10/H95*C103)+(10/H95*C104)+(5/H95*C105)+(5/H95*C106)+(5/H95*C107))/100)</f>
        <v>0.92142857142857149</v>
      </c>
      <c r="F98" s="84"/>
      <c r="G98" s="83">
        <f ca="1">((((C98/H95)*20)+((C99/H95)*25)+(30/(H95+F95+D95)*C100)+(5/H95*C101)+(5/H95*C102)+(5/H95*C103)+(5/H95*C104)+(0/H95*C105)+(0/H95*C106)+(5/H95*C107))/100)</f>
        <v>0.95</v>
      </c>
      <c r="H98" s="89"/>
      <c r="I98" s="14" t="s">
        <v>103</v>
      </c>
      <c r="J98" s="27">
        <f ca="1">H95*50%</f>
        <v>3.5</v>
      </c>
    </row>
    <row r="99" spans="1:10" hidden="1" x14ac:dyDescent="0.25">
      <c r="A99" s="80" t="s">
        <v>51</v>
      </c>
      <c r="B99" s="81"/>
      <c r="C99" s="48">
        <f ca="1">J107</f>
        <v>7</v>
      </c>
      <c r="D99" s="17">
        <f ca="1">((100/H95)*C99)/100</f>
        <v>1</v>
      </c>
      <c r="E99" s="85"/>
      <c r="F99" s="86"/>
      <c r="G99" s="85"/>
      <c r="H99" s="90"/>
      <c r="I99" s="14" t="s">
        <v>104</v>
      </c>
      <c r="J99" s="27">
        <f ca="1">H95</f>
        <v>7</v>
      </c>
    </row>
    <row r="100" spans="1:10" ht="15.75" hidden="1" customHeight="1" x14ac:dyDescent="0.25">
      <c r="A100" s="80" t="s">
        <v>134</v>
      </c>
      <c r="B100" s="81"/>
      <c r="C100" s="42">
        <v>8</v>
      </c>
      <c r="D100" s="17">
        <f ca="1">((100/(D95+F95+H95))*C100)/100</f>
        <v>1</v>
      </c>
      <c r="E100" s="85"/>
      <c r="F100" s="86"/>
      <c r="G100" s="85"/>
      <c r="H100" s="90"/>
      <c r="I100" s="14" t="s">
        <v>105</v>
      </c>
      <c r="J100" s="28">
        <f ca="1">(IF(B95&gt;1,(H95/(B95+2)),H95/4))</f>
        <v>1.75</v>
      </c>
    </row>
    <row r="101" spans="1:10" ht="15.75" hidden="1" customHeight="1" x14ac:dyDescent="0.25">
      <c r="A101" s="80" t="s">
        <v>141</v>
      </c>
      <c r="B101" s="81" t="s">
        <v>135</v>
      </c>
      <c r="C101" s="42">
        <v>7</v>
      </c>
      <c r="D101" s="17">
        <f ca="1">((100/H95)*C101)/100</f>
        <v>1</v>
      </c>
      <c r="E101" s="85"/>
      <c r="F101" s="86"/>
      <c r="G101" s="85"/>
      <c r="H101" s="90"/>
      <c r="I101" s="14" t="s">
        <v>106</v>
      </c>
      <c r="J101" s="28">
        <f ca="1">(IF(B95&gt;1,(H95/(B95+2)+J100),H95/4+J100))</f>
        <v>3.5</v>
      </c>
    </row>
    <row r="102" spans="1:10" ht="15.75" hidden="1" customHeight="1" x14ac:dyDescent="0.25">
      <c r="A102" s="80" t="s">
        <v>142</v>
      </c>
      <c r="B102" s="81" t="s">
        <v>135</v>
      </c>
      <c r="C102" s="42">
        <v>7</v>
      </c>
      <c r="D102" s="17">
        <f ca="1">((100/H95)*C102)/100</f>
        <v>1</v>
      </c>
      <c r="E102" s="85"/>
      <c r="F102" s="86"/>
      <c r="G102" s="85"/>
      <c r="H102" s="90"/>
      <c r="I102" s="14" t="s">
        <v>153</v>
      </c>
      <c r="J102" s="28">
        <f>(IF(B95&gt;1,(H95/(B95+2)+J101),0))</f>
        <v>0</v>
      </c>
    </row>
    <row r="103" spans="1:10" ht="15" hidden="1" customHeight="1" x14ac:dyDescent="0.25">
      <c r="A103" s="80" t="s">
        <v>140</v>
      </c>
      <c r="B103" s="81" t="s">
        <v>137</v>
      </c>
      <c r="C103" s="42">
        <v>7</v>
      </c>
      <c r="D103" s="17">
        <f ca="1">((100/(H95))*C103)/100</f>
        <v>1</v>
      </c>
      <c r="E103" s="85"/>
      <c r="F103" s="86"/>
      <c r="G103" s="85"/>
      <c r="H103" s="90"/>
      <c r="I103" s="14" t="s">
        <v>148</v>
      </c>
      <c r="J103" s="28">
        <f>(IF(B95&gt;2,(H95/(B95+2)+J102),0))</f>
        <v>0</v>
      </c>
    </row>
    <row r="104" spans="1:10" ht="15.75" hidden="1" customHeight="1" x14ac:dyDescent="0.25">
      <c r="A104" s="80" t="s">
        <v>136</v>
      </c>
      <c r="B104" s="81" t="s">
        <v>136</v>
      </c>
      <c r="C104" s="42">
        <v>7</v>
      </c>
      <c r="D104" s="17">
        <f ca="1">((100/H95)*C104)/100</f>
        <v>1</v>
      </c>
      <c r="E104" s="85"/>
      <c r="F104" s="86"/>
      <c r="G104" s="85"/>
      <c r="H104" s="90"/>
      <c r="I104" s="14" t="s">
        <v>149</v>
      </c>
      <c r="J104" s="29">
        <f>(IF(B95&gt;3,(H95/(B95+2)+J103),0))</f>
        <v>0</v>
      </c>
    </row>
    <row r="105" spans="1:10" ht="15.75" hidden="1" customHeight="1" x14ac:dyDescent="0.25">
      <c r="A105" s="80" t="s">
        <v>143</v>
      </c>
      <c r="B105" s="81"/>
      <c r="C105" s="42">
        <v>6</v>
      </c>
      <c r="D105" s="17">
        <f ca="1">((100/H95)*C105)/100</f>
        <v>0.85714285714285721</v>
      </c>
      <c r="E105" s="85"/>
      <c r="F105" s="86"/>
      <c r="G105" s="85"/>
      <c r="H105" s="90"/>
      <c r="I105" s="14" t="s">
        <v>150</v>
      </c>
      <c r="J105" s="28">
        <f>(IF(B95&gt;4,(H95/(B95+2)+J104),0))</f>
        <v>0</v>
      </c>
    </row>
    <row r="106" spans="1:10" ht="15.75" hidden="1" customHeight="1" x14ac:dyDescent="0.25">
      <c r="A106" s="80" t="s">
        <v>138</v>
      </c>
      <c r="B106" s="81" t="s">
        <v>138</v>
      </c>
      <c r="C106" s="42">
        <v>4</v>
      </c>
      <c r="D106" s="17">
        <f ca="1">((100/(H95))*C106)/100</f>
        <v>0.57142857142857151</v>
      </c>
      <c r="E106" s="85"/>
      <c r="F106" s="86"/>
      <c r="G106" s="85"/>
      <c r="H106" s="90"/>
      <c r="I106" s="14" t="s">
        <v>154</v>
      </c>
      <c r="J106" s="28">
        <f ca="1">(IF(B95=1,(H95/(B95+3)+J101),IF(B95=0,(H95/4+J101),IF(B95&gt;1,0))))</f>
        <v>5.25</v>
      </c>
    </row>
    <row r="107" spans="1:10" ht="16.5" hidden="1" thickBot="1" x14ac:dyDescent="0.3">
      <c r="A107" s="92" t="s">
        <v>139</v>
      </c>
      <c r="B107" s="93"/>
      <c r="C107" s="43">
        <v>0</v>
      </c>
      <c r="D107" s="18">
        <f ca="1">((100/(H95))*C107)/100</f>
        <v>0</v>
      </c>
      <c r="E107" s="87"/>
      <c r="F107" s="88"/>
      <c r="G107" s="87"/>
      <c r="H107" s="91"/>
      <c r="I107" s="15" t="s">
        <v>107</v>
      </c>
      <c r="J107" s="30">
        <f ca="1">(IF(B95&gt;1.5,(H95/(B95+2)+J101+MAX(0,J102-J101)+MAX(0,J103-J102)+MAX(0,J104-J103)+MAX(0,J105-J104)+MAX(0,J106-J105)),IF(B95=1,(H95/(B95+3)+J106),IF(B95=0,H95/4+J106))))</f>
        <v>7</v>
      </c>
    </row>
    <row r="108" spans="1:10" s="54" customFormat="1" ht="15.75" hidden="1" customHeight="1" x14ac:dyDescent="0.25">
      <c r="A108" s="76" t="s">
        <v>145</v>
      </c>
      <c r="B108" s="76"/>
      <c r="C108" s="76" t="s">
        <v>223</v>
      </c>
      <c r="D108" s="76"/>
      <c r="E108" s="76"/>
      <c r="F108" s="76"/>
      <c r="G108" s="76"/>
      <c r="H108" s="76"/>
      <c r="I108" s="59" t="str">
        <f ca="1">IF(D121=100%,"All work Completed. Possession granted to the Building.",IF(D120=100%,"All work Completed, Waiting for OC",I109&amp;""&amp;I110&amp;""&amp;J109&amp;""&amp;J108&amp;" "&amp;J110))</f>
        <v>Excavation, Plinth Completed, RCC upto 1 Slab Completed</v>
      </c>
      <c r="J108" s="46" t="str">
        <f ca="1">(IF(C114=(D109+F109+H109),"",IF(C114&gt;0,", RCC upto "&amp;C114&amp;" Slab","")))&amp;(IF(C115=H109,"",IF(C115&gt;0,", Brickwork upto "&amp;C115&amp;" Floor","")))&amp;(IF(C116=H109,"",IF(C116&gt;0,", Internal Plaster upto "&amp;C116&amp;" Floor","")))&amp;(IF(C117=H109,"",IF(C117&gt;0,", External Plaster upto "&amp;C117&amp;" Floor","")))&amp;(IF(C118=H109,"",IF(C118&gt;0,", Flooring upto "&amp;C118&amp;" Floor","")))&amp;(IF(C119=H109,"",IF(C119&gt;0,", Painting upto "&amp;C119&amp;" Floor","")))&amp;(IF(C120=H109,"",IF(C120&gt;0,", Finishing upto "&amp;C120&amp;" Floor","")))&amp;(IF(C121=H109,"",IF(C121&gt;0,", Possession upto "&amp;C121&amp;" Floor","")))</f>
        <v>, RCC upto 1 Slab</v>
      </c>
    </row>
    <row r="109" spans="1:10" hidden="1" x14ac:dyDescent="0.25">
      <c r="A109" s="55" t="s">
        <v>147</v>
      </c>
      <c r="B109" s="56">
        <f>IF(AND(ISNUMBER(SEARCH("1B",C108))),1,IF(AND(ISNUMBER(SEARCH("2B",C108))),2,IF(AND(ISNUMBER(SEARCH("3B",C108))),3,IF(AND(ISNUMBER(SEARCH("4B",C108))),4,IF(ISNUMBER(SEARCH("5B",C108)),5,0)))))</f>
        <v>0</v>
      </c>
      <c r="C109" s="56" t="s">
        <v>74</v>
      </c>
      <c r="D109" s="56">
        <v>1</v>
      </c>
      <c r="E109" s="56" t="s">
        <v>73</v>
      </c>
      <c r="F109" s="56">
        <v>0</v>
      </c>
      <c r="G109" s="56" t="s">
        <v>83</v>
      </c>
      <c r="H109" s="57">
        <f ca="1">--TRIM(RIGHT(SUBSTITUTE(LEFT(C108,_xlfn.AGGREGATE(16,6,FIND({0,1,2,3,4,5,6,7,8,9},C108,ROW(INDIRECT("1:"&amp;LEN(C108)))),1))," ",REPT(" ",LEN(C108))),LEN(C108)))</f>
        <v>7</v>
      </c>
      <c r="I109" s="58" t="str">
        <f ca="1">IF(D112=100%,"Excavation","")&amp;IF(D113=100%,", Plinth","")&amp;IF(D114=100%,", RCC Slab","")&amp;IF(D115=100%,", Brickwork","")&amp;IF(D116=100%,", Internal Plaster","")&amp;IF(D117=100%,", External Plaster","")&amp;IF(D118=100%,", Flooring","")&amp;IF(D119=100%,", Painting","")&amp;IF(D120=100%,", Building common Amenities","")</f>
        <v>Excavation, Plinth</v>
      </c>
      <c r="J109" s="53" t="str">
        <f ca="1">(IF(C112=0,"Work not yet Started.",IF(D112=25%,"Piling work in process",IF(D112=50%,"Excavation work in process",IF(D112=100%,"","0")))))&amp;(IF(C113=0%,"",IF(C113=J114,", Footing work is process",IF(C113=J115,", Footing work Completed",IF(C113=J116,", 1st Basement Completed",IF(C113=J117,", 1st &amp; 2nd Basement Completed",IF(C113=J118,", 1st to 3rd Basement Completed",IF(C113=J119,", 1st to 4th Basement Completed",IF(C113=J120,", Plinth work is process",IF(C113=J121,"","0"))))))))))</f>
        <v/>
      </c>
    </row>
    <row r="110" spans="1:10" hidden="1" x14ac:dyDescent="0.25">
      <c r="A110" s="77" t="s">
        <v>93</v>
      </c>
      <c r="B110" s="78"/>
      <c r="C110" s="76" t="str">
        <f ca="1">I108</f>
        <v>Excavation, Plinth Completed, RCC upto 1 Slab Completed</v>
      </c>
      <c r="D110" s="76"/>
      <c r="E110" s="76"/>
      <c r="F110" s="76"/>
      <c r="G110" s="76"/>
      <c r="H110" s="79"/>
      <c r="I110" s="46" t="str">
        <f ca="1">IF(I109&lt;&gt;""," Completed","")</f>
        <v xml:space="preserve"> Completed</v>
      </c>
      <c r="J110" s="47" t="str">
        <f ca="1">IF(J108&lt;&gt;"","Completed","")</f>
        <v>Completed</v>
      </c>
    </row>
    <row r="111" spans="1:10" ht="15.75" hidden="1" customHeight="1" x14ac:dyDescent="0.25">
      <c r="A111" s="80" t="s">
        <v>50</v>
      </c>
      <c r="B111" s="81"/>
      <c r="C111" s="62" t="s">
        <v>144</v>
      </c>
      <c r="D111" s="62" t="s">
        <v>86</v>
      </c>
      <c r="E111" s="81" t="s">
        <v>88</v>
      </c>
      <c r="F111" s="81"/>
      <c r="G111" s="81" t="s">
        <v>87</v>
      </c>
      <c r="H111" s="82"/>
      <c r="I111" s="14" t="s">
        <v>146</v>
      </c>
      <c r="J111" s="26">
        <f ca="1">H109*25%</f>
        <v>1.75</v>
      </c>
    </row>
    <row r="112" spans="1:10" hidden="1" x14ac:dyDescent="0.25">
      <c r="A112" s="80" t="s">
        <v>133</v>
      </c>
      <c r="B112" s="81"/>
      <c r="C112" s="62">
        <f ca="1">J113</f>
        <v>7</v>
      </c>
      <c r="D112" s="17">
        <f ca="1">((100/H109)*C112)/100</f>
        <v>1</v>
      </c>
      <c r="E112" s="83">
        <f ca="1">(((C113/H109*10)+(40/(D109+F109+H109)*C114)+(7.5/(H109)*C115)+(7.5/(H109)*C116)+(10/H109*C117)+(10/H109*C118)+(5/H109*C119)+(5/H109*C120)+(5/H109*C121))/100)</f>
        <v>0.15</v>
      </c>
      <c r="F112" s="84"/>
      <c r="G112" s="83">
        <f ca="1">((((C112/H109)*20)+((C113/H109)*25)+(30/(H109+F109+D109)*C114)+(5/H109*C115)+(5/H109*C116)+(5/H109*C117)+(5/H109*C118)+(0/H109*C119)+(0/H109*C120)+(5/H109*C121))/100)</f>
        <v>0.48749999999999999</v>
      </c>
      <c r="H112" s="89"/>
      <c r="I112" s="14" t="s">
        <v>103</v>
      </c>
      <c r="J112" s="27">
        <f ca="1">H109*50%</f>
        <v>3.5</v>
      </c>
    </row>
    <row r="113" spans="1:10" hidden="1" x14ac:dyDescent="0.25">
      <c r="A113" s="80" t="s">
        <v>51</v>
      </c>
      <c r="B113" s="81"/>
      <c r="C113" s="48">
        <f ca="1">J121</f>
        <v>7</v>
      </c>
      <c r="D113" s="17">
        <f ca="1">((100/H109)*C113)/100</f>
        <v>1</v>
      </c>
      <c r="E113" s="85"/>
      <c r="F113" s="86"/>
      <c r="G113" s="85"/>
      <c r="H113" s="90"/>
      <c r="I113" s="14" t="s">
        <v>104</v>
      </c>
      <c r="J113" s="27">
        <f ca="1">H109</f>
        <v>7</v>
      </c>
    </row>
    <row r="114" spans="1:10" ht="15.75" hidden="1" customHeight="1" x14ac:dyDescent="0.25">
      <c r="A114" s="80" t="s">
        <v>134</v>
      </c>
      <c r="B114" s="81"/>
      <c r="C114" s="62">
        <v>1</v>
      </c>
      <c r="D114" s="17">
        <f ca="1">((100/(D109+F109+H109))*C114)/100</f>
        <v>0.125</v>
      </c>
      <c r="E114" s="85"/>
      <c r="F114" s="86"/>
      <c r="G114" s="85"/>
      <c r="H114" s="90"/>
      <c r="I114" s="14" t="s">
        <v>105</v>
      </c>
      <c r="J114" s="28">
        <f ca="1">(IF(B109&gt;1,(H109/(B109+2)),H109/4))</f>
        <v>1.75</v>
      </c>
    </row>
    <row r="115" spans="1:10" ht="15.75" hidden="1" customHeight="1" x14ac:dyDescent="0.25">
      <c r="A115" s="80" t="s">
        <v>141</v>
      </c>
      <c r="B115" s="81" t="s">
        <v>135</v>
      </c>
      <c r="C115" s="62">
        <v>0</v>
      </c>
      <c r="D115" s="17">
        <f ca="1">((100/H109)*C115)/100</f>
        <v>0</v>
      </c>
      <c r="E115" s="85"/>
      <c r="F115" s="86"/>
      <c r="G115" s="85"/>
      <c r="H115" s="90"/>
      <c r="I115" s="14" t="s">
        <v>106</v>
      </c>
      <c r="J115" s="28">
        <f ca="1">(IF(B109&gt;1,(H109/(B109+2)+J114),H109/4+J114))</f>
        <v>3.5</v>
      </c>
    </row>
    <row r="116" spans="1:10" ht="15.75" hidden="1" customHeight="1" x14ac:dyDescent="0.25">
      <c r="A116" s="80" t="s">
        <v>142</v>
      </c>
      <c r="B116" s="81" t="s">
        <v>135</v>
      </c>
      <c r="C116" s="62">
        <v>0</v>
      </c>
      <c r="D116" s="17">
        <f ca="1">((100/H109)*C116)/100</f>
        <v>0</v>
      </c>
      <c r="E116" s="85"/>
      <c r="F116" s="86"/>
      <c r="G116" s="85"/>
      <c r="H116" s="90"/>
      <c r="I116" s="14" t="s">
        <v>153</v>
      </c>
      <c r="J116" s="28">
        <f>(IF(B109&gt;1,(H109/(B109+2)+J115),0))</f>
        <v>0</v>
      </c>
    </row>
    <row r="117" spans="1:10" ht="15" hidden="1" customHeight="1" x14ac:dyDescent="0.25">
      <c r="A117" s="80" t="s">
        <v>140</v>
      </c>
      <c r="B117" s="81" t="s">
        <v>137</v>
      </c>
      <c r="C117" s="62">
        <v>0</v>
      </c>
      <c r="D117" s="17">
        <f ca="1">((100/(H109))*C117)/100</f>
        <v>0</v>
      </c>
      <c r="E117" s="85"/>
      <c r="F117" s="86"/>
      <c r="G117" s="85"/>
      <c r="H117" s="90"/>
      <c r="I117" s="14" t="s">
        <v>148</v>
      </c>
      <c r="J117" s="28">
        <f>(IF(B109&gt;2,(H109/(B109+2)+J116),0))</f>
        <v>0</v>
      </c>
    </row>
    <row r="118" spans="1:10" ht="15.75" hidden="1" customHeight="1" x14ac:dyDescent="0.25">
      <c r="A118" s="80" t="s">
        <v>136</v>
      </c>
      <c r="B118" s="81" t="s">
        <v>136</v>
      </c>
      <c r="C118" s="62">
        <v>0</v>
      </c>
      <c r="D118" s="17">
        <f ca="1">((100/H109)*C118)/100</f>
        <v>0</v>
      </c>
      <c r="E118" s="85"/>
      <c r="F118" s="86"/>
      <c r="G118" s="85"/>
      <c r="H118" s="90"/>
      <c r="I118" s="14" t="s">
        <v>149</v>
      </c>
      <c r="J118" s="29">
        <f>(IF(B109&gt;3,(H109/(B109+2)+J117),0))</f>
        <v>0</v>
      </c>
    </row>
    <row r="119" spans="1:10" ht="15.75" hidden="1" customHeight="1" x14ac:dyDescent="0.25">
      <c r="A119" s="80" t="s">
        <v>143</v>
      </c>
      <c r="B119" s="81"/>
      <c r="C119" s="62">
        <v>0</v>
      </c>
      <c r="D119" s="17">
        <f ca="1">((100/H109)*C119)/100</f>
        <v>0</v>
      </c>
      <c r="E119" s="85"/>
      <c r="F119" s="86"/>
      <c r="G119" s="85"/>
      <c r="H119" s="90"/>
      <c r="I119" s="14" t="s">
        <v>150</v>
      </c>
      <c r="J119" s="28">
        <f>(IF(B109&gt;4,(H109/(B109+2)+J118),0))</f>
        <v>0</v>
      </c>
    </row>
    <row r="120" spans="1:10" ht="15.75" hidden="1" customHeight="1" x14ac:dyDescent="0.25">
      <c r="A120" s="80" t="s">
        <v>138</v>
      </c>
      <c r="B120" s="81" t="s">
        <v>138</v>
      </c>
      <c r="C120" s="62">
        <v>0</v>
      </c>
      <c r="D120" s="17">
        <f ca="1">((100/(H109))*C120)/100</f>
        <v>0</v>
      </c>
      <c r="E120" s="85"/>
      <c r="F120" s="86"/>
      <c r="G120" s="85"/>
      <c r="H120" s="90"/>
      <c r="I120" s="14" t="s">
        <v>154</v>
      </c>
      <c r="J120" s="28">
        <f ca="1">(IF(B109=1,(H109/(B109+3)+J115),IF(B109=0,(H109/4+J115),IF(B109&gt;1,0))))</f>
        <v>5.25</v>
      </c>
    </row>
    <row r="121" spans="1:10" ht="16.5" hidden="1" thickBot="1" x14ac:dyDescent="0.3">
      <c r="A121" s="92" t="s">
        <v>139</v>
      </c>
      <c r="B121" s="93"/>
      <c r="C121" s="63">
        <v>0</v>
      </c>
      <c r="D121" s="18">
        <f ca="1">((100/(H109))*C121)/100</f>
        <v>0</v>
      </c>
      <c r="E121" s="87"/>
      <c r="F121" s="88"/>
      <c r="G121" s="87"/>
      <c r="H121" s="91"/>
      <c r="I121" s="15" t="s">
        <v>107</v>
      </c>
      <c r="J121" s="30">
        <f ca="1">(IF(B109&gt;1.5,(H109/(B109+2)+J115+MAX(0,J116-J115)+MAX(0,J117-J116)+MAX(0,J118-J117)+MAX(0,J119-J118)+MAX(0,J120-J119)),IF(B109=1,(H109/(B109+3)+J120),IF(B109=0,H109/4+J120))))</f>
        <v>7</v>
      </c>
    </row>
    <row r="122" spans="1:10" x14ac:dyDescent="0.25">
      <c r="A122" s="179" t="s">
        <v>165</v>
      </c>
      <c r="B122" s="179"/>
      <c r="C122" s="179"/>
      <c r="D122" s="179"/>
      <c r="E122" s="179"/>
      <c r="F122" s="182" t="s">
        <v>170</v>
      </c>
      <c r="G122" s="182"/>
      <c r="H122" s="182"/>
    </row>
    <row r="123" spans="1:10" x14ac:dyDescent="0.25">
      <c r="A123" s="95" t="s">
        <v>168</v>
      </c>
      <c r="B123" s="95"/>
      <c r="C123" s="95"/>
      <c r="D123" s="95"/>
      <c r="E123" s="95"/>
      <c r="F123" s="109">
        <v>3700</v>
      </c>
      <c r="G123" s="109"/>
      <c r="H123" s="109"/>
    </row>
    <row r="124" spans="1:10" x14ac:dyDescent="0.25">
      <c r="A124" s="95" t="s">
        <v>167</v>
      </c>
      <c r="B124" s="95"/>
      <c r="C124" s="95"/>
      <c r="D124" s="95"/>
      <c r="E124" s="95"/>
      <c r="F124" s="109">
        <v>6000</v>
      </c>
      <c r="G124" s="109"/>
      <c r="H124" s="109"/>
    </row>
    <row r="125" spans="1:10" hidden="1" x14ac:dyDescent="0.25">
      <c r="A125" s="95" t="s">
        <v>169</v>
      </c>
      <c r="B125" s="95"/>
      <c r="C125" s="95"/>
      <c r="D125" s="95"/>
      <c r="E125" s="95"/>
      <c r="F125" s="109"/>
      <c r="G125" s="109"/>
      <c r="H125" s="109"/>
    </row>
    <row r="126" spans="1:10" s="31" customFormat="1" hidden="1" x14ac:dyDescent="0.25">
      <c r="A126" s="95" t="s">
        <v>166</v>
      </c>
      <c r="B126" s="95"/>
      <c r="C126" s="95"/>
      <c r="D126" s="95"/>
      <c r="E126" s="95"/>
      <c r="F126" s="109"/>
      <c r="G126" s="109"/>
      <c r="H126" s="109"/>
    </row>
    <row r="127" spans="1:10" s="31" customFormat="1" x14ac:dyDescent="0.25">
      <c r="A127" s="95" t="s">
        <v>98</v>
      </c>
      <c r="B127" s="95"/>
      <c r="C127" s="95"/>
      <c r="D127" s="95"/>
      <c r="E127" s="95"/>
      <c r="F127" s="109">
        <v>175000</v>
      </c>
      <c r="G127" s="109"/>
      <c r="H127" s="109"/>
    </row>
    <row r="128" spans="1:10" s="31" customFormat="1" x14ac:dyDescent="0.25">
      <c r="A128" s="95" t="s">
        <v>101</v>
      </c>
      <c r="B128" s="95"/>
      <c r="C128" s="95"/>
      <c r="D128" s="95"/>
      <c r="E128" s="95"/>
      <c r="F128" s="109">
        <v>75000</v>
      </c>
      <c r="G128" s="109"/>
      <c r="H128" s="109"/>
    </row>
    <row r="129" spans="1:8" s="31" customFormat="1" x14ac:dyDescent="0.25">
      <c r="A129" s="95" t="s">
        <v>102</v>
      </c>
      <c r="B129" s="95"/>
      <c r="C129" s="95"/>
      <c r="D129" s="95"/>
      <c r="E129" s="95"/>
      <c r="F129" s="109">
        <v>50000</v>
      </c>
      <c r="G129" s="109"/>
      <c r="H129" s="109"/>
    </row>
    <row r="130" spans="1:8" s="31" customFormat="1" hidden="1" x14ac:dyDescent="0.25">
      <c r="A130" s="95" t="s">
        <v>99</v>
      </c>
      <c r="B130" s="95"/>
      <c r="C130" s="95"/>
      <c r="D130" s="95"/>
      <c r="E130" s="95"/>
      <c r="F130" s="109"/>
      <c r="G130" s="109"/>
      <c r="H130" s="109"/>
    </row>
    <row r="131" spans="1:8" s="31" customFormat="1" hidden="1" x14ac:dyDescent="0.25">
      <c r="A131" s="95" t="s">
        <v>100</v>
      </c>
      <c r="B131" s="95"/>
      <c r="C131" s="95"/>
      <c r="D131" s="95"/>
      <c r="E131" s="95"/>
      <c r="F131" s="109"/>
      <c r="G131" s="109"/>
      <c r="H131" s="109"/>
    </row>
    <row r="132" spans="1:8" s="31" customFormat="1" hidden="1" x14ac:dyDescent="0.25">
      <c r="A132" s="95" t="s">
        <v>101</v>
      </c>
      <c r="B132" s="95"/>
      <c r="C132" s="95"/>
      <c r="D132" s="95"/>
      <c r="E132" s="95"/>
      <c r="F132" s="109"/>
      <c r="G132" s="109"/>
      <c r="H132" s="109"/>
    </row>
    <row r="133" spans="1:8" s="31" customFormat="1" hidden="1" x14ac:dyDescent="0.25">
      <c r="A133" s="95" t="s">
        <v>102</v>
      </c>
      <c r="B133" s="95"/>
      <c r="C133" s="95"/>
      <c r="D133" s="95"/>
      <c r="E133" s="95"/>
      <c r="F133" s="109"/>
      <c r="G133" s="109"/>
      <c r="H133" s="109"/>
    </row>
    <row r="134" spans="1:8" x14ac:dyDescent="0.25">
      <c r="A134" s="95" t="s">
        <v>52</v>
      </c>
      <c r="B134" s="95"/>
      <c r="C134" s="95"/>
      <c r="D134" s="95"/>
      <c r="E134" s="95"/>
      <c r="F134" s="109">
        <v>100000</v>
      </c>
      <c r="G134" s="109"/>
      <c r="H134" s="109"/>
    </row>
    <row r="135" spans="1:8" s="32" customFormat="1" x14ac:dyDescent="0.25">
      <c r="A135" s="155" t="s">
        <v>53</v>
      </c>
      <c r="B135" s="155"/>
      <c r="C135" s="155"/>
      <c r="D135" s="155"/>
      <c r="E135" s="155"/>
      <c r="F135" s="109">
        <f>F123*0.8</f>
        <v>2960</v>
      </c>
      <c r="G135" s="109"/>
      <c r="H135" s="109"/>
    </row>
    <row r="136" spans="1:8" s="33" customFormat="1" ht="15.75" customHeight="1" x14ac:dyDescent="0.25">
      <c r="A136" s="132" t="s">
        <v>78</v>
      </c>
      <c r="B136" s="132"/>
      <c r="C136" s="132"/>
      <c r="D136" s="132"/>
      <c r="E136" s="132"/>
      <c r="F136" s="132"/>
      <c r="G136" s="132"/>
      <c r="H136" s="132"/>
    </row>
    <row r="137" spans="1:8" s="33" customFormat="1" ht="15.75" customHeight="1" x14ac:dyDescent="0.25">
      <c r="A137" s="100" t="s">
        <v>54</v>
      </c>
      <c r="B137" s="100"/>
      <c r="C137" s="127" t="s">
        <v>81</v>
      </c>
      <c r="D137" s="127"/>
      <c r="E137" s="133" t="s">
        <v>55</v>
      </c>
      <c r="F137" s="133"/>
      <c r="G137" s="100" t="s">
        <v>56</v>
      </c>
      <c r="H137" s="100"/>
    </row>
    <row r="138" spans="1:8" s="33" customFormat="1" ht="30.75" customHeight="1" x14ac:dyDescent="0.25">
      <c r="A138" s="171" t="s">
        <v>214</v>
      </c>
      <c r="B138" s="171"/>
      <c r="C138" s="129">
        <f>COUNT(D154:D172)</f>
        <v>19</v>
      </c>
      <c r="D138" s="130"/>
      <c r="E138" s="110">
        <f>SUM(D154:D172)</f>
        <v>2986.0412399999991</v>
      </c>
      <c r="F138" s="111"/>
      <c r="G138" s="110">
        <f>SUM(F154:F172)</f>
        <v>4479.0618599999989</v>
      </c>
      <c r="H138" s="111"/>
    </row>
    <row r="139" spans="1:8" s="33" customFormat="1" x14ac:dyDescent="0.25">
      <c r="A139" s="132" t="s">
        <v>158</v>
      </c>
      <c r="B139" s="132"/>
      <c r="C139" s="183">
        <f>SUM(C138)</f>
        <v>19</v>
      </c>
      <c r="D139" s="127"/>
      <c r="E139" s="184">
        <f>SUM(E138)</f>
        <v>2986.0412399999991</v>
      </c>
      <c r="F139" s="133"/>
      <c r="G139" s="100">
        <f>SUM(G138)</f>
        <v>4479.0618599999989</v>
      </c>
      <c r="H139" s="100"/>
    </row>
    <row r="140" spans="1:8" s="33" customFormat="1" x14ac:dyDescent="0.25">
      <c r="A140" s="132" t="s">
        <v>72</v>
      </c>
      <c r="B140" s="132"/>
      <c r="C140" s="132"/>
      <c r="D140" s="132"/>
      <c r="E140" s="132"/>
      <c r="F140" s="132"/>
      <c r="G140" s="132"/>
      <c r="H140" s="132"/>
    </row>
    <row r="141" spans="1:8" s="33" customFormat="1" ht="15.75" customHeight="1" x14ac:dyDescent="0.25">
      <c r="A141" s="100" t="s">
        <v>54</v>
      </c>
      <c r="B141" s="100"/>
      <c r="C141" s="127" t="s">
        <v>81</v>
      </c>
      <c r="D141" s="127"/>
      <c r="E141" s="133" t="s">
        <v>55</v>
      </c>
      <c r="F141" s="133"/>
      <c r="G141" s="100" t="s">
        <v>56</v>
      </c>
      <c r="H141" s="100"/>
    </row>
    <row r="142" spans="1:8" s="33" customFormat="1" x14ac:dyDescent="0.25">
      <c r="A142" s="171" t="s">
        <v>206</v>
      </c>
      <c r="B142" s="171"/>
      <c r="C142" s="166">
        <f>COUNT(D178:D183)+COUNT(D185:D190)*6</f>
        <v>42</v>
      </c>
      <c r="D142" s="166"/>
      <c r="E142" s="166">
        <f>SUM(D178:D183)+SUM(D185:D190)*6</f>
        <v>19415.995559999996</v>
      </c>
      <c r="F142" s="166"/>
      <c r="G142" s="166">
        <f>SUM(F178:F183)+SUM(F185:F190)*6</f>
        <v>28351.25116199999</v>
      </c>
      <c r="H142" s="166"/>
    </row>
    <row r="143" spans="1:8" s="33" customFormat="1" x14ac:dyDescent="0.25">
      <c r="A143" s="171" t="s">
        <v>209</v>
      </c>
      <c r="B143" s="171"/>
      <c r="C143" s="166">
        <f>COUNT(D193:D196)+COUNT(D198:D201)*6</f>
        <v>28</v>
      </c>
      <c r="D143" s="166"/>
      <c r="E143" s="166">
        <f>SUM(D193:D196)+SUM(D198:D201)*6</f>
        <v>13024.9782</v>
      </c>
      <c r="F143" s="166"/>
      <c r="G143" s="166">
        <f>SUM(F193:F196)+SUM(F198:F201)*6</f>
        <v>19070.336609999998</v>
      </c>
      <c r="H143" s="166"/>
    </row>
    <row r="144" spans="1:8" s="33" customFormat="1" x14ac:dyDescent="0.25">
      <c r="A144" s="171" t="s">
        <v>210</v>
      </c>
      <c r="B144" s="171"/>
      <c r="C144" s="166">
        <f>COUNT(D204:D207)+COUNT(D209:D212)*6</f>
        <v>28</v>
      </c>
      <c r="D144" s="166"/>
      <c r="E144" s="166">
        <f>SUM(D204:D207)+SUM(D209:D212)*6</f>
        <v>13075.299899999998</v>
      </c>
      <c r="F144" s="166"/>
      <c r="G144" s="166">
        <f>SUM(F204:F207)+SUM(F209:F212)*6</f>
        <v>19051.001774999997</v>
      </c>
      <c r="H144" s="166"/>
    </row>
    <row r="145" spans="1:14" s="33" customFormat="1" x14ac:dyDescent="0.25">
      <c r="A145" s="171" t="s">
        <v>211</v>
      </c>
      <c r="B145" s="171"/>
      <c r="C145" s="166">
        <f>COUNT(D216:D219)*7</f>
        <v>28</v>
      </c>
      <c r="D145" s="166"/>
      <c r="E145" s="166">
        <f>SUM(D216:D219)*7</f>
        <v>13125.621599999999</v>
      </c>
      <c r="F145" s="166"/>
      <c r="G145" s="166">
        <f>SUM(F216:F219)*7</f>
        <v>19032.151319999997</v>
      </c>
      <c r="H145" s="166"/>
    </row>
    <row r="146" spans="1:14" s="33" customFormat="1" ht="16.5" thickBot="1" x14ac:dyDescent="0.3">
      <c r="A146" s="180" t="s">
        <v>158</v>
      </c>
      <c r="B146" s="180"/>
      <c r="C146" s="176">
        <f>SUM(C142:C145)</f>
        <v>126</v>
      </c>
      <c r="D146" s="176"/>
      <c r="E146" s="181">
        <f>SUM(E142:E145)</f>
        <v>58641.89525999999</v>
      </c>
      <c r="F146" s="181"/>
      <c r="G146" s="178">
        <f>SUM(G142:G145)</f>
        <v>85504.740866999986</v>
      </c>
      <c r="H146" s="178"/>
    </row>
    <row r="147" spans="1:14" s="33" customFormat="1" x14ac:dyDescent="0.25">
      <c r="A147" s="168" t="s">
        <v>176</v>
      </c>
      <c r="B147" s="169"/>
      <c r="C147" s="172">
        <f>C139+C146</f>
        <v>145</v>
      </c>
      <c r="D147" s="172"/>
      <c r="E147" s="173">
        <f>E139+E146</f>
        <v>61627.936499999989</v>
      </c>
      <c r="F147" s="173"/>
      <c r="G147" s="174">
        <f>G139+G146</f>
        <v>89983.802726999987</v>
      </c>
      <c r="H147" s="175"/>
    </row>
    <row r="148" spans="1:14" s="32" customFormat="1" x14ac:dyDescent="0.25">
      <c r="A148" s="128" t="s">
        <v>57</v>
      </c>
      <c r="B148" s="128"/>
      <c r="C148" s="128"/>
      <c r="D148" s="128"/>
      <c r="E148" s="128"/>
      <c r="F148" s="128"/>
      <c r="G148" s="128"/>
      <c r="H148" s="128"/>
    </row>
    <row r="149" spans="1:14" x14ac:dyDescent="0.25">
      <c r="A149" s="128" t="s">
        <v>58</v>
      </c>
      <c r="B149" s="128"/>
      <c r="C149" s="128"/>
      <c r="D149" s="128"/>
      <c r="E149" s="128"/>
      <c r="F149" s="128"/>
      <c r="G149" s="128"/>
      <c r="H149" s="128"/>
    </row>
    <row r="150" spans="1:14" ht="47.25" customHeight="1" x14ac:dyDescent="0.25">
      <c r="A150" s="131" t="s">
        <v>124</v>
      </c>
      <c r="B150" s="131" t="s">
        <v>123</v>
      </c>
      <c r="C150" s="131" t="s">
        <v>59</v>
      </c>
      <c r="D150" s="131" t="s">
        <v>60</v>
      </c>
      <c r="E150" s="167" t="s">
        <v>164</v>
      </c>
      <c r="F150" s="71" t="s">
        <v>156</v>
      </c>
      <c r="G150" s="131" t="s">
        <v>62</v>
      </c>
      <c r="H150" s="131"/>
    </row>
    <row r="151" spans="1:14" s="35" customFormat="1" x14ac:dyDescent="0.25">
      <c r="A151" s="131"/>
      <c r="B151" s="131"/>
      <c r="C151" s="131"/>
      <c r="D151" s="131"/>
      <c r="E151" s="167"/>
      <c r="F151" s="72">
        <v>0.5</v>
      </c>
      <c r="G151" s="131"/>
      <c r="H151" s="131"/>
    </row>
    <row r="152" spans="1:14" s="50" customFormat="1" x14ac:dyDescent="0.25">
      <c r="A152" s="143" t="s">
        <v>203</v>
      </c>
      <c r="B152" s="143"/>
      <c r="C152" s="143"/>
      <c r="D152" s="143"/>
      <c r="E152" s="143"/>
      <c r="F152" s="143"/>
      <c r="G152" s="143"/>
      <c r="H152" s="143"/>
      <c r="J152" s="34"/>
    </row>
    <row r="153" spans="1:14" s="35" customFormat="1" x14ac:dyDescent="0.25">
      <c r="A153" s="143" t="s">
        <v>202</v>
      </c>
      <c r="B153" s="143"/>
      <c r="C153" s="143"/>
      <c r="D153" s="143"/>
      <c r="E153" s="143"/>
      <c r="F153" s="143"/>
      <c r="G153" s="143"/>
      <c r="H153" s="143"/>
      <c r="J153" s="34"/>
    </row>
    <row r="154" spans="1:14" s="35" customFormat="1" ht="15.75" customHeight="1" x14ac:dyDescent="0.25">
      <c r="A154" s="99">
        <v>1</v>
      </c>
      <c r="B154" s="99"/>
      <c r="C154" s="65" t="s">
        <v>205</v>
      </c>
      <c r="D154" s="52">
        <f>(11.2)*(10.764)</f>
        <v>120.55679999999998</v>
      </c>
      <c r="E154" s="65">
        <v>0</v>
      </c>
      <c r="F154" s="65">
        <f>(D154+E154)*(($F$151)+1)</f>
        <v>180.83519999999999</v>
      </c>
      <c r="G154" s="99" t="str">
        <f>A153</f>
        <v>Ground Floor For Commercial &amp; Parking</v>
      </c>
      <c r="H154" s="99"/>
      <c r="I154" s="34"/>
      <c r="J154" s="35">
        <f>2.35*4.65</f>
        <v>10.927500000000002</v>
      </c>
      <c r="L154" s="165"/>
      <c r="M154" s="165"/>
      <c r="N154" s="34"/>
    </row>
    <row r="155" spans="1:14" s="35" customFormat="1" ht="15.75" customHeight="1" x14ac:dyDescent="0.25">
      <c r="A155" s="99">
        <f t="shared" ref="A155:A172" si="0">A154+1</f>
        <v>2</v>
      </c>
      <c r="B155" s="99"/>
      <c r="C155" s="65" t="s">
        <v>205</v>
      </c>
      <c r="D155" s="52">
        <f>(13.06)*(10.764)</f>
        <v>140.57784000000001</v>
      </c>
      <c r="E155" s="65">
        <v>0</v>
      </c>
      <c r="F155" s="65">
        <f t="shared" ref="F155:F157" si="1">(D155+E155)*(($F$151)+1)</f>
        <v>210.86676</v>
      </c>
      <c r="G155" s="99"/>
      <c r="H155" s="99"/>
      <c r="I155" s="34"/>
      <c r="J155" s="35">
        <f>2.75*5.6</f>
        <v>15.399999999999999</v>
      </c>
      <c r="K155" s="35">
        <f>2.1*5.6+1.2*0.9</f>
        <v>12.84</v>
      </c>
      <c r="L155" s="165"/>
      <c r="M155" s="165"/>
      <c r="N155" s="34"/>
    </row>
    <row r="156" spans="1:14" s="35" customFormat="1" ht="15.75" customHeight="1" x14ac:dyDescent="0.25">
      <c r="A156" s="99">
        <f t="shared" si="0"/>
        <v>3</v>
      </c>
      <c r="B156" s="99"/>
      <c r="C156" s="65" t="s">
        <v>205</v>
      </c>
      <c r="D156" s="52">
        <f>(14.93)*(10.764)</f>
        <v>160.70651999999998</v>
      </c>
      <c r="E156" s="65">
        <v>0</v>
      </c>
      <c r="F156" s="65">
        <f t="shared" si="1"/>
        <v>241.05977999999999</v>
      </c>
      <c r="G156" s="99"/>
      <c r="H156" s="99"/>
      <c r="I156" s="34"/>
      <c r="L156" s="165"/>
      <c r="M156" s="165"/>
      <c r="N156" s="34"/>
    </row>
    <row r="157" spans="1:14" s="35" customFormat="1" ht="15.75" customHeight="1" x14ac:dyDescent="0.25">
      <c r="A157" s="99">
        <f t="shared" si="0"/>
        <v>4</v>
      </c>
      <c r="B157" s="99"/>
      <c r="C157" s="65" t="s">
        <v>205</v>
      </c>
      <c r="D157" s="52">
        <f>(18.14)*(10.764)</f>
        <v>195.25896</v>
      </c>
      <c r="E157" s="65">
        <v>0</v>
      </c>
      <c r="F157" s="65">
        <f t="shared" si="1"/>
        <v>292.88844</v>
      </c>
      <c r="G157" s="99"/>
      <c r="H157" s="99"/>
      <c r="I157" s="34"/>
      <c r="L157" s="165"/>
      <c r="M157" s="165"/>
      <c r="N157" s="34"/>
    </row>
    <row r="158" spans="1:14" s="50" customFormat="1" ht="15.75" customHeight="1" x14ac:dyDescent="0.25">
      <c r="A158" s="99">
        <f t="shared" si="0"/>
        <v>5</v>
      </c>
      <c r="B158" s="99"/>
      <c r="C158" s="65" t="s">
        <v>205</v>
      </c>
      <c r="D158" s="52">
        <f>(13.66)*(10.764)</f>
        <v>147.03623999999999</v>
      </c>
      <c r="E158" s="65">
        <v>0</v>
      </c>
      <c r="F158" s="65">
        <f t="shared" ref="F158:F162" si="2">(D158+E158)*(($F$151)+1)</f>
        <v>220.55435999999997</v>
      </c>
      <c r="G158" s="99"/>
      <c r="H158" s="99"/>
      <c r="I158" s="34"/>
      <c r="L158" s="165"/>
      <c r="M158" s="165"/>
      <c r="N158" s="34"/>
    </row>
    <row r="159" spans="1:14" s="50" customFormat="1" ht="15.75" customHeight="1" x14ac:dyDescent="0.25">
      <c r="A159" s="99">
        <f t="shared" si="0"/>
        <v>6</v>
      </c>
      <c r="B159" s="99"/>
      <c r="C159" s="65" t="s">
        <v>205</v>
      </c>
      <c r="D159" s="52">
        <f>(18.14)*(10.764)</f>
        <v>195.25896</v>
      </c>
      <c r="E159" s="65">
        <v>0</v>
      </c>
      <c r="F159" s="65">
        <f t="shared" si="2"/>
        <v>292.88844</v>
      </c>
      <c r="G159" s="99"/>
      <c r="H159" s="99"/>
      <c r="I159" s="34"/>
      <c r="L159" s="165"/>
      <c r="M159" s="165"/>
      <c r="N159" s="34"/>
    </row>
    <row r="160" spans="1:14" s="50" customFormat="1" ht="15.75" customHeight="1" x14ac:dyDescent="0.25">
      <c r="A160" s="99">
        <f t="shared" si="0"/>
        <v>7</v>
      </c>
      <c r="B160" s="99"/>
      <c r="C160" s="65" t="s">
        <v>205</v>
      </c>
      <c r="D160" s="52">
        <f>(13.11)*(10.764)</f>
        <v>141.11604</v>
      </c>
      <c r="E160" s="65">
        <v>0</v>
      </c>
      <c r="F160" s="65">
        <f t="shared" si="2"/>
        <v>211.67406</v>
      </c>
      <c r="G160" s="99"/>
      <c r="H160" s="99"/>
      <c r="I160" s="34"/>
      <c r="L160" s="165"/>
      <c r="M160" s="165"/>
      <c r="N160" s="34"/>
    </row>
    <row r="161" spans="1:14" s="50" customFormat="1" ht="15.75" customHeight="1" x14ac:dyDescent="0.25">
      <c r="A161" s="99">
        <f t="shared" si="0"/>
        <v>8</v>
      </c>
      <c r="B161" s="99"/>
      <c r="C161" s="65" t="s">
        <v>205</v>
      </c>
      <c r="D161" s="52">
        <f>(15.67)*(10.764)</f>
        <v>168.67187999999999</v>
      </c>
      <c r="E161" s="65">
        <v>0</v>
      </c>
      <c r="F161" s="65">
        <f t="shared" si="2"/>
        <v>253.00781999999998</v>
      </c>
      <c r="G161" s="99"/>
      <c r="H161" s="99"/>
      <c r="I161" s="34"/>
      <c r="L161" s="165"/>
      <c r="M161" s="165"/>
      <c r="N161" s="34"/>
    </row>
    <row r="162" spans="1:14" s="50" customFormat="1" ht="15.75" customHeight="1" x14ac:dyDescent="0.25">
      <c r="A162" s="99">
        <f t="shared" si="0"/>
        <v>9</v>
      </c>
      <c r="B162" s="99"/>
      <c r="C162" s="65" t="s">
        <v>205</v>
      </c>
      <c r="D162" s="52">
        <f>(15.67)*(10.764)</f>
        <v>168.67187999999999</v>
      </c>
      <c r="E162" s="65">
        <v>0</v>
      </c>
      <c r="F162" s="65">
        <f t="shared" si="2"/>
        <v>253.00781999999998</v>
      </c>
      <c r="G162" s="99"/>
      <c r="H162" s="99"/>
      <c r="I162" s="34"/>
      <c r="L162" s="165"/>
      <c r="M162" s="165"/>
      <c r="N162" s="34"/>
    </row>
    <row r="163" spans="1:14" s="50" customFormat="1" ht="15.75" customHeight="1" x14ac:dyDescent="0.25">
      <c r="A163" s="99">
        <f t="shared" si="0"/>
        <v>10</v>
      </c>
      <c r="B163" s="99"/>
      <c r="C163" s="65" t="s">
        <v>205</v>
      </c>
      <c r="D163" s="52">
        <f>(13.11)*(10.764)</f>
        <v>141.11604</v>
      </c>
      <c r="E163" s="65">
        <v>0</v>
      </c>
      <c r="F163" s="65">
        <f t="shared" ref="F163:F169" si="3">(D163+E163)*(($F$151)+1)</f>
        <v>211.67406</v>
      </c>
      <c r="G163" s="99"/>
      <c r="H163" s="99"/>
      <c r="I163" s="34"/>
      <c r="L163" s="165"/>
      <c r="M163" s="165"/>
      <c r="N163" s="34"/>
    </row>
    <row r="164" spans="1:14" s="50" customFormat="1" ht="15.75" customHeight="1" x14ac:dyDescent="0.25">
      <c r="A164" s="99">
        <f t="shared" si="0"/>
        <v>11</v>
      </c>
      <c r="B164" s="99"/>
      <c r="C164" s="65" t="s">
        <v>205</v>
      </c>
      <c r="D164" s="52">
        <f>(18.14)*(10.764)</f>
        <v>195.25896</v>
      </c>
      <c r="E164" s="65">
        <v>0</v>
      </c>
      <c r="F164" s="65">
        <f t="shared" si="3"/>
        <v>292.88844</v>
      </c>
      <c r="G164" s="99"/>
      <c r="H164" s="99"/>
      <c r="I164" s="34"/>
      <c r="L164" s="165"/>
      <c r="M164" s="165"/>
      <c r="N164" s="34"/>
    </row>
    <row r="165" spans="1:14" s="50" customFormat="1" ht="15.75" customHeight="1" x14ac:dyDescent="0.25">
      <c r="A165" s="99">
        <f t="shared" si="0"/>
        <v>12</v>
      </c>
      <c r="B165" s="99"/>
      <c r="C165" s="65" t="s">
        <v>205</v>
      </c>
      <c r="D165" s="52">
        <f>(9.37)*(10.764)</f>
        <v>100.85867999999999</v>
      </c>
      <c r="E165" s="65">
        <v>0</v>
      </c>
      <c r="F165" s="65">
        <f t="shared" si="3"/>
        <v>151.28801999999999</v>
      </c>
      <c r="G165" s="99"/>
      <c r="H165" s="99"/>
      <c r="I165" s="34"/>
      <c r="L165" s="165"/>
      <c r="M165" s="165"/>
      <c r="N165" s="34"/>
    </row>
    <row r="166" spans="1:14" s="50" customFormat="1" ht="15.75" customHeight="1" x14ac:dyDescent="0.25">
      <c r="A166" s="99">
        <f t="shared" si="0"/>
        <v>13</v>
      </c>
      <c r="B166" s="99"/>
      <c r="C166" s="65" t="s">
        <v>205</v>
      </c>
      <c r="D166" s="52">
        <f>(18.14)*(10.764)</f>
        <v>195.25896</v>
      </c>
      <c r="E166" s="65">
        <v>0</v>
      </c>
      <c r="F166" s="65">
        <f t="shared" si="3"/>
        <v>292.88844</v>
      </c>
      <c r="G166" s="99"/>
      <c r="H166" s="99"/>
      <c r="I166" s="34"/>
      <c r="L166" s="165"/>
      <c r="M166" s="165"/>
      <c r="N166" s="34"/>
    </row>
    <row r="167" spans="1:14" s="50" customFormat="1" ht="15.75" customHeight="1" x14ac:dyDescent="0.25">
      <c r="A167" s="99">
        <f t="shared" si="0"/>
        <v>14</v>
      </c>
      <c r="B167" s="99"/>
      <c r="C167" s="65" t="s">
        <v>205</v>
      </c>
      <c r="D167" s="52">
        <f>(13.11)*(10.764)</f>
        <v>141.11604</v>
      </c>
      <c r="E167" s="65">
        <v>0</v>
      </c>
      <c r="F167" s="65">
        <f t="shared" si="3"/>
        <v>211.67406</v>
      </c>
      <c r="G167" s="99"/>
      <c r="H167" s="99"/>
      <c r="I167" s="34"/>
      <c r="L167" s="165"/>
      <c r="M167" s="165"/>
      <c r="N167" s="34"/>
    </row>
    <row r="168" spans="1:14" s="50" customFormat="1" ht="15.75" customHeight="1" x14ac:dyDescent="0.25">
      <c r="A168" s="99">
        <f t="shared" si="0"/>
        <v>15</v>
      </c>
      <c r="B168" s="99"/>
      <c r="C168" s="65" t="s">
        <v>205</v>
      </c>
      <c r="D168" s="52">
        <f>(15.67)*(10.764)</f>
        <v>168.67187999999999</v>
      </c>
      <c r="E168" s="65">
        <v>0</v>
      </c>
      <c r="F168" s="65">
        <f t="shared" si="3"/>
        <v>253.00781999999998</v>
      </c>
      <c r="G168" s="99"/>
      <c r="H168" s="99"/>
      <c r="I168" s="34"/>
      <c r="L168" s="165"/>
      <c r="M168" s="165"/>
      <c r="N168" s="34"/>
    </row>
    <row r="169" spans="1:14" s="50" customFormat="1" ht="15.75" customHeight="1" x14ac:dyDescent="0.25">
      <c r="A169" s="99">
        <f t="shared" si="0"/>
        <v>16</v>
      </c>
      <c r="B169" s="99"/>
      <c r="C169" s="65" t="s">
        <v>205</v>
      </c>
      <c r="D169" s="52">
        <f>(15.67)*(10.764)</f>
        <v>168.67187999999999</v>
      </c>
      <c r="E169" s="65">
        <v>0</v>
      </c>
      <c r="F169" s="65">
        <f t="shared" si="3"/>
        <v>253.00781999999998</v>
      </c>
      <c r="G169" s="99"/>
      <c r="H169" s="99"/>
      <c r="I169" s="34"/>
      <c r="L169" s="165"/>
      <c r="M169" s="165"/>
      <c r="N169" s="34"/>
    </row>
    <row r="170" spans="1:14" s="50" customFormat="1" ht="15.75" customHeight="1" x14ac:dyDescent="0.25">
      <c r="A170" s="99">
        <f t="shared" si="0"/>
        <v>17</v>
      </c>
      <c r="B170" s="99"/>
      <c r="C170" s="65" t="s">
        <v>205</v>
      </c>
      <c r="D170" s="52">
        <f>(13.11)*(10.764)</f>
        <v>141.11604</v>
      </c>
      <c r="E170" s="65">
        <v>0</v>
      </c>
      <c r="F170" s="65">
        <f t="shared" ref="F170:F172" si="4">(D170+E170)*(($F$151)+1)</f>
        <v>211.67406</v>
      </c>
      <c r="G170" s="99"/>
      <c r="H170" s="99"/>
      <c r="I170" s="34"/>
      <c r="L170" s="165"/>
      <c r="M170" s="165"/>
      <c r="N170" s="34"/>
    </row>
    <row r="171" spans="1:14" s="50" customFormat="1" ht="15.75" customHeight="1" x14ac:dyDescent="0.25">
      <c r="A171" s="99">
        <f t="shared" si="0"/>
        <v>18</v>
      </c>
      <c r="B171" s="99"/>
      <c r="C171" s="65" t="s">
        <v>205</v>
      </c>
      <c r="D171" s="52">
        <f>(18.14)*(10.764)</f>
        <v>195.25896</v>
      </c>
      <c r="E171" s="65">
        <v>0</v>
      </c>
      <c r="F171" s="65">
        <f t="shared" si="4"/>
        <v>292.88844</v>
      </c>
      <c r="G171" s="99"/>
      <c r="H171" s="99"/>
      <c r="I171" s="34"/>
      <c r="L171" s="165"/>
      <c r="M171" s="165"/>
      <c r="N171" s="34"/>
    </row>
    <row r="172" spans="1:14" s="50" customFormat="1" ht="15.75" customHeight="1" x14ac:dyDescent="0.25">
      <c r="A172" s="99">
        <f t="shared" si="0"/>
        <v>19</v>
      </c>
      <c r="B172" s="99"/>
      <c r="C172" s="65" t="s">
        <v>205</v>
      </c>
      <c r="D172" s="52">
        <f>(9.37)*(10.764)</f>
        <v>100.85867999999999</v>
      </c>
      <c r="E172" s="65">
        <v>0</v>
      </c>
      <c r="F172" s="65">
        <f t="shared" si="4"/>
        <v>151.28801999999999</v>
      </c>
      <c r="G172" s="99"/>
      <c r="H172" s="99"/>
      <c r="I172" s="34"/>
      <c r="L172" s="165"/>
      <c r="M172" s="165"/>
      <c r="N172" s="34"/>
    </row>
    <row r="173" spans="1:14" s="35" customFormat="1" x14ac:dyDescent="0.25">
      <c r="A173" s="97"/>
      <c r="B173" s="177"/>
      <c r="C173" s="177"/>
      <c r="D173" s="177"/>
      <c r="E173" s="177"/>
      <c r="F173" s="177"/>
      <c r="G173" s="177"/>
      <c r="H173" s="98"/>
      <c r="I173" s="34"/>
      <c r="N173" s="34"/>
    </row>
    <row r="174" spans="1:14" ht="47.25" customHeight="1" x14ac:dyDescent="0.25">
      <c r="A174" s="105" t="s">
        <v>125</v>
      </c>
      <c r="B174" s="105" t="s">
        <v>126</v>
      </c>
      <c r="C174" s="101" t="s">
        <v>59</v>
      </c>
      <c r="D174" s="101" t="s">
        <v>60</v>
      </c>
      <c r="E174" s="103" t="s">
        <v>61</v>
      </c>
      <c r="F174" s="41" t="s">
        <v>156</v>
      </c>
      <c r="G174" s="105" t="s">
        <v>62</v>
      </c>
      <c r="H174" s="106"/>
      <c r="I174" s="34"/>
    </row>
    <row r="175" spans="1:14" s="35" customFormat="1" x14ac:dyDescent="0.25">
      <c r="A175" s="107"/>
      <c r="B175" s="107"/>
      <c r="C175" s="102"/>
      <c r="D175" s="102"/>
      <c r="E175" s="104"/>
      <c r="F175" s="13">
        <v>0.45</v>
      </c>
      <c r="G175" s="107"/>
      <c r="H175" s="108"/>
      <c r="I175" s="34"/>
    </row>
    <row r="176" spans="1:14" s="50" customFormat="1" x14ac:dyDescent="0.25">
      <c r="A176" s="140" t="s">
        <v>206</v>
      </c>
      <c r="B176" s="141"/>
      <c r="C176" s="141"/>
      <c r="D176" s="141"/>
      <c r="E176" s="141"/>
      <c r="F176" s="141"/>
      <c r="G176" s="141"/>
      <c r="H176" s="142"/>
      <c r="J176" s="34"/>
    </row>
    <row r="177" spans="1:14" s="50" customFormat="1" x14ac:dyDescent="0.25">
      <c r="A177" s="140" t="s">
        <v>207</v>
      </c>
      <c r="B177" s="141"/>
      <c r="C177" s="141"/>
      <c r="D177" s="141"/>
      <c r="E177" s="141"/>
      <c r="F177" s="141"/>
      <c r="G177" s="141"/>
      <c r="H177" s="142"/>
      <c r="J177" s="52">
        <f>10.764</f>
        <v>10.763999999999999</v>
      </c>
    </row>
    <row r="178" spans="1:14" s="50" customFormat="1" ht="15.75" customHeight="1" x14ac:dyDescent="0.25">
      <c r="A178" s="97">
        <v>101</v>
      </c>
      <c r="B178" s="98"/>
      <c r="C178" s="51">
        <v>1</v>
      </c>
      <c r="D178" s="52">
        <f>(36.76+2.75+2.75*0.7)*(10.764)</f>
        <v>446.00633999999991</v>
      </c>
      <c r="E178" s="49">
        <v>0</v>
      </c>
      <c r="F178" s="49">
        <f t="shared" ref="F178:F183" si="5">D178*(($F$175)+1)+(IF(E178&lt;101,E178,IF(E178&lt;201,E178/2,IF(E178&lt;=301,E178/3,E178/4))))</f>
        <v>646.7091929999998</v>
      </c>
      <c r="G178" s="189" t="str">
        <f>A177</f>
        <v>1st Floor For Residential</v>
      </c>
      <c r="H178" s="190"/>
      <c r="I178" s="34"/>
      <c r="J178" s="50">
        <f>2.75*4.75+2.1*2.45+2.75*3.5+1.8*1.2+1.2*1.2+2.1*0.9+1.2*0.9</f>
        <v>34.402499999999996</v>
      </c>
      <c r="L178" s="165"/>
      <c r="M178" s="165"/>
      <c r="N178" s="34"/>
    </row>
    <row r="179" spans="1:14" s="50" customFormat="1" ht="15.75" customHeight="1" x14ac:dyDescent="0.25">
      <c r="A179" s="97">
        <f t="shared" ref="A179:A183" si="6">A178+1</f>
        <v>102</v>
      </c>
      <c r="B179" s="98"/>
      <c r="C179" s="51">
        <v>1</v>
      </c>
      <c r="D179" s="52">
        <f>(36.76)*(10.764)</f>
        <v>395.68463999999994</v>
      </c>
      <c r="E179" s="52">
        <f>(8*1.8+2.75)*(10.764)</f>
        <v>184.60259999999997</v>
      </c>
      <c r="F179" s="49">
        <f t="shared" si="5"/>
        <v>666.04402799999991</v>
      </c>
      <c r="G179" s="191"/>
      <c r="H179" s="192"/>
      <c r="I179" s="34"/>
      <c r="L179" s="165"/>
      <c r="M179" s="165"/>
      <c r="N179" s="34"/>
    </row>
    <row r="180" spans="1:14" s="50" customFormat="1" ht="15.75" customHeight="1" x14ac:dyDescent="0.25">
      <c r="A180" s="97">
        <f t="shared" si="6"/>
        <v>103</v>
      </c>
      <c r="B180" s="98"/>
      <c r="C180" s="51">
        <v>2</v>
      </c>
      <c r="D180" s="52">
        <f>(47.69)*(10.764)</f>
        <v>513.33515999999997</v>
      </c>
      <c r="E180" s="52">
        <f>(13.5*1.8+2.75+2.65+4*2.4)*(10.764)</f>
        <v>423.02519999999993</v>
      </c>
      <c r="F180" s="49">
        <f t="shared" si="5"/>
        <v>850.09228199999995</v>
      </c>
      <c r="G180" s="191"/>
      <c r="H180" s="192"/>
      <c r="I180" s="34"/>
      <c r="J180" s="50">
        <f>2.75*4.75+2.15*2.45+2.75*3.5+2.35*0.4+2.6*3.4+2*(1.2*2.1)+2.15*0.9</f>
        <v>44.71</v>
      </c>
      <c r="L180" s="165"/>
      <c r="M180" s="165"/>
      <c r="N180" s="34"/>
    </row>
    <row r="181" spans="1:14" s="50" customFormat="1" ht="15.75" customHeight="1" x14ac:dyDescent="0.25">
      <c r="A181" s="97">
        <f t="shared" si="6"/>
        <v>104</v>
      </c>
      <c r="B181" s="98"/>
      <c r="C181" s="51">
        <v>1</v>
      </c>
      <c r="D181" s="52">
        <f>(36.24+2.75+2.75*0.7)*(10.764)</f>
        <v>440.40905999999995</v>
      </c>
      <c r="E181" s="49">
        <v>0</v>
      </c>
      <c r="F181" s="49">
        <f t="shared" si="5"/>
        <v>638.59313699999996</v>
      </c>
      <c r="G181" s="191"/>
      <c r="H181" s="192"/>
      <c r="I181" s="34"/>
      <c r="L181" s="165"/>
      <c r="M181" s="165"/>
      <c r="N181" s="34"/>
    </row>
    <row r="182" spans="1:14" s="50" customFormat="1" ht="15.75" customHeight="1" x14ac:dyDescent="0.25">
      <c r="A182" s="97">
        <f t="shared" si="6"/>
        <v>105</v>
      </c>
      <c r="B182" s="98"/>
      <c r="C182" s="51">
        <v>1</v>
      </c>
      <c r="D182" s="52">
        <f>(36.76+2.75+2.75*0.7)*(10.764)</f>
        <v>446.00633999999991</v>
      </c>
      <c r="E182" s="49">
        <v>0</v>
      </c>
      <c r="F182" s="49">
        <f t="shared" si="5"/>
        <v>646.7091929999998</v>
      </c>
      <c r="G182" s="191"/>
      <c r="H182" s="192"/>
      <c r="I182" s="34"/>
      <c r="L182" s="165"/>
      <c r="M182" s="165"/>
      <c r="N182" s="34"/>
    </row>
    <row r="183" spans="1:14" s="50" customFormat="1" ht="15.75" customHeight="1" x14ac:dyDescent="0.25">
      <c r="A183" s="97">
        <f t="shared" si="6"/>
        <v>106</v>
      </c>
      <c r="B183" s="98"/>
      <c r="C183" s="51">
        <v>1</v>
      </c>
      <c r="D183" s="52">
        <f>(36.76+2.75+2.75*0.7)*(10.764)</f>
        <v>446.00633999999991</v>
      </c>
      <c r="E183" s="49">
        <v>0</v>
      </c>
      <c r="F183" s="49">
        <f t="shared" si="5"/>
        <v>646.7091929999998</v>
      </c>
      <c r="G183" s="193"/>
      <c r="H183" s="194"/>
      <c r="I183" s="34"/>
      <c r="L183" s="165"/>
      <c r="M183" s="165"/>
      <c r="N183" s="34"/>
    </row>
    <row r="184" spans="1:14" s="50" customFormat="1" x14ac:dyDescent="0.25">
      <c r="A184" s="140" t="s">
        <v>208</v>
      </c>
      <c r="B184" s="141"/>
      <c r="C184" s="141"/>
      <c r="D184" s="141"/>
      <c r="E184" s="141"/>
      <c r="F184" s="141"/>
      <c r="G184" s="141"/>
      <c r="H184" s="142"/>
      <c r="J184" s="34"/>
    </row>
    <row r="185" spans="1:14" s="50" customFormat="1" ht="15.75" customHeight="1" x14ac:dyDescent="0.25">
      <c r="A185" s="97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201 to 701</v>
      </c>
      <c r="B185" s="98"/>
      <c r="C185" s="51">
        <v>1</v>
      </c>
      <c r="D185" s="52">
        <f>(36.76+2.75+2.75*0.7)*(10.764)</f>
        <v>446.00633999999991</v>
      </c>
      <c r="E185" s="49">
        <v>0</v>
      </c>
      <c r="F185" s="49">
        <f t="shared" ref="F185:F190" si="7">D185*(($F$175)+1)+(IF(E185&lt;101,E185,IF(E185&lt;201,E185/2,IF(E185&lt;=301,E185/3,E185/4))))</f>
        <v>646.7091929999998</v>
      </c>
      <c r="G185" s="189" t="str">
        <f>A184</f>
        <v>2nd to 7th Floor</v>
      </c>
      <c r="H185" s="190"/>
      <c r="I185" s="34"/>
      <c r="L185" s="165"/>
      <c r="M185" s="165"/>
      <c r="N185" s="34"/>
    </row>
    <row r="186" spans="1:14" s="50" customFormat="1" ht="15.75" customHeight="1" x14ac:dyDescent="0.25">
      <c r="A186" s="97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202 to 702</v>
      </c>
      <c r="B186" s="98"/>
      <c r="C186" s="51">
        <v>1</v>
      </c>
      <c r="D186" s="52">
        <f>(36.76+2.75+2.75*0.7)*(10.764)</f>
        <v>446.00633999999991</v>
      </c>
      <c r="E186" s="49">
        <v>0</v>
      </c>
      <c r="F186" s="49">
        <f t="shared" si="7"/>
        <v>646.7091929999998</v>
      </c>
      <c r="G186" s="191" t="str">
        <f t="shared" ref="G186:G190" si="8">G185</f>
        <v>2nd to 7th Floor</v>
      </c>
      <c r="H186" s="192"/>
      <c r="I186" s="34"/>
      <c r="L186" s="165"/>
      <c r="M186" s="165"/>
      <c r="N186" s="34"/>
    </row>
    <row r="187" spans="1:14" s="50" customFormat="1" ht="15.75" customHeight="1" x14ac:dyDescent="0.25">
      <c r="A187" s="97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to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203 to 703</v>
      </c>
      <c r="B187" s="98"/>
      <c r="C187" s="51">
        <v>2</v>
      </c>
      <c r="D187" s="52">
        <f>(47.69+2.75+2.75*0.7)*(10.764)</f>
        <v>563.65685999999994</v>
      </c>
      <c r="E187" s="49">
        <v>0</v>
      </c>
      <c r="F187" s="49">
        <f t="shared" si="7"/>
        <v>817.30244699999992</v>
      </c>
      <c r="G187" s="191" t="str">
        <f t="shared" si="8"/>
        <v>2nd to 7th Floor</v>
      </c>
      <c r="H187" s="192"/>
      <c r="I187" s="34"/>
      <c r="L187" s="165"/>
      <c r="M187" s="165"/>
      <c r="N187" s="34"/>
    </row>
    <row r="188" spans="1:14" s="50" customFormat="1" ht="15.75" customHeight="1" x14ac:dyDescent="0.25">
      <c r="A188" s="97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204 to 704</v>
      </c>
      <c r="B188" s="98"/>
      <c r="C188" s="51">
        <v>1</v>
      </c>
      <c r="D188" s="52">
        <f>(36.24+2.75+2.75*0.7)*(10.764)</f>
        <v>440.40905999999995</v>
      </c>
      <c r="E188" s="49">
        <v>0</v>
      </c>
      <c r="F188" s="49">
        <f t="shared" si="7"/>
        <v>638.59313699999996</v>
      </c>
      <c r="G188" s="191" t="str">
        <f t="shared" si="8"/>
        <v>2nd to 7th Floor</v>
      </c>
      <c r="H188" s="192"/>
      <c r="I188" s="34">
        <f>3700*F188</f>
        <v>2362794.6069</v>
      </c>
      <c r="L188" s="165"/>
      <c r="M188" s="165"/>
      <c r="N188" s="34"/>
    </row>
    <row r="189" spans="1:14" s="50" customFormat="1" ht="15.75" customHeight="1" x14ac:dyDescent="0.25">
      <c r="A189" s="97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to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205 to 705</v>
      </c>
      <c r="B189" s="98"/>
      <c r="C189" s="51">
        <v>1</v>
      </c>
      <c r="D189" s="52">
        <f>(36.76+2.75+2.75*0.7)*(10.764)</f>
        <v>446.00633999999991</v>
      </c>
      <c r="E189" s="49">
        <v>0</v>
      </c>
      <c r="F189" s="49">
        <f t="shared" si="7"/>
        <v>646.7091929999998</v>
      </c>
      <c r="G189" s="191" t="str">
        <f t="shared" si="8"/>
        <v>2nd to 7th Floor</v>
      </c>
      <c r="H189" s="192"/>
      <c r="I189" s="34"/>
      <c r="L189" s="165"/>
      <c r="M189" s="165"/>
      <c r="N189" s="34"/>
    </row>
    <row r="190" spans="1:14" s="50" customFormat="1" ht="15.75" customHeight="1" x14ac:dyDescent="0.25">
      <c r="A190" s="97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to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206 to 706</v>
      </c>
      <c r="B190" s="98"/>
      <c r="C190" s="51">
        <v>1</v>
      </c>
      <c r="D190" s="52">
        <f>(36.76+2.75+2.75*0.7)*(10.764)</f>
        <v>446.00633999999991</v>
      </c>
      <c r="E190" s="49">
        <v>0</v>
      </c>
      <c r="F190" s="49">
        <f t="shared" si="7"/>
        <v>646.7091929999998</v>
      </c>
      <c r="G190" s="193" t="str">
        <f t="shared" si="8"/>
        <v>2nd to 7th Floor</v>
      </c>
      <c r="H190" s="194"/>
      <c r="I190" s="34"/>
      <c r="L190" s="165"/>
      <c r="M190" s="165"/>
      <c r="N190" s="34"/>
    </row>
    <row r="191" spans="1:14" s="50" customFormat="1" x14ac:dyDescent="0.25">
      <c r="A191" s="143" t="s">
        <v>209</v>
      </c>
      <c r="B191" s="143"/>
      <c r="C191" s="143"/>
      <c r="D191" s="143"/>
      <c r="E191" s="143"/>
      <c r="F191" s="143"/>
      <c r="G191" s="143"/>
      <c r="H191" s="143"/>
      <c r="J191" s="34"/>
    </row>
    <row r="192" spans="1:14" s="50" customFormat="1" x14ac:dyDescent="0.25">
      <c r="A192" s="143" t="s">
        <v>207</v>
      </c>
      <c r="B192" s="143"/>
      <c r="C192" s="143"/>
      <c r="D192" s="143"/>
      <c r="E192" s="143"/>
      <c r="F192" s="143"/>
      <c r="G192" s="143"/>
      <c r="H192" s="143"/>
      <c r="J192" s="34"/>
    </row>
    <row r="193" spans="1:14" s="50" customFormat="1" ht="15.75" customHeight="1" x14ac:dyDescent="0.25">
      <c r="A193" s="99">
        <v>101</v>
      </c>
      <c r="B193" s="99"/>
      <c r="C193" s="51">
        <v>1</v>
      </c>
      <c r="D193" s="52">
        <f>(36.76+2.75+2.75*0.7)*(10.764)</f>
        <v>446.00633999999991</v>
      </c>
      <c r="E193" s="65">
        <v>0</v>
      </c>
      <c r="F193" s="65">
        <f>D193*(($F$175)+1)+(IF(E193&lt;101,E193,IF(E193&lt;201,E193/2,IF(E193&lt;=301,E193/3,E193/4))))</f>
        <v>646.7091929999998</v>
      </c>
      <c r="G193" s="99" t="str">
        <f>A192</f>
        <v>1st Floor For Residential</v>
      </c>
      <c r="H193" s="99"/>
      <c r="I193" s="34"/>
      <c r="L193" s="165"/>
      <c r="M193" s="165"/>
      <c r="N193" s="34"/>
    </row>
    <row r="194" spans="1:14" s="50" customFormat="1" ht="15.75" customHeight="1" x14ac:dyDescent="0.25">
      <c r="A194" s="99">
        <f t="shared" ref="A194:A196" si="9">A193+1</f>
        <v>102</v>
      </c>
      <c r="B194" s="99"/>
      <c r="C194" s="51">
        <v>1</v>
      </c>
      <c r="D194" s="52">
        <f>(36.76)*(10.764)</f>
        <v>395.68463999999994</v>
      </c>
      <c r="E194" s="52">
        <f>(8*1.8+2.75)*(10.764)</f>
        <v>184.60259999999997</v>
      </c>
      <c r="F194" s="65">
        <f>D194*(($F$175)+1)+(IF(E194&lt;101,E194,IF(E194&lt;201,E194/2,IF(E194&lt;=301,E194/3,E194/4))))</f>
        <v>666.04402799999991</v>
      </c>
      <c r="G194" s="99"/>
      <c r="H194" s="99"/>
      <c r="I194" s="34"/>
      <c r="L194" s="165"/>
      <c r="M194" s="165"/>
      <c r="N194" s="34"/>
    </row>
    <row r="195" spans="1:14" s="50" customFormat="1" ht="15.75" customHeight="1" x14ac:dyDescent="0.25">
      <c r="A195" s="99">
        <f t="shared" si="9"/>
        <v>103</v>
      </c>
      <c r="B195" s="99"/>
      <c r="C195" s="51">
        <v>2</v>
      </c>
      <c r="D195" s="52">
        <f>(45.74)*(10.764)</f>
        <v>492.34535999999997</v>
      </c>
      <c r="E195" s="52">
        <f>(1.8*(2.75+2.1+2.75)+1.3*2.6)*(10.764)</f>
        <v>183.63383999999996</v>
      </c>
      <c r="F195" s="65">
        <f>D195*(($F$175)+1)+(IF(E195&lt;101,E195,IF(E195&lt;201,E195/2,IF(E195&lt;=301,E195/3,E195/4))))</f>
        <v>805.71769199999994</v>
      </c>
      <c r="G195" s="99"/>
      <c r="H195" s="99"/>
      <c r="I195" s="34"/>
      <c r="L195" s="165"/>
      <c r="M195" s="165"/>
      <c r="N195" s="34"/>
    </row>
    <row r="196" spans="1:14" s="50" customFormat="1" ht="15.75" customHeight="1" x14ac:dyDescent="0.25">
      <c r="A196" s="99">
        <f t="shared" si="9"/>
        <v>104</v>
      </c>
      <c r="B196" s="99"/>
      <c r="C196" s="51">
        <v>1</v>
      </c>
      <c r="D196" s="52">
        <f>(36.24+2.75+2.75*0.7)*(10.764)</f>
        <v>440.40905999999995</v>
      </c>
      <c r="E196" s="65">
        <v>0</v>
      </c>
      <c r="F196" s="65">
        <f>D196*(($F$175)+1)+(IF(E196&lt;101,E196,IF(E196&lt;201,E196/2,IF(E196&lt;=301,E196/3,E196/4))))</f>
        <v>638.59313699999996</v>
      </c>
      <c r="G196" s="99"/>
      <c r="H196" s="99"/>
      <c r="I196" s="34"/>
      <c r="L196" s="165"/>
      <c r="M196" s="165"/>
      <c r="N196" s="34"/>
    </row>
    <row r="197" spans="1:14" s="50" customFormat="1" x14ac:dyDescent="0.25">
      <c r="A197" s="143" t="s">
        <v>208</v>
      </c>
      <c r="B197" s="143"/>
      <c r="C197" s="143"/>
      <c r="D197" s="143"/>
      <c r="E197" s="143"/>
      <c r="F197" s="143"/>
      <c r="G197" s="143"/>
      <c r="H197" s="143"/>
      <c r="J197" s="34"/>
    </row>
    <row r="198" spans="1:14" s="50" customFormat="1" ht="15.75" customHeight="1" x14ac:dyDescent="0.25">
      <c r="A198" s="99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10^ROW(INDIRECT("1:"&amp;LEN((LEFT(A197,SUM(LEN(A197)-LEN(SUBSTITUTE(A197,{"0","1","2"},""))))))))/10))*100+1&amp;""&amp;" to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",LEN(A197))),LEN(A197)))))))/10))*100+1</f>
        <v>201 to 701</v>
      </c>
      <c r="B198" s="99"/>
      <c r="C198" s="51">
        <v>1</v>
      </c>
      <c r="D198" s="52">
        <f>(36.76+2.75+2.75*0.7)*(10.764)</f>
        <v>446.00633999999991</v>
      </c>
      <c r="E198" s="65">
        <v>0</v>
      </c>
      <c r="F198" s="65">
        <f>D198*(($F$175)+1)+(IF(E198&lt;101,E198,IF(E198&lt;201,E198/2,IF(E198&lt;=301,E198/3,E198/4))))</f>
        <v>646.7091929999998</v>
      </c>
      <c r="G198" s="99" t="str">
        <f>A197</f>
        <v>2nd to 7th Floor</v>
      </c>
      <c r="H198" s="99"/>
      <c r="I198" s="34"/>
      <c r="L198" s="165"/>
      <c r="M198" s="165"/>
      <c r="N198" s="34"/>
    </row>
    <row r="199" spans="1:14" s="50" customFormat="1" ht="15.75" customHeight="1" x14ac:dyDescent="0.25">
      <c r="A199" s="99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to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202 to 702</v>
      </c>
      <c r="B199" s="99"/>
      <c r="C199" s="51">
        <v>1</v>
      </c>
      <c r="D199" s="52">
        <f>(36.76+2.75+2.75*0.7)*(10.764)</f>
        <v>446.00633999999991</v>
      </c>
      <c r="E199" s="65">
        <v>0</v>
      </c>
      <c r="F199" s="65">
        <f>D199*(($F$175)+1)+(IF(E199&lt;101,E199,IF(E199&lt;201,E199/2,IF(E199&lt;=301,E199/3,E199/4))))</f>
        <v>646.7091929999998</v>
      </c>
      <c r="G199" s="99"/>
      <c r="H199" s="99"/>
      <c r="I199" s="34"/>
      <c r="L199" s="165"/>
      <c r="M199" s="165"/>
      <c r="N199" s="34"/>
    </row>
    <row r="200" spans="1:14" s="50" customFormat="1" ht="15.75" customHeight="1" x14ac:dyDescent="0.25">
      <c r="A200" s="99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to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203 to 703</v>
      </c>
      <c r="B200" s="99"/>
      <c r="C200" s="51">
        <v>2</v>
      </c>
      <c r="D200" s="52">
        <f>(45.74+2.75+2.75*0.7)*(10.764)</f>
        <v>542.66705999999999</v>
      </c>
      <c r="E200" s="65">
        <v>0</v>
      </c>
      <c r="F200" s="65">
        <f>D200*(($F$175)+1)+(IF(E200&lt;101,E200,IF(E200&lt;201,E200/2,IF(E200&lt;=301,E200/3,E200/4))))</f>
        <v>786.86723699999993</v>
      </c>
      <c r="G200" s="99"/>
      <c r="H200" s="99"/>
      <c r="I200" s="34"/>
      <c r="L200" s="165"/>
      <c r="M200" s="165"/>
      <c r="N200" s="34"/>
    </row>
    <row r="201" spans="1:14" s="50" customFormat="1" ht="15.75" customHeight="1" x14ac:dyDescent="0.25">
      <c r="A201" s="99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to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204 to 704</v>
      </c>
      <c r="B201" s="99"/>
      <c r="C201" s="51">
        <v>1</v>
      </c>
      <c r="D201" s="52">
        <f>(36.24+2.75+2.75*0.7)*(10.764)</f>
        <v>440.40905999999995</v>
      </c>
      <c r="E201" s="65">
        <v>0</v>
      </c>
      <c r="F201" s="65">
        <f>D201*(($F$175)+1)+(IF(E201&lt;101,E201,IF(E201&lt;201,E201/2,IF(E201&lt;=301,E201/3,E201/4))))</f>
        <v>638.59313699999996</v>
      </c>
      <c r="G201" s="99"/>
      <c r="H201" s="99"/>
      <c r="I201" s="34"/>
      <c r="L201" s="165"/>
      <c r="M201" s="165"/>
      <c r="N201" s="34"/>
    </row>
    <row r="202" spans="1:14" s="50" customFormat="1" x14ac:dyDescent="0.25">
      <c r="A202" s="140" t="s">
        <v>210</v>
      </c>
      <c r="B202" s="141"/>
      <c r="C202" s="141"/>
      <c r="D202" s="141"/>
      <c r="E202" s="141"/>
      <c r="F202" s="141"/>
      <c r="G202" s="141"/>
      <c r="H202" s="142"/>
      <c r="J202" s="34"/>
    </row>
    <row r="203" spans="1:14" s="50" customFormat="1" x14ac:dyDescent="0.25">
      <c r="A203" s="140" t="s">
        <v>207</v>
      </c>
      <c r="B203" s="141"/>
      <c r="C203" s="141"/>
      <c r="D203" s="141"/>
      <c r="E203" s="141"/>
      <c r="F203" s="141"/>
      <c r="G203" s="141"/>
      <c r="H203" s="142"/>
      <c r="J203" s="34"/>
    </row>
    <row r="204" spans="1:14" s="50" customFormat="1" ht="15.75" customHeight="1" x14ac:dyDescent="0.25">
      <c r="A204" s="97">
        <v>101</v>
      </c>
      <c r="B204" s="98"/>
      <c r="C204" s="51">
        <v>1</v>
      </c>
      <c r="D204" s="52">
        <f>(36.76+2.75+2.75*0.7)*(10.764)</f>
        <v>446.00633999999991</v>
      </c>
      <c r="E204" s="49">
        <v>0</v>
      </c>
      <c r="F204" s="49">
        <f>D204*(($F$175)+1)+(IF(E204&lt;101,E204,IF(E204&lt;201,E204/2,IF(E204&lt;=301,E204/3,E204/4))))</f>
        <v>646.7091929999998</v>
      </c>
      <c r="G204" s="189" t="str">
        <f>A203</f>
        <v>1st Floor For Residential</v>
      </c>
      <c r="H204" s="190"/>
      <c r="I204" s="34"/>
      <c r="L204" s="165"/>
      <c r="M204" s="165"/>
      <c r="N204" s="34"/>
    </row>
    <row r="205" spans="1:14" s="50" customFormat="1" ht="15.75" customHeight="1" x14ac:dyDescent="0.25">
      <c r="A205" s="97">
        <f t="shared" ref="A205:A207" si="10">A204+1</f>
        <v>102</v>
      </c>
      <c r="B205" s="98"/>
      <c r="C205" s="51">
        <v>1</v>
      </c>
      <c r="D205" s="52">
        <f>(36.76+2.75+2.75*0.7)*(10.764)</f>
        <v>446.00633999999991</v>
      </c>
      <c r="E205" s="49">
        <v>0</v>
      </c>
      <c r="F205" s="49">
        <f>D205*(($F$175)+1)+(IF(E205&lt;101,E205,IF(E205&lt;201,E205/2,IF(E205&lt;=301,E205/3,E205/4))))</f>
        <v>646.7091929999998</v>
      </c>
      <c r="G205" s="191"/>
      <c r="H205" s="192"/>
      <c r="I205" s="34"/>
      <c r="L205" s="165"/>
      <c r="M205" s="165"/>
      <c r="N205" s="34"/>
    </row>
    <row r="206" spans="1:14" s="50" customFormat="1" ht="15.75" customHeight="1" x14ac:dyDescent="0.25">
      <c r="A206" s="97">
        <f t="shared" si="10"/>
        <v>103</v>
      </c>
      <c r="B206" s="98"/>
      <c r="C206" s="51">
        <v>2</v>
      </c>
      <c r="D206" s="52">
        <f>(45.74)*(10.764)</f>
        <v>492.34535999999997</v>
      </c>
      <c r="E206" s="52">
        <f>(1.8*(2.75+2.1+2.75)+1.3*2.6)*(10.764)</f>
        <v>183.63383999999996</v>
      </c>
      <c r="F206" s="49">
        <f>D206*(($F$175)+1)+(IF(E206&lt;101,E206,IF(E206&lt;201,E206/2,IF(E206&lt;=301,E206/3,E206/4))))</f>
        <v>805.71769199999994</v>
      </c>
      <c r="G206" s="191"/>
      <c r="H206" s="192"/>
      <c r="I206" s="34"/>
      <c r="L206" s="165"/>
      <c r="M206" s="165"/>
      <c r="N206" s="34"/>
    </row>
    <row r="207" spans="1:14" s="50" customFormat="1" ht="15.75" customHeight="1" x14ac:dyDescent="0.25">
      <c r="A207" s="97">
        <f t="shared" si="10"/>
        <v>104</v>
      </c>
      <c r="B207" s="98"/>
      <c r="C207" s="51">
        <v>1</v>
      </c>
      <c r="D207" s="52">
        <f>(36.24+2.75+2.75*0.7)*(10.764)</f>
        <v>440.40905999999995</v>
      </c>
      <c r="E207" s="49">
        <v>0</v>
      </c>
      <c r="F207" s="49">
        <f>D207*(($F$175)+1)+(IF(E207&lt;101,E207,IF(E207&lt;201,E207/2,IF(E207&lt;=301,E207/3,E207/4))))</f>
        <v>638.59313699999996</v>
      </c>
      <c r="G207" s="191"/>
      <c r="H207" s="192"/>
      <c r="I207" s="34"/>
      <c r="L207" s="165"/>
      <c r="M207" s="165"/>
      <c r="N207" s="34"/>
    </row>
    <row r="208" spans="1:14" s="50" customFormat="1" x14ac:dyDescent="0.25">
      <c r="A208" s="140" t="s">
        <v>208</v>
      </c>
      <c r="B208" s="141"/>
      <c r="C208" s="141"/>
      <c r="D208" s="141"/>
      <c r="E208" s="141"/>
      <c r="F208" s="141"/>
      <c r="G208" s="141"/>
      <c r="H208" s="142"/>
      <c r="J208" s="34"/>
    </row>
    <row r="209" spans="1:14" s="50" customFormat="1" ht="15.75" customHeight="1" x14ac:dyDescent="0.25">
      <c r="A209" s="97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10^ROW(INDIRECT("1:"&amp;LEN((LEFT(A208,SUM(LEN(A208)-LEN(SUBSTITUTE(A208,{"0","1","2"},""))))))))/10))*100+1&amp;""&amp;" to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201 to 701</v>
      </c>
      <c r="B209" s="98"/>
      <c r="C209" s="51">
        <v>1</v>
      </c>
      <c r="D209" s="52">
        <f>(36.76+2.75+2.75*0.7)*(10.764)</f>
        <v>446.00633999999991</v>
      </c>
      <c r="E209" s="49">
        <v>0</v>
      </c>
      <c r="F209" s="49">
        <f>D209*(($F$175)+1)+(IF(E209&lt;101,E209,IF(E209&lt;201,E209/2,IF(E209&lt;=301,E209/3,E209/4))))</f>
        <v>646.7091929999998</v>
      </c>
      <c r="G209" s="189" t="str">
        <f>A208</f>
        <v>2nd to 7th Floor</v>
      </c>
      <c r="H209" s="190"/>
      <c r="I209" s="34"/>
      <c r="L209" s="165"/>
      <c r="M209" s="165"/>
      <c r="N209" s="34"/>
    </row>
    <row r="210" spans="1:14" s="50" customFormat="1" ht="15.75" customHeight="1" x14ac:dyDescent="0.25">
      <c r="A210" s="97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to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202 to 702</v>
      </c>
      <c r="B210" s="98"/>
      <c r="C210" s="51">
        <v>1</v>
      </c>
      <c r="D210" s="52">
        <f>(36.76+2.75+2.75*0.7)*(10.764)</f>
        <v>446.00633999999991</v>
      </c>
      <c r="E210" s="49">
        <v>0</v>
      </c>
      <c r="F210" s="49">
        <f>D210*(($F$175)+1)+(IF(E210&lt;101,E210,IF(E210&lt;201,E210/2,IF(E210&lt;=301,E210/3,E210/4))))</f>
        <v>646.7091929999998</v>
      </c>
      <c r="G210" s="191"/>
      <c r="H210" s="192"/>
      <c r="I210" s="34"/>
      <c r="L210" s="165"/>
      <c r="M210" s="165"/>
      <c r="N210" s="34"/>
    </row>
    <row r="211" spans="1:14" s="50" customFormat="1" ht="15.75" customHeight="1" x14ac:dyDescent="0.25">
      <c r="A211" s="97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to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203 to 703</v>
      </c>
      <c r="B211" s="98"/>
      <c r="C211" s="51">
        <v>2</v>
      </c>
      <c r="D211" s="52">
        <f>(45.74+2.75+2.75*0.7)*(10.764)</f>
        <v>542.66705999999999</v>
      </c>
      <c r="E211" s="49">
        <v>0</v>
      </c>
      <c r="F211" s="49">
        <f>D211*(($F$175)+1)+(IF(E211&lt;101,E211,IF(E211&lt;201,E211/2,IF(E211&lt;=301,E211/3,E211/4))))</f>
        <v>786.86723699999993</v>
      </c>
      <c r="G211" s="191"/>
      <c r="H211" s="192"/>
      <c r="I211" s="34"/>
      <c r="L211" s="165"/>
      <c r="M211" s="165"/>
      <c r="N211" s="34"/>
    </row>
    <row r="212" spans="1:14" s="50" customFormat="1" ht="15.75" customHeight="1" x14ac:dyDescent="0.25">
      <c r="A212" s="97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to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204 to 704</v>
      </c>
      <c r="B212" s="98"/>
      <c r="C212" s="51">
        <v>1</v>
      </c>
      <c r="D212" s="52">
        <f>(36.24+2.75+2.75*0.7)*(10.764)</f>
        <v>440.40905999999995</v>
      </c>
      <c r="E212" s="49">
        <v>0</v>
      </c>
      <c r="F212" s="49">
        <f>D212*(($F$175)+1)+(IF(E212&lt;101,E212,IF(E212&lt;201,E212/2,IF(E212&lt;=301,E212/3,E212/4))))</f>
        <v>638.59313699999996</v>
      </c>
      <c r="G212" s="191"/>
      <c r="H212" s="192"/>
      <c r="I212" s="34"/>
      <c r="L212" s="165"/>
      <c r="M212" s="165"/>
      <c r="N212" s="34"/>
    </row>
    <row r="213" spans="1:14" s="50" customFormat="1" x14ac:dyDescent="0.25">
      <c r="A213" s="140" t="s">
        <v>211</v>
      </c>
      <c r="B213" s="141"/>
      <c r="C213" s="141"/>
      <c r="D213" s="141"/>
      <c r="E213" s="141"/>
      <c r="F213" s="141"/>
      <c r="G213" s="141"/>
      <c r="H213" s="142"/>
      <c r="J213" s="34"/>
    </row>
    <row r="214" spans="1:14" s="50" customFormat="1" x14ac:dyDescent="0.25">
      <c r="A214" s="140" t="s">
        <v>212</v>
      </c>
      <c r="B214" s="141"/>
      <c r="C214" s="141"/>
      <c r="D214" s="141"/>
      <c r="E214" s="141"/>
      <c r="F214" s="141"/>
      <c r="G214" s="141"/>
      <c r="H214" s="142"/>
      <c r="J214" s="34"/>
    </row>
    <row r="215" spans="1:14" s="50" customFormat="1" x14ac:dyDescent="0.25">
      <c r="A215" s="140" t="s">
        <v>221</v>
      </c>
      <c r="B215" s="141"/>
      <c r="C215" s="141"/>
      <c r="D215" s="141"/>
      <c r="E215" s="141"/>
      <c r="F215" s="141"/>
      <c r="G215" s="141"/>
      <c r="H215" s="142"/>
      <c r="J215" s="34"/>
    </row>
    <row r="216" spans="1:14" s="50" customFormat="1" ht="15.75" customHeight="1" x14ac:dyDescent="0.25">
      <c r="A216" s="97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10^ROW(INDIRECT("1:"&amp;LEN((LEFT(A215,SUM(LEN(A215)-LEN(SUBSTITUTE(A215,{"0","1","2"},""))))))))/10))*100+1&amp;""&amp;" to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",LEN(A215))),LEN(A215)))))))/10))*100+1</f>
        <v>101 to 701</v>
      </c>
      <c r="B216" s="98"/>
      <c r="C216" s="51">
        <v>1</v>
      </c>
      <c r="D216" s="52">
        <f>(36.76+2.75+2.75*0.7)*(10.764)</f>
        <v>446.00633999999991</v>
      </c>
      <c r="E216" s="49">
        <v>0</v>
      </c>
      <c r="F216" s="49">
        <f>D216*(($F$175)+1)+(IF(E216&lt;101,E216,IF(E216&lt;201,E216/2,IF(E216&lt;=301,E216/3,E216/4))))</f>
        <v>646.7091929999998</v>
      </c>
      <c r="G216" s="189" t="str">
        <f>A215</f>
        <v>1st to 7th Floor For Residential</v>
      </c>
      <c r="H216" s="190"/>
      <c r="I216" s="34"/>
      <c r="L216" s="165"/>
      <c r="M216" s="165"/>
      <c r="N216" s="34"/>
    </row>
    <row r="217" spans="1:14" s="50" customFormat="1" ht="15.75" customHeight="1" x14ac:dyDescent="0.25">
      <c r="A217" s="97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to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102 to 702</v>
      </c>
      <c r="B217" s="98"/>
      <c r="C217" s="51">
        <v>1</v>
      </c>
      <c r="D217" s="52">
        <f>(36.76+2.75+2.75*0.7)*(10.764)</f>
        <v>446.00633999999991</v>
      </c>
      <c r="E217" s="49">
        <v>0</v>
      </c>
      <c r="F217" s="49">
        <f>D217*(($F$175)+1)+(IF(E217&lt;101,E217,IF(E217&lt;201,E217/2,IF(E217&lt;=301,E217/3,E217/4))))</f>
        <v>646.7091929999998</v>
      </c>
      <c r="G217" s="191"/>
      <c r="H217" s="192"/>
      <c r="I217" s="34"/>
      <c r="L217" s="165"/>
      <c r="M217" s="165"/>
      <c r="N217" s="34"/>
    </row>
    <row r="218" spans="1:14" s="50" customFormat="1" ht="15.75" customHeight="1" x14ac:dyDescent="0.25">
      <c r="A218" s="97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to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103 to 703</v>
      </c>
      <c r="B218" s="98"/>
      <c r="C218" s="51">
        <v>2</v>
      </c>
      <c r="D218" s="52">
        <f>(45.74+2.75+2.75*0.7)*(10.764)</f>
        <v>542.66705999999999</v>
      </c>
      <c r="E218" s="49">
        <v>0</v>
      </c>
      <c r="F218" s="49">
        <f>D218*(($F$175)+1)+(IF(E218&lt;101,E218,IF(E218&lt;201,E218/2,IF(E218&lt;=301,E218/3,E218/4))))</f>
        <v>786.86723699999993</v>
      </c>
      <c r="G218" s="191"/>
      <c r="H218" s="192"/>
      <c r="I218" s="34"/>
      <c r="L218" s="165"/>
      <c r="M218" s="165"/>
      <c r="N218" s="34"/>
    </row>
    <row r="219" spans="1:14" s="50" customFormat="1" ht="15.75" customHeight="1" x14ac:dyDescent="0.25">
      <c r="A219" s="97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to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104 to 704</v>
      </c>
      <c r="B219" s="98"/>
      <c r="C219" s="51">
        <v>1</v>
      </c>
      <c r="D219" s="52">
        <f>(36.24+2.75+2.75*0.7)*(10.764)</f>
        <v>440.40905999999995</v>
      </c>
      <c r="E219" s="49">
        <v>0</v>
      </c>
      <c r="F219" s="49">
        <f>D219*(($F$175)+1)+(IF(E219&lt;101,E219,IF(E219&lt;201,E219/2,IF(E219&lt;=301,E219/3,E219/4))))</f>
        <v>638.59313699999996</v>
      </c>
      <c r="G219" s="191"/>
      <c r="H219" s="192"/>
      <c r="I219" s="34"/>
      <c r="L219" s="165"/>
      <c r="M219" s="165"/>
      <c r="N219" s="34"/>
    </row>
    <row r="220" spans="1:14" s="35" customFormat="1" hidden="1" x14ac:dyDescent="0.25">
      <c r="A220" s="140" t="s">
        <v>121</v>
      </c>
      <c r="B220" s="141"/>
      <c r="C220" s="141"/>
      <c r="D220" s="141"/>
      <c r="E220" s="141"/>
      <c r="F220" s="141"/>
      <c r="G220" s="141"/>
      <c r="H220" s="142"/>
      <c r="J220" s="34"/>
    </row>
    <row r="221" spans="1:14" s="35" customFormat="1" hidden="1" x14ac:dyDescent="0.25">
      <c r="A221" s="97">
        <v>1</v>
      </c>
      <c r="B221" s="98"/>
      <c r="C221" s="51"/>
      <c r="D221" s="40"/>
      <c r="E221" s="40">
        <v>0</v>
      </c>
      <c r="F221" s="40">
        <f>D221*(($F$175)+1)+(IF(E221&lt;101,E221,IF(E221&lt;201,E221/2,IF(E221&lt;=301,E221/3,E221/4))))</f>
        <v>0</v>
      </c>
      <c r="G221" s="97" t="str">
        <f>A220</f>
        <v>Ground Floor</v>
      </c>
      <c r="H221" s="98"/>
      <c r="I221" s="34"/>
      <c r="L221" s="165"/>
      <c r="M221" s="165"/>
      <c r="N221" s="34"/>
    </row>
    <row r="222" spans="1:14" s="35" customFormat="1" hidden="1" x14ac:dyDescent="0.25">
      <c r="A222" s="97">
        <f t="shared" ref="A222:A224" si="11">A221+1</f>
        <v>2</v>
      </c>
      <c r="B222" s="98"/>
      <c r="C222" s="51"/>
      <c r="D222" s="40"/>
      <c r="E222" s="40">
        <v>0</v>
      </c>
      <c r="F222" s="40">
        <f>D222*(($F$175)+1)+(IF(E222&lt;101,E222,IF(E222&lt;201,E222/2,IF(E222&lt;=301,E222/3,E222/4))))</f>
        <v>0</v>
      </c>
      <c r="G222" s="97" t="str">
        <f t="shared" ref="G222:G224" si="12">G221</f>
        <v>Ground Floor</v>
      </c>
      <c r="H222" s="98"/>
      <c r="I222" s="34"/>
      <c r="L222" s="165"/>
      <c r="M222" s="165"/>
      <c r="N222" s="34"/>
    </row>
    <row r="223" spans="1:14" s="35" customFormat="1" hidden="1" x14ac:dyDescent="0.25">
      <c r="A223" s="97">
        <f t="shared" si="11"/>
        <v>3</v>
      </c>
      <c r="B223" s="98"/>
      <c r="C223" s="51"/>
      <c r="D223" s="40"/>
      <c r="E223" s="40">
        <v>0</v>
      </c>
      <c r="F223" s="40">
        <f>D223*(($F$175)+1)+(IF(E223&lt;101,E223,IF(E223&lt;201,E223/2,IF(E223&lt;=301,E223/3,E223/4))))</f>
        <v>0</v>
      </c>
      <c r="G223" s="97" t="str">
        <f t="shared" si="12"/>
        <v>Ground Floor</v>
      </c>
      <c r="H223" s="98"/>
      <c r="I223" s="34"/>
      <c r="L223" s="165"/>
      <c r="M223" s="165"/>
      <c r="N223" s="34"/>
    </row>
    <row r="224" spans="1:14" s="35" customFormat="1" hidden="1" x14ac:dyDescent="0.25">
      <c r="A224" s="97">
        <f t="shared" si="11"/>
        <v>4</v>
      </c>
      <c r="B224" s="98"/>
      <c r="C224" s="51"/>
      <c r="D224" s="40"/>
      <c r="E224" s="40">
        <v>0</v>
      </c>
      <c r="F224" s="40">
        <f>D224*(($F$175)+1)+(IF(E224&lt;101,E224,IF(E224&lt;201,E224/2,IF(E224&lt;=301,E224/3,E224/4))))</f>
        <v>0</v>
      </c>
      <c r="G224" s="97" t="str">
        <f t="shared" si="12"/>
        <v>Ground Floor</v>
      </c>
      <c r="H224" s="98"/>
      <c r="I224" s="34"/>
      <c r="L224" s="165"/>
      <c r="M224" s="165"/>
      <c r="N224" s="34"/>
    </row>
    <row r="225" spans="1:14" s="35" customFormat="1" hidden="1" x14ac:dyDescent="0.25">
      <c r="A225" s="143" t="s">
        <v>122</v>
      </c>
      <c r="B225" s="143"/>
      <c r="C225" s="143"/>
      <c r="D225" s="143"/>
      <c r="E225" s="143"/>
      <c r="F225" s="143"/>
      <c r="G225" s="143"/>
      <c r="H225" s="143"/>
      <c r="I225" s="34"/>
      <c r="L225" s="165"/>
      <c r="M225" s="165"/>
    </row>
    <row r="226" spans="1:14" s="35" customFormat="1" hidden="1" x14ac:dyDescent="0.25">
      <c r="A226" s="99">
        <f>LEFT(A225,SUM(LEN(A225)-LEN(SUBSTITUTE(A225,{"0","1","2","3","4","5","6","7","8","9"},""))))*100+1</f>
        <v>201</v>
      </c>
      <c r="B226" s="99"/>
      <c r="C226" s="51"/>
      <c r="D226" s="40"/>
      <c r="E226" s="40">
        <v>0</v>
      </c>
      <c r="F226" s="40">
        <f t="shared" ref="F226:F227" si="13">D226*(($F$175)+1)+(IF(E226&lt;101,E226,IF(E226&lt;201,E226/2,IF(E226&lt;=301,E226/3,E226/4))))</f>
        <v>0</v>
      </c>
      <c r="G226" s="99" t="str">
        <f>A225</f>
        <v>2nd Floor</v>
      </c>
      <c r="H226" s="99"/>
      <c r="I226" s="34"/>
      <c r="N226" s="34"/>
    </row>
    <row r="227" spans="1:14" s="35" customFormat="1" hidden="1" x14ac:dyDescent="0.25">
      <c r="A227" s="99">
        <f>A226+1</f>
        <v>202</v>
      </c>
      <c r="B227" s="99"/>
      <c r="C227" s="51"/>
      <c r="D227" s="40"/>
      <c r="E227" s="40">
        <v>0</v>
      </c>
      <c r="F227" s="40">
        <f t="shared" si="13"/>
        <v>0</v>
      </c>
      <c r="G227" s="99" t="str">
        <f>G226</f>
        <v>2nd Floor</v>
      </c>
      <c r="H227" s="99"/>
      <c r="I227" s="34"/>
      <c r="N227" s="34"/>
    </row>
    <row r="228" spans="1:14" s="35" customFormat="1" hidden="1" x14ac:dyDescent="0.25">
      <c r="A228" s="99">
        <f>A227+1</f>
        <v>203</v>
      </c>
      <c r="B228" s="99"/>
      <c r="C228" s="51"/>
      <c r="D228" s="40"/>
      <c r="E228" s="40">
        <v>0</v>
      </c>
      <c r="F228" s="40">
        <f>D228*(($F$175)+1)+(IF(E228&lt;101,E228,IF(E228&lt;201,E228/2,IF(E228&lt;=301,E228/3,E228/4))))</f>
        <v>0</v>
      </c>
      <c r="G228" s="99" t="str">
        <f>G227</f>
        <v>2nd Floor</v>
      </c>
      <c r="H228" s="99"/>
      <c r="I228" s="34"/>
      <c r="N228" s="34"/>
    </row>
    <row r="229" spans="1:14" s="35" customFormat="1" hidden="1" x14ac:dyDescent="0.25">
      <c r="A229" s="99">
        <f>A228+1</f>
        <v>204</v>
      </c>
      <c r="B229" s="99"/>
      <c r="C229" s="51"/>
      <c r="D229" s="40"/>
      <c r="E229" s="40">
        <v>0</v>
      </c>
      <c r="F229" s="40">
        <f>D229*(($F$175)+1)+(IF(E229&lt;101,E229,IF(E229&lt;201,E229/2,IF(E229&lt;=301,E229/3,E229/4))))</f>
        <v>0</v>
      </c>
      <c r="G229" s="99" t="str">
        <f>G228</f>
        <v>2nd Floor</v>
      </c>
      <c r="H229" s="99"/>
      <c r="I229" s="34"/>
      <c r="N229" s="34"/>
    </row>
    <row r="230" spans="1:14" s="35" customFormat="1" hidden="1" x14ac:dyDescent="0.25">
      <c r="A230" s="99">
        <f>A229+1</f>
        <v>205</v>
      </c>
      <c r="B230" s="99"/>
      <c r="C230" s="51"/>
      <c r="D230" s="40"/>
      <c r="E230" s="40">
        <v>0</v>
      </c>
      <c r="F230" s="40">
        <f>D230*(($F$175)+1)+(IF(E230&lt;101,E230,IF(E230&lt;201,E230/2,IF(E230&lt;=301,E230/3,E230/4))))</f>
        <v>0</v>
      </c>
      <c r="G230" s="99" t="str">
        <f>G229</f>
        <v>2nd Floor</v>
      </c>
      <c r="H230" s="99"/>
      <c r="I230" s="34"/>
      <c r="N230" s="34"/>
    </row>
    <row r="231" spans="1:14" s="35" customFormat="1" ht="15.75" hidden="1" customHeight="1" x14ac:dyDescent="0.25">
      <c r="A231" s="140" t="s">
        <v>157</v>
      </c>
      <c r="B231" s="141"/>
      <c r="C231" s="141"/>
      <c r="D231" s="141"/>
      <c r="E231" s="141"/>
      <c r="F231" s="141"/>
      <c r="G231" s="141"/>
      <c r="H231" s="142"/>
      <c r="I231" s="34"/>
    </row>
    <row r="232" spans="1:14" s="35" customFormat="1" hidden="1" x14ac:dyDescent="0.25">
      <c r="A232" s="97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10^ROW(INDIRECT("1:"&amp;LEN((LEFT(A231,SUM(LEN(A231)-LEN(SUBSTITUTE(A231,{"0","1","2"},""))))))))/10))*100+1&amp;""&amp;" ,..,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",LEN(A231))),LEN(A231)))))))/10))*100+1</f>
        <v>301 ,.., 1501</v>
      </c>
      <c r="B232" s="98"/>
      <c r="C232" s="51"/>
      <c r="D232" s="40"/>
      <c r="E232" s="40">
        <v>0</v>
      </c>
      <c r="F232" s="40">
        <f>D232*(($F$175)+1)+(IF(E232&lt;101,E232,IF(E232&lt;201,E232/2,IF(E232&lt;=301,E232/3,E232/4))))</f>
        <v>0</v>
      </c>
      <c r="G232" s="97" t="str">
        <f>A231</f>
        <v>3rd, 5th, 7th, 9th, 11th, 13th, 15th Floor</v>
      </c>
      <c r="H232" s="98"/>
      <c r="I232" s="34"/>
    </row>
    <row r="233" spans="1:14" s="35" customFormat="1" hidden="1" x14ac:dyDescent="0.25">
      <c r="A233" s="97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,..,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302 ,.., 1502</v>
      </c>
      <c r="B233" s="98"/>
      <c r="C233" s="51"/>
      <c r="D233" s="40"/>
      <c r="E233" s="40">
        <v>0</v>
      </c>
      <c r="F233" s="40">
        <f>D233*(($F$175)+1)+(IF(E233&lt;101,E233,IF(E233&lt;201,E233/2,IF(E233&lt;=301,E233/3,E233/4))))</f>
        <v>0</v>
      </c>
      <c r="G233" s="97" t="str">
        <f>G232</f>
        <v>3rd, 5th, 7th, 9th, 11th, 13th, 15th Floor</v>
      </c>
      <c r="H233" s="98"/>
      <c r="I233" s="34"/>
    </row>
    <row r="234" spans="1:14" s="35" customFormat="1" ht="15.75" hidden="1" customHeight="1" x14ac:dyDescent="0.25">
      <c r="A234" s="97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,..,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303 ,.., 1503</v>
      </c>
      <c r="B234" s="98"/>
      <c r="C234" s="51"/>
      <c r="D234" s="40"/>
      <c r="E234" s="40">
        <v>0</v>
      </c>
      <c r="F234" s="40">
        <f>D234*(($F$175)+1)+(IF(E234&lt;101,E234,IF(E234&lt;201,E234/2,IF(E234&lt;=301,E234/3,E234/4))))</f>
        <v>0</v>
      </c>
      <c r="G234" s="97" t="str">
        <f>G233</f>
        <v>3rd, 5th, 7th, 9th, 11th, 13th, 15th Floor</v>
      </c>
      <c r="H234" s="98"/>
      <c r="I234" s="34"/>
    </row>
    <row r="235" spans="1:14" s="35" customFormat="1" ht="15.75" hidden="1" customHeight="1" x14ac:dyDescent="0.25">
      <c r="A235" s="97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,..,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304 ,.., 1504</v>
      </c>
      <c r="B235" s="98"/>
      <c r="C235" s="51"/>
      <c r="D235" s="40"/>
      <c r="E235" s="40">
        <v>0</v>
      </c>
      <c r="F235" s="40">
        <f>D235*(($F$175)+1)+(IF(E235&lt;101,E235,IF(E235&lt;201,E235/2,IF(E235&lt;=301,E235/3,E235/4))))</f>
        <v>0</v>
      </c>
      <c r="G235" s="97" t="str">
        <f>G234</f>
        <v>3rd, 5th, 7th, 9th, 11th, 13th, 15th Floor</v>
      </c>
      <c r="H235" s="98"/>
      <c r="I235" s="34"/>
    </row>
    <row r="236" spans="1:14" s="35" customFormat="1" ht="15.75" hidden="1" customHeight="1" x14ac:dyDescent="0.25">
      <c r="A236" s="97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,..,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305 ,.., 1505</v>
      </c>
      <c r="B236" s="98"/>
      <c r="C236" s="51"/>
      <c r="D236" s="40"/>
      <c r="E236" s="40">
        <v>0</v>
      </c>
      <c r="F236" s="40">
        <f>D236*(($F$175)+1)+(IF(E236&lt;101,E236,IF(E236&lt;201,E236/2,IF(E236&lt;=301,E236/3,E236/4))))</f>
        <v>0</v>
      </c>
      <c r="G236" s="97" t="str">
        <f>G235</f>
        <v>3rd, 5th, 7th, 9th, 11th, 13th, 15th Floor</v>
      </c>
      <c r="H236" s="98"/>
      <c r="I236" s="34"/>
    </row>
    <row r="237" spans="1:14" s="35" customFormat="1" hidden="1" x14ac:dyDescent="0.25">
      <c r="A237" s="140" t="s">
        <v>151</v>
      </c>
      <c r="B237" s="141"/>
      <c r="C237" s="141"/>
      <c r="D237" s="141"/>
      <c r="E237" s="141"/>
      <c r="F237" s="141"/>
      <c r="G237" s="141"/>
      <c r="H237" s="142"/>
      <c r="I237" s="34"/>
    </row>
    <row r="238" spans="1:14" s="35" customFormat="1" hidden="1" x14ac:dyDescent="0.25">
      <c r="A238" s="97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10^ROW(INDIRECT("1:"&amp;LEN((LEFT(A237,SUM(LEN(A237)-LEN(SUBSTITUTE(A237,{"0","1","2"},""))))))))/10))*100+1&amp;""&amp;" to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",LEN(A237))),LEN(A237)))))))/10))*100+1</f>
        <v>201 to 501</v>
      </c>
      <c r="B238" s="98"/>
      <c r="C238" s="51"/>
      <c r="D238" s="40"/>
      <c r="E238" s="40">
        <v>0</v>
      </c>
      <c r="F238" s="40">
        <f>D238*(($F$175)+1)+(IF(E238&lt;101,E238,IF(E238&lt;201,E238/2,IF(E238&lt;=301,E238/3,E238/4))))</f>
        <v>0</v>
      </c>
      <c r="G238" s="97" t="str">
        <f>A237</f>
        <v>2nd to 5th Floor</v>
      </c>
      <c r="H238" s="98"/>
      <c r="I238" s="34"/>
    </row>
    <row r="239" spans="1:14" s="35" customFormat="1" hidden="1" x14ac:dyDescent="0.25">
      <c r="A239" s="97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to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202 to 502</v>
      </c>
      <c r="B239" s="98"/>
      <c r="C239" s="51"/>
      <c r="D239" s="40"/>
      <c r="E239" s="40">
        <v>0</v>
      </c>
      <c r="F239" s="40">
        <f>D239*(($F$175)+1)+(IF(E239&lt;101,E239,IF(E239&lt;201,E239/2,IF(E239&lt;=301,E239/3,E239/4))))</f>
        <v>0</v>
      </c>
      <c r="G239" s="97" t="str">
        <f>G238</f>
        <v>2nd to 5th Floor</v>
      </c>
      <c r="H239" s="98"/>
      <c r="I239" s="34"/>
    </row>
    <row r="240" spans="1:14" s="35" customFormat="1" hidden="1" x14ac:dyDescent="0.25">
      <c r="A240" s="97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to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203 to 503</v>
      </c>
      <c r="B240" s="98"/>
      <c r="C240" s="51"/>
      <c r="D240" s="40"/>
      <c r="E240" s="40">
        <v>0</v>
      </c>
      <c r="F240" s="40">
        <f>D240*(($F$175)+1)+(IF(E240&lt;101,E240,IF(E240&lt;201,E240/2,IF(E240&lt;=301,E240/3,E240/4))))</f>
        <v>0</v>
      </c>
      <c r="G240" s="97" t="str">
        <f>G239</f>
        <v>2nd to 5th Floor</v>
      </c>
      <c r="H240" s="98"/>
      <c r="I240" s="34"/>
    </row>
    <row r="241" spans="1:9" s="35" customFormat="1" hidden="1" x14ac:dyDescent="0.25">
      <c r="A241" s="97" t="str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10^ROW(INDIRECT("1:"&amp;LEN((LEFT(A240,SUM(LEN(A240)-LEN(SUBSTITUTE(A240,{"0","1","2"},""))))))))/10))*1+1&amp;""&amp;" to "&amp;""&amp;(SUMPRODUCT(MID(0&amp;(--TRIM(RIGHT(SUBSTITUTE(LEFT(A240,_xlfn.AGGREGATE(16,6,FIND({0,1,2,3,4,5,6,7,8,9},A240,ROW(INDIRECT("1:"&amp;LEN(A240)))),1)),"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",LEN(A240))),LEN(A240)))))))/10))*1+1</f>
        <v>204 to 504</v>
      </c>
      <c r="B241" s="98"/>
      <c r="C241" s="51"/>
      <c r="D241" s="40"/>
      <c r="E241" s="40">
        <v>0</v>
      </c>
      <c r="F241" s="40">
        <f>D241*(($F$175)+1)+(IF(E241&lt;101,E241,IF(E241&lt;201,E241/2,IF(E241&lt;=301,E241/3,E241/4))))</f>
        <v>0</v>
      </c>
      <c r="G241" s="97" t="str">
        <f>G240</f>
        <v>2nd to 5th Floor</v>
      </c>
      <c r="H241" s="98"/>
      <c r="I241" s="34"/>
    </row>
    <row r="242" spans="1:9" s="35" customFormat="1" hidden="1" x14ac:dyDescent="0.25">
      <c r="A242" s="97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10^ROW(INDIRECT("1:"&amp;LEN((LEFT(A241,SUM(LEN(A241)-LEN(SUBSTITUTE(A241,{"0","1","2"},""))))))))/10))*1+1&amp;""&amp;" to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",LEN(A241))),LEN(A241)))))))/10))*1+1</f>
        <v>205 to 505</v>
      </c>
      <c r="B242" s="98"/>
      <c r="C242" s="51"/>
      <c r="D242" s="40"/>
      <c r="E242" s="40">
        <v>0</v>
      </c>
      <c r="F242" s="40">
        <f>D242*(($F$175)+1)+(IF(E242&lt;101,E242,IF(E242&lt;201,E242/2,IF(E242&lt;=301,E242/3,E242/4))))</f>
        <v>0</v>
      </c>
      <c r="G242" s="97" t="str">
        <f>G241</f>
        <v>2nd to 5th Floor</v>
      </c>
      <c r="H242" s="98"/>
      <c r="I242" s="34"/>
    </row>
    <row r="243" spans="1:9" s="35" customFormat="1" hidden="1" x14ac:dyDescent="0.25">
      <c r="A243" s="140" t="s">
        <v>152</v>
      </c>
      <c r="B243" s="141"/>
      <c r="C243" s="141"/>
      <c r="D243" s="141"/>
      <c r="E243" s="141"/>
      <c r="F243" s="141"/>
      <c r="G243" s="141"/>
      <c r="H243" s="142"/>
      <c r="I243" s="34"/>
    </row>
    <row r="244" spans="1:9" s="35" customFormat="1" hidden="1" x14ac:dyDescent="0.25">
      <c r="A244" s="97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10^ROW(INDIRECT("1:"&amp;LEN((LEFT(A243,SUM(LEN(A243)-LEN(SUBSTITUTE(A243,{"0","1","2"},""))))))))/10))*100+1&amp;""&amp;" &amp;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",LEN(A243))),LEN(A243)))))))/10))*100+1</f>
        <v>201 &amp; 501</v>
      </c>
      <c r="B244" s="98"/>
      <c r="C244" s="51"/>
      <c r="D244" s="40"/>
      <c r="E244" s="40">
        <v>0</v>
      </c>
      <c r="F244" s="40">
        <f>D244*(($F$175)+1)+(IF(E244&lt;101,E244,IF(E244&lt;201,E244/2,IF(E244&lt;=301,E244/3,E244/4))))</f>
        <v>0</v>
      </c>
      <c r="G244" s="97" t="str">
        <f>A243</f>
        <v>2nd &amp; 5th Floor</v>
      </c>
      <c r="H244" s="98"/>
      <c r="I244" s="34"/>
    </row>
    <row r="245" spans="1:9" s="35" customFormat="1" hidden="1" x14ac:dyDescent="0.25">
      <c r="A245" s="97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&amp;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202 &amp; 502</v>
      </c>
      <c r="B245" s="98"/>
      <c r="C245" s="51"/>
      <c r="D245" s="40"/>
      <c r="E245" s="40">
        <v>0</v>
      </c>
      <c r="F245" s="40">
        <f>D245*(($F$175)+1)+(IF(E245&lt;101,E245,IF(E245&lt;201,E245/2,IF(E245&lt;=301,E245/3,E245/4))))</f>
        <v>0</v>
      </c>
      <c r="G245" s="97" t="str">
        <f t="shared" ref="G245:G248" si="14">G244</f>
        <v>2nd &amp; 5th Floor</v>
      </c>
      <c r="H245" s="98"/>
      <c r="I245" s="34"/>
    </row>
    <row r="246" spans="1:9" s="35" customFormat="1" hidden="1" x14ac:dyDescent="0.25">
      <c r="A246" s="97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&amp;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203 &amp; 503</v>
      </c>
      <c r="B246" s="98"/>
      <c r="C246" s="51"/>
      <c r="D246" s="40"/>
      <c r="E246" s="40">
        <v>0</v>
      </c>
      <c r="F246" s="40">
        <f>D246*(($F$175)+1)+(IF(E246&lt;101,E246,IF(E246&lt;201,E246/2,IF(E246&lt;=301,E246/3,E246/4))))</f>
        <v>0</v>
      </c>
      <c r="G246" s="97" t="str">
        <f t="shared" si="14"/>
        <v>2nd &amp; 5th Floor</v>
      </c>
      <c r="H246" s="98"/>
      <c r="I246" s="34"/>
    </row>
    <row r="247" spans="1:9" s="35" customFormat="1" hidden="1" x14ac:dyDescent="0.25">
      <c r="A247" s="97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&amp;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204 &amp; 504</v>
      </c>
      <c r="B247" s="98"/>
      <c r="C247" s="51"/>
      <c r="D247" s="40"/>
      <c r="E247" s="40">
        <v>0</v>
      </c>
      <c r="F247" s="40">
        <f>D247*(($F$175)+1)+(IF(E247&lt;101,E247,IF(E247&lt;201,E247/2,IF(E247&lt;=301,E247/3,E247/4))))</f>
        <v>0</v>
      </c>
      <c r="G247" s="97" t="str">
        <f t="shared" si="14"/>
        <v>2nd &amp; 5th Floor</v>
      </c>
      <c r="H247" s="98"/>
      <c r="I247" s="34"/>
    </row>
    <row r="248" spans="1:9" s="35" customFormat="1" hidden="1" x14ac:dyDescent="0.25">
      <c r="A248" s="97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&amp;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205 &amp; 505</v>
      </c>
      <c r="B248" s="98"/>
      <c r="C248" s="51"/>
      <c r="D248" s="40"/>
      <c r="E248" s="40">
        <v>0</v>
      </c>
      <c r="F248" s="40">
        <f>D248*(($F$175)+1)+(IF(E248&lt;101,E248,IF(E248&lt;201,E248/2,IF(E248&lt;=301,E248/3,E248/4))))</f>
        <v>0</v>
      </c>
      <c r="G248" s="97" t="str">
        <f t="shared" si="14"/>
        <v>2nd &amp; 5th Floor</v>
      </c>
      <c r="H248" s="98"/>
      <c r="I248" s="34"/>
    </row>
    <row r="249" spans="1:9" s="33" customFormat="1" x14ac:dyDescent="0.25">
      <c r="A249" s="144" t="s">
        <v>70</v>
      </c>
      <c r="B249" s="144"/>
      <c r="C249" s="144"/>
      <c r="D249" s="144"/>
      <c r="E249" s="144"/>
      <c r="F249" s="144"/>
      <c r="G249" s="144"/>
      <c r="H249" s="144"/>
    </row>
    <row r="250" spans="1:9" s="33" customFormat="1" x14ac:dyDescent="0.25">
      <c r="A250" s="45" t="s">
        <v>161</v>
      </c>
      <c r="B250" s="124" t="s">
        <v>228</v>
      </c>
      <c r="C250" s="125"/>
      <c r="D250" s="125"/>
      <c r="E250" s="125"/>
      <c r="F250" s="125"/>
      <c r="G250" s="125"/>
      <c r="H250" s="126"/>
    </row>
    <row r="251" spans="1:9" s="33" customFormat="1" x14ac:dyDescent="0.25">
      <c r="A251" s="45" t="s">
        <v>161</v>
      </c>
      <c r="B251" s="124" t="str">
        <f>(IF(F174="Saleable area Loading :","We have considered Saleable area of Flats as per our Calculation.","We considered Saleable area of Flat as per Builder area Sheet."))</f>
        <v>We have considered Saleable area of Flats as per our Calculation.</v>
      </c>
      <c r="C251" s="125"/>
      <c r="D251" s="125"/>
      <c r="E251" s="125"/>
      <c r="F251" s="125"/>
      <c r="G251" s="125"/>
      <c r="H251" s="126"/>
    </row>
    <row r="252" spans="1:9" s="33" customFormat="1" x14ac:dyDescent="0.25">
      <c r="A252" s="45" t="s">
        <v>161</v>
      </c>
      <c r="B252" s="124" t="str">
        <f>(IF(F150="Saleable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2" s="125"/>
      <c r="D252" s="125"/>
      <c r="E252" s="125"/>
      <c r="F252" s="125"/>
      <c r="G252" s="125"/>
      <c r="H252" s="126"/>
    </row>
    <row r="253" spans="1:9" s="33" customFormat="1" x14ac:dyDescent="0.25">
      <c r="A253" s="45" t="s">
        <v>161</v>
      </c>
      <c r="B253" s="73" t="s">
        <v>128</v>
      </c>
      <c r="C253" s="74"/>
      <c r="D253" s="74"/>
      <c r="E253" s="74"/>
      <c r="F253" s="74"/>
      <c r="G253" s="74"/>
      <c r="H253" s="75"/>
    </row>
    <row r="254" spans="1:9" s="33" customFormat="1" x14ac:dyDescent="0.25">
      <c r="A254" s="45" t="s">
        <v>161</v>
      </c>
      <c r="B254" s="73" t="s">
        <v>213</v>
      </c>
      <c r="C254" s="74"/>
      <c r="D254" s="74"/>
      <c r="E254" s="74"/>
      <c r="F254" s="74"/>
      <c r="G254" s="74"/>
      <c r="H254" s="75"/>
    </row>
    <row r="255" spans="1:9" s="33" customFormat="1" x14ac:dyDescent="0.25">
      <c r="A255" s="45" t="s">
        <v>161</v>
      </c>
      <c r="B255" s="73" t="s">
        <v>160</v>
      </c>
      <c r="C255" s="74"/>
      <c r="D255" s="74"/>
      <c r="E255" s="74"/>
      <c r="F255" s="74"/>
      <c r="G255" s="74"/>
      <c r="H255" s="75"/>
    </row>
    <row r="256" spans="1:9" s="33" customFormat="1" x14ac:dyDescent="0.25">
      <c r="A256" s="45" t="s">
        <v>161</v>
      </c>
      <c r="B256" s="73" t="s">
        <v>129</v>
      </c>
      <c r="C256" s="74"/>
      <c r="D256" s="74"/>
      <c r="E256" s="74"/>
      <c r="F256" s="74"/>
      <c r="G256" s="74"/>
      <c r="H256" s="75"/>
    </row>
    <row r="257" spans="1:8" s="33" customFormat="1" ht="34.5" customHeight="1" x14ac:dyDescent="0.25">
      <c r="A257" s="45" t="s">
        <v>161</v>
      </c>
      <c r="B257" s="73" t="s">
        <v>162</v>
      </c>
      <c r="C257" s="74"/>
      <c r="D257" s="74"/>
      <c r="E257" s="74"/>
      <c r="F257" s="74"/>
      <c r="G257" s="74"/>
      <c r="H257" s="75"/>
    </row>
    <row r="258" spans="1:8" s="33" customFormat="1" x14ac:dyDescent="0.25">
      <c r="A258" s="45" t="s">
        <v>161</v>
      </c>
      <c r="B258" s="73" t="s">
        <v>130</v>
      </c>
      <c r="C258" s="74"/>
      <c r="D258" s="74"/>
      <c r="E258" s="74"/>
      <c r="F258" s="74"/>
      <c r="G258" s="74"/>
      <c r="H258" s="75"/>
    </row>
    <row r="259" spans="1:8" s="33" customFormat="1" x14ac:dyDescent="0.25">
      <c r="A259" s="67" t="s">
        <v>161</v>
      </c>
      <c r="B259" s="73" t="s">
        <v>229</v>
      </c>
      <c r="C259" s="74"/>
      <c r="D259" s="74"/>
      <c r="E259" s="74"/>
      <c r="F259" s="74"/>
      <c r="G259" s="74"/>
      <c r="H259" s="75"/>
    </row>
    <row r="260" spans="1:8" x14ac:dyDescent="0.25">
      <c r="A260" s="134" t="s">
        <v>63</v>
      </c>
      <c r="B260" s="134"/>
      <c r="C260" s="134"/>
      <c r="D260" s="134"/>
      <c r="E260" s="134"/>
      <c r="F260" s="134"/>
      <c r="G260" s="134"/>
      <c r="H260" s="134"/>
    </row>
    <row r="261" spans="1:8" x14ac:dyDescent="0.25">
      <c r="A261" s="95" t="s">
        <v>64</v>
      </c>
      <c r="B261" s="95"/>
      <c r="C261" s="95"/>
      <c r="D261" s="95"/>
      <c r="E261" s="95"/>
      <c r="F261" s="95"/>
      <c r="G261" s="95"/>
      <c r="H261" s="95"/>
    </row>
    <row r="262" spans="1:8" ht="15.75" customHeight="1" x14ac:dyDescent="0.25">
      <c r="A262" s="96" t="s">
        <v>65</v>
      </c>
      <c r="B262" s="96"/>
      <c r="C262" s="96"/>
      <c r="D262" s="96"/>
      <c r="E262" s="96"/>
      <c r="F262" s="96"/>
      <c r="G262" s="96"/>
      <c r="H262" s="96"/>
    </row>
    <row r="263" spans="1:8" x14ac:dyDescent="0.25">
      <c r="A263" s="95" t="s">
        <v>66</v>
      </c>
      <c r="B263" s="95"/>
      <c r="C263" s="95"/>
      <c r="D263" s="95"/>
      <c r="E263" s="95"/>
      <c r="F263" s="95"/>
      <c r="G263" s="95"/>
      <c r="H263" s="95"/>
    </row>
    <row r="264" spans="1:8" x14ac:dyDescent="0.25">
      <c r="A264" s="95" t="s">
        <v>67</v>
      </c>
      <c r="B264" s="95"/>
      <c r="C264" s="95"/>
      <c r="D264" s="95"/>
      <c r="E264" s="95"/>
      <c r="F264" s="95"/>
      <c r="G264" s="95"/>
      <c r="H264" s="95"/>
    </row>
    <row r="265" spans="1:8" x14ac:dyDescent="0.25">
      <c r="A265" s="95" t="s">
        <v>131</v>
      </c>
      <c r="B265" s="95"/>
      <c r="C265" s="95"/>
      <c r="D265" s="95"/>
      <c r="E265" s="95"/>
      <c r="F265" s="95"/>
      <c r="G265" s="95"/>
      <c r="H265" s="95"/>
    </row>
    <row r="266" spans="1:8" x14ac:dyDescent="0.25">
      <c r="A266" s="135" t="s">
        <v>132</v>
      </c>
      <c r="B266" s="135"/>
      <c r="C266" s="135"/>
      <c r="D266" s="135"/>
      <c r="E266" s="135"/>
      <c r="F266" s="135"/>
      <c r="G266" s="135"/>
      <c r="H266" s="135"/>
    </row>
    <row r="267" spans="1:8" x14ac:dyDescent="0.25">
      <c r="A267" s="146" t="s">
        <v>80</v>
      </c>
      <c r="B267" s="146"/>
      <c r="C267" s="146" t="s">
        <v>231</v>
      </c>
      <c r="D267" s="146"/>
      <c r="E267" s="146" t="s">
        <v>108</v>
      </c>
      <c r="F267" s="146"/>
      <c r="G267" s="146" t="s">
        <v>230</v>
      </c>
      <c r="H267" s="146"/>
    </row>
    <row r="268" spans="1:8" x14ac:dyDescent="0.25">
      <c r="A268" s="145" t="s">
        <v>82</v>
      </c>
      <c r="B268" s="145"/>
      <c r="C268" s="145"/>
      <c r="D268" s="145"/>
      <c r="E268" s="145"/>
      <c r="F268" s="145"/>
      <c r="G268" s="145"/>
      <c r="H268" s="145"/>
    </row>
    <row r="269" spans="1:8" x14ac:dyDescent="0.25">
      <c r="A269" s="145"/>
      <c r="B269" s="145"/>
      <c r="C269" s="145"/>
      <c r="D269" s="145"/>
      <c r="E269" s="145"/>
      <c r="F269" s="145"/>
      <c r="G269" s="145"/>
      <c r="H269" s="145"/>
    </row>
    <row r="270" spans="1:8" x14ac:dyDescent="0.25">
      <c r="A270" s="145"/>
      <c r="B270" s="145"/>
      <c r="C270" s="145"/>
      <c r="D270" s="145"/>
      <c r="E270" s="145"/>
      <c r="F270" s="145"/>
      <c r="G270" s="145"/>
      <c r="H270" s="145"/>
    </row>
    <row r="271" spans="1:8" x14ac:dyDescent="0.25">
      <c r="A271" s="36" t="s">
        <v>68</v>
      </c>
      <c r="B271" s="37"/>
      <c r="C271" s="37"/>
      <c r="D271" s="36" t="str">
        <f>E9</f>
        <v>Star Emerald (Building No.9)</v>
      </c>
      <c r="F271" s="37"/>
      <c r="G271" s="37"/>
      <c r="H271" s="37"/>
    </row>
    <row r="272" spans="1:8" x14ac:dyDescent="0.25">
      <c r="A272" s="37"/>
      <c r="B272" s="37"/>
      <c r="C272" s="37"/>
      <c r="D272" s="37"/>
      <c r="E272" s="37"/>
      <c r="F272" s="37"/>
      <c r="G272" s="37"/>
      <c r="H272" s="37"/>
    </row>
    <row r="273" spans="1:8" x14ac:dyDescent="0.25">
      <c r="A273" s="37"/>
      <c r="B273" s="37"/>
      <c r="C273" s="37"/>
      <c r="D273" s="37"/>
      <c r="E273" s="37"/>
      <c r="F273" s="37"/>
      <c r="G273" s="37"/>
      <c r="H273" s="37"/>
    </row>
    <row r="274" spans="1:8" ht="15" customHeight="1" x14ac:dyDescent="0.25"/>
    <row r="312" spans="1:1" x14ac:dyDescent="0.25">
      <c r="A312" s="39" t="s">
        <v>173</v>
      </c>
    </row>
    <row r="355" spans="1:1" x14ac:dyDescent="0.25">
      <c r="A355" s="39" t="s">
        <v>69</v>
      </c>
    </row>
  </sheetData>
  <mergeCells count="504">
    <mergeCell ref="L216:M216"/>
    <mergeCell ref="A217:B217"/>
    <mergeCell ref="L217:M217"/>
    <mergeCell ref="A218:B218"/>
    <mergeCell ref="L218:M218"/>
    <mergeCell ref="A219:B219"/>
    <mergeCell ref="L219:M219"/>
    <mergeCell ref="A213:H213"/>
    <mergeCell ref="A214:H214"/>
    <mergeCell ref="A215:H215"/>
    <mergeCell ref="L209:M209"/>
    <mergeCell ref="A210:B210"/>
    <mergeCell ref="L210:M210"/>
    <mergeCell ref="A211:B211"/>
    <mergeCell ref="L211:M211"/>
    <mergeCell ref="A212:B212"/>
    <mergeCell ref="L212:M212"/>
    <mergeCell ref="A202:H202"/>
    <mergeCell ref="A203:H203"/>
    <mergeCell ref="A204:B204"/>
    <mergeCell ref="G204:H207"/>
    <mergeCell ref="L204:M204"/>
    <mergeCell ref="A205:B205"/>
    <mergeCell ref="L205:M205"/>
    <mergeCell ref="A206:B206"/>
    <mergeCell ref="L206:M206"/>
    <mergeCell ref="A207:B207"/>
    <mergeCell ref="L207:M207"/>
    <mergeCell ref="A208:H208"/>
    <mergeCell ref="A209:B209"/>
    <mergeCell ref="G209:H212"/>
    <mergeCell ref="L198:M198"/>
    <mergeCell ref="A199:B199"/>
    <mergeCell ref="L199:M199"/>
    <mergeCell ref="A200:B200"/>
    <mergeCell ref="L200:M200"/>
    <mergeCell ref="A201:B201"/>
    <mergeCell ref="L201:M201"/>
    <mergeCell ref="G198:H201"/>
    <mergeCell ref="A191:H191"/>
    <mergeCell ref="A192:H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G193:H196"/>
    <mergeCell ref="A197:H197"/>
    <mergeCell ref="A198:B198"/>
    <mergeCell ref="L190:M190"/>
    <mergeCell ref="A177:H177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83:B183"/>
    <mergeCell ref="L183:M183"/>
    <mergeCell ref="G178:H183"/>
    <mergeCell ref="G185:H190"/>
    <mergeCell ref="A187:B187"/>
    <mergeCell ref="L187:M187"/>
    <mergeCell ref="A188:B188"/>
    <mergeCell ref="L188:M188"/>
    <mergeCell ref="A189:B189"/>
    <mergeCell ref="L189:M189"/>
    <mergeCell ref="A184:H184"/>
    <mergeCell ref="L185:M185"/>
    <mergeCell ref="A186:B186"/>
    <mergeCell ref="L186:M186"/>
    <mergeCell ref="A170:B170"/>
    <mergeCell ref="L170:M170"/>
    <mergeCell ref="A171:B171"/>
    <mergeCell ref="L171:M171"/>
    <mergeCell ref="A172:B172"/>
    <mergeCell ref="L172:M172"/>
    <mergeCell ref="G154:H172"/>
    <mergeCell ref="L167:M167"/>
    <mergeCell ref="A168:B168"/>
    <mergeCell ref="L168:M168"/>
    <mergeCell ref="A169:B169"/>
    <mergeCell ref="L169:M169"/>
    <mergeCell ref="A164:B164"/>
    <mergeCell ref="L164:M164"/>
    <mergeCell ref="A165:B165"/>
    <mergeCell ref="L165:M165"/>
    <mergeCell ref="A166:B166"/>
    <mergeCell ref="L166:M166"/>
    <mergeCell ref="L161:M161"/>
    <mergeCell ref="L162:M162"/>
    <mergeCell ref="A163:B163"/>
    <mergeCell ref="L163:M163"/>
    <mergeCell ref="A158:B158"/>
    <mergeCell ref="L158:M158"/>
    <mergeCell ref="A159:B159"/>
    <mergeCell ref="L159:M159"/>
    <mergeCell ref="A160:B160"/>
    <mergeCell ref="L160:M160"/>
    <mergeCell ref="A162:B162"/>
    <mergeCell ref="A39:B39"/>
    <mergeCell ref="C39:H39"/>
    <mergeCell ref="B257:H257"/>
    <mergeCell ref="A48:B48"/>
    <mergeCell ref="C48:H48"/>
    <mergeCell ref="B255:H255"/>
    <mergeCell ref="F124:H124"/>
    <mergeCell ref="A124:E124"/>
    <mergeCell ref="G233:H233"/>
    <mergeCell ref="G229:H229"/>
    <mergeCell ref="G226:H226"/>
    <mergeCell ref="D150:D151"/>
    <mergeCell ref="A126:E126"/>
    <mergeCell ref="A154:B154"/>
    <mergeCell ref="A155:B155"/>
    <mergeCell ref="A156:B156"/>
    <mergeCell ref="A128:E128"/>
    <mergeCell ref="F128:H128"/>
    <mergeCell ref="A129:E129"/>
    <mergeCell ref="A131:E131"/>
    <mergeCell ref="F125:H125"/>
    <mergeCell ref="A216:B216"/>
    <mergeCell ref="G216:H219"/>
    <mergeCell ref="C144:D144"/>
    <mergeCell ref="C150:C151"/>
    <mergeCell ref="B174:B175"/>
    <mergeCell ref="A237:H237"/>
    <mergeCell ref="A231:H231"/>
    <mergeCell ref="A224:B224"/>
    <mergeCell ref="G234:H234"/>
    <mergeCell ref="G232:H232"/>
    <mergeCell ref="A221:B221"/>
    <mergeCell ref="A157:B157"/>
    <mergeCell ref="A190:B190"/>
    <mergeCell ref="A152:H152"/>
    <mergeCell ref="A176:H176"/>
    <mergeCell ref="A236:B236"/>
    <mergeCell ref="A167:B167"/>
    <mergeCell ref="A161:B161"/>
    <mergeCell ref="A185:B185"/>
    <mergeCell ref="A130:E130"/>
    <mergeCell ref="A143:B143"/>
    <mergeCell ref="A144:B144"/>
    <mergeCell ref="A145:B145"/>
    <mergeCell ref="A125:E125"/>
    <mergeCell ref="A122:E122"/>
    <mergeCell ref="F126:H126"/>
    <mergeCell ref="A127:E127"/>
    <mergeCell ref="A146:B146"/>
    <mergeCell ref="E146:F146"/>
    <mergeCell ref="E144:F144"/>
    <mergeCell ref="G144:H144"/>
    <mergeCell ref="C145:D145"/>
    <mergeCell ref="E145:F145"/>
    <mergeCell ref="G145:H145"/>
    <mergeCell ref="F122:H122"/>
    <mergeCell ref="F127:H127"/>
    <mergeCell ref="A133:E133"/>
    <mergeCell ref="A139:B139"/>
    <mergeCell ref="C139:D139"/>
    <mergeCell ref="E139:F139"/>
    <mergeCell ref="G139:H139"/>
    <mergeCell ref="C143:D143"/>
    <mergeCell ref="E143:F143"/>
    <mergeCell ref="C147:D147"/>
    <mergeCell ref="E147:F147"/>
    <mergeCell ref="G147:H147"/>
    <mergeCell ref="C146:D146"/>
    <mergeCell ref="A229:B229"/>
    <mergeCell ref="G230:H230"/>
    <mergeCell ref="G236:H236"/>
    <mergeCell ref="G235:H235"/>
    <mergeCell ref="L224:M224"/>
    <mergeCell ref="G221:H221"/>
    <mergeCell ref="L221:M221"/>
    <mergeCell ref="A222:B222"/>
    <mergeCell ref="G222:H222"/>
    <mergeCell ref="L222:M222"/>
    <mergeCell ref="A223:B223"/>
    <mergeCell ref="G223:H223"/>
    <mergeCell ref="L223:M223"/>
    <mergeCell ref="L225:M225"/>
    <mergeCell ref="A173:H173"/>
    <mergeCell ref="A174:A175"/>
    <mergeCell ref="A230:B230"/>
    <mergeCell ref="A227:B227"/>
    <mergeCell ref="A228:B228"/>
    <mergeCell ref="G146:H146"/>
    <mergeCell ref="G143:H143"/>
    <mergeCell ref="C141:D141"/>
    <mergeCell ref="G141:H141"/>
    <mergeCell ref="A148:H148"/>
    <mergeCell ref="G228:H228"/>
    <mergeCell ref="E137:F137"/>
    <mergeCell ref="A137:B137"/>
    <mergeCell ref="A147:B147"/>
    <mergeCell ref="A38:B38"/>
    <mergeCell ref="C38:H38"/>
    <mergeCell ref="A45:D45"/>
    <mergeCell ref="A60:C60"/>
    <mergeCell ref="D60:H60"/>
    <mergeCell ref="A97:B97"/>
    <mergeCell ref="D64:H64"/>
    <mergeCell ref="G97:H97"/>
    <mergeCell ref="A66:B66"/>
    <mergeCell ref="C66:H66"/>
    <mergeCell ref="A68:B68"/>
    <mergeCell ref="F134:H134"/>
    <mergeCell ref="A135:E135"/>
    <mergeCell ref="F135:H135"/>
    <mergeCell ref="A142:B142"/>
    <mergeCell ref="A138:B138"/>
    <mergeCell ref="L157:M157"/>
    <mergeCell ref="L156:M156"/>
    <mergeCell ref="L155:M155"/>
    <mergeCell ref="L154:M154"/>
    <mergeCell ref="A105:B105"/>
    <mergeCell ref="C142:D142"/>
    <mergeCell ref="E142:F142"/>
    <mergeCell ref="G142:H142"/>
    <mergeCell ref="F129:H129"/>
    <mergeCell ref="A123:E123"/>
    <mergeCell ref="A153:H153"/>
    <mergeCell ref="E150:E151"/>
    <mergeCell ref="G150:H151"/>
    <mergeCell ref="E98:F107"/>
    <mergeCell ref="G98:H107"/>
    <mergeCell ref="A106:B106"/>
    <mergeCell ref="A107:B107"/>
    <mergeCell ref="A104:B104"/>
    <mergeCell ref="A102:B102"/>
    <mergeCell ref="A101:B101"/>
    <mergeCell ref="A98:B98"/>
    <mergeCell ref="F132:H132"/>
    <mergeCell ref="A136:H136"/>
    <mergeCell ref="A134:E134"/>
    <mergeCell ref="A37:H37"/>
    <mergeCell ref="A36:B36"/>
    <mergeCell ref="C36:E36"/>
    <mergeCell ref="A41:D41"/>
    <mergeCell ref="E41:H41"/>
    <mergeCell ref="F33:H33"/>
    <mergeCell ref="F34:H34"/>
    <mergeCell ref="A40:H40"/>
    <mergeCell ref="A59:C59"/>
    <mergeCell ref="D59:H59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49:B49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D23"/>
    <mergeCell ref="E22:H23"/>
    <mergeCell ref="E14:H14"/>
    <mergeCell ref="A15:B15"/>
    <mergeCell ref="C15:H15"/>
    <mergeCell ref="C16:H16"/>
    <mergeCell ref="A17:B17"/>
    <mergeCell ref="C17:H17"/>
    <mergeCell ref="A16:B16"/>
    <mergeCell ref="A1:H1"/>
    <mergeCell ref="A2:H2"/>
    <mergeCell ref="A3:D3"/>
    <mergeCell ref="E3:H3"/>
    <mergeCell ref="A4:D4"/>
    <mergeCell ref="A8:D8"/>
    <mergeCell ref="E8:H8"/>
    <mergeCell ref="E13:H13"/>
    <mergeCell ref="A14:D14"/>
    <mergeCell ref="A11:D11"/>
    <mergeCell ref="E11:H11"/>
    <mergeCell ref="A13:D13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9:D9"/>
    <mergeCell ref="E9:H9"/>
    <mergeCell ref="A100:B100"/>
    <mergeCell ref="A96:B96"/>
    <mergeCell ref="A94:B94"/>
    <mergeCell ref="C94:H94"/>
    <mergeCell ref="A61:C61"/>
    <mergeCell ref="D61:H61"/>
    <mergeCell ref="C96:H96"/>
    <mergeCell ref="A99:B99"/>
    <mergeCell ref="E97:F97"/>
    <mergeCell ref="A62:C62"/>
    <mergeCell ref="D62:H62"/>
    <mergeCell ref="A65:C65"/>
    <mergeCell ref="D65:H65"/>
    <mergeCell ref="A63:C63"/>
    <mergeCell ref="D63:H63"/>
    <mergeCell ref="A64:C64"/>
    <mergeCell ref="A241:B241"/>
    <mergeCell ref="A242:B242"/>
    <mergeCell ref="G240:H240"/>
    <mergeCell ref="G238:H238"/>
    <mergeCell ref="A268:H270"/>
    <mergeCell ref="A267:B267"/>
    <mergeCell ref="E267:F267"/>
    <mergeCell ref="C267:D267"/>
    <mergeCell ref="G267:H267"/>
    <mergeCell ref="A263:H263"/>
    <mergeCell ref="A266:H266"/>
    <mergeCell ref="A264:H264"/>
    <mergeCell ref="A260:H260"/>
    <mergeCell ref="A261:H261"/>
    <mergeCell ref="A248:B248"/>
    <mergeCell ref="G248:H248"/>
    <mergeCell ref="A247:B247"/>
    <mergeCell ref="G247:H247"/>
    <mergeCell ref="A80:B80"/>
    <mergeCell ref="C80:H80"/>
    <mergeCell ref="A82:B82"/>
    <mergeCell ref="C82:H82"/>
    <mergeCell ref="B258:H258"/>
    <mergeCell ref="B256:H256"/>
    <mergeCell ref="B252:H252"/>
    <mergeCell ref="B253:H253"/>
    <mergeCell ref="B254:H254"/>
    <mergeCell ref="A220:H220"/>
    <mergeCell ref="A235:B235"/>
    <mergeCell ref="A232:B232"/>
    <mergeCell ref="G224:H224"/>
    <mergeCell ref="A246:B246"/>
    <mergeCell ref="G246:H246"/>
    <mergeCell ref="G245:H245"/>
    <mergeCell ref="A243:H243"/>
    <mergeCell ref="A244:B244"/>
    <mergeCell ref="A245:B245"/>
    <mergeCell ref="A225:H225"/>
    <mergeCell ref="A234:B234"/>
    <mergeCell ref="G244:H244"/>
    <mergeCell ref="G242:H242"/>
    <mergeCell ref="A249:H249"/>
    <mergeCell ref="A54:H54"/>
    <mergeCell ref="A55:C55"/>
    <mergeCell ref="A56:C56"/>
    <mergeCell ref="D56:H56"/>
    <mergeCell ref="G53:H53"/>
    <mergeCell ref="E70:F79"/>
    <mergeCell ref="G70:H79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C52:H52"/>
    <mergeCell ref="B250:H250"/>
    <mergeCell ref="B251:H251"/>
    <mergeCell ref="A238:B238"/>
    <mergeCell ref="F130:H130"/>
    <mergeCell ref="C137:D137"/>
    <mergeCell ref="G239:H239"/>
    <mergeCell ref="F133:H133"/>
    <mergeCell ref="F131:H131"/>
    <mergeCell ref="A233:B233"/>
    <mergeCell ref="A149:H149"/>
    <mergeCell ref="G137:H137"/>
    <mergeCell ref="A132:E132"/>
    <mergeCell ref="C138:D138"/>
    <mergeCell ref="E138:F138"/>
    <mergeCell ref="G227:H227"/>
    <mergeCell ref="B150:B151"/>
    <mergeCell ref="A150:A151"/>
    <mergeCell ref="C174:C175"/>
    <mergeCell ref="C68:H68"/>
    <mergeCell ref="A69:B69"/>
    <mergeCell ref="E69:F69"/>
    <mergeCell ref="G69:H69"/>
    <mergeCell ref="A70:B70"/>
    <mergeCell ref="E42:H42"/>
    <mergeCell ref="A42:D42"/>
    <mergeCell ref="A265:H265"/>
    <mergeCell ref="A262:H262"/>
    <mergeCell ref="G241:H241"/>
    <mergeCell ref="A226:B226"/>
    <mergeCell ref="A141:B141"/>
    <mergeCell ref="D174:D175"/>
    <mergeCell ref="E174:E175"/>
    <mergeCell ref="G174:H175"/>
    <mergeCell ref="A103:B103"/>
    <mergeCell ref="F123:H123"/>
    <mergeCell ref="G138:H138"/>
    <mergeCell ref="C49:E49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B259:H259"/>
    <mergeCell ref="A108:B108"/>
    <mergeCell ref="C108:H108"/>
    <mergeCell ref="A110:B110"/>
    <mergeCell ref="C110:H110"/>
    <mergeCell ref="A111:B111"/>
    <mergeCell ref="E111:F111"/>
    <mergeCell ref="G111:H111"/>
    <mergeCell ref="A112:B112"/>
    <mergeCell ref="E112:F121"/>
    <mergeCell ref="G112:H121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40:H140"/>
    <mergeCell ref="E141:F141"/>
    <mergeCell ref="A239:B239"/>
    <mergeCell ref="A240:B240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207" max="7" man="1"/>
    <brk id="270" max="16383" man="1"/>
    <brk id="311" max="16383" man="1"/>
    <brk id="35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5" t="s">
        <v>109</v>
      </c>
      <c r="C3" s="195"/>
      <c r="D3" s="195"/>
      <c r="E3" s="195"/>
      <c r="F3" s="195"/>
      <c r="G3" s="195"/>
      <c r="H3" s="195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2025-09-29T10:29:42Z</cp:lastPrinted>
  <dcterms:created xsi:type="dcterms:W3CDTF">2019-07-16T09:29:46Z</dcterms:created>
  <dcterms:modified xsi:type="dcterms:W3CDTF">2025-09-29T10:31:04Z</dcterms:modified>
</cp:coreProperties>
</file>