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ne 25\Axis\APF Dump\"/>
    </mc:Choice>
  </mc:AlternateContent>
  <xr:revisionPtr revIDLastSave="0" documentId="13_ncr:1_{A0082897-44F2-4348-931A-2571442C641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57" i="1" s="1"/>
  <c r="G48" i="1" l="1"/>
  <c r="D105" i="1" l="1"/>
  <c r="D104" i="1"/>
  <c r="D103" i="1"/>
  <c r="D102" i="1"/>
  <c r="C94" i="1" l="1"/>
  <c r="E94" i="1"/>
  <c r="B108" i="1"/>
  <c r="A102" i="1"/>
  <c r="C13" i="1" l="1"/>
  <c r="A103" i="1"/>
  <c r="F105" i="1" l="1"/>
  <c r="F104" i="1"/>
  <c r="F103" i="1"/>
  <c r="F102" i="1"/>
  <c r="A104" i="1"/>
  <c r="G94" i="1" l="1"/>
  <c r="A10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28" i="1"/>
  <c r="G102" i="1"/>
  <c r="G103" i="1" s="1"/>
  <c r="G104" i="1" s="1"/>
  <c r="G105" i="1" s="1"/>
  <c r="F91" i="1"/>
  <c r="J75" i="1"/>
  <c r="J74" i="1"/>
  <c r="J73" i="1"/>
  <c r="J72" i="1"/>
  <c r="C63" i="1"/>
  <c r="G47" i="1"/>
  <c r="C47" i="1"/>
  <c r="E40" i="1"/>
  <c r="E41" i="1" s="1"/>
  <c r="E24" i="1"/>
  <c r="E22" i="1"/>
  <c r="E7" i="1"/>
  <c r="H64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E68" i="1" l="1"/>
  <c r="D69" i="1"/>
  <c r="G68" i="1"/>
  <c r="D61" i="1" l="1"/>
  <c r="F62" i="1" s="1"/>
  <c r="G66" i="1"/>
  <c r="I63" i="1"/>
  <c r="C66" i="1"/>
  <c r="C65" i="1"/>
  <c r="D62" i="1" l="1"/>
</calcChain>
</file>

<file path=xl/sharedStrings.xml><?xml version="1.0" encoding="utf-8"?>
<sst xmlns="http://schemas.openxmlformats.org/spreadsheetml/2006/main" count="244" uniqueCount="206">
  <si>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</si>
  <si>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</si>
  <si>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</si>
  <si>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</si>
  <si>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</si>
  <si>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</si>
  <si>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</si>
  <si>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</si>
  <si>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</si>
  <si>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</si>
  <si>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</si>
  <si>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</si>
  <si>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</si>
  <si>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</si>
  <si>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</si>
  <si>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</si>
  <si>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</si>
  <si>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</si>
  <si>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</si>
  <si>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</si>
  <si>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</si>
  <si>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</si>
  <si>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</si>
  <si>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</si>
  <si>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</si>
  <si>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</si>
  <si>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</si>
  <si>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</si>
  <si>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</si>
  <si>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</si>
  <si>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</si>
  <si>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</si>
  <si>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</si>
  <si>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</si>
  <si>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</si>
  <si>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</si>
  <si>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</si>
  <si>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</si>
  <si>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</si>
  <si>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</si>
  <si>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</si>
  <si>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</si>
  <si>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</si>
  <si>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</si>
  <si>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</si>
  <si>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</si>
  <si>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</si>
  <si>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</si>
  <si>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</si>
  <si>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</si>
  <si>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</si>
  <si>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</si>
  <si>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</si>
  <si>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</si>
  <si>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</si>
  <si>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</si>
  <si>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</si>
  <si>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</si>
  <si>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</si>
  <si>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</si>
  <si>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</si>
  <si>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</si>
  <si>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</si>
  <si>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</si>
  <si>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</si>
  <si>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</si>
  <si>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</si>
  <si>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</si>
  <si>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</si>
  <si>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</si>
  <si>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</si>
  <si>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</si>
  <si>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</si>
  <si>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</si>
  <si>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</si>
  <si>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</si>
  <si>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</si>
  <si>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</si>
  <si>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</si>
  <si>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</si>
  <si>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</si>
  <si>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</si>
  <si>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</si>
  <si>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</si>
  <si>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</si>
  <si>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</si>
  <si>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</si>
  <si>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</si>
  <si>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</si>
  <si>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</si>
  <si>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</si>
  <si>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</si>
  <si>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</si>
  <si>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</si>
  <si>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</si>
  <si>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</si>
  <si>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</si>
  <si>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</si>
  <si>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</si>
  <si>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</si>
  <si>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</si>
  <si>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</si>
  <si>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</si>
  <si>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</si>
  <si>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</si>
  <si>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</si>
  <si>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</si>
  <si>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</si>
  <si>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</si>
  <si>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</si>
  <si>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</si>
  <si>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</si>
  <si>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</si>
  <si>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</si>
  <si>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</si>
  <si>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</si>
  <si>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</si>
  <si>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</si>
  <si>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</si>
  <si>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</si>
  <si>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</si>
  <si>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</si>
  <si>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</si>
  <si>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</si>
  <si>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</si>
  <si>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</si>
  <si>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</si>
  <si>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</si>
  <si>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</si>
  <si>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</si>
  <si>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</si>
  <si>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</si>
  <si>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</si>
  <si>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</si>
  <si>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</si>
  <si>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</si>
  <si>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</si>
  <si>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</si>
  <si>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</si>
  <si>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</si>
  <si>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</si>
  <si>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</si>
  <si>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</si>
  <si>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</si>
  <si>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</si>
  <si>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</si>
  <si>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</si>
  <si>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</si>
  <si>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</si>
  <si>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</si>
  <si>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</si>
  <si>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</si>
  <si>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</si>
  <si>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</si>
  <si>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</si>
  <si>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</si>
  <si>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</si>
  <si>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</si>
  <si>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</si>
  <si>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</si>
  <si>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</si>
  <si>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</si>
  <si>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</si>
  <si>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 xml:space="preserve">Building No. 8  </t>
  </si>
  <si>
    <t>1st to 7th Floor for Residential</t>
  </si>
  <si>
    <t>1BHK</t>
  </si>
  <si>
    <t>2BHK</t>
  </si>
  <si>
    <t>Axis Goregaon</t>
  </si>
  <si>
    <t>M/s. Star Builders &amp; Developers</t>
  </si>
  <si>
    <t>Star Pearl</t>
  </si>
  <si>
    <t>Building No. 8</t>
  </si>
  <si>
    <t>P99000031156</t>
  </si>
  <si>
    <t>Gut No</t>
  </si>
  <si>
    <t>279/280/2/305/1</t>
  </si>
  <si>
    <t>Makane</t>
  </si>
  <si>
    <t>Palghar</t>
  </si>
  <si>
    <t>0.85 KM from Saphale Railway Station</t>
  </si>
  <si>
    <t>Internal road</t>
  </si>
  <si>
    <t>Saphale west</t>
  </si>
  <si>
    <t>Santoshi mata temple</t>
  </si>
  <si>
    <t>Residential</t>
  </si>
  <si>
    <t>Open land</t>
  </si>
  <si>
    <t>Kamdhenu Floral</t>
  </si>
  <si>
    <t>1 Building</t>
  </si>
  <si>
    <t>District Collector, Palghar</t>
  </si>
  <si>
    <t>Mahsul/K-1/Mej-1/BSP/SR/CR/20/21</t>
  </si>
  <si>
    <t>Valid Up to:  Building No. 8 = G/St + 1st to 7th Floor</t>
  </si>
  <si>
    <t>Flats - 28</t>
  </si>
  <si>
    <t>Building No. 8 = G/St + 1st to 7th Floor</t>
  </si>
  <si>
    <t>Society Charges</t>
  </si>
  <si>
    <t>Maintenance Charges</t>
  </si>
  <si>
    <t>We considered Gross carpet area = Net carpet + Balcony + A.P Area.</t>
  </si>
  <si>
    <t>On Site, we meet Mr. jigar (Sales) (7823012210).</t>
  </si>
  <si>
    <t>Mahsul/Kash-1/T-1/NAP/SR-20/2021</t>
  </si>
  <si>
    <t>Approved Plans, C.C, Cost Sheet.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</si>
  <si>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 </t>
  </si>
  <si>
    <t>Location Link</t>
  </si>
  <si>
    <t>https://goo.gl/maps/u2Kt2aqEQQQTeevN9?coh=178572&amp;entry=tt</t>
  </si>
  <si>
    <t>Completed</t>
  </si>
  <si>
    <t>Latitude,Longitude</t>
  </si>
  <si>
    <t>19.575331,72.813533</t>
  </si>
  <si>
    <t>Mahsul/K1/t1/Part Occupancy Certificate/Makane/SR-09/2024
Approved upto : Building No. 8 = Gr + 1st to 7th Floor</t>
  </si>
  <si>
    <t>We have updated OC from RERA site( On 13/06/2024).</t>
  </si>
  <si>
    <t>All work completed. OC Received.</t>
  </si>
  <si>
    <t>Gaurav Naik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</si>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</sst>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9" fontId="13" fillId="0" borderId="32" xfId="1" applyNumberFormat="1" applyFont="1" applyBorder="1" applyAlignment="1" applyProtection="1">
      <alignment horizontal="center" vertical="center" wrapText="1"/>
      <protection locked="0"/>
    </xf>
    <xf numFmtId="0" fontId="13" fillId="0" borderId="32" xfId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24" fillId="0" borderId="8" xfId="10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172</xdr:row>
      <xdr:rowOff>19050</xdr:rowOff>
    </xdr:from>
    <xdr:to>
      <xdr:col>6</xdr:col>
      <xdr:colOff>680847</xdr:colOff>
      <xdr:row>188</xdr:row>
      <xdr:rowOff>73913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44167425"/>
          <a:ext cx="4919472" cy="32552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219075</xdr:colOff>
      <xdr:row>189</xdr:row>
      <xdr:rowOff>23299</xdr:rowOff>
    </xdr:from>
    <xdr:to>
      <xdr:col>6</xdr:col>
      <xdr:colOff>662559</xdr:colOff>
      <xdr:row>205</xdr:row>
      <xdr:rowOff>114740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47572099"/>
          <a:ext cx="4901184" cy="32918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43296</xdr:colOff>
      <xdr:row>39</xdr:row>
      <xdr:rowOff>103909</xdr:rowOff>
    </xdr:from>
    <xdr:to>
      <xdr:col>13</xdr:col>
      <xdr:colOff>502227</xdr:colOff>
      <xdr:row>44</xdr:row>
      <xdr:rowOff>291722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3591" y="8711045"/>
          <a:ext cx="4572000" cy="1183609"/>
        </a:xfrm>
        <a:prstGeom prst="rect">
          <a:avLst/>
        </a:prstGeom>
      </xdr:spPr>
    </xdr:pic>
    <xdr:clientData/>
  </xdr:twoCellAnchor>
  <xdr:twoCellAnchor editAs="oneCell">
    <xdr:from>
      <xdr:col>8</xdr:col>
      <xdr:colOff>86592</xdr:colOff>
      <xdr:row>44</xdr:row>
      <xdr:rowOff>381000</xdr:rowOff>
    </xdr:from>
    <xdr:to>
      <xdr:col>15</xdr:col>
      <xdr:colOff>723120</xdr:colOff>
      <xdr:row>49</xdr:row>
      <xdr:rowOff>694266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6887" y="9983932"/>
          <a:ext cx="6247619" cy="1542857"/>
        </a:xfrm>
        <a:prstGeom prst="rect">
          <a:avLst/>
        </a:prstGeom>
      </xdr:spPr>
    </xdr:pic>
    <xdr:clientData/>
  </xdr:twoCellAnchor>
  <xdr:twoCellAnchor>
    <xdr:from>
      <xdr:col>8</xdr:col>
      <xdr:colOff>931881</xdr:colOff>
      <xdr:row>126</xdr:row>
      <xdr:rowOff>104886</xdr:rowOff>
    </xdr:from>
    <xdr:to>
      <xdr:col>16</xdr:col>
      <xdr:colOff>618565</xdr:colOff>
      <xdr:row>167</xdr:row>
      <xdr:rowOff>93681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629861" y="24092646"/>
          <a:ext cx="6270364" cy="8104095"/>
          <a:chOff x="201706" y="24843440"/>
          <a:chExt cx="6129618" cy="8247530"/>
        </a:xfrm>
      </xdr:grpSpPr>
      <xdr:pic>
        <xdr:nvPicPr>
          <xdr:cNvPr id="9" name="Picture 8" descr="https://vsjcllp.vsjadon.com/upload/insp-220668-1525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7936" y="31450842"/>
            <a:ext cx="3023388" cy="16358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 descr="https://vsjcllp.vsjadon.com/upload/insp-220668-843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50379" y="29726063"/>
            <a:ext cx="3625888" cy="16328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20668-84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17611" y="24843440"/>
            <a:ext cx="3480211" cy="47994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20668-916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1706" y="31455077"/>
            <a:ext cx="3016563" cy="16358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182880</xdr:colOff>
      <xdr:row>128</xdr:row>
      <xdr:rowOff>182880</xdr:rowOff>
    </xdr:from>
    <xdr:to>
      <xdr:col>7</xdr:col>
      <xdr:colOff>665001</xdr:colOff>
      <xdr:row>163</xdr:row>
      <xdr:rowOff>122660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7364F01E-8866-5674-1F33-6FB6AE966562}"/>
            </a:ext>
          </a:extLst>
        </xdr:cNvPr>
        <xdr:cNvGrpSpPr/>
      </xdr:nvGrpSpPr>
      <xdr:grpSpPr>
        <a:xfrm>
          <a:off x="182880" y="24566880"/>
          <a:ext cx="6326661" cy="6866360"/>
          <a:chOff x="160637" y="154796"/>
          <a:chExt cx="6326661" cy="686636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808411D4-444E-B0FD-0559-BAE2F8F1E1DD}"/>
              </a:ext>
            </a:extLst>
          </xdr:cNvPr>
          <xdr:cNvGrpSpPr/>
        </xdr:nvGrpSpPr>
        <xdr:grpSpPr>
          <a:xfrm>
            <a:off x="860672" y="5221156"/>
            <a:ext cx="4926591" cy="1800000"/>
            <a:chOff x="642550" y="5221156"/>
            <a:chExt cx="4926591" cy="180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6255C22F-6352-8B1F-8C7A-D16A689067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78892" y="5221156"/>
              <a:ext cx="239024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391B0C46-63F5-14B7-66ED-632733F894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42550" y="5221156"/>
              <a:ext cx="238485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796979A7-F927-3F89-A4EA-5E4B2C091E32}"/>
              </a:ext>
            </a:extLst>
          </xdr:cNvPr>
          <xdr:cNvGrpSpPr/>
        </xdr:nvGrpSpPr>
        <xdr:grpSpPr>
          <a:xfrm>
            <a:off x="420403" y="154796"/>
            <a:ext cx="5807129" cy="2520000"/>
            <a:chOff x="160637" y="154796"/>
            <a:chExt cx="5807129" cy="25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3826F7A-F5EF-CF97-D173-503DE7B650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55980" y="154796"/>
              <a:ext cx="181644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25E5B0E1-0BBD-8E6F-F9B3-8B3A46DAFD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51323" y="154796"/>
              <a:ext cx="181644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D8F51CFF-DE2E-43E1-5B6D-345CA435C4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0637" y="154796"/>
              <a:ext cx="181644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A61642F5-8AC3-7E0F-FB29-A17E7E155031}"/>
              </a:ext>
            </a:extLst>
          </xdr:cNvPr>
          <xdr:cNvGrpSpPr/>
        </xdr:nvGrpSpPr>
        <xdr:grpSpPr>
          <a:xfrm>
            <a:off x="160637" y="2867976"/>
            <a:ext cx="6326661" cy="2160000"/>
            <a:chOff x="160637" y="2867976"/>
            <a:chExt cx="6326661" cy="216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E1253443-8A17-7CA4-2595-E06CC07C4A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72049" y="2867976"/>
              <a:ext cx="15569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E5EE6270-FD89-74F3-B3B8-34780E6F7D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3462" y="2867976"/>
              <a:ext cx="2903836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DD07F76D-D347-9C8C-1657-ED717B440E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0637" y="2867976"/>
              <a:ext cx="155695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4566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228112</xdr:colOff>
      <xdr:row>34</xdr:row>
      <xdr:rowOff>185233</xdr:rowOff>
    </xdr:from>
    <xdr:to>
      <xdr:col>6</xdr:col>
      <xdr:colOff>232678</xdr:colOff>
      <xdr:row>53</xdr:row>
      <xdr:rowOff>165733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818" y="6673439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547714</xdr:colOff>
      <xdr:row>15</xdr:row>
      <xdr:rowOff>67235</xdr:rowOff>
    </xdr:from>
    <xdr:to>
      <xdr:col>15</xdr:col>
      <xdr:colOff>440222</xdr:colOff>
      <xdr:row>34</xdr:row>
      <xdr:rowOff>47735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8979" y="2935941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2Kt2aqEQQQTeevN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71"/>
  <sheetViews>
    <sheetView tabSelected="1" view="pageBreakPreview" zoomScaleNormal="100" zoomScaleSheetLayoutView="100" workbookViewId="0">
      <selection activeCell="K8" sqref="K8"/>
    </sheetView>
  </sheetViews>
  <sheetFormatPr defaultColWidth="9.10937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109375" style="11" customWidth="1"/>
    <col min="5" max="7" width="11.6640625" style="11" customWidth="1"/>
    <col min="8" max="8" width="12.4414062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88671875" style="3" customWidth="1"/>
    <col min="14" max="14" width="12.5546875" style="3" customWidth="1"/>
    <col min="15" max="15" width="9.88671875" style="3" customWidth="1"/>
    <col min="16" max="16" width="11.6640625" style="3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94" t="s">
        <v>195</v>
      </c>
      <c r="B1" s="94"/>
      <c r="C1" s="94"/>
      <c r="D1" s="94"/>
      <c r="E1" s="94"/>
      <c r="F1" s="94"/>
      <c r="G1" s="94"/>
      <c r="H1" s="94"/>
    </row>
    <row r="2" spans="1:8" ht="16.5" customHeight="1" x14ac:dyDescent="0.3">
      <c r="A2" s="89" t="s">
        <v>0</v>
      </c>
      <c r="B2" s="89"/>
      <c r="C2" s="89"/>
      <c r="D2" s="89"/>
      <c r="E2" s="89"/>
      <c r="F2" s="89"/>
      <c r="G2" s="89"/>
      <c r="H2" s="89"/>
    </row>
    <row r="3" spans="1:8" x14ac:dyDescent="0.3">
      <c r="A3" s="69" t="s">
        <v>1</v>
      </c>
      <c r="B3" s="69"/>
      <c r="C3" s="69"/>
      <c r="D3" s="69"/>
      <c r="E3" s="95" t="str">
        <f ca="1">TEXT(TODAY(),"DD/MM/YYYY")</f>
        <v>09/06/2025</v>
      </c>
      <c r="F3" s="95"/>
      <c r="G3" s="95"/>
      <c r="H3" s="95"/>
    </row>
    <row r="4" spans="1:8" ht="15" customHeight="1" x14ac:dyDescent="0.3">
      <c r="A4" s="69" t="s">
        <v>2</v>
      </c>
      <c r="B4" s="69"/>
      <c r="C4" s="69"/>
      <c r="D4" s="69"/>
      <c r="E4" s="88" t="s">
        <v>167</v>
      </c>
      <c r="F4" s="88"/>
      <c r="G4" s="88"/>
      <c r="H4" s="88"/>
    </row>
    <row r="5" spans="1:8" x14ac:dyDescent="0.3">
      <c r="A5" s="56" t="s">
        <v>3</v>
      </c>
      <c r="B5" s="56"/>
      <c r="C5" s="56"/>
      <c r="D5" s="56"/>
      <c r="E5" s="93">
        <v>45815</v>
      </c>
      <c r="F5" s="93"/>
      <c r="G5" s="93"/>
      <c r="H5" s="93"/>
    </row>
    <row r="6" spans="1:8" ht="16.5" customHeight="1" x14ac:dyDescent="0.3">
      <c r="A6" s="56" t="s">
        <v>4</v>
      </c>
      <c r="B6" s="56"/>
      <c r="C6" s="56"/>
      <c r="D6" s="56"/>
      <c r="E6" s="87" t="s">
        <v>168</v>
      </c>
      <c r="F6" s="87"/>
      <c r="G6" s="87"/>
      <c r="H6" s="87"/>
    </row>
    <row r="7" spans="1:8" ht="15" customHeight="1" x14ac:dyDescent="0.3">
      <c r="A7" s="56" t="s">
        <v>5</v>
      </c>
      <c r="B7" s="56"/>
      <c r="C7" s="56"/>
      <c r="D7" s="56"/>
      <c r="E7" s="87" t="str">
        <f>E6</f>
        <v>M/s. Star Builders &amp; Developers</v>
      </c>
      <c r="F7" s="87"/>
      <c r="G7" s="87"/>
      <c r="H7" s="87"/>
    </row>
    <row r="8" spans="1:8" x14ac:dyDescent="0.3">
      <c r="A8" s="56" t="s">
        <v>6</v>
      </c>
      <c r="B8" s="56"/>
      <c r="C8" s="56"/>
      <c r="D8" s="56"/>
      <c r="E8" s="80" t="s">
        <v>169</v>
      </c>
      <c r="F8" s="80"/>
      <c r="G8" s="80"/>
      <c r="H8" s="80"/>
    </row>
    <row r="9" spans="1:8" x14ac:dyDescent="0.3">
      <c r="A9" s="56" t="s">
        <v>126</v>
      </c>
      <c r="B9" s="56"/>
      <c r="C9" s="56"/>
      <c r="D9" s="56"/>
      <c r="E9" s="56">
        <v>8999589183</v>
      </c>
      <c r="F9" s="56"/>
      <c r="G9" s="56"/>
      <c r="H9" s="56"/>
    </row>
    <row r="10" spans="1:8" x14ac:dyDescent="0.3">
      <c r="A10" s="69" t="s">
        <v>7</v>
      </c>
      <c r="B10" s="69"/>
      <c r="C10" s="69"/>
      <c r="D10" s="69"/>
      <c r="E10" s="69" t="s">
        <v>170</v>
      </c>
      <c r="F10" s="69"/>
      <c r="G10" s="69"/>
      <c r="H10" s="69"/>
    </row>
    <row r="11" spans="1:8" x14ac:dyDescent="0.3">
      <c r="A11" s="69" t="s">
        <v>8</v>
      </c>
      <c r="B11" s="69"/>
      <c r="C11" s="69"/>
      <c r="D11" s="69"/>
      <c r="E11" s="57" t="s">
        <v>194</v>
      </c>
      <c r="F11" s="57"/>
      <c r="G11" s="57"/>
      <c r="H11" s="57"/>
    </row>
    <row r="12" spans="1:8" x14ac:dyDescent="0.3">
      <c r="A12" s="69" t="s">
        <v>9</v>
      </c>
      <c r="B12" s="69"/>
      <c r="C12" s="69"/>
      <c r="D12" s="69"/>
      <c r="E12" s="57" t="s">
        <v>171</v>
      </c>
      <c r="F12" s="69"/>
      <c r="G12" s="69"/>
      <c r="H12" s="69"/>
    </row>
    <row r="13" spans="1:8" ht="33.75" customHeight="1" x14ac:dyDescent="0.3">
      <c r="A13" s="57" t="s">
        <v>10</v>
      </c>
      <c r="B13" s="57"/>
      <c r="C13" s="5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Star Pearl, Gut No.279/280/2/305/1, near Santoshi mata temple, Internal road, Makane, Saphale west, Palghar, Palghar - 401402.</v>
      </c>
      <c r="D13" s="57"/>
      <c r="E13" s="57"/>
      <c r="F13" s="57"/>
      <c r="G13" s="57"/>
      <c r="H13" s="57"/>
    </row>
    <row r="14" spans="1:8" x14ac:dyDescent="0.3">
      <c r="A14" s="87" t="s">
        <v>172</v>
      </c>
      <c r="B14" s="87"/>
      <c r="C14" s="57" t="s">
        <v>173</v>
      </c>
      <c r="D14" s="57"/>
      <c r="E14" s="57"/>
      <c r="F14" s="57"/>
      <c r="G14" s="57"/>
      <c r="H14" s="57"/>
    </row>
    <row r="15" spans="1:8" ht="15.75" customHeight="1" x14ac:dyDescent="0.3">
      <c r="A15" s="87" t="s">
        <v>11</v>
      </c>
      <c r="B15" s="87"/>
      <c r="C15" s="69" t="s">
        <v>177</v>
      </c>
      <c r="D15" s="69"/>
      <c r="E15" s="87" t="s">
        <v>78</v>
      </c>
      <c r="F15" s="87"/>
      <c r="G15" s="57" t="s">
        <v>174</v>
      </c>
      <c r="H15" s="57"/>
    </row>
    <row r="16" spans="1:8" x14ac:dyDescent="0.3">
      <c r="A16" s="56" t="s">
        <v>13</v>
      </c>
      <c r="B16" s="56"/>
      <c r="C16" s="57" t="s">
        <v>178</v>
      </c>
      <c r="D16" s="57"/>
      <c r="E16" s="87" t="s">
        <v>12</v>
      </c>
      <c r="F16" s="87"/>
      <c r="G16" s="91" t="s">
        <v>175</v>
      </c>
      <c r="H16" s="91"/>
    </row>
    <row r="17" spans="1:8" x14ac:dyDescent="0.3">
      <c r="A17" s="56" t="s">
        <v>79</v>
      </c>
      <c r="B17" s="56"/>
      <c r="C17" s="57" t="s">
        <v>175</v>
      </c>
      <c r="D17" s="57"/>
      <c r="E17" s="87" t="s">
        <v>14</v>
      </c>
      <c r="F17" s="87"/>
      <c r="G17" s="57">
        <v>401402</v>
      </c>
      <c r="H17" s="57"/>
    </row>
    <row r="18" spans="1:8" ht="32.25" customHeight="1" x14ac:dyDescent="0.3">
      <c r="A18" s="56" t="s">
        <v>127</v>
      </c>
      <c r="B18" s="56"/>
      <c r="C18" s="92" t="s">
        <v>179</v>
      </c>
      <c r="D18" s="92"/>
      <c r="E18" s="87" t="s">
        <v>15</v>
      </c>
      <c r="F18" s="87"/>
      <c r="G18" s="57" t="s">
        <v>176</v>
      </c>
      <c r="H18" s="57"/>
    </row>
    <row r="19" spans="1:8" ht="15" customHeight="1" x14ac:dyDescent="0.3">
      <c r="A19" s="87" t="s">
        <v>81</v>
      </c>
      <c r="B19" s="87"/>
      <c r="C19" s="87"/>
      <c r="D19" s="87"/>
      <c r="E19" s="69" t="s">
        <v>16</v>
      </c>
      <c r="F19" s="69"/>
      <c r="G19" s="69"/>
      <c r="H19" s="69"/>
    </row>
    <row r="20" spans="1:8" ht="18.75" customHeight="1" x14ac:dyDescent="0.3">
      <c r="A20" s="87"/>
      <c r="B20" s="87"/>
      <c r="C20" s="87"/>
      <c r="D20" s="87"/>
      <c r="E20" s="69"/>
      <c r="F20" s="69"/>
      <c r="G20" s="69"/>
      <c r="H20" s="69"/>
    </row>
    <row r="21" spans="1:8" ht="15" customHeight="1" x14ac:dyDescent="0.3">
      <c r="A21" s="87" t="s">
        <v>17</v>
      </c>
      <c r="B21" s="87"/>
      <c r="C21" s="87"/>
      <c r="D21" s="87"/>
      <c r="E21" s="57" t="s">
        <v>18</v>
      </c>
      <c r="F21" s="57"/>
      <c r="G21" s="57"/>
      <c r="H21" s="57"/>
    </row>
    <row r="22" spans="1:8" ht="15" customHeight="1" x14ac:dyDescent="0.3">
      <c r="A22" s="56" t="s">
        <v>19</v>
      </c>
      <c r="B22" s="56"/>
      <c r="C22" s="56"/>
      <c r="D22" s="56"/>
      <c r="E22" s="57" t="str">
        <f>IF(AND(G16="Mumbai"),"Upper Class","Middle Class")</f>
        <v>Middle Class</v>
      </c>
      <c r="F22" s="57"/>
      <c r="G22" s="57"/>
      <c r="H22" s="57"/>
    </row>
    <row r="23" spans="1:8" x14ac:dyDescent="0.3">
      <c r="A23" s="56" t="s">
        <v>20</v>
      </c>
      <c r="B23" s="56"/>
      <c r="C23" s="56"/>
      <c r="D23" s="56"/>
      <c r="E23" s="57" t="s">
        <v>21</v>
      </c>
      <c r="F23" s="57"/>
      <c r="G23" s="57"/>
      <c r="H23" s="57"/>
    </row>
    <row r="24" spans="1:8" ht="15.75" customHeight="1" x14ac:dyDescent="0.3">
      <c r="A24" s="56" t="s">
        <v>22</v>
      </c>
      <c r="B24" s="56"/>
      <c r="C24" s="56"/>
      <c r="D24" s="56"/>
      <c r="E24" s="57" t="str">
        <f>IF(AND(G16="Mumbai"),"Developed","Developing")</f>
        <v>Developing</v>
      </c>
      <c r="F24" s="57"/>
      <c r="G24" s="57"/>
      <c r="H24" s="57"/>
    </row>
    <row r="25" spans="1:8" x14ac:dyDescent="0.3">
      <c r="A25" s="56" t="s">
        <v>23</v>
      </c>
      <c r="B25" s="56"/>
      <c r="C25" s="56"/>
      <c r="D25" s="56"/>
      <c r="E25" s="57" t="s">
        <v>24</v>
      </c>
      <c r="F25" s="57"/>
      <c r="G25" s="57"/>
      <c r="H25" s="57"/>
    </row>
    <row r="26" spans="1:8" x14ac:dyDescent="0.3">
      <c r="A26" s="56" t="s">
        <v>86</v>
      </c>
      <c r="B26" s="56"/>
      <c r="C26" s="56"/>
      <c r="D26" s="56"/>
      <c r="E26" s="57" t="s">
        <v>87</v>
      </c>
      <c r="F26" s="57"/>
      <c r="G26" s="57"/>
      <c r="H26" s="57"/>
    </row>
    <row r="27" spans="1:8" ht="15" customHeight="1" x14ac:dyDescent="0.3">
      <c r="A27" s="87" t="s">
        <v>33</v>
      </c>
      <c r="B27" s="87"/>
      <c r="C27" s="87"/>
      <c r="D27" s="87"/>
      <c r="E27" s="88" t="s">
        <v>180</v>
      </c>
      <c r="F27" s="88"/>
      <c r="G27" s="88"/>
      <c r="H27" s="88"/>
    </row>
    <row r="28" spans="1:8" x14ac:dyDescent="0.3">
      <c r="A28" s="87" t="s">
        <v>98</v>
      </c>
      <c r="B28" s="87"/>
      <c r="C28" s="87"/>
      <c r="D28" s="87"/>
      <c r="E28" s="87" t="s">
        <v>34</v>
      </c>
      <c r="F28" s="87"/>
      <c r="G28" s="87"/>
      <c r="H28" s="87"/>
    </row>
    <row r="29" spans="1:8" s="6" customFormat="1" x14ac:dyDescent="0.3">
      <c r="A29" s="90" t="s">
        <v>99</v>
      </c>
      <c r="B29" s="90"/>
      <c r="C29" s="89" t="s">
        <v>29</v>
      </c>
      <c r="D29" s="89"/>
      <c r="E29" s="89"/>
      <c r="F29" s="89" t="s">
        <v>31</v>
      </c>
      <c r="G29" s="89"/>
      <c r="H29" s="89"/>
    </row>
    <row r="30" spans="1:8" s="6" customFormat="1" x14ac:dyDescent="0.3">
      <c r="A30" s="81" t="s">
        <v>25</v>
      </c>
      <c r="B30" s="81" t="s">
        <v>30</v>
      </c>
      <c r="C30" s="82" t="s">
        <v>30</v>
      </c>
      <c r="D30" s="82"/>
      <c r="E30" s="82"/>
      <c r="F30" s="82" t="s">
        <v>177</v>
      </c>
      <c r="G30" s="82"/>
      <c r="H30" s="82"/>
    </row>
    <row r="31" spans="1:8" x14ac:dyDescent="0.3">
      <c r="A31" s="81" t="s">
        <v>26</v>
      </c>
      <c r="B31" s="81" t="s">
        <v>30</v>
      </c>
      <c r="C31" s="82" t="s">
        <v>30</v>
      </c>
      <c r="D31" s="82"/>
      <c r="E31" s="82"/>
      <c r="F31" s="82" t="s">
        <v>181</v>
      </c>
      <c r="G31" s="82"/>
      <c r="H31" s="82"/>
    </row>
    <row r="32" spans="1:8" s="6" customFormat="1" x14ac:dyDescent="0.3">
      <c r="A32" s="81" t="s">
        <v>28</v>
      </c>
      <c r="B32" s="81" t="s">
        <v>30</v>
      </c>
      <c r="C32" s="82" t="s">
        <v>30</v>
      </c>
      <c r="D32" s="82"/>
      <c r="E32" s="82"/>
      <c r="F32" s="82" t="s">
        <v>182</v>
      </c>
      <c r="G32" s="82"/>
      <c r="H32" s="82"/>
    </row>
    <row r="33" spans="1:8" x14ac:dyDescent="0.3">
      <c r="A33" s="81" t="s">
        <v>27</v>
      </c>
      <c r="B33" s="81" t="s">
        <v>30</v>
      </c>
      <c r="C33" s="82" t="s">
        <v>30</v>
      </c>
      <c r="D33" s="82"/>
      <c r="E33" s="82"/>
      <c r="F33" s="82" t="s">
        <v>179</v>
      </c>
      <c r="G33" s="82"/>
      <c r="H33" s="82"/>
    </row>
    <row r="34" spans="1:8" x14ac:dyDescent="0.3">
      <c r="A34" s="56" t="s">
        <v>32</v>
      </c>
      <c r="B34" s="56"/>
      <c r="C34" s="56"/>
      <c r="D34" s="56"/>
      <c r="E34" s="56"/>
      <c r="F34" s="56"/>
      <c r="G34" s="56"/>
      <c r="H34" s="56"/>
    </row>
    <row r="35" spans="1:8" ht="15.75" customHeight="1" x14ac:dyDescent="0.3">
      <c r="A35" s="56" t="s">
        <v>199</v>
      </c>
      <c r="B35" s="56"/>
      <c r="C35" s="83" t="s">
        <v>200</v>
      </c>
      <c r="D35" s="84"/>
      <c r="E35" s="84"/>
      <c r="F35" s="84"/>
      <c r="G35" s="84"/>
      <c r="H35" s="85"/>
    </row>
    <row r="36" spans="1:8" ht="15.75" customHeight="1" x14ac:dyDescent="0.3">
      <c r="A36" s="56" t="s">
        <v>196</v>
      </c>
      <c r="B36" s="56"/>
      <c r="C36" s="147" t="s">
        <v>197</v>
      </c>
      <c r="D36" s="148"/>
      <c r="E36" s="148"/>
      <c r="F36" s="148"/>
      <c r="G36" s="148"/>
      <c r="H36" s="149"/>
    </row>
    <row r="37" spans="1:8" x14ac:dyDescent="0.3">
      <c r="A37" s="80" t="s">
        <v>35</v>
      </c>
      <c r="B37" s="80"/>
      <c r="C37" s="80"/>
      <c r="D37" s="80"/>
      <c r="E37" s="80"/>
      <c r="F37" s="80"/>
      <c r="G37" s="80"/>
      <c r="H37" s="80"/>
    </row>
    <row r="38" spans="1:8" x14ac:dyDescent="0.3">
      <c r="A38" s="56" t="s">
        <v>36</v>
      </c>
      <c r="B38" s="56"/>
      <c r="C38" s="56"/>
      <c r="D38" s="56"/>
      <c r="E38" s="86">
        <v>12939.45</v>
      </c>
      <c r="F38" s="86"/>
      <c r="G38" s="86"/>
      <c r="H38" s="86"/>
    </row>
    <row r="39" spans="1:8" x14ac:dyDescent="0.3">
      <c r="A39" s="56" t="s">
        <v>37</v>
      </c>
      <c r="B39" s="56"/>
      <c r="C39" s="56"/>
      <c r="D39" s="56"/>
      <c r="E39" s="67">
        <v>1.1000000000000001</v>
      </c>
      <c r="F39" s="67"/>
      <c r="G39" s="67"/>
      <c r="H39" s="67"/>
    </row>
    <row r="40" spans="1:8" x14ac:dyDescent="0.3">
      <c r="A40" s="56" t="s">
        <v>38</v>
      </c>
      <c r="B40" s="56"/>
      <c r="C40" s="56"/>
      <c r="D40" s="56"/>
      <c r="E40" s="67">
        <f>E42/E38-E39</f>
        <v>1.047027114753718</v>
      </c>
      <c r="F40" s="67"/>
      <c r="G40" s="67"/>
      <c r="H40" s="67"/>
    </row>
    <row r="41" spans="1:8" x14ac:dyDescent="0.3">
      <c r="A41" s="56" t="s">
        <v>39</v>
      </c>
      <c r="B41" s="56"/>
      <c r="C41" s="56"/>
      <c r="D41" s="56"/>
      <c r="E41" s="67">
        <f>E39+E40</f>
        <v>2.1470271147537181</v>
      </c>
      <c r="F41" s="67"/>
      <c r="G41" s="67"/>
      <c r="H41" s="67"/>
    </row>
    <row r="42" spans="1:8" x14ac:dyDescent="0.3">
      <c r="A42" s="56" t="s">
        <v>97</v>
      </c>
      <c r="B42" s="56"/>
      <c r="C42" s="56"/>
      <c r="D42" s="56"/>
      <c r="E42" s="68">
        <v>27781.35</v>
      </c>
      <c r="F42" s="68"/>
      <c r="G42" s="68"/>
      <c r="H42" s="68"/>
    </row>
    <row r="43" spans="1:8" x14ac:dyDescent="0.3">
      <c r="A43" s="69" t="s">
        <v>40</v>
      </c>
      <c r="B43" s="69"/>
      <c r="C43" s="69"/>
      <c r="D43" s="69"/>
      <c r="E43" s="69" t="s">
        <v>183</v>
      </c>
      <c r="F43" s="69"/>
      <c r="G43" s="69"/>
      <c r="H43" s="69"/>
    </row>
    <row r="44" spans="1:8" x14ac:dyDescent="0.3">
      <c r="A44" s="80" t="s">
        <v>41</v>
      </c>
      <c r="B44" s="80"/>
      <c r="C44" s="80"/>
      <c r="D44" s="80"/>
      <c r="E44" s="80"/>
      <c r="F44" s="80"/>
      <c r="G44" s="80"/>
      <c r="H44" s="80"/>
    </row>
    <row r="45" spans="1:8" ht="33.75" customHeight="1" x14ac:dyDescent="0.3">
      <c r="A45" s="70" t="s">
        <v>156</v>
      </c>
      <c r="B45" s="71"/>
      <c r="C45" s="72" t="s">
        <v>184</v>
      </c>
      <c r="D45" s="73"/>
      <c r="E45" s="73"/>
      <c r="F45" s="73"/>
      <c r="G45" s="73"/>
      <c r="H45" s="74"/>
    </row>
    <row r="46" spans="1:8" x14ac:dyDescent="0.3">
      <c r="A46" s="57" t="s">
        <v>42</v>
      </c>
      <c r="B46" s="57"/>
      <c r="C46" s="115" t="s">
        <v>185</v>
      </c>
      <c r="D46" s="115"/>
      <c r="E46" s="115"/>
      <c r="F46" s="46" t="s">
        <v>43</v>
      </c>
      <c r="G46" s="100">
        <v>44371</v>
      </c>
      <c r="H46" s="100"/>
    </row>
    <row r="47" spans="1:8" x14ac:dyDescent="0.3">
      <c r="A47" s="69" t="s">
        <v>44</v>
      </c>
      <c r="B47" s="69"/>
      <c r="C47" s="115" t="str">
        <f>C46</f>
        <v>Mahsul/K-1/Mej-1/BSP/SR/CR/20/21</v>
      </c>
      <c r="D47" s="115"/>
      <c r="E47" s="115"/>
      <c r="F47" s="46" t="s">
        <v>43</v>
      </c>
      <c r="G47" s="100">
        <f>G46</f>
        <v>44371</v>
      </c>
      <c r="H47" s="100"/>
    </row>
    <row r="48" spans="1:8" s="5" customFormat="1" x14ac:dyDescent="0.3">
      <c r="A48" s="57" t="s">
        <v>45</v>
      </c>
      <c r="B48" s="57"/>
      <c r="C48" s="115" t="s">
        <v>193</v>
      </c>
      <c r="D48" s="150"/>
      <c r="E48" s="150"/>
      <c r="F48" s="8" t="s">
        <v>43</v>
      </c>
      <c r="G48" s="100">
        <f>G46</f>
        <v>44371</v>
      </c>
      <c r="H48" s="100"/>
    </row>
    <row r="49" spans="1:14" s="5" customFormat="1" x14ac:dyDescent="0.3">
      <c r="A49" s="57"/>
      <c r="B49" s="57"/>
      <c r="C49" s="144" t="s">
        <v>186</v>
      </c>
      <c r="D49" s="145"/>
      <c r="E49" s="145"/>
      <c r="F49" s="145"/>
      <c r="G49" s="145"/>
      <c r="H49" s="146"/>
    </row>
    <row r="50" spans="1:14" ht="65.25" customHeight="1" x14ac:dyDescent="0.3">
      <c r="A50" s="116" t="s">
        <v>46</v>
      </c>
      <c r="B50" s="116"/>
      <c r="C50" s="117" t="s">
        <v>201</v>
      </c>
      <c r="D50" s="118"/>
      <c r="E50" s="118" t="s">
        <v>47</v>
      </c>
      <c r="F50" s="47" t="s">
        <v>43</v>
      </c>
      <c r="G50" s="143">
        <v>45365</v>
      </c>
      <c r="H50" s="143"/>
    </row>
    <row r="51" spans="1:14" x14ac:dyDescent="0.3">
      <c r="A51" s="140" t="s">
        <v>49</v>
      </c>
      <c r="B51" s="140"/>
      <c r="C51" s="140"/>
      <c r="D51" s="140"/>
      <c r="E51" s="140"/>
      <c r="F51" s="140"/>
      <c r="G51" s="140"/>
      <c r="H51" s="140"/>
    </row>
    <row r="52" spans="1:14" x14ac:dyDescent="0.3">
      <c r="A52" s="57" t="s">
        <v>96</v>
      </c>
      <c r="B52" s="57"/>
      <c r="C52" s="57"/>
      <c r="D52" s="69">
        <v>1528.5</v>
      </c>
      <c r="E52" s="69"/>
      <c r="F52" s="69"/>
      <c r="G52" s="69"/>
      <c r="H52" s="69"/>
    </row>
    <row r="53" spans="1:14" x14ac:dyDescent="0.3">
      <c r="A53" s="57" t="s">
        <v>50</v>
      </c>
      <c r="B53" s="69"/>
      <c r="C53" s="69"/>
      <c r="D53" s="69" t="s">
        <v>187</v>
      </c>
      <c r="E53" s="69"/>
      <c r="F53" s="69"/>
      <c r="G53" s="69"/>
      <c r="H53" s="69"/>
      <c r="I53" s="35"/>
    </row>
    <row r="54" spans="1:14" ht="15.75" customHeight="1" x14ac:dyDescent="0.3">
      <c r="A54" s="97" t="s">
        <v>51</v>
      </c>
      <c r="B54" s="98"/>
      <c r="C54" s="99"/>
      <c r="D54" s="96" t="s">
        <v>188</v>
      </c>
      <c r="E54" s="96"/>
      <c r="F54" s="96"/>
      <c r="G54" s="96"/>
      <c r="H54" s="96"/>
    </row>
    <row r="55" spans="1:14" ht="15.75" customHeight="1" x14ac:dyDescent="0.3">
      <c r="A55" s="97" t="s">
        <v>94</v>
      </c>
      <c r="B55" s="98"/>
      <c r="C55" s="98"/>
      <c r="D55" s="96" t="s">
        <v>188</v>
      </c>
      <c r="E55" s="96"/>
      <c r="F55" s="96"/>
      <c r="G55" s="96"/>
      <c r="H55" s="96"/>
    </row>
    <row r="56" spans="1:14" ht="15.75" customHeight="1" x14ac:dyDescent="0.3">
      <c r="A56" s="56" t="s">
        <v>48</v>
      </c>
      <c r="B56" s="56"/>
      <c r="C56" s="56"/>
      <c r="D56" s="57" t="s">
        <v>198</v>
      </c>
      <c r="E56" s="57"/>
      <c r="F56" s="57"/>
      <c r="G56" s="57"/>
      <c r="H56" s="57"/>
      <c r="J56" s="34"/>
      <c r="K56" s="35"/>
      <c r="N56" s="35"/>
    </row>
    <row r="57" spans="1:14" ht="15.75" customHeight="1" x14ac:dyDescent="0.3">
      <c r="A57" s="56" t="s">
        <v>92</v>
      </c>
      <c r="B57" s="56"/>
      <c r="C57" s="56"/>
      <c r="D57" s="66" t="str">
        <f ca="1">(IF(G50="NA","60 Years",IF(G50&lt;&gt;"NA",""&amp;60-ROUNDDOWN((E3-G50)/360,0)&amp;" Years"," ")))</f>
        <v>59 Years</v>
      </c>
      <c r="E57" s="66"/>
      <c r="F57" s="66"/>
      <c r="G57" s="66"/>
      <c r="H57" s="66"/>
      <c r="N57" s="35"/>
    </row>
    <row r="58" spans="1:14" ht="15.75" customHeight="1" x14ac:dyDescent="0.3">
      <c r="A58" s="56" t="s">
        <v>93</v>
      </c>
      <c r="B58" s="56"/>
      <c r="C58" s="56"/>
      <c r="D58" s="87" t="s">
        <v>24</v>
      </c>
      <c r="E58" s="87"/>
      <c r="F58" s="87"/>
      <c r="G58" s="87"/>
      <c r="H58" s="87"/>
      <c r="J58" s="13"/>
      <c r="K58" s="13"/>
    </row>
    <row r="59" spans="1:14" ht="15" hidden="1" customHeight="1" x14ac:dyDescent="0.3">
      <c r="A59" s="56" t="s">
        <v>80</v>
      </c>
      <c r="B59" s="56"/>
      <c r="C59" s="56"/>
      <c r="D59" s="57" t="s">
        <v>153</v>
      </c>
      <c r="E59" s="87"/>
      <c r="F59" s="87"/>
      <c r="G59" s="87"/>
      <c r="H59" s="87"/>
    </row>
    <row r="60" spans="1:14" x14ac:dyDescent="0.3">
      <c r="A60" s="87" t="s">
        <v>154</v>
      </c>
      <c r="B60" s="87"/>
      <c r="C60" s="87"/>
      <c r="D60" s="87" t="s">
        <v>30</v>
      </c>
      <c r="E60" s="87"/>
      <c r="F60" s="87"/>
      <c r="G60" s="87"/>
      <c r="H60" s="87"/>
      <c r="I60" s="44"/>
      <c r="J60" s="44"/>
      <c r="K60" s="44"/>
      <c r="L60" s="44"/>
      <c r="M60" s="44"/>
      <c r="N60" s="44"/>
    </row>
    <row r="61" spans="1:14" ht="15.75" customHeight="1" x14ac:dyDescent="0.3">
      <c r="A61" s="103" t="s">
        <v>91</v>
      </c>
      <c r="B61" s="103"/>
      <c r="C61" s="103"/>
      <c r="D61" s="104" t="str">
        <f ca="1">(IF(G68&gt;95%,"Nothing",IF(G68&gt;0%,"Cement, Aggregate, Steel, etc",IF(G68=0%,"Work not yet Started"))))</f>
        <v>Nothing</v>
      </c>
      <c r="E61" s="104"/>
      <c r="F61" s="104"/>
      <c r="G61" s="104"/>
      <c r="H61" s="104"/>
      <c r="J61" s="13"/>
    </row>
    <row r="62" spans="1:14" ht="33.75" customHeight="1" thickBot="1" x14ac:dyDescent="0.35">
      <c r="A62" s="138" t="s">
        <v>124</v>
      </c>
      <c r="B62" s="138"/>
      <c r="C62" s="138"/>
      <c r="D62" s="104" t="str">
        <f ca="1">(IF(D61="Nothing","Yes",IF(D61="Cement, Aggregate, Steel, etc","Under Construction",IF(D61="Work not yet Started","Work not yet Started"))))</f>
        <v>Yes</v>
      </c>
      <c r="E62" s="104"/>
      <c r="F62" s="104" t="str">
        <f ca="1">(IF(D61="Nothing","Yes",IF(D61="Cement, Aggregate, Steel, etc","Under Construction",IF(D61="Work not yet Started","Work not yet Started"))))</f>
        <v>Yes</v>
      </c>
      <c r="G62" s="104"/>
      <c r="H62" s="104"/>
    </row>
    <row r="63" spans="1:14" ht="15.75" customHeight="1" x14ac:dyDescent="0.3">
      <c r="A63" s="108" t="s">
        <v>145</v>
      </c>
      <c r="B63" s="109"/>
      <c r="C63" s="110" t="str">
        <f>D55</f>
        <v>Building No. 8 = G/St + 1st to 7th Floor</v>
      </c>
      <c r="D63" s="111"/>
      <c r="E63" s="111"/>
      <c r="F63" s="111"/>
      <c r="G63" s="111"/>
      <c r="H63" s="112"/>
      <c r="I63" s="3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completed","0")))))))))))&amp;(IF(C70=(D64+F64+H64),", RCC Slab Completed",IF(C70&gt;0,", RCC upto "&amp;C70&amp;" Slab Completed",""))&amp;(IF(C71=H64,", Brickwork Completed",IF(C71&gt;0,", Brickwork upto "&amp;C71&amp;" Floor Completed",""))&amp;(IF(C72=H64,", Internal Plaster Completed",IF(C72&gt;0,", Internal Plaster upto "&amp;C72&amp;" Floor Completed",""))&amp;(IF(C73=H64,", External Plaster Completed",IF(C73&gt;0,", External Plaster upto "&amp;C73&amp;" Floor Completed",""))&amp;(IF(C74=H64,", Flooring Completed",IF(C74&gt;0,", Flooring upto "&amp;C74&amp;" Floor Completed",""))&amp;(IF(C75=H64,", Painting Completed",IF(C75&gt;0,", Painting upto "&amp;C75&amp;" Floor Completed",""))&amp;(IF(C76&gt;0,", Finishing upto "&amp;C76&amp;" Floor Completed","")&amp;(IF(C70&gt;0.5,".",""))))))))))))))</f>
        <v>All work completed. Please provide OC.</v>
      </c>
      <c r="J63" s="14"/>
    </row>
    <row r="64" spans="1:14" x14ac:dyDescent="0.3">
      <c r="A64" s="42" t="s">
        <v>147</v>
      </c>
      <c r="B64" s="45">
        <v>0</v>
      </c>
      <c r="C64" s="45" t="s">
        <v>77</v>
      </c>
      <c r="D64" s="45">
        <v>1</v>
      </c>
      <c r="E64" s="45" t="s">
        <v>76</v>
      </c>
      <c r="F64" s="45">
        <v>0</v>
      </c>
      <c r="G64" s="45" t="s">
        <v>85</v>
      </c>
      <c r="H64" s="43">
        <f ca="1">--TRIM(RIGHT(SUBSTITUTE(LEFT(C63,_xlfn.AGGREGATE(16,6,FIND({0,1,2,3,4,5,6,7,8,9},C63,ROW(INDIRECT("1:"&amp;LEN(C63)))),1))," ",REPT(" ",LEN(C63))),LEN(C63)))</f>
        <v>7</v>
      </c>
      <c r="I64" s="13"/>
      <c r="J64" s="15"/>
    </row>
    <row r="65" spans="1:10" ht="16.2" thickBot="1" x14ac:dyDescent="0.35">
      <c r="A65" s="106" t="s">
        <v>95</v>
      </c>
      <c r="B65" s="107"/>
      <c r="C65" s="113" t="str">
        <f>(IF($G$50="NA",I63,"All work Completed. OC Received."))</f>
        <v>All work Completed. OC Received.</v>
      </c>
      <c r="D65" s="113"/>
      <c r="E65" s="113"/>
      <c r="F65" s="113"/>
      <c r="G65" s="113"/>
      <c r="H65" s="114"/>
      <c r="I65" s="13" t="s">
        <v>111</v>
      </c>
      <c r="J65" s="15"/>
    </row>
    <row r="66" spans="1:10" ht="30.9" customHeight="1" thickBot="1" x14ac:dyDescent="0.35">
      <c r="A66" s="75" t="s">
        <v>90</v>
      </c>
      <c r="B66" s="76"/>
      <c r="C66" s="77">
        <f ca="1">E68</f>
        <v>1</v>
      </c>
      <c r="D66" s="78"/>
      <c r="E66" s="78" t="s">
        <v>89</v>
      </c>
      <c r="F66" s="78"/>
      <c r="G66" s="77">
        <f ca="1">G68</f>
        <v>1</v>
      </c>
      <c r="H66" s="79"/>
      <c r="I66" s="13"/>
      <c r="J66" s="15"/>
    </row>
    <row r="67" spans="1:10" ht="15.75" hidden="1" customHeight="1" x14ac:dyDescent="0.3">
      <c r="A67" s="101" t="s">
        <v>52</v>
      </c>
      <c r="B67" s="102"/>
      <c r="C67" s="55" t="s">
        <v>144</v>
      </c>
      <c r="D67" s="55" t="s">
        <v>88</v>
      </c>
      <c r="E67" s="102" t="s">
        <v>90</v>
      </c>
      <c r="F67" s="102"/>
      <c r="G67" s="102" t="s">
        <v>89</v>
      </c>
      <c r="H67" s="105"/>
      <c r="I67" s="33" t="s">
        <v>146</v>
      </c>
      <c r="J67" s="16">
        <f ca="1">H64*25%</f>
        <v>1.75</v>
      </c>
    </row>
    <row r="68" spans="1:10" hidden="1" x14ac:dyDescent="0.3">
      <c r="A68" s="62" t="s">
        <v>133</v>
      </c>
      <c r="B68" s="63"/>
      <c r="C68" s="48">
        <f ca="1">J69</f>
        <v>7</v>
      </c>
      <c r="D68" s="49">
        <f ca="1">((100/H64)*C68)/100</f>
        <v>1</v>
      </c>
      <c r="E68" s="58">
        <f ca="1">(((C69/H64*10)+(40/(D64+F64+H64)*C70)+(7.5/(H64)*C71)+(7.5/(H64)*C72)+(10/H64*C73)+(10/H64*C74)+(5/H64*C75)+(5/H64*C76)+(5/H64*C77))/100)</f>
        <v>1</v>
      </c>
      <c r="F68" s="58"/>
      <c r="G68" s="58">
        <f ca="1">((((C68/H64)*20)+((C69/H64)*25)+(30/(H64+F64+D64)*C70)+(5/H64*C71)+(5/H64*C72)+(5/H64*C73)+(5/H64*C74)+(0/H64*C75)+(0/H64*C76)+(5/H64*C77))/100)</f>
        <v>1</v>
      </c>
      <c r="H68" s="60"/>
      <c r="I68" s="33" t="s">
        <v>106</v>
      </c>
      <c r="J68" s="36">
        <f ca="1">H64*50%</f>
        <v>3.5</v>
      </c>
    </row>
    <row r="69" spans="1:10" hidden="1" x14ac:dyDescent="0.3">
      <c r="A69" s="62" t="s">
        <v>53</v>
      </c>
      <c r="B69" s="63"/>
      <c r="C69" s="50">
        <f ca="1">J77</f>
        <v>7</v>
      </c>
      <c r="D69" s="49">
        <f ca="1">((100/H64)*C69)/100</f>
        <v>1</v>
      </c>
      <c r="E69" s="58"/>
      <c r="F69" s="58"/>
      <c r="G69" s="58"/>
      <c r="H69" s="60"/>
      <c r="I69" s="33" t="s">
        <v>107</v>
      </c>
      <c r="J69" s="36">
        <f ca="1">H64</f>
        <v>7</v>
      </c>
    </row>
    <row r="70" spans="1:10" ht="15.75" hidden="1" customHeight="1" x14ac:dyDescent="0.3">
      <c r="A70" s="62" t="s">
        <v>134</v>
      </c>
      <c r="B70" s="63"/>
      <c r="C70" s="50">
        <v>8</v>
      </c>
      <c r="D70" s="49">
        <f ca="1">((100/(D64+F64+H64))*C70)/100</f>
        <v>1</v>
      </c>
      <c r="E70" s="58"/>
      <c r="F70" s="58"/>
      <c r="G70" s="58"/>
      <c r="H70" s="60"/>
      <c r="I70" s="33" t="s">
        <v>108</v>
      </c>
      <c r="J70" s="39">
        <f ca="1">(IF(B64&gt;1,(H64/(B64+2)),H64/4))</f>
        <v>1.75</v>
      </c>
    </row>
    <row r="71" spans="1:10" ht="15.75" hidden="1" customHeight="1" x14ac:dyDescent="0.3">
      <c r="A71" s="62" t="s">
        <v>141</v>
      </c>
      <c r="B71" s="63" t="s">
        <v>135</v>
      </c>
      <c r="C71" s="48">
        <v>7</v>
      </c>
      <c r="D71" s="49">
        <f ca="1">((100/H64)*C71)/100</f>
        <v>1</v>
      </c>
      <c r="E71" s="58"/>
      <c r="F71" s="58"/>
      <c r="G71" s="58"/>
      <c r="H71" s="60"/>
      <c r="I71" s="33" t="s">
        <v>109</v>
      </c>
      <c r="J71" s="39">
        <f ca="1">(IF(B64&gt;1,(H64/(B64+2)+J70),H64/4+J70))</f>
        <v>3.5</v>
      </c>
    </row>
    <row r="72" spans="1:10" ht="15.75" hidden="1" customHeight="1" x14ac:dyDescent="0.3">
      <c r="A72" s="62" t="s">
        <v>142</v>
      </c>
      <c r="B72" s="63" t="s">
        <v>135</v>
      </c>
      <c r="C72" s="48">
        <v>7</v>
      </c>
      <c r="D72" s="49">
        <f ca="1">((100/H64)*C72)/100</f>
        <v>1</v>
      </c>
      <c r="E72" s="58"/>
      <c r="F72" s="58"/>
      <c r="G72" s="58"/>
      <c r="H72" s="60"/>
      <c r="I72" s="33" t="s">
        <v>151</v>
      </c>
      <c r="J72" s="39">
        <f>(IF(B64&gt;1,(H64/(B64+2)+J71),0))</f>
        <v>0</v>
      </c>
    </row>
    <row r="73" spans="1:10" ht="15" hidden="1" customHeight="1" x14ac:dyDescent="0.3">
      <c r="A73" s="62" t="s">
        <v>140</v>
      </c>
      <c r="B73" s="63" t="s">
        <v>137</v>
      </c>
      <c r="C73" s="48">
        <v>7</v>
      </c>
      <c r="D73" s="49">
        <f ca="1">((100/(H64))*C73)/100</f>
        <v>1</v>
      </c>
      <c r="E73" s="58"/>
      <c r="F73" s="58"/>
      <c r="G73" s="58"/>
      <c r="H73" s="60"/>
      <c r="I73" s="33" t="s">
        <v>148</v>
      </c>
      <c r="J73" s="39">
        <f>(IF(B64&gt;2,(H64/(B64+2)+J72),0))</f>
        <v>0</v>
      </c>
    </row>
    <row r="74" spans="1:10" ht="15.75" hidden="1" customHeight="1" x14ac:dyDescent="0.3">
      <c r="A74" s="62" t="s">
        <v>136</v>
      </c>
      <c r="B74" s="63" t="s">
        <v>136</v>
      </c>
      <c r="C74" s="48">
        <v>7</v>
      </c>
      <c r="D74" s="49">
        <f ca="1">((100/H64)*C74)/100</f>
        <v>1</v>
      </c>
      <c r="E74" s="58"/>
      <c r="F74" s="58"/>
      <c r="G74" s="58"/>
      <c r="H74" s="60"/>
      <c r="I74" s="33" t="s">
        <v>149</v>
      </c>
      <c r="J74" s="40">
        <f>(IF(B64&gt;3,(H64/(B64+2)+J73),0))</f>
        <v>0</v>
      </c>
    </row>
    <row r="75" spans="1:10" ht="15.75" hidden="1" customHeight="1" x14ac:dyDescent="0.3">
      <c r="A75" s="62" t="s">
        <v>143</v>
      </c>
      <c r="B75" s="63"/>
      <c r="C75" s="48">
        <v>7</v>
      </c>
      <c r="D75" s="49">
        <f ca="1">((100/H64)*C75)/100</f>
        <v>1</v>
      </c>
      <c r="E75" s="58"/>
      <c r="F75" s="58"/>
      <c r="G75" s="58"/>
      <c r="H75" s="60"/>
      <c r="I75" s="33" t="s">
        <v>150</v>
      </c>
      <c r="J75" s="39">
        <f>(IF(B64&gt;4,(H64/(B64+2)+J74),0))</f>
        <v>0</v>
      </c>
    </row>
    <row r="76" spans="1:10" ht="15.75" hidden="1" customHeight="1" x14ac:dyDescent="0.3">
      <c r="A76" s="62" t="s">
        <v>138</v>
      </c>
      <c r="B76" s="63" t="s">
        <v>138</v>
      </c>
      <c r="C76" s="48">
        <v>7</v>
      </c>
      <c r="D76" s="49">
        <f ca="1">((100/(H64))*C76)/100</f>
        <v>1</v>
      </c>
      <c r="E76" s="58"/>
      <c r="F76" s="58"/>
      <c r="G76" s="58"/>
      <c r="H76" s="60"/>
      <c r="I76" s="33" t="s">
        <v>152</v>
      </c>
      <c r="J76" s="39">
        <f ca="1">(IF(B64=1,(H64/(B64+3)+J71),IF(B64=0,(H64/4+J71),IF(B64&gt;1,0))))</f>
        <v>5.25</v>
      </c>
    </row>
    <row r="77" spans="1:10" ht="16.2" hidden="1" thickBot="1" x14ac:dyDescent="0.35">
      <c r="A77" s="64" t="s">
        <v>139</v>
      </c>
      <c r="B77" s="65"/>
      <c r="C77" s="51">
        <v>7</v>
      </c>
      <c r="D77" s="52">
        <f ca="1">((100/(H64))*C77)/100</f>
        <v>1</v>
      </c>
      <c r="E77" s="59"/>
      <c r="F77" s="59"/>
      <c r="G77" s="59"/>
      <c r="H77" s="61"/>
      <c r="I77" s="38" t="s">
        <v>110</v>
      </c>
      <c r="J77" s="41">
        <f ca="1">(IF(B64&gt;1.5,(H64/(B64+2)+J71+MAX(0,J72-J71)+MAX(0,J73-J72)+MAX(0,J74-J73)+MAX(0,J75-J74)+MAX(0,J76-J75)),IF(B64=1,(H64/(B64+3)+J76),IF(B64=0,H64/4+J76))))</f>
        <v>7</v>
      </c>
    </row>
    <row r="78" spans="1:10" x14ac:dyDescent="0.3">
      <c r="A78" s="80" t="s">
        <v>54</v>
      </c>
      <c r="B78" s="80"/>
      <c r="C78" s="80"/>
      <c r="D78" s="80"/>
      <c r="E78" s="80"/>
      <c r="F78" s="80"/>
      <c r="G78" s="80"/>
      <c r="H78" s="80"/>
    </row>
    <row r="79" spans="1:10" x14ac:dyDescent="0.3">
      <c r="A79" s="56" t="s">
        <v>159</v>
      </c>
      <c r="B79" s="56"/>
      <c r="C79" s="56"/>
      <c r="D79" s="56"/>
      <c r="E79" s="56"/>
      <c r="F79" s="121">
        <v>3500</v>
      </c>
      <c r="G79" s="121"/>
      <c r="H79" s="121"/>
    </row>
    <row r="80" spans="1:10" hidden="1" x14ac:dyDescent="0.3">
      <c r="A80" s="56" t="s">
        <v>160</v>
      </c>
      <c r="B80" s="56"/>
      <c r="C80" s="56"/>
      <c r="D80" s="56"/>
      <c r="E80" s="56"/>
      <c r="F80" s="121"/>
      <c r="G80" s="121"/>
      <c r="H80" s="121"/>
    </row>
    <row r="81" spans="1:8" hidden="1" x14ac:dyDescent="0.3">
      <c r="A81" s="56" t="s">
        <v>161</v>
      </c>
      <c r="B81" s="56"/>
      <c r="C81" s="56"/>
      <c r="D81" s="56"/>
      <c r="E81" s="56"/>
      <c r="F81" s="121"/>
      <c r="G81" s="121"/>
      <c r="H81" s="121"/>
    </row>
    <row r="82" spans="1:8" s="7" customFormat="1" hidden="1" x14ac:dyDescent="0.25">
      <c r="A82" s="56" t="s">
        <v>100</v>
      </c>
      <c r="B82" s="56"/>
      <c r="C82" s="56"/>
      <c r="D82" s="56"/>
      <c r="E82" s="56"/>
      <c r="F82" s="121"/>
      <c r="G82" s="121"/>
      <c r="H82" s="121"/>
    </row>
    <row r="83" spans="1:8" s="7" customFormat="1" x14ac:dyDescent="0.25">
      <c r="A83" s="56" t="s">
        <v>101</v>
      </c>
      <c r="B83" s="56"/>
      <c r="C83" s="56"/>
      <c r="D83" s="56"/>
      <c r="E83" s="56"/>
      <c r="F83" s="121">
        <v>275000</v>
      </c>
      <c r="G83" s="121"/>
      <c r="H83" s="121"/>
    </row>
    <row r="84" spans="1:8" s="7" customFormat="1" hidden="1" x14ac:dyDescent="0.25">
      <c r="A84" s="56" t="s">
        <v>102</v>
      </c>
      <c r="B84" s="56"/>
      <c r="C84" s="56"/>
      <c r="D84" s="56"/>
      <c r="E84" s="56"/>
      <c r="F84" s="121"/>
      <c r="G84" s="121"/>
      <c r="H84" s="121"/>
    </row>
    <row r="85" spans="1:8" s="7" customFormat="1" hidden="1" x14ac:dyDescent="0.25">
      <c r="A85" s="56" t="s">
        <v>103</v>
      </c>
      <c r="B85" s="56"/>
      <c r="C85" s="56"/>
      <c r="D85" s="56"/>
      <c r="E85" s="56"/>
      <c r="F85" s="121"/>
      <c r="G85" s="121"/>
      <c r="H85" s="121"/>
    </row>
    <row r="86" spans="1:8" s="7" customFormat="1" hidden="1" x14ac:dyDescent="0.25">
      <c r="A86" s="56" t="s">
        <v>104</v>
      </c>
      <c r="B86" s="56"/>
      <c r="C86" s="56"/>
      <c r="D86" s="56"/>
      <c r="E86" s="56"/>
      <c r="F86" s="121"/>
      <c r="G86" s="121"/>
      <c r="H86" s="121"/>
    </row>
    <row r="87" spans="1:8" s="7" customFormat="1" hidden="1" x14ac:dyDescent="0.25">
      <c r="A87" s="56" t="s">
        <v>105</v>
      </c>
      <c r="B87" s="56"/>
      <c r="C87" s="56"/>
      <c r="D87" s="56"/>
      <c r="E87" s="56"/>
      <c r="F87" s="121"/>
      <c r="G87" s="121"/>
      <c r="H87" s="121"/>
    </row>
    <row r="88" spans="1:8" s="7" customFormat="1" x14ac:dyDescent="0.25">
      <c r="A88" s="56" t="s">
        <v>189</v>
      </c>
      <c r="B88" s="56"/>
      <c r="C88" s="56"/>
      <c r="D88" s="56"/>
      <c r="E88" s="56"/>
      <c r="F88" s="121">
        <v>150000</v>
      </c>
      <c r="G88" s="121"/>
      <c r="H88" s="121"/>
    </row>
    <row r="89" spans="1:8" s="7" customFormat="1" x14ac:dyDescent="0.25">
      <c r="A89" s="56" t="s">
        <v>190</v>
      </c>
      <c r="B89" s="56"/>
      <c r="C89" s="56"/>
      <c r="D89" s="56"/>
      <c r="E89" s="56"/>
      <c r="F89" s="121">
        <v>75000</v>
      </c>
      <c r="G89" s="121"/>
      <c r="H89" s="121"/>
    </row>
    <row r="90" spans="1:8" x14ac:dyDescent="0.3">
      <c r="A90" s="56" t="s">
        <v>55</v>
      </c>
      <c r="B90" s="56"/>
      <c r="C90" s="56"/>
      <c r="D90" s="56"/>
      <c r="E90" s="56"/>
      <c r="F90" s="121">
        <v>100000</v>
      </c>
      <c r="G90" s="121"/>
      <c r="H90" s="121"/>
    </row>
    <row r="91" spans="1:8" s="4" customFormat="1" x14ac:dyDescent="0.3">
      <c r="A91" s="80" t="s">
        <v>56</v>
      </c>
      <c r="B91" s="80"/>
      <c r="C91" s="80"/>
      <c r="D91" s="80"/>
      <c r="E91" s="80"/>
      <c r="F91" s="121">
        <f>F79*0.8</f>
        <v>2800</v>
      </c>
      <c r="G91" s="121"/>
      <c r="H91" s="121"/>
    </row>
    <row r="92" spans="1:8" s="1" customFormat="1" x14ac:dyDescent="0.3">
      <c r="A92" s="123" t="s">
        <v>75</v>
      </c>
      <c r="B92" s="123"/>
      <c r="C92" s="123"/>
      <c r="D92" s="123"/>
      <c r="E92" s="123"/>
      <c r="F92" s="123"/>
      <c r="G92" s="123"/>
      <c r="H92" s="123"/>
    </row>
    <row r="93" spans="1:8" s="1" customFormat="1" ht="15.75" customHeight="1" x14ac:dyDescent="0.3">
      <c r="A93" s="139" t="s">
        <v>57</v>
      </c>
      <c r="B93" s="139"/>
      <c r="C93" s="160" t="s">
        <v>83</v>
      </c>
      <c r="D93" s="160"/>
      <c r="E93" s="141" t="s">
        <v>58</v>
      </c>
      <c r="F93" s="141"/>
      <c r="G93" s="139" t="s">
        <v>59</v>
      </c>
      <c r="H93" s="139"/>
    </row>
    <row r="94" spans="1:8" s="1" customFormat="1" x14ac:dyDescent="0.3">
      <c r="A94" s="122" t="s">
        <v>163</v>
      </c>
      <c r="B94" s="122"/>
      <c r="C94" s="135">
        <f>COUNT(D102:D105)*7</f>
        <v>28</v>
      </c>
      <c r="D94" s="135"/>
      <c r="E94" s="136">
        <f>SUM(D102:D105)*7</f>
        <v>13206.24396</v>
      </c>
      <c r="F94" s="136"/>
      <c r="G94" s="136">
        <f>SUM(F102:F105)*7</f>
        <v>19149.053741999996</v>
      </c>
      <c r="H94" s="136"/>
    </row>
    <row r="95" spans="1:8" s="4" customFormat="1" x14ac:dyDescent="0.3">
      <c r="A95" s="142" t="s">
        <v>60</v>
      </c>
      <c r="B95" s="142"/>
      <c r="C95" s="142"/>
      <c r="D95" s="142"/>
      <c r="E95" s="142"/>
      <c r="F95" s="142"/>
      <c r="G95" s="142"/>
      <c r="H95" s="142"/>
    </row>
    <row r="96" spans="1:8" x14ac:dyDescent="0.3">
      <c r="A96" s="142" t="s">
        <v>61</v>
      </c>
      <c r="B96" s="142"/>
      <c r="C96" s="142"/>
      <c r="D96" s="142"/>
      <c r="E96" s="142"/>
      <c r="F96" s="142"/>
      <c r="G96" s="142"/>
      <c r="H96" s="142"/>
    </row>
    <row r="97" spans="1:14" s="2" customFormat="1" x14ac:dyDescent="0.3">
      <c r="A97" s="125"/>
      <c r="B97" s="137"/>
      <c r="C97" s="137"/>
      <c r="D97" s="137"/>
      <c r="E97" s="137"/>
      <c r="F97" s="137"/>
      <c r="G97" s="137"/>
      <c r="H97" s="126"/>
      <c r="I97" s="31"/>
      <c r="N97" s="31"/>
    </row>
    <row r="98" spans="1:14" ht="47.25" customHeight="1" x14ac:dyDescent="0.3">
      <c r="A98" s="156" t="s">
        <v>125</v>
      </c>
      <c r="B98" s="157"/>
      <c r="C98" s="152" t="s">
        <v>62</v>
      </c>
      <c r="D98" s="152" t="s">
        <v>63</v>
      </c>
      <c r="E98" s="154" t="s">
        <v>64</v>
      </c>
      <c r="F98" s="32" t="s">
        <v>155</v>
      </c>
      <c r="G98" s="156" t="s">
        <v>65</v>
      </c>
      <c r="H98" s="157"/>
      <c r="I98" s="31"/>
    </row>
    <row r="99" spans="1:14" s="2" customFormat="1" x14ac:dyDescent="0.3">
      <c r="A99" s="158"/>
      <c r="B99" s="159"/>
      <c r="C99" s="153"/>
      <c r="D99" s="153"/>
      <c r="E99" s="155"/>
      <c r="F99" s="29">
        <v>0.45</v>
      </c>
      <c r="G99" s="158"/>
      <c r="H99" s="159"/>
      <c r="I99" s="31"/>
    </row>
    <row r="100" spans="1:14" x14ac:dyDescent="0.3">
      <c r="A100" s="142" t="s">
        <v>163</v>
      </c>
      <c r="B100" s="142"/>
      <c r="C100" s="142"/>
      <c r="D100" s="142"/>
      <c r="E100" s="142"/>
      <c r="F100" s="142"/>
      <c r="G100" s="142"/>
      <c r="H100" s="142"/>
    </row>
    <row r="101" spans="1:14" s="2" customFormat="1" x14ac:dyDescent="0.3">
      <c r="A101" s="127" t="s">
        <v>164</v>
      </c>
      <c r="B101" s="128"/>
      <c r="C101" s="128"/>
      <c r="D101" s="128"/>
      <c r="E101" s="128"/>
      <c r="F101" s="128"/>
      <c r="G101" s="128"/>
      <c r="H101" s="129"/>
      <c r="I101" s="31"/>
    </row>
    <row r="102" spans="1:14" s="2" customFormat="1" x14ac:dyDescent="0.3">
      <c r="A102" s="125" t="str">
        <f ca="1">(SUMPRODUCT(MID(0&amp;(LEFT(A101,SUM(LEN(A101)-LEN(SUBSTITUTE(A101,{"0","1","2"},""))))), LARGE(INDEX(ISNUMBER(--MID((LEFT(A101,SUM(LEN(A101)-LEN(SUBSTITUTE(A101,{"0","1","2"},""))))), ROW(INDIRECT("1:"&amp;LEN((LEFT(A101,SUM(LEN(A101)-LEN(SUBSTITUTE(A101,{"0","1","2"},"")))))))), 1)) * ROW(INDIRECT("1:"&amp;LEN((LEFT(A101,SUM(LEN(A101)-LEN(SUBSTITUTE(A101,{"0","1","2"},"")))))))), 0), ROW(INDIRECT("1:"&amp;LEN((LEFT(A101,SUM(LEN(A101)-LEN(SUBSTITUTE(A101,{"0","1","2"},"")))))))))+1, 1) * 10^ROW(INDIRECT("1:"&amp;LEN((LEFT(A101,SUM(LEN(A101)-LEN(SUBSTITUTE(A101,{"0","1","2"},""))))))))/10))*100+1&amp;""&amp;" to "&amp;""&amp;(SUMPRODUCT(MID(0&amp;(--TRIM(RIGHT(SUBSTITUTE(LEFT(A101,_xlfn.AGGREGATE(16,6,FIND({0,1,2,3,4,5,6,7,8,9},A101,ROW(INDIRECT("1:"&amp;LEN(A101)))),1))," ",REPT(" ",LEN(A101))),LEN(A101)))), LARGE(INDEX(ISNUMBER(--MID((--TRIM(RIGHT(SUBSTITUTE(LEFT(A101,_xlfn.AGGREGATE(16,6,FIND({0,1,2,3,4,5,6,7,8,9},A101,ROW(INDIRECT("1:"&amp;LEN(A101)))),1))," ",REPT(" ",LEN(A101))),LEN(A101)))), ROW(INDIRECT("1:"&amp;LEN((--TRIM(RIGHT(SUBSTITUTE(LEFT(A101,_xlfn.AGGREGATE(16,6,FIND({0,1,2,3,4,5,6,7,8,9},A101,ROW(INDIRECT("1:"&amp;LEN(A101)))),1))," ",REPT(" ",LEN(A101))),LEN(A101))))))), 1)) * ROW(INDIRECT("1:"&amp;LEN((--TRIM(RIGHT(SUBSTITUTE(LEFT(A101,_xlfn.AGGREGATE(16,6,FIND({0,1,2,3,4,5,6,7,8,9},A101,ROW(INDIRECT("1:"&amp;LEN(A101)))),1))," ",REPT(" ",LEN(A101))),LEN(A101))))))), 0), ROW(INDIRECT("1:"&amp;LEN((--TRIM(RIGHT(SUBSTITUTE(LEFT(A101,_xlfn.AGGREGATE(16,6,FIND({0,1,2,3,4,5,6,7,8,9},A101,ROW(INDIRECT("1:"&amp;LEN(A101)))),1))," ",REPT(" ",LEN(A101))),LEN(A101))))))))+1, 1) * 10^ROW(INDIRECT("1:"&amp;LEN((--TRIM(RIGHT(SUBSTITUTE(LEFT(A101,_xlfn.AGGREGATE(16,6,FIND({0,1,2,3,4,5,6,7,8,9},A101,ROW(INDIRECT("1:"&amp;LEN(A101)))),1))," ",REPT(" ",LEN(A101))),LEN(A101)))))))/10))*100+1</f>
        <v>101 to 701</v>
      </c>
      <c r="B102" s="126"/>
      <c r="C102" s="30" t="s">
        <v>165</v>
      </c>
      <c r="D102" s="30">
        <f>(36.76+2.75+2.75*0.75)*10.764</f>
        <v>447.48638999999997</v>
      </c>
      <c r="E102" s="30">
        <v>0</v>
      </c>
      <c r="F102" s="30">
        <f>D102*(($F$99)+1)+(IF(E102&lt;101,E102,IF(E102&lt;201,E102/2,IF(E102&lt;=301,E102/3,E102/4))))</f>
        <v>648.85526549999997</v>
      </c>
      <c r="G102" s="125" t="str">
        <f>A101</f>
        <v>1st to 7th Floor for Residential</v>
      </c>
      <c r="H102" s="126"/>
      <c r="I102" s="31"/>
    </row>
    <row r="103" spans="1:14" s="2" customFormat="1" x14ac:dyDescent="0.3">
      <c r="A103" s="125" t="str">
        <f ca="1">(SUMPRODUCT(MID(0&amp;(LEFT(A102,SUM(LEN(A102)-LEN(SUBSTITUTE(A102,{"0","1","2"},""))))), LARGE(INDEX(ISNUMBER(--MID((LEFT(A102,SUM(LEN(A102)-LEN(SUBSTITUTE(A102,{"0","1","2"},""))))), ROW(INDIRECT("1:"&amp;LEN((LEFT(A102,SUM(LEN(A102)-LEN(SUBSTITUTE(A102,{"0","1","2"},"")))))))), 1)) * ROW(INDIRECT("1:"&amp;LEN((LEFT(A102,SUM(LEN(A102)-LEN(SUBSTITUTE(A102,{"0","1","2"},"")))))))), 0), ROW(INDIRECT("1:"&amp;LEN((LEFT(A102,SUM(LEN(A102)-LEN(SUBSTITUTE(A102,{"0","1","2"},"")))))))))+1, 1) * 10^ROW(INDIRECT("1:"&amp;LEN((LEFT(A102,SUM(LEN(A102)-LEN(SUBSTITUTE(A102,{"0","1","2"},""))))))))/10))*1+1&amp;""&amp;" to "&amp;""&amp;(SUMPRODUCT(MID(0&amp;(--TRIM(RIGHT(SUBSTITUTE(LEFT(A102,_xlfn.AGGREGATE(16,6,FIND({0,1,2,3,4,5,6,7,8,9},A102,ROW(INDIRECT("1:"&amp;LEN(A102)))),1))," ",REPT(" ",LEN(A102))),LEN(A102)))), LARGE(INDEX(ISNUMBER(--MID((--TRIM(RIGHT(SUBSTITUTE(LEFT(A102,_xlfn.AGGREGATE(16,6,FIND({0,1,2,3,4,5,6,7,8,9},A102,ROW(INDIRECT("1:"&amp;LEN(A102)))),1))," ",REPT(" ",LEN(A102))),LEN(A102)))), ROW(INDIRECT("1:"&amp;LEN((--TRIM(RIGHT(SUBSTITUTE(LEFT(A102,_xlfn.AGGREGATE(16,6,FIND({0,1,2,3,4,5,6,7,8,9},A102,ROW(INDIRECT("1:"&amp;LEN(A102)))),1))," ",REPT(" ",LEN(A102))),LEN(A102))))))), 1)) * ROW(INDIRECT("1:"&amp;LEN((--TRIM(RIGHT(SUBSTITUTE(LEFT(A102,_xlfn.AGGREGATE(16,6,FIND({0,1,2,3,4,5,6,7,8,9},A102,ROW(INDIRECT("1:"&amp;LEN(A102)))),1))," ",REPT(" ",LEN(A102))),LEN(A102))))))), 0), ROW(INDIRECT("1:"&amp;LEN((--TRIM(RIGHT(SUBSTITUTE(LEFT(A102,_xlfn.AGGREGATE(16,6,FIND({0,1,2,3,4,5,6,7,8,9},A102,ROW(INDIRECT("1:"&amp;LEN(A102)))),1))," ",REPT(" ",LEN(A102))),LEN(A102))))))))+1, 1) * 10^ROW(INDIRECT("1:"&amp;LEN((--TRIM(RIGHT(SUBSTITUTE(LEFT(A102,_xlfn.AGGREGATE(16,6,FIND({0,1,2,3,4,5,6,7,8,9},A102,ROW(INDIRECT("1:"&amp;LEN(A102)))),1))," ",REPT(" ",LEN(A102))),LEN(A102)))))))/10))*1+1</f>
        <v>102 to 702</v>
      </c>
      <c r="B103" s="126"/>
      <c r="C103" s="30" t="s">
        <v>165</v>
      </c>
      <c r="D103" s="30">
        <f>(36.76+2.75+2.75*0.75)*10.764</f>
        <v>447.48638999999997</v>
      </c>
      <c r="E103" s="30">
        <v>0</v>
      </c>
      <c r="F103" s="30">
        <f>D103*(($F$99)+1)+(IF(E103&lt;101,E103,IF(E103&lt;201,E103/2,IF(E103&lt;=301,E103/3,E103/4))))</f>
        <v>648.85526549999997</v>
      </c>
      <c r="G103" s="125" t="str">
        <f>G102</f>
        <v>1st to 7th Floor for Residential</v>
      </c>
      <c r="H103" s="126"/>
      <c r="I103" s="31"/>
    </row>
    <row r="104" spans="1:14" s="2" customFormat="1" x14ac:dyDescent="0.3">
      <c r="A104" s="125" t="str">
        <f ca="1">(SUMPRODUCT(MID(0&amp;(LEFT(A103,SUM(LEN(A103)-LEN(SUBSTITUTE(A103,{"0","1","2"},""))))), LARGE(INDEX(ISNUMBER(--MID((LEFT(A103,SUM(LEN(A103)-LEN(SUBSTITUTE(A103,{"0","1","2"},""))))), ROW(INDIRECT("1:"&amp;LEN((LEFT(A103,SUM(LEN(A103)-LEN(SUBSTITUTE(A103,{"0","1","2"},"")))))))), 1)) * ROW(INDIRECT("1:"&amp;LEN((LEFT(A103,SUM(LEN(A103)-LEN(SUBSTITUTE(A103,{"0","1","2"},"")))))))), 0), ROW(INDIRECT("1:"&amp;LEN((LEFT(A103,SUM(LEN(A103)-LEN(SUBSTITUTE(A103,{"0","1","2"},"")))))))))+1, 1) * 10^ROW(INDIRECT("1:"&amp;LEN((LEFT(A103,SUM(LEN(A103)-LEN(SUBSTITUTE(A103,{"0","1","2"},""))))))))/10))*1+1&amp;""&amp;" to "&amp;""&amp;(SUMPRODUCT(MID(0&amp;(--TRIM(RIGHT(SUBSTITUTE(LEFT(A103,_xlfn.AGGREGATE(16,6,FIND({0,1,2,3,4,5,6,7,8,9},A103,ROW(INDIRECT("1:"&amp;LEN(A103)))),1))," ",REPT(" ",LEN(A103))),LEN(A103)))), LARGE(INDEX(ISNUMBER(--MID((--TRIM(RIGHT(SUBSTITUTE(LEFT(A103,_xlfn.AGGREGATE(16,6,FIND({0,1,2,3,4,5,6,7,8,9},A103,ROW(INDIRECT("1:"&amp;LEN(A103)))),1))," ",REPT(" ",LEN(A103))),LEN(A103)))), ROW(INDIRECT("1:"&amp;LEN((--TRIM(RIGHT(SUBSTITUTE(LEFT(A103,_xlfn.AGGREGATE(16,6,FIND({0,1,2,3,4,5,6,7,8,9},A103,ROW(INDIRECT("1:"&amp;LEN(A103)))),1))," ",REPT(" ",LEN(A103))),LEN(A103))))))), 1)) * ROW(INDIRECT("1:"&amp;LEN((--TRIM(RIGHT(SUBSTITUTE(LEFT(A103,_xlfn.AGGREGATE(16,6,FIND({0,1,2,3,4,5,6,7,8,9},A103,ROW(INDIRECT("1:"&amp;LEN(A103)))),1))," ",REPT(" ",LEN(A103))),LEN(A103))))))), 0), ROW(INDIRECT("1:"&amp;LEN((--TRIM(RIGHT(SUBSTITUTE(LEFT(A103,_xlfn.AGGREGATE(16,6,FIND({0,1,2,3,4,5,6,7,8,9},A103,ROW(INDIRECT("1:"&amp;LEN(A103)))),1))," ",REPT(" ",LEN(A103))),LEN(A103))))))))+1, 1) * 10^ROW(INDIRECT("1:"&amp;LEN((--TRIM(RIGHT(SUBSTITUTE(LEFT(A103,_xlfn.AGGREGATE(16,6,FIND({0,1,2,3,4,5,6,7,8,9},A103,ROW(INDIRECT("1:"&amp;LEN(A103)))),1))," ",REPT(" ",LEN(A103))),LEN(A103)))))))/10))*1+1</f>
        <v>103 to 703</v>
      </c>
      <c r="B104" s="126"/>
      <c r="C104" s="30" t="s">
        <v>166</v>
      </c>
      <c r="D104" s="30">
        <f>(45.74+2.75+0.75*2.75)*10.764</f>
        <v>544.14711</v>
      </c>
      <c r="E104" s="30">
        <v>0</v>
      </c>
      <c r="F104" s="30">
        <f>D104*(($F$99)+1)+(IF(E104&lt;101,E104,IF(E104&lt;201,E104/2,IF(E104&lt;=301,E104/3,E104/4))))</f>
        <v>789.01330949999999</v>
      </c>
      <c r="G104" s="125" t="str">
        <f>G103</f>
        <v>1st to 7th Floor for Residential</v>
      </c>
      <c r="H104" s="126"/>
      <c r="I104" s="31"/>
    </row>
    <row r="105" spans="1:14" s="2" customFormat="1" x14ac:dyDescent="0.3">
      <c r="A105" s="130" t="str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10^ROW(INDIRECT("1:"&amp;LEN((LEFT(A104,SUM(LEN(A104)-LEN(SUBSTITUTE(A104,{"0","1","2"},""))))))))/10))*1+1&amp;""&amp;" to "&amp;""&amp;(SUMPRODUCT(MID(0&amp;(--TRIM(RIGHT(SUBSTITUTE(LEFT(A104,_xlfn.AGGREGATE(16,6,FIND({0,1,2,3,4,5,6,7,8,9},A104,ROW(INDIRECT("1:"&amp;LEN(A104)))),1)),"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",LEN(A104))),LEN(A104)))))))/10))*1+1</f>
        <v>104 to 704</v>
      </c>
      <c r="B105" s="131"/>
      <c r="C105" s="54" t="s">
        <v>165</v>
      </c>
      <c r="D105" s="54">
        <f>(36.76+2.75+0.75*2.75)*10.764</f>
        <v>447.48638999999997</v>
      </c>
      <c r="E105" s="54">
        <v>0</v>
      </c>
      <c r="F105" s="54">
        <f>D105*(($F$99)+1)+(IF(E105&lt;101,E105,IF(E105&lt;201,E105/2,IF(E105&lt;=301,E105/3,E105/4))))</f>
        <v>648.85526549999997</v>
      </c>
      <c r="G105" s="130" t="str">
        <f>G104</f>
        <v>1st to 7th Floor for Residential</v>
      </c>
      <c r="H105" s="131"/>
      <c r="I105" s="31"/>
    </row>
    <row r="106" spans="1:14" s="1" customFormat="1" x14ac:dyDescent="0.3">
      <c r="A106" s="124" t="s">
        <v>73</v>
      </c>
      <c r="B106" s="124"/>
      <c r="C106" s="124"/>
      <c r="D106" s="124"/>
      <c r="E106" s="124"/>
      <c r="F106" s="124"/>
      <c r="G106" s="124"/>
      <c r="H106" s="124"/>
    </row>
    <row r="107" spans="1:14" s="1" customFormat="1" x14ac:dyDescent="0.3">
      <c r="A107" s="53" t="s">
        <v>158</v>
      </c>
      <c r="B107" s="132" t="s">
        <v>203</v>
      </c>
      <c r="C107" s="133"/>
      <c r="D107" s="133"/>
      <c r="E107" s="133"/>
      <c r="F107" s="133"/>
      <c r="G107" s="133"/>
      <c r="H107" s="134"/>
    </row>
    <row r="108" spans="1:14" s="1" customFormat="1" x14ac:dyDescent="0.3">
      <c r="A108" s="53" t="s">
        <v>158</v>
      </c>
      <c r="B108" s="132" t="str">
        <f>(IF(F98="Saleable area Loading :","We have considered Saleable area of Flats as per our Calculation.","We considered Saleable area of Flat as per Builder area Sheet."))</f>
        <v>We have considered Saleable area of Flats as per our Calculation.</v>
      </c>
      <c r="C108" s="133"/>
      <c r="D108" s="133"/>
      <c r="E108" s="133"/>
      <c r="F108" s="133"/>
      <c r="G108" s="133"/>
      <c r="H108" s="134"/>
    </row>
    <row r="109" spans="1:14" s="1" customFormat="1" x14ac:dyDescent="0.3">
      <c r="A109" s="53" t="s">
        <v>158</v>
      </c>
      <c r="B109" s="132" t="s">
        <v>128</v>
      </c>
      <c r="C109" s="133"/>
      <c r="D109" s="133"/>
      <c r="E109" s="133"/>
      <c r="F109" s="133"/>
      <c r="G109" s="133"/>
      <c r="H109" s="134"/>
    </row>
    <row r="110" spans="1:14" s="1" customFormat="1" x14ac:dyDescent="0.3">
      <c r="A110" s="53" t="s">
        <v>158</v>
      </c>
      <c r="B110" s="132" t="s">
        <v>191</v>
      </c>
      <c r="C110" s="133"/>
      <c r="D110" s="133"/>
      <c r="E110" s="133"/>
      <c r="F110" s="133"/>
      <c r="G110" s="133"/>
      <c r="H110" s="134"/>
    </row>
    <row r="111" spans="1:14" s="1" customFormat="1" x14ac:dyDescent="0.3">
      <c r="A111" s="53" t="s">
        <v>158</v>
      </c>
      <c r="B111" s="132" t="s">
        <v>157</v>
      </c>
      <c r="C111" s="133"/>
      <c r="D111" s="133"/>
      <c r="E111" s="133"/>
      <c r="F111" s="133"/>
      <c r="G111" s="133"/>
      <c r="H111" s="134"/>
    </row>
    <row r="112" spans="1:14" s="1" customFormat="1" x14ac:dyDescent="0.3">
      <c r="A112" s="53" t="s">
        <v>158</v>
      </c>
      <c r="B112" s="132" t="s">
        <v>129</v>
      </c>
      <c r="C112" s="133"/>
      <c r="D112" s="133"/>
      <c r="E112" s="133"/>
      <c r="F112" s="133"/>
      <c r="G112" s="133"/>
      <c r="H112" s="134"/>
    </row>
    <row r="113" spans="1:8" s="1" customFormat="1" ht="34.5" customHeight="1" x14ac:dyDescent="0.3">
      <c r="A113" s="53" t="s">
        <v>158</v>
      </c>
      <c r="B113" s="132" t="s">
        <v>162</v>
      </c>
      <c r="C113" s="133"/>
      <c r="D113" s="133"/>
      <c r="E113" s="133"/>
      <c r="F113" s="133"/>
      <c r="G113" s="133"/>
      <c r="H113" s="134"/>
    </row>
    <row r="114" spans="1:8" s="1" customFormat="1" x14ac:dyDescent="0.3">
      <c r="A114" s="53" t="s">
        <v>158</v>
      </c>
      <c r="B114" s="132" t="s">
        <v>130</v>
      </c>
      <c r="C114" s="133"/>
      <c r="D114" s="133"/>
      <c r="E114" s="133"/>
      <c r="F114" s="133"/>
      <c r="G114" s="133"/>
      <c r="H114" s="134"/>
    </row>
    <row r="115" spans="1:8" s="1" customFormat="1" hidden="1" x14ac:dyDescent="0.3">
      <c r="A115" s="53" t="s">
        <v>158</v>
      </c>
      <c r="B115" s="132" t="s">
        <v>192</v>
      </c>
      <c r="C115" s="133"/>
      <c r="D115" s="133"/>
      <c r="E115" s="133"/>
      <c r="F115" s="133"/>
      <c r="G115" s="133"/>
      <c r="H115" s="134"/>
    </row>
    <row r="116" spans="1:8" s="1" customFormat="1" x14ac:dyDescent="0.3">
      <c r="A116" s="53" t="s">
        <v>158</v>
      </c>
      <c r="B116" s="132" t="s">
        <v>202</v>
      </c>
      <c r="C116" s="133"/>
      <c r="D116" s="133"/>
      <c r="E116" s="133"/>
      <c r="F116" s="133"/>
      <c r="G116" s="133"/>
      <c r="H116" s="134"/>
    </row>
    <row r="117" spans="1:8" x14ac:dyDescent="0.3">
      <c r="A117" s="140" t="s">
        <v>66</v>
      </c>
      <c r="B117" s="140"/>
      <c r="C117" s="140"/>
      <c r="D117" s="140"/>
      <c r="E117" s="140"/>
      <c r="F117" s="140"/>
      <c r="G117" s="140"/>
      <c r="H117" s="140"/>
    </row>
    <row r="118" spans="1:8" x14ac:dyDescent="0.3">
      <c r="A118" s="56" t="s">
        <v>67</v>
      </c>
      <c r="B118" s="56"/>
      <c r="C118" s="56"/>
      <c r="D118" s="56"/>
      <c r="E118" s="56"/>
      <c r="F118" s="56"/>
      <c r="G118" s="56"/>
      <c r="H118" s="56"/>
    </row>
    <row r="119" spans="1:8" ht="15.75" customHeight="1" x14ac:dyDescent="0.3">
      <c r="A119" s="151" t="s">
        <v>68</v>
      </c>
      <c r="B119" s="151"/>
      <c r="C119" s="151"/>
      <c r="D119" s="151"/>
      <c r="E119" s="151"/>
      <c r="F119" s="151"/>
      <c r="G119" s="151"/>
      <c r="H119" s="151"/>
    </row>
    <row r="120" spans="1:8" x14ac:dyDescent="0.3">
      <c r="A120" s="56" t="s">
        <v>69</v>
      </c>
      <c r="B120" s="56"/>
      <c r="C120" s="56"/>
      <c r="D120" s="56"/>
      <c r="E120" s="56"/>
      <c r="F120" s="56"/>
      <c r="G120" s="56"/>
      <c r="H120" s="56"/>
    </row>
    <row r="121" spans="1:8" x14ac:dyDescent="0.3">
      <c r="A121" s="56" t="s">
        <v>70</v>
      </c>
      <c r="B121" s="56"/>
      <c r="C121" s="56"/>
      <c r="D121" s="56"/>
      <c r="E121" s="56"/>
      <c r="F121" s="56"/>
      <c r="G121" s="56"/>
      <c r="H121" s="56"/>
    </row>
    <row r="122" spans="1:8" x14ac:dyDescent="0.3">
      <c r="A122" s="56" t="s">
        <v>131</v>
      </c>
      <c r="B122" s="56"/>
      <c r="C122" s="56"/>
      <c r="D122" s="56"/>
      <c r="E122" s="56"/>
      <c r="F122" s="56"/>
      <c r="G122" s="56"/>
      <c r="H122" s="56"/>
    </row>
    <row r="123" spans="1:8" ht="35.25" customHeight="1" x14ac:dyDescent="0.3">
      <c r="A123" s="87" t="s">
        <v>132</v>
      </c>
      <c r="B123" s="87"/>
      <c r="C123" s="87"/>
      <c r="D123" s="87"/>
      <c r="E123" s="87"/>
      <c r="F123" s="87"/>
      <c r="G123" s="87"/>
      <c r="H123" s="87"/>
    </row>
    <row r="124" spans="1:8" x14ac:dyDescent="0.3">
      <c r="A124" s="120" t="s">
        <v>82</v>
      </c>
      <c r="B124" s="120"/>
      <c r="C124" s="120" t="s">
        <v>204</v>
      </c>
      <c r="D124" s="120"/>
      <c r="E124" s="120" t="s">
        <v>112</v>
      </c>
      <c r="F124" s="120"/>
      <c r="G124" s="120" t="s">
        <v>205</v>
      </c>
      <c r="H124" s="120"/>
    </row>
    <row r="125" spans="1:8" x14ac:dyDescent="0.3">
      <c r="A125" s="119" t="s">
        <v>84</v>
      </c>
      <c r="B125" s="119"/>
      <c r="C125" s="119"/>
      <c r="D125" s="119"/>
      <c r="E125" s="119"/>
      <c r="F125" s="119"/>
      <c r="G125" s="119"/>
      <c r="H125" s="119"/>
    </row>
    <row r="126" spans="1:8" x14ac:dyDescent="0.3">
      <c r="A126" s="119"/>
      <c r="B126" s="119"/>
      <c r="C126" s="119"/>
      <c r="D126" s="119"/>
      <c r="E126" s="119"/>
      <c r="F126" s="119"/>
      <c r="G126" s="119"/>
      <c r="H126" s="119"/>
    </row>
    <row r="127" spans="1:8" x14ac:dyDescent="0.3">
      <c r="A127" s="119"/>
      <c r="B127" s="119"/>
      <c r="C127" s="119"/>
      <c r="D127" s="119"/>
      <c r="E127" s="119"/>
      <c r="F127" s="119"/>
      <c r="G127" s="119"/>
      <c r="H127" s="119"/>
    </row>
    <row r="128" spans="1:8" x14ac:dyDescent="0.3">
      <c r="A128" s="9" t="s">
        <v>71</v>
      </c>
      <c r="B128" s="10"/>
      <c r="C128" s="10"/>
      <c r="D128" s="9" t="str">
        <f>E8</f>
        <v>Star Pearl</v>
      </c>
      <c r="F128" s="10"/>
      <c r="G128" s="10"/>
      <c r="H128" s="10"/>
    </row>
    <row r="129" spans="1:8" x14ac:dyDescent="0.3">
      <c r="A129" s="10"/>
      <c r="B129" s="10"/>
      <c r="C129" s="10"/>
      <c r="D129" s="10"/>
      <c r="E129" s="10"/>
      <c r="F129" s="10"/>
      <c r="G129" s="10"/>
      <c r="H129" s="10"/>
    </row>
    <row r="130" spans="1:8" x14ac:dyDescent="0.3">
      <c r="A130" s="10"/>
      <c r="B130" s="10"/>
      <c r="C130" s="10"/>
      <c r="D130" s="10"/>
      <c r="E130" s="10"/>
      <c r="F130" s="10"/>
      <c r="G130" s="10"/>
      <c r="H130" s="10"/>
    </row>
    <row r="131" spans="1:8" ht="15" customHeight="1" x14ac:dyDescent="0.3"/>
    <row r="171" spans="1:1" x14ac:dyDescent="0.3">
      <c r="A171" s="12" t="s">
        <v>72</v>
      </c>
    </row>
  </sheetData>
  <mergeCells count="232">
    <mergeCell ref="A122:H122"/>
    <mergeCell ref="A119:H119"/>
    <mergeCell ref="G105:H105"/>
    <mergeCell ref="A93:B93"/>
    <mergeCell ref="D98:D99"/>
    <mergeCell ref="E98:E99"/>
    <mergeCell ref="G98:H99"/>
    <mergeCell ref="A73:B73"/>
    <mergeCell ref="F79:H79"/>
    <mergeCell ref="A78:H78"/>
    <mergeCell ref="G94:H94"/>
    <mergeCell ref="A96:H96"/>
    <mergeCell ref="A88:E88"/>
    <mergeCell ref="C98:C99"/>
    <mergeCell ref="F83:H83"/>
    <mergeCell ref="F82:H82"/>
    <mergeCell ref="F88:H88"/>
    <mergeCell ref="A89:E89"/>
    <mergeCell ref="A84:E84"/>
    <mergeCell ref="F84:H84"/>
    <mergeCell ref="B114:H114"/>
    <mergeCell ref="B115:H115"/>
    <mergeCell ref="A98:B99"/>
    <mergeCell ref="C93:D93"/>
    <mergeCell ref="A47:B47"/>
    <mergeCell ref="A51:H51"/>
    <mergeCell ref="A52:C52"/>
    <mergeCell ref="A53:C53"/>
    <mergeCell ref="D53:H53"/>
    <mergeCell ref="G50:H50"/>
    <mergeCell ref="C49:H49"/>
    <mergeCell ref="B116:H116"/>
    <mergeCell ref="A36:B36"/>
    <mergeCell ref="C36:H36"/>
    <mergeCell ref="E39:H39"/>
    <mergeCell ref="A39:D39"/>
    <mergeCell ref="A46:B46"/>
    <mergeCell ref="C46:E46"/>
    <mergeCell ref="G46:H46"/>
    <mergeCell ref="G48:H48"/>
    <mergeCell ref="D52:H52"/>
    <mergeCell ref="C48:E48"/>
    <mergeCell ref="A55:C55"/>
    <mergeCell ref="D55:H55"/>
    <mergeCell ref="F86:H86"/>
    <mergeCell ref="G103:H103"/>
    <mergeCell ref="F89:H89"/>
    <mergeCell ref="F87:H87"/>
    <mergeCell ref="G93:H93"/>
    <mergeCell ref="B112:H112"/>
    <mergeCell ref="B107:H107"/>
    <mergeCell ref="B108:H108"/>
    <mergeCell ref="B109:H109"/>
    <mergeCell ref="B110:H110"/>
    <mergeCell ref="B113:H113"/>
    <mergeCell ref="A117:H117"/>
    <mergeCell ref="A118:H118"/>
    <mergeCell ref="E93:F93"/>
    <mergeCell ref="A95:H95"/>
    <mergeCell ref="A104:B104"/>
    <mergeCell ref="G102:H102"/>
    <mergeCell ref="A100:H100"/>
    <mergeCell ref="A59:C59"/>
    <mergeCell ref="D59:H59"/>
    <mergeCell ref="A62:C62"/>
    <mergeCell ref="D62:H62"/>
    <mergeCell ref="A60:C60"/>
    <mergeCell ref="D60:H60"/>
    <mergeCell ref="A85:E85"/>
    <mergeCell ref="A87:E87"/>
    <mergeCell ref="F81:H81"/>
    <mergeCell ref="A86:E86"/>
    <mergeCell ref="A81:E81"/>
    <mergeCell ref="F80:H80"/>
    <mergeCell ref="A80:E80"/>
    <mergeCell ref="A82:E82"/>
    <mergeCell ref="A83:E83"/>
    <mergeCell ref="F85:H85"/>
    <mergeCell ref="A79:E79"/>
    <mergeCell ref="A125:H127"/>
    <mergeCell ref="A124:B124"/>
    <mergeCell ref="E124:F124"/>
    <mergeCell ref="C124:D124"/>
    <mergeCell ref="G124:H124"/>
    <mergeCell ref="A90:E90"/>
    <mergeCell ref="F90:H90"/>
    <mergeCell ref="A91:E91"/>
    <mergeCell ref="F91:H91"/>
    <mergeCell ref="A94:B94"/>
    <mergeCell ref="A120:H120"/>
    <mergeCell ref="A92:H92"/>
    <mergeCell ref="A123:H123"/>
    <mergeCell ref="A121:H121"/>
    <mergeCell ref="A106:H106"/>
    <mergeCell ref="G104:H104"/>
    <mergeCell ref="A101:H101"/>
    <mergeCell ref="A105:B105"/>
    <mergeCell ref="B111:H111"/>
    <mergeCell ref="C94:D94"/>
    <mergeCell ref="E94:F94"/>
    <mergeCell ref="A97:H97"/>
    <mergeCell ref="A102:B102"/>
    <mergeCell ref="A103:B103"/>
    <mergeCell ref="D54:H54"/>
    <mergeCell ref="A54:C54"/>
    <mergeCell ref="G47:H47"/>
    <mergeCell ref="A48:B49"/>
    <mergeCell ref="A74:B74"/>
    <mergeCell ref="A67:B67"/>
    <mergeCell ref="A70:B70"/>
    <mergeCell ref="A61:C61"/>
    <mergeCell ref="D61:H61"/>
    <mergeCell ref="A68:B68"/>
    <mergeCell ref="G67:H67"/>
    <mergeCell ref="A65:B65"/>
    <mergeCell ref="A63:B63"/>
    <mergeCell ref="C63:H63"/>
    <mergeCell ref="A72:B72"/>
    <mergeCell ref="A58:C58"/>
    <mergeCell ref="D58:H58"/>
    <mergeCell ref="C65:H65"/>
    <mergeCell ref="A69:B69"/>
    <mergeCell ref="A71:B71"/>
    <mergeCell ref="E67:F67"/>
    <mergeCell ref="C47:E47"/>
    <mergeCell ref="A50:B50"/>
    <mergeCell ref="C50:E5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C35:H35"/>
    <mergeCell ref="A38:D38"/>
    <mergeCell ref="E38:H38"/>
    <mergeCell ref="F30:H30"/>
    <mergeCell ref="F31:H31"/>
    <mergeCell ref="A37:H37"/>
    <mergeCell ref="F33:H33"/>
    <mergeCell ref="A35:B35"/>
    <mergeCell ref="A56:C56"/>
    <mergeCell ref="A57:C57"/>
    <mergeCell ref="D56:H56"/>
    <mergeCell ref="E68:F77"/>
    <mergeCell ref="G68:H77"/>
    <mergeCell ref="A76:B76"/>
    <mergeCell ref="A77:B77"/>
    <mergeCell ref="D57:H57"/>
    <mergeCell ref="A40:D40"/>
    <mergeCell ref="E40:H40"/>
    <mergeCell ref="E41:H41"/>
    <mergeCell ref="E42:H42"/>
    <mergeCell ref="E43:H43"/>
    <mergeCell ref="A41:D41"/>
    <mergeCell ref="A45:B45"/>
    <mergeCell ref="C45:H45"/>
    <mergeCell ref="A75:B75"/>
    <mergeCell ref="A66:B66"/>
    <mergeCell ref="C66:D66"/>
    <mergeCell ref="E66:F66"/>
    <mergeCell ref="G66:H66"/>
    <mergeCell ref="A42:D42"/>
    <mergeCell ref="A43:D43"/>
    <mergeCell ref="A44:H44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91" max="7" man="1"/>
    <brk id="127" max="16383" man="1"/>
    <brk id="17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23" zoomScale="85" zoomScaleNormal="85" workbookViewId="0">
      <selection activeCell="J41" sqref="J41"/>
    </sheetView>
  </sheetViews>
  <sheetFormatPr defaultColWidth="8.6640625" defaultRowHeight="14.4" x14ac:dyDescent="0.3"/>
  <cols>
    <col min="1" max="1" width="8.6640625" style="17"/>
    <col min="2" max="2" width="22.109375" style="17" customWidth="1"/>
    <col min="3" max="3" width="37" style="17" customWidth="1"/>
    <col min="4" max="5" width="11.44140625" style="17" customWidth="1"/>
    <col min="6" max="6" width="14" style="17" customWidth="1"/>
    <col min="7" max="7" width="20" style="17" customWidth="1"/>
    <col min="8" max="8" width="16.44140625" style="17" customWidth="1"/>
    <col min="9" max="16384" width="8.6640625" style="17"/>
  </cols>
  <sheetData>
    <row r="1" spans="1:9" ht="15" customHeight="1" x14ac:dyDescent="0.3"/>
    <row r="2" spans="1:9" ht="15" customHeight="1" x14ac:dyDescent="0.3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">
      <c r="A3" s="18"/>
      <c r="B3" s="161" t="s">
        <v>113</v>
      </c>
      <c r="C3" s="161"/>
      <c r="D3" s="161"/>
      <c r="E3" s="161"/>
      <c r="F3" s="161"/>
      <c r="G3" s="161"/>
      <c r="H3" s="161"/>
    </row>
    <row r="4" spans="1:9" x14ac:dyDescent="0.3">
      <c r="A4" s="18"/>
      <c r="B4" s="19" t="s">
        <v>114</v>
      </c>
      <c r="C4" s="19" t="s">
        <v>115</v>
      </c>
      <c r="D4" s="19" t="s">
        <v>74</v>
      </c>
      <c r="E4" s="19" t="s">
        <v>116</v>
      </c>
      <c r="F4" s="19" t="s">
        <v>122</v>
      </c>
      <c r="G4" s="19" t="s">
        <v>123</v>
      </c>
      <c r="H4" s="19" t="s">
        <v>117</v>
      </c>
    </row>
    <row r="5" spans="1:9" ht="15" customHeight="1" x14ac:dyDescent="0.3">
      <c r="A5" s="18"/>
      <c r="B5" s="21" t="s">
        <v>118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">
      <c r="A6" s="18"/>
      <c r="B6" s="21" t="s">
        <v>118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">
      <c r="A7" s="18"/>
      <c r="B7" s="21" t="s">
        <v>118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">
      <c r="A8" s="18"/>
      <c r="B8" s="21" t="s">
        <v>118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">
      <c r="A9" s="18"/>
      <c r="B9" s="21" t="s">
        <v>118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">
      <c r="A10" s="18"/>
      <c r="B10" s="21" t="s">
        <v>119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">
      <c r="A11" s="18"/>
      <c r="B11" s="21" t="s">
        <v>119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">
      <c r="A12" s="18"/>
      <c r="B12" s="26" t="s">
        <v>120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">
      <c r="B13" s="26" t="s">
        <v>121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2025-06-09T09:10:47Z</cp:lastPrinted>
  <dcterms:created xsi:type="dcterms:W3CDTF">2019-07-16T09:29:46Z</dcterms:created>
  <dcterms:modified xsi:type="dcterms:W3CDTF">2025-06-09T09:10:48Z</dcterms:modified>
</cp:coreProperties>
</file>