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Sep 2025\AXIS\Old\"/>
    </mc:Choice>
  </mc:AlternateContent>
  <bookViews>
    <workbookView xWindow="0" yWindow="0" windowWidth="20490" windowHeight="73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4" i="1" l="1"/>
  <c r="F154" i="1" s="1"/>
  <c r="D153" i="1"/>
  <c r="F153" i="1" s="1"/>
  <c r="D152" i="1"/>
  <c r="F152" i="1" s="1"/>
  <c r="D151" i="1"/>
  <c r="F151" i="1" s="1"/>
  <c r="D149" i="1"/>
  <c r="F149" i="1" s="1"/>
  <c r="I148" i="1"/>
  <c r="D148" i="1"/>
  <c r="F148" i="1" s="1"/>
  <c r="D147" i="1"/>
  <c r="F147" i="1" s="1"/>
  <c r="D146" i="1"/>
  <c r="F146" i="1" s="1"/>
  <c r="D145" i="1"/>
  <c r="F145" i="1" s="1"/>
  <c r="G144" i="1"/>
  <c r="D144" i="1"/>
  <c r="F144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D135" i="1"/>
  <c r="D134" i="1"/>
  <c r="D133" i="1"/>
  <c r="D132" i="1"/>
  <c r="I136" i="1"/>
  <c r="D130" i="1"/>
  <c r="D129" i="1"/>
  <c r="D128" i="1"/>
  <c r="D127" i="1"/>
  <c r="D126" i="1"/>
  <c r="D125" i="1"/>
  <c r="D124" i="1"/>
  <c r="D123" i="1"/>
  <c r="D122" i="1"/>
  <c r="E124" i="1"/>
  <c r="E123" i="1"/>
  <c r="E122" i="1"/>
  <c r="E121" i="1"/>
  <c r="D121" i="1"/>
  <c r="D120" i="1" l="1"/>
  <c r="F130" i="1"/>
  <c r="F129" i="1"/>
  <c r="F128" i="1"/>
  <c r="F127" i="1"/>
  <c r="F126" i="1"/>
  <c r="F125" i="1"/>
  <c r="J120" i="1"/>
  <c r="D115" i="1"/>
  <c r="F115" i="1" s="1"/>
  <c r="D114" i="1"/>
  <c r="F114" i="1" s="1"/>
  <c r="D113" i="1"/>
  <c r="F113" i="1" s="1"/>
  <c r="D112" i="1"/>
  <c r="F112" i="1" s="1"/>
  <c r="D111" i="1"/>
  <c r="F111" i="1" s="1"/>
  <c r="D108" i="1"/>
  <c r="F108" i="1" s="1"/>
  <c r="D105" i="1"/>
  <c r="D110" i="1"/>
  <c r="F110" i="1" s="1"/>
  <c r="D109" i="1"/>
  <c r="F109" i="1" s="1"/>
  <c r="D107" i="1"/>
  <c r="D106" i="1"/>
  <c r="D104" i="1"/>
  <c r="C49" i="1"/>
  <c r="C14" i="1"/>
  <c r="C98" i="1" l="1"/>
  <c r="E98" i="1"/>
  <c r="E95" i="1"/>
  <c r="C95" i="1"/>
  <c r="F92" i="1"/>
  <c r="F105" i="1" l="1"/>
  <c r="F106" i="1"/>
  <c r="F107" i="1"/>
  <c r="F104" i="1"/>
  <c r="G95" i="1" l="1"/>
  <c r="B157" i="1"/>
  <c r="F136" i="1" l="1"/>
  <c r="F135" i="1"/>
  <c r="F134" i="1"/>
  <c r="F133" i="1"/>
  <c r="F132" i="1"/>
  <c r="F124" i="1"/>
  <c r="F123" i="1"/>
  <c r="F121" i="1"/>
  <c r="F120" i="1"/>
  <c r="F122" i="1"/>
  <c r="G98" i="1" l="1"/>
  <c r="B15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1" i="1"/>
  <c r="G132" i="1"/>
  <c r="G120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05" i="1"/>
  <c r="A106" i="1" s="1"/>
  <c r="A107" i="1" s="1"/>
  <c r="G104" i="1"/>
  <c r="J76" i="1"/>
  <c r="J75" i="1"/>
  <c r="J74" i="1"/>
  <c r="J73" i="1"/>
  <c r="C65" i="1"/>
  <c r="G49" i="1"/>
  <c r="E26" i="1"/>
  <c r="E24" i="1"/>
  <c r="E7" i="1"/>
  <c r="E3" i="1"/>
  <c r="H66" i="1"/>
  <c r="A108" i="1" l="1"/>
  <c r="A109" i="1" s="1"/>
  <c r="A110" i="1" s="1"/>
  <c r="A111" i="1" s="1"/>
  <c r="A112" i="1" s="1"/>
  <c r="A113" i="1" s="1"/>
  <c r="A114" i="1" s="1"/>
  <c r="A115" i="1" s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D70" i="1"/>
  <c r="D71" i="1"/>
  <c r="J67" i="1"/>
  <c r="D69" i="1"/>
  <c r="G69" i="1" l="1"/>
  <c r="D63" i="1" s="1"/>
  <c r="D64" i="1" s="1"/>
  <c r="E69" i="1"/>
  <c r="I66" i="1"/>
  <c r="J66" i="1"/>
  <c r="F64" i="1" l="1"/>
  <c r="I67" i="1"/>
  <c r="I65" i="1" s="1"/>
  <c r="D54" i="1"/>
  <c r="E42" i="1"/>
  <c r="E43" i="1" s="1"/>
</calcChain>
</file>

<file path=xl/sharedStrings.xml><?xml version="1.0" encoding="utf-8"?>
<sst xmlns="http://schemas.openxmlformats.org/spreadsheetml/2006/main" count="316" uniqueCount="228">
  <si>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</si>
  <si>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</si>
  <si>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</si>
  <si>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</si>
  <si>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</si>
  <si>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</si>
  <si>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</si>
  <si>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</si>
  <si>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</si>
  <si>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</si>
  <si>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</si>
  <si>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</si>
  <si>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</si>
  <si>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</si>
  <si>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</si>
  <si>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</si>
  <si>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</si>
  <si>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</si>
  <si>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</si>
  <si>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</si>
  <si>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</si>
  <si>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</si>
  <si>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</si>
  <si>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</si>
  <si>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</si>
  <si>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</si>
  <si>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</si>
  <si>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</si>
  <si>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</si>
  <si>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</si>
  <si>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</si>
  <si>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</si>
  <si>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</si>
  <si>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</si>
  <si>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</si>
  <si>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</si>
  <si>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</si>
  <si>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</si>
  <si>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</si>
  <si>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</si>
  <si>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</si>
  <si>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</si>
  <si>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</si>
  <si>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</si>
  <si>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</si>
  <si>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</si>
  <si>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</si>
  <si>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</si>
  <si>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</si>
  <si>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</si>
  <si>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</si>
  <si>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</si>
  <si>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</si>
  <si>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</si>
  <si>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</si>
  <si>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</si>
  <si>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</si>
  <si>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</si>
  <si>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</si>
  <si>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</si>
  <si>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</si>
  <si>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</si>
  <si>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</si>
  <si>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</si>
  <si>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</si>
  <si>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</si>
  <si>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</si>
  <si>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</si>
  <si>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</si>
  <si>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</si>
  <si>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</si>
  <si>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</si>
  <si>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</si>
  <si>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</si>
  <si>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</si>
  <si>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</si>
  <si>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</si>
  <si>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</si>
  <si>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</si>
  <si>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</si>
  <si>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</si>
  <si>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</si>
  <si>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</si>
  <si>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</si>
  <si>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</si>
  <si>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</si>
  <si>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</si>
  <si>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</si>
  <si>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</si>
  <si>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</si>
  <si>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</si>
  <si>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</si>
  <si>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</si>
  <si>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</si>
  <si>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</si>
  <si>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</si>
  <si>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</si>
  <si>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</si>
  <si>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</si>
  <si>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</si>
  <si>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</si>
  <si>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</si>
  <si>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</si>
  <si>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</si>
  <si>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</si>
  <si>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</si>
  <si>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</si>
  <si>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</si>
  <si>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</si>
  <si>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</si>
  <si>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</si>
  <si>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</si>
  <si>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</si>
  <si>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</si>
  <si>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</si>
  <si>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</si>
  <si>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</si>
  <si>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</si>
  <si>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</si>
  <si>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</si>
  <si>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</si>
  <si>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</si>
  <si>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</si>
  <si>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</si>
  <si>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</si>
  <si>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</si>
  <si>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</si>
  <si>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</si>
  <si>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</si>
  <si>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</si>
  <si>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</si>
  <si>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</si>
  <si>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</si>
  <si>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</si>
  <si>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</si>
  <si>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</si>
  <si>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</si>
  <si>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</si>
  <si>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</si>
  <si>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</si>
  <si>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</si>
  <si>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</si>
  <si>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</si>
  <si>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</si>
  <si>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</si>
  <si>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</si>
  <si>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</si>
  <si>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</si>
  <si>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</si>
  <si>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</si>
  <si>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</si>
  <si>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</si>
  <si>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</si>
  <si>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</si>
  <si>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</si>
  <si>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</si>
  <si>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</si>
  <si>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</si>
  <si>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</si>
  <si>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</si>
  <si>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</si>
  <si>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</si>
  <si>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</si>
  <si>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</si>
  <si>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</si>
  <si>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</si>
  <si>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</si>
  <si>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</si>
  <si>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</si>
  <si>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</si>
  <si>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</si>
  <si>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 xml:space="preserve">1. Vitrified tiles flooring 2. Granite Kitchen Platform 3. Decorative
Enternace etc.
</t>
  </si>
  <si>
    <t>Axis Badlapur</t>
  </si>
  <si>
    <t xml:space="preserve">Raj Group
</t>
  </si>
  <si>
    <t>Tulsi Aawas</t>
  </si>
  <si>
    <t>Vilas Thale - 8888622474/9665149366</t>
  </si>
  <si>
    <t>1 Building</t>
  </si>
  <si>
    <t>P51700046339</t>
  </si>
  <si>
    <t>Survey No</t>
  </si>
  <si>
    <t>38 H.No. 4, 5 &amp; 6</t>
  </si>
  <si>
    <t>Kharvai</t>
  </si>
  <si>
    <t>Ambarnath</t>
  </si>
  <si>
    <t>Thane</t>
  </si>
  <si>
    <t>Neral Badlapur Road</t>
  </si>
  <si>
    <t>Badlapur East</t>
  </si>
  <si>
    <t>421 503</t>
  </si>
  <si>
    <t>Tulsi Aahan</t>
  </si>
  <si>
    <t>3.3 KM from Badlapur Railway Station</t>
  </si>
  <si>
    <t>Tulsi City Road</t>
  </si>
  <si>
    <t>Raj Group Tulsi City</t>
  </si>
  <si>
    <t>Tulsi Aadvik</t>
  </si>
  <si>
    <t>Rani Laxmi Bai Park</t>
  </si>
  <si>
    <t>https://goo.gl/maps/ceAHqF987FuHLxC28</t>
  </si>
  <si>
    <t>Kulgoan Badlapur Municipal Council</t>
  </si>
  <si>
    <t>G/St + 1st to 14th Floor</t>
  </si>
  <si>
    <t>KBNP/NRV/BP/2095/2020-2021/Unique No. 94</t>
  </si>
  <si>
    <t>Layout Plan :</t>
  </si>
  <si>
    <t>Residential + Commercial</t>
  </si>
  <si>
    <t>KBNP/NRV/BP/2095-94/Unique No. 94</t>
  </si>
  <si>
    <t>Ground Floor For Parking &amp; Commercial</t>
  </si>
  <si>
    <t>Shop</t>
  </si>
  <si>
    <t>1st Floor</t>
  </si>
  <si>
    <t>1BHK</t>
  </si>
  <si>
    <t>2BHK</t>
  </si>
  <si>
    <t>2nd, 3rd, 4th, 5th, 6th, 7th, 9th, 10th, 11th, 12th &amp; 14th Floor</t>
  </si>
  <si>
    <t>8th &amp; 13th Floor (Part Refuge Area)</t>
  </si>
  <si>
    <t>Refuge Area</t>
  </si>
  <si>
    <t>Flats</t>
  </si>
  <si>
    <t>Flats - 152 , Shops - 12</t>
  </si>
  <si>
    <t>We considered Gross carpet area = Net carpet + Enclose balcony.</t>
  </si>
  <si>
    <t xml:space="preserve">We have updated approved floor plan &amp; C.C (on 05/01/2023).
</t>
  </si>
  <si>
    <t>Office No. 1031, Wing J, Akshar Business Park, Plot No. 03 Sector 25, Near APMC Market, 
Vashi, Navi Mumbai, Maharashtra 400703 TEL: 022-46090378/79/8
E mail : vsjcapf@gmail.com. Web site : www.vsjadon.com</t>
  </si>
  <si>
    <t>Sudhir Bhosale</t>
  </si>
  <si>
    <t>-</t>
  </si>
  <si>
    <t>4000 to 4200</t>
  </si>
  <si>
    <t>Rushikesh</t>
  </si>
  <si>
    <t>Development + Club Charges</t>
  </si>
  <si>
    <t>cost sheet</t>
  </si>
  <si>
    <t xml:space="preserve">Recommended Rates/Other Charges of the Property have been revised on 16/10/2024.
</t>
  </si>
  <si>
    <t>As per RERA, completion period of project Tulsi Aawas is expired on 31/12/2024 but still project is under construction.</t>
  </si>
  <si>
    <t>As per RERA - 31/12/2025</t>
  </si>
  <si>
    <t>We have updated OC (On 02/07/2025).</t>
  </si>
  <si>
    <t>KBMC/TPD/2025-26/1099
Gr/St + 1st to 14th Floor</t>
  </si>
  <si>
    <t xml:space="preserve">O. Certificate No.: 
Approved upto : </t>
  </si>
  <si>
    <t>Completed</t>
  </si>
  <si>
    <t>Pranita Mhatre</t>
  </si>
  <si>
    <t>All work Completed. OC Received</t>
  </si>
  <si>
    <t>Approved Plans, CC &amp;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</si>
</sst>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/>
    <xf numFmtId="0" fontId="25" fillId="0" borderId="5" xfId="0" applyFont="1" applyBorder="1"/>
    <xf numFmtId="1" fontId="13" fillId="0" borderId="1" xfId="0" applyNumberFormat="1" applyFont="1" applyBorder="1" applyAlignment="1" applyProtection="1">
      <alignment vertical="top" wrapText="1"/>
      <protection locked="0"/>
    </xf>
    <xf numFmtId="1" fontId="27" fillId="0" borderId="1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12" fillId="0" borderId="4" xfId="1" applyNumberFormat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281</xdr:row>
      <xdr:rowOff>173427</xdr:rowOff>
    </xdr:from>
    <xdr:to>
      <xdr:col>7</xdr:col>
      <xdr:colOff>302643</xdr:colOff>
      <xdr:row>300</xdr:row>
      <xdr:rowOff>2128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65686377"/>
          <a:ext cx="5598543" cy="362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261</xdr:row>
      <xdr:rowOff>171450</xdr:rowOff>
    </xdr:from>
    <xdr:to>
      <xdr:col>7</xdr:col>
      <xdr:colOff>290515</xdr:colOff>
      <xdr:row>280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61683900"/>
          <a:ext cx="5586415" cy="3724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666750</xdr:colOff>
      <xdr:row>224</xdr:row>
      <xdr:rowOff>28575</xdr:rowOff>
    </xdr:from>
    <xdr:to>
      <xdr:col>7</xdr:col>
      <xdr:colOff>131802</xdr:colOff>
      <xdr:row>250</xdr:row>
      <xdr:rowOff>6918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30537150"/>
          <a:ext cx="5580102" cy="51789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41275</xdr:colOff>
      <xdr:row>180</xdr:row>
      <xdr:rowOff>180975</xdr:rowOff>
    </xdr:from>
    <xdr:to>
      <xdr:col>17</xdr:col>
      <xdr:colOff>483878</xdr:colOff>
      <xdr:row>216</xdr:row>
      <xdr:rowOff>152325</xdr:rowOff>
    </xdr:to>
    <xdr:grpSp>
      <xdr:nvGrpSpPr>
        <xdr:cNvPr id="5" name="Group 4"/>
        <xdr:cNvGrpSpPr/>
      </xdr:nvGrpSpPr>
      <xdr:grpSpPr>
        <a:xfrm>
          <a:off x="7689850" y="35899725"/>
          <a:ext cx="6338578" cy="7162725"/>
          <a:chOff x="107950" y="35909250"/>
          <a:chExt cx="6624328" cy="7051600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3637" y="359092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5304" y="409088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8984" y="387510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5306" y="38751050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628" y="38751050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409088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38751050"/>
            <a:ext cx="154329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747" y="359092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8981" y="40908850"/>
            <a:ext cx="1536862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627" y="409088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5527" y="359092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228600</xdr:colOff>
      <xdr:row>181</xdr:row>
      <xdr:rowOff>38100</xdr:rowOff>
    </xdr:from>
    <xdr:to>
      <xdr:col>7</xdr:col>
      <xdr:colOff>647700</xdr:colOff>
      <xdr:row>219</xdr:row>
      <xdr:rowOff>125782</xdr:rowOff>
    </xdr:to>
    <xdr:grpSp>
      <xdr:nvGrpSpPr>
        <xdr:cNvPr id="18" name="Group 17"/>
        <xdr:cNvGrpSpPr/>
      </xdr:nvGrpSpPr>
      <xdr:grpSpPr>
        <a:xfrm>
          <a:off x="228600" y="35956875"/>
          <a:ext cx="6076950" cy="7679107"/>
          <a:chOff x="42961" y="123357"/>
          <a:chExt cx="6929444" cy="8045819"/>
        </a:xfrm>
      </xdr:grpSpPr>
      <xdr:pic>
        <xdr:nvPicPr>
          <xdr:cNvPr id="19" name="Picture 18" descr="https://vsjcllp.vsjadon.com/upload/insp-24956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9957" y="6794619"/>
            <a:ext cx="1823443" cy="13745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956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989" y="123357"/>
            <a:ext cx="3237982" cy="4305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956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61" y="6794619"/>
            <a:ext cx="1823443" cy="13745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956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989" y="454433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956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5699" y="454433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956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96626" y="6794619"/>
            <a:ext cx="1823443" cy="13745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956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3512" y="454433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956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8031" y="128119"/>
            <a:ext cx="3237982" cy="4305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956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9377" y="6794619"/>
            <a:ext cx="1029486" cy="13745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956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7886" y="4544338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eAHqF987FuHLxC2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60"/>
  <sheetViews>
    <sheetView tabSelected="1" view="pageBreakPreview" zoomScaleNormal="100" zoomScaleSheetLayoutView="100" zoomScalePageLayoutView="85" workbookViewId="0">
      <selection activeCell="J13" sqref="J13"/>
    </sheetView>
  </sheetViews>
  <sheetFormatPr defaultColWidth="9.140625" defaultRowHeight="15.75" x14ac:dyDescent="0.25"/>
  <cols>
    <col min="1" max="1" width="11.42578125" style="35" customWidth="1"/>
    <col min="2" max="2" width="12" style="35" customWidth="1"/>
    <col min="3" max="3" width="12.5703125" style="35" customWidth="1"/>
    <col min="4" max="4" width="14.140625" style="35" customWidth="1"/>
    <col min="5" max="7" width="11.5703125" style="35" customWidth="1"/>
    <col min="8" max="8" width="12.42578125" style="35" customWidth="1"/>
    <col min="9" max="9" width="17.42578125" style="16" customWidth="1"/>
    <col min="10" max="10" width="11.42578125" style="16" customWidth="1"/>
    <col min="11" max="11" width="11.42578125" style="16" bestFit="1" customWidth="1"/>
    <col min="12" max="12" width="10.5703125" style="16" customWidth="1"/>
    <col min="13" max="13" width="11.85546875" style="16" customWidth="1"/>
    <col min="14" max="14" width="12.5703125" style="16" customWidth="1"/>
    <col min="15" max="15" width="9.85546875" style="16" customWidth="1"/>
    <col min="16" max="16" width="11.5703125" style="16" customWidth="1"/>
    <col min="17" max="247" width="9.140625" style="16"/>
    <col min="248" max="248" width="8.5703125" style="16" customWidth="1"/>
    <col min="249" max="249" width="9.85546875" style="16" customWidth="1"/>
    <col min="250" max="250" width="14.42578125" style="16" customWidth="1"/>
    <col min="251" max="251" width="7.425781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5703125" style="16" customWidth="1"/>
    <col min="505" max="505" width="9.85546875" style="16" customWidth="1"/>
    <col min="506" max="506" width="14.42578125" style="16" customWidth="1"/>
    <col min="507" max="507" width="7.425781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5703125" style="16" customWidth="1"/>
    <col min="761" max="761" width="9.85546875" style="16" customWidth="1"/>
    <col min="762" max="762" width="14.42578125" style="16" customWidth="1"/>
    <col min="763" max="763" width="7.425781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5703125" style="16" customWidth="1"/>
    <col min="1017" max="1017" width="9.85546875" style="16" customWidth="1"/>
    <col min="1018" max="1018" width="14.42578125" style="16" customWidth="1"/>
    <col min="1019" max="1019" width="7.425781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5703125" style="16" customWidth="1"/>
    <col min="1273" max="1273" width="9.85546875" style="16" customWidth="1"/>
    <col min="1274" max="1274" width="14.42578125" style="16" customWidth="1"/>
    <col min="1275" max="1275" width="7.425781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5703125" style="16" customWidth="1"/>
    <col min="1529" max="1529" width="9.85546875" style="16" customWidth="1"/>
    <col min="1530" max="1530" width="14.42578125" style="16" customWidth="1"/>
    <col min="1531" max="1531" width="7.425781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5703125" style="16" customWidth="1"/>
    <col min="1785" max="1785" width="9.85546875" style="16" customWidth="1"/>
    <col min="1786" max="1786" width="14.42578125" style="16" customWidth="1"/>
    <col min="1787" max="1787" width="7.425781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5703125" style="16" customWidth="1"/>
    <col min="2041" max="2041" width="9.85546875" style="16" customWidth="1"/>
    <col min="2042" max="2042" width="14.42578125" style="16" customWidth="1"/>
    <col min="2043" max="2043" width="7.425781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5703125" style="16" customWidth="1"/>
    <col min="2297" max="2297" width="9.85546875" style="16" customWidth="1"/>
    <col min="2298" max="2298" width="14.42578125" style="16" customWidth="1"/>
    <col min="2299" max="2299" width="7.425781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5703125" style="16" customWidth="1"/>
    <col min="2553" max="2553" width="9.85546875" style="16" customWidth="1"/>
    <col min="2554" max="2554" width="14.42578125" style="16" customWidth="1"/>
    <col min="2555" max="2555" width="7.425781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5703125" style="16" customWidth="1"/>
    <col min="2809" max="2809" width="9.85546875" style="16" customWidth="1"/>
    <col min="2810" max="2810" width="14.42578125" style="16" customWidth="1"/>
    <col min="2811" max="2811" width="7.425781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5703125" style="16" customWidth="1"/>
    <col min="3065" max="3065" width="9.85546875" style="16" customWidth="1"/>
    <col min="3066" max="3066" width="14.42578125" style="16" customWidth="1"/>
    <col min="3067" max="3067" width="7.425781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5703125" style="16" customWidth="1"/>
    <col min="3321" max="3321" width="9.85546875" style="16" customWidth="1"/>
    <col min="3322" max="3322" width="14.42578125" style="16" customWidth="1"/>
    <col min="3323" max="3323" width="7.425781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5703125" style="16" customWidth="1"/>
    <col min="3577" max="3577" width="9.85546875" style="16" customWidth="1"/>
    <col min="3578" max="3578" width="14.42578125" style="16" customWidth="1"/>
    <col min="3579" max="3579" width="7.425781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5703125" style="16" customWidth="1"/>
    <col min="3833" max="3833" width="9.85546875" style="16" customWidth="1"/>
    <col min="3834" max="3834" width="14.42578125" style="16" customWidth="1"/>
    <col min="3835" max="3835" width="7.425781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5703125" style="16" customWidth="1"/>
    <col min="4089" max="4089" width="9.85546875" style="16" customWidth="1"/>
    <col min="4090" max="4090" width="14.42578125" style="16" customWidth="1"/>
    <col min="4091" max="4091" width="7.425781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5703125" style="16" customWidth="1"/>
    <col min="4345" max="4345" width="9.85546875" style="16" customWidth="1"/>
    <col min="4346" max="4346" width="14.42578125" style="16" customWidth="1"/>
    <col min="4347" max="4347" width="7.425781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5703125" style="16" customWidth="1"/>
    <col min="4601" max="4601" width="9.85546875" style="16" customWidth="1"/>
    <col min="4602" max="4602" width="14.42578125" style="16" customWidth="1"/>
    <col min="4603" max="4603" width="7.425781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5703125" style="16" customWidth="1"/>
    <col min="4857" max="4857" width="9.85546875" style="16" customWidth="1"/>
    <col min="4858" max="4858" width="14.42578125" style="16" customWidth="1"/>
    <col min="4859" max="4859" width="7.425781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5703125" style="16" customWidth="1"/>
    <col min="5113" max="5113" width="9.85546875" style="16" customWidth="1"/>
    <col min="5114" max="5114" width="14.42578125" style="16" customWidth="1"/>
    <col min="5115" max="5115" width="7.425781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5703125" style="16" customWidth="1"/>
    <col min="5369" max="5369" width="9.85546875" style="16" customWidth="1"/>
    <col min="5370" max="5370" width="14.42578125" style="16" customWidth="1"/>
    <col min="5371" max="5371" width="7.425781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5703125" style="16" customWidth="1"/>
    <col min="5625" max="5625" width="9.85546875" style="16" customWidth="1"/>
    <col min="5626" max="5626" width="14.42578125" style="16" customWidth="1"/>
    <col min="5627" max="5627" width="7.425781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5703125" style="16" customWidth="1"/>
    <col min="5881" max="5881" width="9.85546875" style="16" customWidth="1"/>
    <col min="5882" max="5882" width="14.42578125" style="16" customWidth="1"/>
    <col min="5883" max="5883" width="7.425781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5703125" style="16" customWidth="1"/>
    <col min="6137" max="6137" width="9.85546875" style="16" customWidth="1"/>
    <col min="6138" max="6138" width="14.42578125" style="16" customWidth="1"/>
    <col min="6139" max="6139" width="7.425781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5703125" style="16" customWidth="1"/>
    <col min="6393" max="6393" width="9.85546875" style="16" customWidth="1"/>
    <col min="6394" max="6394" width="14.42578125" style="16" customWidth="1"/>
    <col min="6395" max="6395" width="7.425781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5703125" style="16" customWidth="1"/>
    <col min="6649" max="6649" width="9.85546875" style="16" customWidth="1"/>
    <col min="6650" max="6650" width="14.42578125" style="16" customWidth="1"/>
    <col min="6651" max="6651" width="7.425781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5703125" style="16" customWidth="1"/>
    <col min="6905" max="6905" width="9.85546875" style="16" customWidth="1"/>
    <col min="6906" max="6906" width="14.42578125" style="16" customWidth="1"/>
    <col min="6907" max="6907" width="7.425781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5703125" style="16" customWidth="1"/>
    <col min="7161" max="7161" width="9.85546875" style="16" customWidth="1"/>
    <col min="7162" max="7162" width="14.42578125" style="16" customWidth="1"/>
    <col min="7163" max="7163" width="7.425781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5703125" style="16" customWidth="1"/>
    <col min="7417" max="7417" width="9.85546875" style="16" customWidth="1"/>
    <col min="7418" max="7418" width="14.42578125" style="16" customWidth="1"/>
    <col min="7419" max="7419" width="7.425781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5703125" style="16" customWidth="1"/>
    <col min="7673" max="7673" width="9.85546875" style="16" customWidth="1"/>
    <col min="7674" max="7674" width="14.42578125" style="16" customWidth="1"/>
    <col min="7675" max="7675" width="7.425781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5703125" style="16" customWidth="1"/>
    <col min="7929" max="7929" width="9.85546875" style="16" customWidth="1"/>
    <col min="7930" max="7930" width="14.42578125" style="16" customWidth="1"/>
    <col min="7931" max="7931" width="7.425781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5703125" style="16" customWidth="1"/>
    <col min="8185" max="8185" width="9.85546875" style="16" customWidth="1"/>
    <col min="8186" max="8186" width="14.42578125" style="16" customWidth="1"/>
    <col min="8187" max="8187" width="7.425781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5703125" style="16" customWidth="1"/>
    <col min="8441" max="8441" width="9.85546875" style="16" customWidth="1"/>
    <col min="8442" max="8442" width="14.42578125" style="16" customWidth="1"/>
    <col min="8443" max="8443" width="7.425781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5703125" style="16" customWidth="1"/>
    <col min="8697" max="8697" width="9.85546875" style="16" customWidth="1"/>
    <col min="8698" max="8698" width="14.42578125" style="16" customWidth="1"/>
    <col min="8699" max="8699" width="7.425781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5703125" style="16" customWidth="1"/>
    <col min="8953" max="8953" width="9.85546875" style="16" customWidth="1"/>
    <col min="8954" max="8954" width="14.42578125" style="16" customWidth="1"/>
    <col min="8955" max="8955" width="7.425781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5703125" style="16" customWidth="1"/>
    <col min="9209" max="9209" width="9.85546875" style="16" customWidth="1"/>
    <col min="9210" max="9210" width="14.42578125" style="16" customWidth="1"/>
    <col min="9211" max="9211" width="7.425781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5703125" style="16" customWidth="1"/>
    <col min="9465" max="9465" width="9.85546875" style="16" customWidth="1"/>
    <col min="9466" max="9466" width="14.42578125" style="16" customWidth="1"/>
    <col min="9467" max="9467" width="7.425781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5703125" style="16" customWidth="1"/>
    <col min="9721" max="9721" width="9.85546875" style="16" customWidth="1"/>
    <col min="9722" max="9722" width="14.42578125" style="16" customWidth="1"/>
    <col min="9723" max="9723" width="7.425781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5703125" style="16" customWidth="1"/>
    <col min="9977" max="9977" width="9.85546875" style="16" customWidth="1"/>
    <col min="9978" max="9978" width="14.42578125" style="16" customWidth="1"/>
    <col min="9979" max="9979" width="7.425781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5703125" style="16" customWidth="1"/>
    <col min="10233" max="10233" width="9.85546875" style="16" customWidth="1"/>
    <col min="10234" max="10234" width="14.42578125" style="16" customWidth="1"/>
    <col min="10235" max="10235" width="7.425781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5703125" style="16" customWidth="1"/>
    <col min="10489" max="10489" width="9.85546875" style="16" customWidth="1"/>
    <col min="10490" max="10490" width="14.42578125" style="16" customWidth="1"/>
    <col min="10491" max="10491" width="7.425781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5703125" style="16" customWidth="1"/>
    <col min="10745" max="10745" width="9.85546875" style="16" customWidth="1"/>
    <col min="10746" max="10746" width="14.42578125" style="16" customWidth="1"/>
    <col min="10747" max="10747" width="7.425781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5703125" style="16" customWidth="1"/>
    <col min="11001" max="11001" width="9.85546875" style="16" customWidth="1"/>
    <col min="11002" max="11002" width="14.42578125" style="16" customWidth="1"/>
    <col min="11003" max="11003" width="7.425781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5703125" style="16" customWidth="1"/>
    <col min="11257" max="11257" width="9.85546875" style="16" customWidth="1"/>
    <col min="11258" max="11258" width="14.42578125" style="16" customWidth="1"/>
    <col min="11259" max="11259" width="7.425781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5703125" style="16" customWidth="1"/>
    <col min="11513" max="11513" width="9.85546875" style="16" customWidth="1"/>
    <col min="11514" max="11514" width="14.42578125" style="16" customWidth="1"/>
    <col min="11515" max="11515" width="7.425781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5703125" style="16" customWidth="1"/>
    <col min="11769" max="11769" width="9.85546875" style="16" customWidth="1"/>
    <col min="11770" max="11770" width="14.42578125" style="16" customWidth="1"/>
    <col min="11771" max="11771" width="7.425781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5703125" style="16" customWidth="1"/>
    <col min="12025" max="12025" width="9.85546875" style="16" customWidth="1"/>
    <col min="12026" max="12026" width="14.42578125" style="16" customWidth="1"/>
    <col min="12027" max="12027" width="7.425781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5703125" style="16" customWidth="1"/>
    <col min="12281" max="12281" width="9.85546875" style="16" customWidth="1"/>
    <col min="12282" max="12282" width="14.42578125" style="16" customWidth="1"/>
    <col min="12283" max="12283" width="7.425781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5703125" style="16" customWidth="1"/>
    <col min="12537" max="12537" width="9.85546875" style="16" customWidth="1"/>
    <col min="12538" max="12538" width="14.42578125" style="16" customWidth="1"/>
    <col min="12539" max="12539" width="7.425781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5703125" style="16" customWidth="1"/>
    <col min="12793" max="12793" width="9.85546875" style="16" customWidth="1"/>
    <col min="12794" max="12794" width="14.42578125" style="16" customWidth="1"/>
    <col min="12795" max="12795" width="7.425781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5703125" style="16" customWidth="1"/>
    <col min="13049" max="13049" width="9.85546875" style="16" customWidth="1"/>
    <col min="13050" max="13050" width="14.42578125" style="16" customWidth="1"/>
    <col min="13051" max="13051" width="7.425781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5703125" style="16" customWidth="1"/>
    <col min="13305" max="13305" width="9.85546875" style="16" customWidth="1"/>
    <col min="13306" max="13306" width="14.42578125" style="16" customWidth="1"/>
    <col min="13307" max="13307" width="7.425781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5703125" style="16" customWidth="1"/>
    <col min="13561" max="13561" width="9.85546875" style="16" customWidth="1"/>
    <col min="13562" max="13562" width="14.42578125" style="16" customWidth="1"/>
    <col min="13563" max="13563" width="7.425781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5703125" style="16" customWidth="1"/>
    <col min="13817" max="13817" width="9.85546875" style="16" customWidth="1"/>
    <col min="13818" max="13818" width="14.42578125" style="16" customWidth="1"/>
    <col min="13819" max="13819" width="7.425781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5703125" style="16" customWidth="1"/>
    <col min="14073" max="14073" width="9.85546875" style="16" customWidth="1"/>
    <col min="14074" max="14074" width="14.42578125" style="16" customWidth="1"/>
    <col min="14075" max="14075" width="7.425781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5703125" style="16" customWidth="1"/>
    <col min="14329" max="14329" width="9.85546875" style="16" customWidth="1"/>
    <col min="14330" max="14330" width="14.42578125" style="16" customWidth="1"/>
    <col min="14331" max="14331" width="7.425781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5703125" style="16" customWidth="1"/>
    <col min="14585" max="14585" width="9.85546875" style="16" customWidth="1"/>
    <col min="14586" max="14586" width="14.42578125" style="16" customWidth="1"/>
    <col min="14587" max="14587" width="7.425781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5703125" style="16" customWidth="1"/>
    <col min="14841" max="14841" width="9.85546875" style="16" customWidth="1"/>
    <col min="14842" max="14842" width="14.42578125" style="16" customWidth="1"/>
    <col min="14843" max="14843" width="7.425781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5703125" style="16" customWidth="1"/>
    <col min="15097" max="15097" width="9.85546875" style="16" customWidth="1"/>
    <col min="15098" max="15098" width="14.42578125" style="16" customWidth="1"/>
    <col min="15099" max="15099" width="7.425781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5703125" style="16" customWidth="1"/>
    <col min="15353" max="15353" width="9.85546875" style="16" customWidth="1"/>
    <col min="15354" max="15354" width="14.42578125" style="16" customWidth="1"/>
    <col min="15355" max="15355" width="7.425781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5703125" style="16" customWidth="1"/>
    <col min="15609" max="15609" width="9.85546875" style="16" customWidth="1"/>
    <col min="15610" max="15610" width="14.42578125" style="16" customWidth="1"/>
    <col min="15611" max="15611" width="7.425781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5703125" style="16" customWidth="1"/>
    <col min="15865" max="15865" width="9.85546875" style="16" customWidth="1"/>
    <col min="15866" max="15866" width="14.42578125" style="16" customWidth="1"/>
    <col min="15867" max="15867" width="7.425781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5703125" style="16" customWidth="1"/>
    <col min="16121" max="16121" width="9.85546875" style="16" customWidth="1"/>
    <col min="16122" max="16122" width="14.42578125" style="16" customWidth="1"/>
    <col min="16123" max="16123" width="7.425781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8" ht="46.5" customHeight="1" x14ac:dyDescent="0.25">
      <c r="A1" s="120" t="s">
        <v>211</v>
      </c>
      <c r="B1" s="120"/>
      <c r="C1" s="120"/>
      <c r="D1" s="120"/>
      <c r="E1" s="120"/>
      <c r="F1" s="120"/>
      <c r="G1" s="120"/>
      <c r="H1" s="120"/>
    </row>
    <row r="2" spans="1:8" ht="16.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8" x14ac:dyDescent="0.25">
      <c r="A3" s="91" t="s">
        <v>1</v>
      </c>
      <c r="B3" s="91"/>
      <c r="C3" s="91"/>
      <c r="D3" s="91"/>
      <c r="E3" s="91" t="str">
        <f ca="1">TEXT(TODAY(),"DD/MM/YYYY")</f>
        <v>29/09/2025</v>
      </c>
      <c r="F3" s="91"/>
      <c r="G3" s="91"/>
      <c r="H3" s="91"/>
    </row>
    <row r="4" spans="1:8" ht="15" customHeight="1" x14ac:dyDescent="0.25">
      <c r="A4" s="91" t="s">
        <v>2</v>
      </c>
      <c r="B4" s="91"/>
      <c r="C4" s="91"/>
      <c r="D4" s="91"/>
      <c r="E4" s="91" t="s">
        <v>172</v>
      </c>
      <c r="F4" s="91"/>
      <c r="G4" s="91"/>
      <c r="H4" s="91"/>
    </row>
    <row r="5" spans="1:8" x14ac:dyDescent="0.25">
      <c r="A5" s="91" t="s">
        <v>3</v>
      </c>
      <c r="B5" s="91"/>
      <c r="C5" s="91"/>
      <c r="D5" s="91"/>
      <c r="E5" s="119">
        <v>45929</v>
      </c>
      <c r="F5" s="91"/>
      <c r="G5" s="91"/>
      <c r="H5" s="91"/>
    </row>
    <row r="6" spans="1:8" ht="16.5" customHeight="1" x14ac:dyDescent="0.25">
      <c r="A6" s="91" t="s">
        <v>4</v>
      </c>
      <c r="B6" s="91"/>
      <c r="C6" s="91"/>
      <c r="D6" s="91"/>
      <c r="E6" s="66" t="s">
        <v>173</v>
      </c>
      <c r="F6" s="91"/>
      <c r="G6" s="91"/>
      <c r="H6" s="91"/>
    </row>
    <row r="7" spans="1:8" ht="15" customHeight="1" x14ac:dyDescent="0.25">
      <c r="A7" s="91" t="s">
        <v>5</v>
      </c>
      <c r="B7" s="91"/>
      <c r="C7" s="91"/>
      <c r="D7" s="91"/>
      <c r="E7" s="91" t="str">
        <f>E6</f>
        <v xml:space="preserve">Raj Group
</v>
      </c>
      <c r="F7" s="91"/>
      <c r="G7" s="91"/>
      <c r="H7" s="91"/>
    </row>
    <row r="8" spans="1:8" x14ac:dyDescent="0.25">
      <c r="A8" s="91" t="s">
        <v>6</v>
      </c>
      <c r="B8" s="91"/>
      <c r="C8" s="91"/>
      <c r="D8" s="91"/>
      <c r="E8" s="93" t="s">
        <v>174</v>
      </c>
      <c r="F8" s="93"/>
      <c r="G8" s="93"/>
      <c r="H8" s="93"/>
    </row>
    <row r="9" spans="1:8" x14ac:dyDescent="0.25">
      <c r="A9" s="91" t="s">
        <v>169</v>
      </c>
      <c r="B9" s="91"/>
      <c r="C9" s="91"/>
      <c r="D9" s="91"/>
      <c r="E9" s="91" t="s">
        <v>175</v>
      </c>
      <c r="F9" s="91"/>
      <c r="G9" s="91"/>
      <c r="H9" s="91"/>
    </row>
    <row r="10" spans="1:8" hidden="1" x14ac:dyDescent="0.25">
      <c r="A10" s="91" t="s">
        <v>170</v>
      </c>
      <c r="B10" s="91"/>
      <c r="C10" s="91"/>
      <c r="D10" s="91"/>
      <c r="E10" s="91"/>
      <c r="F10" s="91"/>
      <c r="G10" s="91"/>
      <c r="H10" s="91"/>
    </row>
    <row r="11" spans="1:8" x14ac:dyDescent="0.25">
      <c r="A11" s="91" t="s">
        <v>7</v>
      </c>
      <c r="B11" s="91"/>
      <c r="C11" s="91"/>
      <c r="D11" s="91"/>
      <c r="E11" s="91" t="s">
        <v>176</v>
      </c>
      <c r="F11" s="91"/>
      <c r="G11" s="91"/>
      <c r="H11" s="91"/>
    </row>
    <row r="12" spans="1:8" x14ac:dyDescent="0.25">
      <c r="A12" s="91" t="s">
        <v>8</v>
      </c>
      <c r="B12" s="91"/>
      <c r="C12" s="91"/>
      <c r="D12" s="91"/>
      <c r="E12" s="66" t="s">
        <v>227</v>
      </c>
      <c r="F12" s="66"/>
      <c r="G12" s="66"/>
      <c r="H12" s="66"/>
    </row>
    <row r="13" spans="1:8" x14ac:dyDescent="0.25">
      <c r="A13" s="91" t="s">
        <v>9</v>
      </c>
      <c r="B13" s="91"/>
      <c r="C13" s="91"/>
      <c r="D13" s="91"/>
      <c r="E13" s="66" t="s">
        <v>177</v>
      </c>
      <c r="F13" s="91"/>
      <c r="G13" s="91"/>
      <c r="H13" s="91"/>
    </row>
    <row r="14" spans="1:8" ht="32.25" customHeight="1" x14ac:dyDescent="0.25">
      <c r="A14" s="66" t="s">
        <v>10</v>
      </c>
      <c r="B14" s="66"/>
      <c r="C14" s="6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Tulsi Aawas, Survey No.38 H.No. 4, 5 &amp; 6, near Tulsi Aahan, Neral Badlapur Road, , Kharvai, Badlapur East, Ambarnath, Thane - 421 503.</v>
      </c>
      <c r="D14" s="66"/>
      <c r="E14" s="66"/>
      <c r="F14" s="66"/>
      <c r="G14" s="66"/>
      <c r="H14" s="66"/>
    </row>
    <row r="15" spans="1:8" x14ac:dyDescent="0.25">
      <c r="A15" s="66" t="s">
        <v>178</v>
      </c>
      <c r="B15" s="66"/>
      <c r="C15" s="66" t="s">
        <v>179</v>
      </c>
      <c r="D15" s="66"/>
      <c r="E15" s="66"/>
      <c r="F15" s="66"/>
      <c r="G15" s="66"/>
      <c r="H15" s="66"/>
    </row>
    <row r="16" spans="1:8" ht="15.75" hidden="1" customHeight="1" x14ac:dyDescent="0.25">
      <c r="A16" s="66" t="s">
        <v>168</v>
      </c>
      <c r="B16" s="66"/>
      <c r="C16" s="66" t="s">
        <v>30</v>
      </c>
      <c r="D16" s="66"/>
      <c r="E16" s="66"/>
      <c r="F16" s="66"/>
      <c r="G16" s="66"/>
      <c r="H16" s="66"/>
    </row>
    <row r="17" spans="1:8" ht="15.75" customHeight="1" x14ac:dyDescent="0.25">
      <c r="A17" s="66" t="s">
        <v>11</v>
      </c>
      <c r="B17" s="66"/>
      <c r="C17" s="91" t="s">
        <v>183</v>
      </c>
      <c r="D17" s="91"/>
      <c r="E17" s="66" t="s">
        <v>76</v>
      </c>
      <c r="F17" s="66"/>
      <c r="G17" s="66" t="s">
        <v>180</v>
      </c>
      <c r="H17" s="66"/>
    </row>
    <row r="18" spans="1:8" x14ac:dyDescent="0.25">
      <c r="A18" s="91" t="s">
        <v>13</v>
      </c>
      <c r="B18" s="91"/>
      <c r="C18" s="66" t="s">
        <v>184</v>
      </c>
      <c r="D18" s="66"/>
      <c r="E18" s="66" t="s">
        <v>12</v>
      </c>
      <c r="F18" s="66"/>
      <c r="G18" s="118" t="s">
        <v>182</v>
      </c>
      <c r="H18" s="118"/>
    </row>
    <row r="19" spans="1:8" x14ac:dyDescent="0.25">
      <c r="A19" s="91" t="s">
        <v>77</v>
      </c>
      <c r="B19" s="91"/>
      <c r="C19" s="66" t="s">
        <v>181</v>
      </c>
      <c r="D19" s="66"/>
      <c r="E19" s="66" t="s">
        <v>14</v>
      </c>
      <c r="F19" s="66"/>
      <c r="G19" s="66" t="s">
        <v>185</v>
      </c>
      <c r="H19" s="66"/>
    </row>
    <row r="20" spans="1:8" ht="32.25" customHeight="1" x14ac:dyDescent="0.25">
      <c r="A20" s="91" t="s">
        <v>126</v>
      </c>
      <c r="B20" s="91"/>
      <c r="C20" s="66" t="s">
        <v>186</v>
      </c>
      <c r="D20" s="66"/>
      <c r="E20" s="66" t="s">
        <v>15</v>
      </c>
      <c r="F20" s="66"/>
      <c r="G20" s="66" t="s">
        <v>187</v>
      </c>
      <c r="H20" s="66"/>
    </row>
    <row r="21" spans="1:8" ht="15" customHeight="1" x14ac:dyDescent="0.25">
      <c r="A21" s="105" t="s">
        <v>80</v>
      </c>
      <c r="B21" s="105"/>
      <c r="C21" s="105"/>
      <c r="D21" s="105"/>
      <c r="E21" s="91" t="s">
        <v>16</v>
      </c>
      <c r="F21" s="91"/>
      <c r="G21" s="91"/>
      <c r="H21" s="91"/>
    </row>
    <row r="22" spans="1:8" ht="18.75" customHeight="1" x14ac:dyDescent="0.25">
      <c r="A22" s="105"/>
      <c r="B22" s="105"/>
      <c r="C22" s="105"/>
      <c r="D22" s="105"/>
      <c r="E22" s="91"/>
      <c r="F22" s="91"/>
      <c r="G22" s="91"/>
      <c r="H22" s="91"/>
    </row>
    <row r="23" spans="1:8" ht="15" customHeight="1" x14ac:dyDescent="0.25">
      <c r="A23" s="105" t="s">
        <v>17</v>
      </c>
      <c r="B23" s="105"/>
      <c r="C23" s="105"/>
      <c r="D23" s="105"/>
      <c r="E23" s="66" t="s">
        <v>18</v>
      </c>
      <c r="F23" s="66"/>
      <c r="G23" s="66"/>
      <c r="H23" s="66"/>
    </row>
    <row r="24" spans="1:8" ht="15" customHeight="1" x14ac:dyDescent="0.25">
      <c r="A24" s="77" t="s">
        <v>19</v>
      </c>
      <c r="B24" s="77"/>
      <c r="C24" s="77"/>
      <c r="D24" s="77"/>
      <c r="E24" s="66" t="str">
        <f>IF(AND(G18="Mumbai"),"Upper Class","Middle Class")</f>
        <v>Middle Class</v>
      </c>
      <c r="F24" s="66"/>
      <c r="G24" s="66"/>
      <c r="H24" s="66"/>
    </row>
    <row r="25" spans="1:8" x14ac:dyDescent="0.25">
      <c r="A25" s="77" t="s">
        <v>20</v>
      </c>
      <c r="B25" s="77"/>
      <c r="C25" s="77"/>
      <c r="D25" s="77"/>
      <c r="E25" s="66" t="s">
        <v>21</v>
      </c>
      <c r="F25" s="66"/>
      <c r="G25" s="66"/>
      <c r="H25" s="66"/>
    </row>
    <row r="26" spans="1:8" ht="15.75" customHeight="1" x14ac:dyDescent="0.25">
      <c r="A26" s="77" t="s">
        <v>22</v>
      </c>
      <c r="B26" s="77"/>
      <c r="C26" s="77"/>
      <c r="D26" s="77"/>
      <c r="E26" s="66" t="str">
        <f>IF(AND(G18="Mumbai"),"Developed","Developing")</f>
        <v>Developing</v>
      </c>
      <c r="F26" s="66"/>
      <c r="G26" s="66"/>
      <c r="H26" s="66"/>
    </row>
    <row r="27" spans="1:8" x14ac:dyDescent="0.25">
      <c r="A27" s="77" t="s">
        <v>23</v>
      </c>
      <c r="B27" s="77"/>
      <c r="C27" s="77"/>
      <c r="D27" s="77"/>
      <c r="E27" s="66" t="s">
        <v>24</v>
      </c>
      <c r="F27" s="66"/>
      <c r="G27" s="66"/>
      <c r="H27" s="66"/>
    </row>
    <row r="28" spans="1:8" ht="15.75" customHeight="1" x14ac:dyDescent="0.25">
      <c r="A28" s="77" t="s">
        <v>85</v>
      </c>
      <c r="B28" s="77"/>
      <c r="C28" s="77"/>
      <c r="D28" s="77"/>
      <c r="E28" s="66" t="s">
        <v>86</v>
      </c>
      <c r="F28" s="66"/>
      <c r="G28" s="66"/>
      <c r="H28" s="66"/>
    </row>
    <row r="29" spans="1:8" ht="15" customHeight="1" x14ac:dyDescent="0.25">
      <c r="A29" s="77" t="s">
        <v>35</v>
      </c>
      <c r="B29" s="77"/>
      <c r="C29" s="77"/>
      <c r="D29" s="77"/>
      <c r="E29" s="66" t="s">
        <v>197</v>
      </c>
      <c r="F29" s="66"/>
      <c r="G29" s="66"/>
      <c r="H29" s="66"/>
    </row>
    <row r="30" spans="1:8" ht="15.75" customHeight="1" x14ac:dyDescent="0.25">
      <c r="A30" s="77" t="s">
        <v>97</v>
      </c>
      <c r="B30" s="77"/>
      <c r="C30" s="77"/>
      <c r="D30" s="77"/>
      <c r="E30" s="66" t="s">
        <v>36</v>
      </c>
      <c r="F30" s="66"/>
      <c r="G30" s="66"/>
      <c r="H30" s="66"/>
    </row>
    <row r="31" spans="1:8" s="17" customFormat="1" x14ac:dyDescent="0.25">
      <c r="A31" s="117" t="s">
        <v>98</v>
      </c>
      <c r="B31" s="117"/>
      <c r="C31" s="116" t="s">
        <v>29</v>
      </c>
      <c r="D31" s="116"/>
      <c r="E31" s="116"/>
      <c r="F31" s="116" t="s">
        <v>31</v>
      </c>
      <c r="G31" s="116"/>
      <c r="H31" s="116"/>
    </row>
    <row r="32" spans="1:8" s="17" customFormat="1" x14ac:dyDescent="0.25">
      <c r="A32" s="106" t="s">
        <v>25</v>
      </c>
      <c r="B32" s="106" t="s">
        <v>30</v>
      </c>
      <c r="C32" s="107" t="s">
        <v>30</v>
      </c>
      <c r="D32" s="107"/>
      <c r="E32" s="107"/>
      <c r="F32" s="107" t="s">
        <v>188</v>
      </c>
      <c r="G32" s="107"/>
      <c r="H32" s="107"/>
    </row>
    <row r="33" spans="1:8" x14ac:dyDescent="0.25">
      <c r="A33" s="106" t="s">
        <v>26</v>
      </c>
      <c r="B33" s="106" t="s">
        <v>30</v>
      </c>
      <c r="C33" s="107" t="s">
        <v>30</v>
      </c>
      <c r="D33" s="107"/>
      <c r="E33" s="107"/>
      <c r="F33" s="107" t="s">
        <v>189</v>
      </c>
      <c r="G33" s="107"/>
      <c r="H33" s="107"/>
    </row>
    <row r="34" spans="1:8" s="17" customFormat="1" x14ac:dyDescent="0.25">
      <c r="A34" s="106" t="s">
        <v>28</v>
      </c>
      <c r="B34" s="106" t="s">
        <v>30</v>
      </c>
      <c r="C34" s="107" t="s">
        <v>30</v>
      </c>
      <c r="D34" s="107"/>
      <c r="E34" s="107"/>
      <c r="F34" s="107" t="s">
        <v>190</v>
      </c>
      <c r="G34" s="107"/>
      <c r="H34" s="107"/>
    </row>
    <row r="35" spans="1:8" x14ac:dyDescent="0.25">
      <c r="A35" s="106" t="s">
        <v>27</v>
      </c>
      <c r="B35" s="106" t="s">
        <v>30</v>
      </c>
      <c r="C35" s="107" t="s">
        <v>30</v>
      </c>
      <c r="D35" s="107"/>
      <c r="E35" s="107"/>
      <c r="F35" s="107" t="s">
        <v>191</v>
      </c>
      <c r="G35" s="107"/>
      <c r="H35" s="107"/>
    </row>
    <row r="36" spans="1:8" x14ac:dyDescent="0.2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25">
      <c r="A37" s="89" t="s">
        <v>33</v>
      </c>
      <c r="B37" s="89"/>
      <c r="C37" s="111">
        <v>19.150991000000001</v>
      </c>
      <c r="D37" s="111"/>
      <c r="E37" s="89" t="s">
        <v>34</v>
      </c>
      <c r="F37" s="89"/>
      <c r="G37" s="112">
        <v>73.248754000000005</v>
      </c>
      <c r="H37" s="112"/>
    </row>
    <row r="38" spans="1:8" x14ac:dyDescent="0.25">
      <c r="A38" s="89" t="s">
        <v>167</v>
      </c>
      <c r="B38" s="89"/>
      <c r="C38" s="65" t="s">
        <v>192</v>
      </c>
      <c r="D38" s="66"/>
      <c r="E38" s="66"/>
      <c r="F38" s="66"/>
      <c r="G38" s="66"/>
      <c r="H38" s="66"/>
    </row>
    <row r="39" spans="1:8" x14ac:dyDescent="0.25">
      <c r="A39" s="93" t="s">
        <v>37</v>
      </c>
      <c r="B39" s="93"/>
      <c r="C39" s="93"/>
      <c r="D39" s="93"/>
      <c r="E39" s="93"/>
      <c r="F39" s="93"/>
      <c r="G39" s="93"/>
      <c r="H39" s="93"/>
    </row>
    <row r="40" spans="1:8" x14ac:dyDescent="0.25">
      <c r="A40" s="91" t="s">
        <v>38</v>
      </c>
      <c r="B40" s="91"/>
      <c r="C40" s="91"/>
      <c r="D40" s="91"/>
      <c r="E40" s="92">
        <v>4400</v>
      </c>
      <c r="F40" s="92"/>
      <c r="G40" s="92"/>
      <c r="H40" s="92"/>
    </row>
    <row r="41" spans="1:8" x14ac:dyDescent="0.25">
      <c r="A41" s="91" t="s">
        <v>39</v>
      </c>
      <c r="B41" s="91"/>
      <c r="C41" s="91"/>
      <c r="D41" s="91"/>
      <c r="E41" s="109">
        <v>1.1000000000000001</v>
      </c>
      <c r="F41" s="109"/>
      <c r="G41" s="109"/>
      <c r="H41" s="109"/>
    </row>
    <row r="42" spans="1:8" x14ac:dyDescent="0.25">
      <c r="A42" s="91" t="s">
        <v>40</v>
      </c>
      <c r="B42" s="91"/>
      <c r="C42" s="91"/>
      <c r="D42" s="91"/>
      <c r="E42" s="109">
        <f>E44/E40-E41</f>
        <v>0.96167272727272746</v>
      </c>
      <c r="F42" s="109"/>
      <c r="G42" s="109"/>
      <c r="H42" s="109"/>
    </row>
    <row r="43" spans="1:8" x14ac:dyDescent="0.25">
      <c r="A43" s="91" t="s">
        <v>41</v>
      </c>
      <c r="B43" s="91"/>
      <c r="C43" s="91"/>
      <c r="D43" s="91"/>
      <c r="E43" s="109">
        <f>E41+E42</f>
        <v>2.0616727272727275</v>
      </c>
      <c r="F43" s="109"/>
      <c r="G43" s="109"/>
      <c r="H43" s="109"/>
    </row>
    <row r="44" spans="1:8" x14ac:dyDescent="0.25">
      <c r="A44" s="91" t="s">
        <v>96</v>
      </c>
      <c r="B44" s="91"/>
      <c r="C44" s="91"/>
      <c r="D44" s="91"/>
      <c r="E44" s="110">
        <v>9071.36</v>
      </c>
      <c r="F44" s="110"/>
      <c r="G44" s="110"/>
      <c r="H44" s="110"/>
    </row>
    <row r="45" spans="1:8" x14ac:dyDescent="0.25">
      <c r="A45" s="91" t="s">
        <v>42</v>
      </c>
      <c r="B45" s="91"/>
      <c r="C45" s="91"/>
      <c r="D45" s="91"/>
      <c r="E45" s="91" t="s">
        <v>176</v>
      </c>
      <c r="F45" s="91"/>
      <c r="G45" s="91"/>
      <c r="H45" s="91"/>
    </row>
    <row r="46" spans="1:8" x14ac:dyDescent="0.25">
      <c r="A46" s="93" t="s">
        <v>43</v>
      </c>
      <c r="B46" s="93"/>
      <c r="C46" s="93"/>
      <c r="D46" s="93"/>
      <c r="E46" s="93"/>
      <c r="F46" s="93"/>
      <c r="G46" s="93"/>
      <c r="H46" s="93"/>
    </row>
    <row r="47" spans="1:8" ht="33.75" customHeight="1" x14ac:dyDescent="0.25">
      <c r="A47" s="68" t="s">
        <v>154</v>
      </c>
      <c r="B47" s="69"/>
      <c r="C47" s="70" t="s">
        <v>193</v>
      </c>
      <c r="D47" s="71"/>
      <c r="E47" s="71"/>
      <c r="F47" s="71"/>
      <c r="G47" s="71"/>
      <c r="H47" s="72"/>
    </row>
    <row r="48" spans="1:8" ht="15.75" customHeight="1" x14ac:dyDescent="0.25">
      <c r="A48" s="68" t="s">
        <v>44</v>
      </c>
      <c r="B48" s="69"/>
      <c r="C48" s="68" t="s">
        <v>198</v>
      </c>
      <c r="D48" s="142"/>
      <c r="E48" s="69"/>
      <c r="F48" s="43" t="s">
        <v>45</v>
      </c>
      <c r="G48" s="99">
        <v>44263</v>
      </c>
      <c r="H48" s="69"/>
    </row>
    <row r="49" spans="1:14" x14ac:dyDescent="0.25">
      <c r="A49" s="68" t="s">
        <v>46</v>
      </c>
      <c r="B49" s="69"/>
      <c r="C49" s="68" t="str">
        <f>C48</f>
        <v>KBNP/NRV/BP/2095-94/Unique No. 94</v>
      </c>
      <c r="D49" s="142"/>
      <c r="E49" s="69"/>
      <c r="F49" s="43" t="s">
        <v>45</v>
      </c>
      <c r="G49" s="99">
        <f>G48</f>
        <v>44263</v>
      </c>
      <c r="H49" s="100"/>
    </row>
    <row r="50" spans="1:14" s="18" customFormat="1" ht="31.5" customHeight="1" x14ac:dyDescent="0.25">
      <c r="A50" s="96" t="s">
        <v>158</v>
      </c>
      <c r="B50" s="98"/>
      <c r="C50" s="68" t="s">
        <v>195</v>
      </c>
      <c r="D50" s="142"/>
      <c r="E50" s="69"/>
      <c r="F50" s="43" t="s">
        <v>45</v>
      </c>
      <c r="G50" s="99">
        <v>44263</v>
      </c>
      <c r="H50" s="69"/>
    </row>
    <row r="51" spans="1:14" s="18" customFormat="1" x14ac:dyDescent="0.25">
      <c r="A51" s="101"/>
      <c r="B51" s="102"/>
      <c r="C51" s="68" t="s">
        <v>194</v>
      </c>
      <c r="D51" s="142"/>
      <c r="E51" s="142"/>
      <c r="F51" s="142"/>
      <c r="G51" s="142"/>
      <c r="H51" s="69"/>
    </row>
    <row r="52" spans="1:14" ht="33.75" customHeight="1" x14ac:dyDescent="0.25">
      <c r="A52" s="143" t="s">
        <v>223</v>
      </c>
      <c r="B52" s="144"/>
      <c r="C52" s="143" t="s">
        <v>222</v>
      </c>
      <c r="D52" s="145"/>
      <c r="E52" s="144"/>
      <c r="F52" s="39" t="s">
        <v>45</v>
      </c>
      <c r="G52" s="146">
        <v>45807</v>
      </c>
      <c r="H52" s="147"/>
    </row>
    <row r="53" spans="1:14" x14ac:dyDescent="0.25">
      <c r="A53" s="127" t="s">
        <v>48</v>
      </c>
      <c r="B53" s="127"/>
      <c r="C53" s="127"/>
      <c r="D53" s="127"/>
      <c r="E53" s="127"/>
      <c r="F53" s="127"/>
      <c r="G53" s="127"/>
      <c r="H53" s="127"/>
    </row>
    <row r="54" spans="1:14" x14ac:dyDescent="0.25">
      <c r="A54" s="66" t="s">
        <v>95</v>
      </c>
      <c r="B54" s="66"/>
      <c r="C54" s="66"/>
      <c r="D54" s="91">
        <f>E44</f>
        <v>9071.36</v>
      </c>
      <c r="E54" s="91"/>
      <c r="F54" s="91"/>
      <c r="G54" s="91"/>
      <c r="H54" s="91"/>
    </row>
    <row r="55" spans="1:14" x14ac:dyDescent="0.25">
      <c r="A55" s="66" t="s">
        <v>49</v>
      </c>
      <c r="B55" s="91"/>
      <c r="C55" s="91"/>
      <c r="D55" s="91" t="s">
        <v>208</v>
      </c>
      <c r="E55" s="91"/>
      <c r="F55" s="91"/>
      <c r="G55" s="91"/>
      <c r="H55" s="91"/>
      <c r="I55" s="19"/>
    </row>
    <row r="56" spans="1:14" x14ac:dyDescent="0.25">
      <c r="A56" s="96" t="s">
        <v>50</v>
      </c>
      <c r="B56" s="97"/>
      <c r="C56" s="98"/>
      <c r="D56" s="94" t="s">
        <v>194</v>
      </c>
      <c r="E56" s="95"/>
      <c r="F56" s="95"/>
      <c r="G56" s="95"/>
      <c r="H56" s="95"/>
    </row>
    <row r="57" spans="1:14" ht="15.75" customHeight="1" x14ac:dyDescent="0.25">
      <c r="A57" s="96" t="s">
        <v>93</v>
      </c>
      <c r="B57" s="97"/>
      <c r="C57" s="97"/>
      <c r="D57" s="113" t="s">
        <v>194</v>
      </c>
      <c r="E57" s="114"/>
      <c r="F57" s="114"/>
      <c r="G57" s="114"/>
      <c r="H57" s="115"/>
    </row>
    <row r="58" spans="1:14" ht="15.75" customHeight="1" x14ac:dyDescent="0.25">
      <c r="A58" s="91" t="s">
        <v>47</v>
      </c>
      <c r="B58" s="91"/>
      <c r="C58" s="91"/>
      <c r="D58" s="66" t="s">
        <v>224</v>
      </c>
      <c r="E58" s="66"/>
      <c r="F58" s="66"/>
      <c r="G58" s="66"/>
      <c r="H58" s="66"/>
      <c r="I58" s="66" t="s">
        <v>220</v>
      </c>
      <c r="J58" s="66"/>
      <c r="K58" s="66"/>
      <c r="L58" s="66"/>
      <c r="M58" s="66"/>
      <c r="N58" s="19"/>
    </row>
    <row r="59" spans="1:14" ht="15.75" customHeight="1" x14ac:dyDescent="0.25">
      <c r="A59" s="91" t="s">
        <v>91</v>
      </c>
      <c r="B59" s="91"/>
      <c r="C59" s="91"/>
      <c r="D59" s="108" t="str">
        <f ca="1">(IF(G52="NA","60 Years After Completion",IF(G52&lt;&gt;"NA",""&amp;60-ROUNDDOWN((E3-G52)/360,0)&amp;" Years"," ")))</f>
        <v>60 Years</v>
      </c>
      <c r="E59" s="108"/>
      <c r="F59" s="108"/>
      <c r="G59" s="108"/>
      <c r="H59" s="108"/>
      <c r="N59" s="19"/>
    </row>
    <row r="60" spans="1:14" ht="15.75" customHeight="1" x14ac:dyDescent="0.25">
      <c r="A60" s="91" t="s">
        <v>92</v>
      </c>
      <c r="B60" s="91"/>
      <c r="C60" s="91"/>
      <c r="D60" s="66" t="s">
        <v>24</v>
      </c>
      <c r="E60" s="66"/>
      <c r="F60" s="66"/>
      <c r="G60" s="66"/>
      <c r="H60" s="66"/>
      <c r="J60" s="21"/>
      <c r="K60" s="21"/>
    </row>
    <row r="61" spans="1:14" ht="30" hidden="1" customHeight="1" x14ac:dyDescent="0.25">
      <c r="A61" s="77" t="s">
        <v>78</v>
      </c>
      <c r="B61" s="77"/>
      <c r="C61" s="77"/>
      <c r="D61" s="66" t="s">
        <v>171</v>
      </c>
      <c r="E61" s="105"/>
      <c r="F61" s="105"/>
      <c r="G61" s="105"/>
      <c r="H61" s="105"/>
    </row>
    <row r="62" spans="1:14" x14ac:dyDescent="0.25">
      <c r="A62" s="105" t="s">
        <v>152</v>
      </c>
      <c r="B62" s="105"/>
      <c r="C62" s="105"/>
      <c r="D62" s="105" t="s">
        <v>30</v>
      </c>
      <c r="E62" s="105"/>
      <c r="F62" s="105"/>
      <c r="G62" s="105"/>
      <c r="H62" s="105"/>
      <c r="I62" s="22"/>
      <c r="J62" s="22"/>
      <c r="K62" s="22"/>
      <c r="L62" s="22"/>
      <c r="M62" s="22"/>
      <c r="N62" s="22"/>
    </row>
    <row r="63" spans="1:14" ht="15.75" customHeight="1" x14ac:dyDescent="0.25">
      <c r="A63" s="121" t="s">
        <v>90</v>
      </c>
      <c r="B63" s="121"/>
      <c r="C63" s="121"/>
      <c r="D63" s="94" t="str">
        <f ca="1">(IF(G69&gt;95%,"Nothing",IF(G69&gt;0%,"Cement, Aggregate, Steel, etc",IF(G69=0%,"Work not yet Started"))))</f>
        <v>Nothing</v>
      </c>
      <c r="E63" s="94"/>
      <c r="F63" s="94"/>
      <c r="G63" s="94"/>
      <c r="H63" s="94"/>
      <c r="J63" s="21"/>
    </row>
    <row r="64" spans="1:14" ht="33.75" customHeight="1" thickBot="1" x14ac:dyDescent="0.3">
      <c r="A64" s="105" t="s">
        <v>121</v>
      </c>
      <c r="B64" s="105"/>
      <c r="C64" s="105"/>
      <c r="D64" s="66" t="str">
        <f ca="1">(IF(D63="Nothing","Yes",IF(D63="Cement, Aggregate, Steel, etc","Under Construction",IF(D63="Work not yet Started","Work not yet Started"))))</f>
        <v>Yes</v>
      </c>
      <c r="E64" s="66"/>
      <c r="F64" s="66" t="str">
        <f ca="1">(IF(D63="Nothing","Yes",IF(D63="Cement, Aggregate, Steel, etc","Under Construction",IF(D63="Work not yet Started","Work not yet Started"))))</f>
        <v>Yes</v>
      </c>
      <c r="G64" s="66"/>
      <c r="H64" s="66"/>
    </row>
    <row r="65" spans="1:12" ht="15.75" customHeight="1" x14ac:dyDescent="0.25">
      <c r="A65" s="104" t="s">
        <v>144</v>
      </c>
      <c r="B65" s="104"/>
      <c r="C65" s="104" t="str">
        <f>D57</f>
        <v>G/St + 1st to 14th Floor</v>
      </c>
      <c r="D65" s="104"/>
      <c r="E65" s="104"/>
      <c r="F65" s="104"/>
      <c r="G65" s="104"/>
      <c r="H65" s="104"/>
      <c r="I65" s="53" t="str">
        <f ca="1">IF(D78=100%,"All work Completed. Possession granted to the Building.",IF(D77=100%,"All work Completed, Waiting for OC",I66&amp;""&amp;I67&amp;""&amp;J66&amp;""&amp;J65&amp;" "&amp;J67))</f>
        <v>All work Completed. Possession granted to the Building.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2" x14ac:dyDescent="0.25">
      <c r="A66" s="50" t="s">
        <v>146</v>
      </c>
      <c r="B66" s="50">
        <v>0</v>
      </c>
      <c r="C66" s="50" t="s">
        <v>75</v>
      </c>
      <c r="D66" s="50">
        <v>1</v>
      </c>
      <c r="E66" s="50" t="s">
        <v>74</v>
      </c>
      <c r="F66" s="50">
        <v>0</v>
      </c>
      <c r="G66" s="50" t="s">
        <v>84</v>
      </c>
      <c r="H66" s="50">
        <f ca="1">--TRIM(RIGHT(SUBSTITUTE(LEFT(C65,_xlfn.AGGREGATE(16,6,FIND({0,1,2,3,4,5,6,7,8,9},C65,ROW(INDIRECT("1:"&amp;LEN(C65)))),1))," ",REPT(" ",LEN(C65))),LEN(C65)))</f>
        <v>14</v>
      </c>
      <c r="I66" s="54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Painting, Building common Amenities</v>
      </c>
      <c r="J66" s="4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x14ac:dyDescent="0.25">
      <c r="A67" s="93" t="s">
        <v>94</v>
      </c>
      <c r="B67" s="93"/>
      <c r="C67" s="104" t="s">
        <v>226</v>
      </c>
      <c r="D67" s="104"/>
      <c r="E67" s="104"/>
      <c r="F67" s="104"/>
      <c r="G67" s="104"/>
      <c r="H67" s="104"/>
      <c r="I67" s="54" t="str">
        <f ca="1">IF(I66&lt;&gt;""," Completed","")</f>
        <v xml:space="preserve"> Completed</v>
      </c>
      <c r="J67" s="42" t="str">
        <f ca="1">IF(J65&lt;&gt;"","Completed","")</f>
        <v/>
      </c>
    </row>
    <row r="68" spans="1:12" ht="15.75" customHeight="1" x14ac:dyDescent="0.25">
      <c r="A68" s="103" t="s">
        <v>51</v>
      </c>
      <c r="B68" s="103"/>
      <c r="C68" s="49" t="s">
        <v>143</v>
      </c>
      <c r="D68" s="49" t="s">
        <v>87</v>
      </c>
      <c r="E68" s="103" t="s">
        <v>89</v>
      </c>
      <c r="F68" s="103"/>
      <c r="G68" s="103" t="s">
        <v>88</v>
      </c>
      <c r="H68" s="103"/>
      <c r="I68" s="14" t="s">
        <v>145</v>
      </c>
      <c r="J68" s="23">
        <f ca="1">H66*25%</f>
        <v>3.5</v>
      </c>
    </row>
    <row r="69" spans="1:12" x14ac:dyDescent="0.25">
      <c r="A69" s="103" t="s">
        <v>132</v>
      </c>
      <c r="B69" s="103"/>
      <c r="C69" s="51">
        <f ca="1">J70</f>
        <v>14</v>
      </c>
      <c r="D69" s="44">
        <f ca="1">((100/H66)*C69)/100</f>
        <v>1</v>
      </c>
      <c r="E69" s="122">
        <f ca="1">(((C70/H66*10)+(40/(D66+F66+H66)*C71)+(7.5/(H66)*C72)+(7.5/(H66)*C73)+(10/H66*C74)+(10/H66*C75)+(5/H66*C76)+(5/H66*C77)+(5/H66*C78))/100)</f>
        <v>1</v>
      </c>
      <c r="F69" s="122"/>
      <c r="G69" s="122">
        <f ca="1">((((C69/H66)*20)+((C70/H66)*25)+(30/(H66+F66+D66)*C71)+(5/H66*C72)+(5/H66*C73)+(5/H66*C74)+(5/H66*C75)+(0/H66*C76)+(0/H66*C77)+(5/H66*C78))/100)</f>
        <v>1</v>
      </c>
      <c r="H69" s="122"/>
      <c r="I69" s="14" t="s">
        <v>104</v>
      </c>
      <c r="J69" s="24">
        <f ca="1">H66*50%</f>
        <v>7</v>
      </c>
    </row>
    <row r="70" spans="1:12" x14ac:dyDescent="0.25">
      <c r="A70" s="103" t="s">
        <v>52</v>
      </c>
      <c r="B70" s="103"/>
      <c r="C70" s="45">
        <v>14</v>
      </c>
      <c r="D70" s="44">
        <f ca="1">((100/H66)*C70)/100</f>
        <v>1</v>
      </c>
      <c r="E70" s="122"/>
      <c r="F70" s="122"/>
      <c r="G70" s="122"/>
      <c r="H70" s="122"/>
      <c r="I70" s="14" t="s">
        <v>105</v>
      </c>
      <c r="J70" s="24">
        <f ca="1">H66</f>
        <v>14</v>
      </c>
    </row>
    <row r="71" spans="1:12" ht="15.75" customHeight="1" x14ac:dyDescent="0.25">
      <c r="A71" s="103" t="s">
        <v>133</v>
      </c>
      <c r="B71" s="103"/>
      <c r="C71" s="51">
        <v>15</v>
      </c>
      <c r="D71" s="44">
        <f ca="1">((100/(D66+F66+H66))*C71)/100</f>
        <v>1</v>
      </c>
      <c r="E71" s="122"/>
      <c r="F71" s="122"/>
      <c r="G71" s="122"/>
      <c r="H71" s="122"/>
      <c r="I71" s="14" t="s">
        <v>106</v>
      </c>
      <c r="J71" s="25">
        <f ca="1">(IF(B66&gt;1,(H66/(B66+2)),H66/4))</f>
        <v>3.5</v>
      </c>
    </row>
    <row r="72" spans="1:12" ht="15.75" customHeight="1" x14ac:dyDescent="0.25">
      <c r="A72" s="103" t="s">
        <v>140</v>
      </c>
      <c r="B72" s="103" t="s">
        <v>134</v>
      </c>
      <c r="C72" s="51">
        <v>14</v>
      </c>
      <c r="D72" s="44">
        <f ca="1">((100/H66)*C72)/100</f>
        <v>1</v>
      </c>
      <c r="E72" s="122"/>
      <c r="F72" s="122"/>
      <c r="G72" s="122"/>
      <c r="H72" s="122"/>
      <c r="I72" s="14" t="s">
        <v>107</v>
      </c>
      <c r="J72" s="25">
        <f ca="1">(IF(B66&gt;1,(H66/(B66+2)+J71),H66/4+J71))</f>
        <v>7</v>
      </c>
    </row>
    <row r="73" spans="1:12" ht="15.75" customHeight="1" x14ac:dyDescent="0.25">
      <c r="A73" s="103" t="s">
        <v>141</v>
      </c>
      <c r="B73" s="103" t="s">
        <v>134</v>
      </c>
      <c r="C73" s="51">
        <v>14</v>
      </c>
      <c r="D73" s="44">
        <f ca="1">((100/H66)*C73)/100</f>
        <v>1</v>
      </c>
      <c r="E73" s="122"/>
      <c r="F73" s="122"/>
      <c r="G73" s="122"/>
      <c r="H73" s="122"/>
      <c r="I73" s="14" t="s">
        <v>150</v>
      </c>
      <c r="J73" s="25">
        <f>(IF(B66&gt;1,(H66/(B66+2)+J72),0))</f>
        <v>0</v>
      </c>
    </row>
    <row r="74" spans="1:12" ht="15" customHeight="1" x14ac:dyDescent="0.25">
      <c r="A74" s="103" t="s">
        <v>139</v>
      </c>
      <c r="B74" s="103" t="s">
        <v>136</v>
      </c>
      <c r="C74" s="51">
        <v>14</v>
      </c>
      <c r="D74" s="44">
        <f ca="1">((100/(H66))*C74)/100</f>
        <v>1</v>
      </c>
      <c r="E74" s="122"/>
      <c r="F74" s="122"/>
      <c r="G74" s="122"/>
      <c r="H74" s="122"/>
      <c r="I74" s="14" t="s">
        <v>147</v>
      </c>
      <c r="J74" s="25">
        <f>(IF(B66&gt;2,(H66/(B66+2)+J73),0))</f>
        <v>0</v>
      </c>
    </row>
    <row r="75" spans="1:12" ht="15.75" customHeight="1" x14ac:dyDescent="0.25">
      <c r="A75" s="103" t="s">
        <v>135</v>
      </c>
      <c r="B75" s="103" t="s">
        <v>135</v>
      </c>
      <c r="C75" s="51">
        <v>14</v>
      </c>
      <c r="D75" s="44">
        <f ca="1">((100/H66)*C75)/100</f>
        <v>1</v>
      </c>
      <c r="E75" s="122"/>
      <c r="F75" s="122"/>
      <c r="G75" s="122"/>
      <c r="H75" s="122"/>
      <c r="I75" s="14" t="s">
        <v>148</v>
      </c>
      <c r="J75" s="26">
        <f>(IF(B66&gt;3,(H66/(B66+2)+J74),0))</f>
        <v>0</v>
      </c>
    </row>
    <row r="76" spans="1:12" ht="15.75" customHeight="1" x14ac:dyDescent="0.25">
      <c r="A76" s="103" t="s">
        <v>142</v>
      </c>
      <c r="B76" s="103"/>
      <c r="C76" s="51">
        <v>14</v>
      </c>
      <c r="D76" s="44">
        <f ca="1">((100/H66)*C76)/100</f>
        <v>1</v>
      </c>
      <c r="E76" s="122"/>
      <c r="F76" s="122"/>
      <c r="G76" s="122"/>
      <c r="H76" s="122"/>
      <c r="I76" s="14" t="s">
        <v>149</v>
      </c>
      <c r="J76" s="25">
        <f>(IF(B66&gt;4,(H66/(B66+2)+J75),0))</f>
        <v>0</v>
      </c>
    </row>
    <row r="77" spans="1:12" ht="15.75" customHeight="1" x14ac:dyDescent="0.25">
      <c r="A77" s="103" t="s">
        <v>137</v>
      </c>
      <c r="B77" s="103" t="s">
        <v>137</v>
      </c>
      <c r="C77" s="51">
        <v>14</v>
      </c>
      <c r="D77" s="44">
        <f ca="1">((100/(H66))*C77)/100</f>
        <v>1</v>
      </c>
      <c r="E77" s="122"/>
      <c r="F77" s="122"/>
      <c r="G77" s="122"/>
      <c r="H77" s="122"/>
      <c r="I77" s="14" t="s">
        <v>151</v>
      </c>
      <c r="J77" s="25">
        <f ca="1">(IF(B66=1,(H66/(B66+3)+J72),IF(B66=0,(H66/4+J72),IF(B66&gt;1,0))))</f>
        <v>10.5</v>
      </c>
    </row>
    <row r="78" spans="1:12" ht="16.5" thickBot="1" x14ac:dyDescent="0.3">
      <c r="A78" s="103" t="s">
        <v>138</v>
      </c>
      <c r="B78" s="103"/>
      <c r="C78" s="51">
        <v>14</v>
      </c>
      <c r="D78" s="44">
        <f ca="1">((100/(H66))*C78)/100</f>
        <v>1</v>
      </c>
      <c r="E78" s="122"/>
      <c r="F78" s="122"/>
      <c r="G78" s="122"/>
      <c r="H78" s="122"/>
      <c r="I78" s="15" t="s">
        <v>108</v>
      </c>
      <c r="J78" s="27">
        <f ca="1">(IF(B66&gt;1.5,(H66/(B66+2)+J72+MAX(0,J73-J72)+MAX(0,J74-J73)+MAX(0,J75-J74)+MAX(0,J76-J75)+MAX(0,J77-J76)),IF(B66=1,(H66/(B66+3)+J77),IF(B66=0,H66/4+J77))))</f>
        <v>14</v>
      </c>
    </row>
    <row r="79" spans="1:12" x14ac:dyDescent="0.25">
      <c r="A79" s="90" t="s">
        <v>160</v>
      </c>
      <c r="B79" s="90"/>
      <c r="C79" s="90"/>
      <c r="D79" s="90"/>
      <c r="E79" s="90"/>
      <c r="F79" s="89" t="s">
        <v>165</v>
      </c>
      <c r="G79" s="89"/>
      <c r="H79" s="89"/>
    </row>
    <row r="80" spans="1:12" x14ac:dyDescent="0.25">
      <c r="A80" s="77" t="s">
        <v>163</v>
      </c>
      <c r="B80" s="77"/>
      <c r="C80" s="77"/>
      <c r="D80" s="77"/>
      <c r="E80" s="77"/>
      <c r="F80" s="149">
        <v>4200</v>
      </c>
      <c r="G80" s="149"/>
      <c r="H80" s="149"/>
      <c r="I80" s="16" t="s">
        <v>214</v>
      </c>
      <c r="J80" s="16" t="s">
        <v>215</v>
      </c>
      <c r="K80" s="20">
        <v>45581</v>
      </c>
      <c r="L80" s="16" t="s">
        <v>217</v>
      </c>
    </row>
    <row r="81" spans="1:8" x14ac:dyDescent="0.25">
      <c r="A81" s="77" t="s">
        <v>162</v>
      </c>
      <c r="B81" s="77"/>
      <c r="C81" s="77"/>
      <c r="D81" s="77"/>
      <c r="E81" s="77"/>
      <c r="F81" s="76">
        <v>9500</v>
      </c>
      <c r="G81" s="76"/>
      <c r="H81" s="76"/>
    </row>
    <row r="82" spans="1:8" hidden="1" x14ac:dyDescent="0.25">
      <c r="A82" s="77" t="s">
        <v>164</v>
      </c>
      <c r="B82" s="77"/>
      <c r="C82" s="77"/>
      <c r="D82" s="77"/>
      <c r="E82" s="77"/>
      <c r="F82" s="76"/>
      <c r="G82" s="76"/>
      <c r="H82" s="76"/>
    </row>
    <row r="83" spans="1:8" s="28" customFormat="1" hidden="1" x14ac:dyDescent="0.25">
      <c r="A83" s="77" t="s">
        <v>161</v>
      </c>
      <c r="B83" s="77"/>
      <c r="C83" s="77"/>
      <c r="D83" s="77"/>
      <c r="E83" s="77"/>
      <c r="F83" s="76"/>
      <c r="G83" s="76"/>
      <c r="H83" s="76"/>
    </row>
    <row r="84" spans="1:8" s="28" customFormat="1" x14ac:dyDescent="0.25">
      <c r="A84" s="77" t="s">
        <v>216</v>
      </c>
      <c r="B84" s="77"/>
      <c r="C84" s="77"/>
      <c r="D84" s="77"/>
      <c r="E84" s="77"/>
      <c r="F84" s="76">
        <v>200000</v>
      </c>
      <c r="G84" s="76"/>
      <c r="H84" s="76"/>
    </row>
    <row r="85" spans="1:8" s="28" customFormat="1" hidden="1" x14ac:dyDescent="0.25">
      <c r="A85" s="77" t="s">
        <v>99</v>
      </c>
      <c r="B85" s="77"/>
      <c r="C85" s="77"/>
      <c r="D85" s="77"/>
      <c r="E85" s="77"/>
      <c r="F85" s="76"/>
      <c r="G85" s="76"/>
      <c r="H85" s="76"/>
    </row>
    <row r="86" spans="1:8" s="28" customFormat="1" hidden="1" x14ac:dyDescent="0.25">
      <c r="A86" s="77" t="s">
        <v>166</v>
      </c>
      <c r="B86" s="77"/>
      <c r="C86" s="77"/>
      <c r="D86" s="77"/>
      <c r="E86" s="77"/>
      <c r="F86" s="76"/>
      <c r="G86" s="76"/>
      <c r="H86" s="76"/>
    </row>
    <row r="87" spans="1:8" s="28" customFormat="1" hidden="1" x14ac:dyDescent="0.25">
      <c r="A87" s="77" t="s">
        <v>100</v>
      </c>
      <c r="B87" s="77"/>
      <c r="C87" s="77"/>
      <c r="D87" s="77"/>
      <c r="E87" s="77"/>
      <c r="F87" s="76"/>
      <c r="G87" s="76"/>
      <c r="H87" s="76"/>
    </row>
    <row r="88" spans="1:8" s="28" customFormat="1" hidden="1" x14ac:dyDescent="0.25">
      <c r="A88" s="77" t="s">
        <v>101</v>
      </c>
      <c r="B88" s="77"/>
      <c r="C88" s="77"/>
      <c r="D88" s="77"/>
      <c r="E88" s="77"/>
      <c r="F88" s="76"/>
      <c r="G88" s="76"/>
      <c r="H88" s="76"/>
    </row>
    <row r="89" spans="1:8" s="28" customFormat="1" hidden="1" x14ac:dyDescent="0.25">
      <c r="A89" s="77" t="s">
        <v>102</v>
      </c>
      <c r="B89" s="77"/>
      <c r="C89" s="77"/>
      <c r="D89" s="77"/>
      <c r="E89" s="77"/>
      <c r="F89" s="76"/>
      <c r="G89" s="76"/>
      <c r="H89" s="76"/>
    </row>
    <row r="90" spans="1:8" s="28" customFormat="1" hidden="1" x14ac:dyDescent="0.25">
      <c r="A90" s="77" t="s">
        <v>103</v>
      </c>
      <c r="B90" s="77"/>
      <c r="C90" s="77"/>
      <c r="D90" s="77"/>
      <c r="E90" s="77"/>
      <c r="F90" s="76"/>
      <c r="G90" s="76"/>
      <c r="H90" s="76"/>
    </row>
    <row r="91" spans="1:8" x14ac:dyDescent="0.25">
      <c r="A91" s="77" t="s">
        <v>53</v>
      </c>
      <c r="B91" s="77"/>
      <c r="C91" s="77"/>
      <c r="D91" s="77"/>
      <c r="E91" s="77"/>
      <c r="F91" s="76">
        <v>150000</v>
      </c>
      <c r="G91" s="76"/>
      <c r="H91" s="76"/>
    </row>
    <row r="92" spans="1:8" s="29" customFormat="1" x14ac:dyDescent="0.25">
      <c r="A92" s="90" t="s">
        <v>54</v>
      </c>
      <c r="B92" s="90"/>
      <c r="C92" s="90"/>
      <c r="D92" s="90"/>
      <c r="E92" s="90"/>
      <c r="F92" s="76">
        <f>F80*0.8</f>
        <v>3360</v>
      </c>
      <c r="G92" s="76"/>
      <c r="H92" s="76"/>
    </row>
    <row r="93" spans="1:8" s="30" customFormat="1" ht="15.75" customHeight="1" x14ac:dyDescent="0.25">
      <c r="A93" s="125" t="s">
        <v>79</v>
      </c>
      <c r="B93" s="125"/>
      <c r="C93" s="125"/>
      <c r="D93" s="125"/>
      <c r="E93" s="125"/>
      <c r="F93" s="125"/>
      <c r="G93" s="125"/>
      <c r="H93" s="125"/>
    </row>
    <row r="94" spans="1:8" s="30" customFormat="1" ht="15.75" customHeight="1" x14ac:dyDescent="0.25">
      <c r="A94" s="133" t="s">
        <v>55</v>
      </c>
      <c r="B94" s="133"/>
      <c r="C94" s="88" t="s">
        <v>82</v>
      </c>
      <c r="D94" s="88"/>
      <c r="E94" s="128" t="s">
        <v>56</v>
      </c>
      <c r="F94" s="128"/>
      <c r="G94" s="133" t="s">
        <v>57</v>
      </c>
      <c r="H94" s="133"/>
    </row>
    <row r="95" spans="1:8" s="30" customFormat="1" x14ac:dyDescent="0.25">
      <c r="A95" s="126" t="s">
        <v>200</v>
      </c>
      <c r="B95" s="126"/>
      <c r="C95" s="134">
        <f>COUNT(D104:D115)</f>
        <v>12</v>
      </c>
      <c r="D95" s="134"/>
      <c r="E95" s="80">
        <f>SUM(D104:D115)</f>
        <v>2160.2271599999995</v>
      </c>
      <c r="F95" s="135"/>
      <c r="G95" s="80">
        <f>SUM(F104:F115)</f>
        <v>3348.3520979999998</v>
      </c>
      <c r="H95" s="135"/>
    </row>
    <row r="96" spans="1:8" s="30" customFormat="1" x14ac:dyDescent="0.25">
      <c r="A96" s="125" t="s">
        <v>73</v>
      </c>
      <c r="B96" s="125"/>
      <c r="C96" s="125"/>
      <c r="D96" s="125"/>
      <c r="E96" s="125"/>
      <c r="F96" s="125"/>
      <c r="G96" s="125"/>
      <c r="H96" s="125"/>
    </row>
    <row r="97" spans="1:14" s="30" customFormat="1" ht="15.75" customHeight="1" x14ac:dyDescent="0.25">
      <c r="A97" s="133" t="s">
        <v>55</v>
      </c>
      <c r="B97" s="133"/>
      <c r="C97" s="88" t="s">
        <v>82</v>
      </c>
      <c r="D97" s="88"/>
      <c r="E97" s="128" t="s">
        <v>56</v>
      </c>
      <c r="F97" s="128"/>
      <c r="G97" s="133" t="s">
        <v>57</v>
      </c>
      <c r="H97" s="133"/>
    </row>
    <row r="98" spans="1:14" s="30" customFormat="1" x14ac:dyDescent="0.25">
      <c r="A98" s="126" t="s">
        <v>207</v>
      </c>
      <c r="B98" s="126"/>
      <c r="C98" s="80">
        <f>COUNT(D120:D130)+COUNT(D132:D142)*11+COUNT(D144:D149,D151:D154)*2</f>
        <v>152</v>
      </c>
      <c r="D98" s="80"/>
      <c r="E98" s="80">
        <f>SUM(D120:D130)+SUM(D132:D142)*11+SUM(D144:D149,D151:D154)*2</f>
        <v>71334.454620000004</v>
      </c>
      <c r="F98" s="80"/>
      <c r="G98" s="80">
        <f>SUM(F120:F130)+SUM(F132:F142)*11+SUM(F144:F149,F151:F154)*2</f>
        <v>107304.25796999999</v>
      </c>
      <c r="H98" s="80"/>
    </row>
    <row r="99" spans="1:14" s="29" customFormat="1" x14ac:dyDescent="0.25">
      <c r="A99" s="89" t="s">
        <v>58</v>
      </c>
      <c r="B99" s="89"/>
      <c r="C99" s="89"/>
      <c r="D99" s="89"/>
      <c r="E99" s="89"/>
      <c r="F99" s="89"/>
      <c r="G99" s="89"/>
      <c r="H99" s="89"/>
    </row>
    <row r="100" spans="1:14" x14ac:dyDescent="0.25">
      <c r="A100" s="89" t="s">
        <v>59</v>
      </c>
      <c r="B100" s="89"/>
      <c r="C100" s="89"/>
      <c r="D100" s="89"/>
      <c r="E100" s="89"/>
      <c r="F100" s="89"/>
      <c r="G100" s="89"/>
      <c r="H100" s="89"/>
    </row>
    <row r="101" spans="1:14" ht="47.25" customHeight="1" x14ac:dyDescent="0.25">
      <c r="A101" s="78" t="s">
        <v>123</v>
      </c>
      <c r="B101" s="78" t="s">
        <v>122</v>
      </c>
      <c r="C101" s="78" t="s">
        <v>60</v>
      </c>
      <c r="D101" s="78" t="s">
        <v>61</v>
      </c>
      <c r="E101" s="84" t="s">
        <v>159</v>
      </c>
      <c r="F101" s="38" t="s">
        <v>153</v>
      </c>
      <c r="G101" s="62" t="s">
        <v>63</v>
      </c>
      <c r="H101" s="86"/>
    </row>
    <row r="102" spans="1:14" s="32" customFormat="1" x14ac:dyDescent="0.25">
      <c r="A102" s="79"/>
      <c r="B102" s="79"/>
      <c r="C102" s="79"/>
      <c r="D102" s="79"/>
      <c r="E102" s="85"/>
      <c r="F102" s="13">
        <v>0.55000000000000004</v>
      </c>
      <c r="G102" s="63"/>
      <c r="H102" s="87"/>
    </row>
    <row r="103" spans="1:14" s="32" customFormat="1" x14ac:dyDescent="0.25">
      <c r="A103" s="81" t="s">
        <v>199</v>
      </c>
      <c r="B103" s="82"/>
      <c r="C103" s="82"/>
      <c r="D103" s="82"/>
      <c r="E103" s="82"/>
      <c r="F103" s="82"/>
      <c r="G103" s="82"/>
      <c r="H103" s="83"/>
      <c r="J103" s="31"/>
    </row>
    <row r="104" spans="1:14" s="32" customFormat="1" ht="15.75" customHeight="1" x14ac:dyDescent="0.25">
      <c r="A104" s="58">
        <v>1</v>
      </c>
      <c r="B104" s="59"/>
      <c r="C104" s="37" t="s">
        <v>200</v>
      </c>
      <c r="D104" s="37">
        <f>4.65*5.6*10.764</f>
        <v>280.29455999999999</v>
      </c>
      <c r="E104" s="37">
        <v>0</v>
      </c>
      <c r="F104" s="37">
        <f>(D104+E104)*(($F$102)+1)</f>
        <v>434.456568</v>
      </c>
      <c r="G104" s="136" t="str">
        <f>A103</f>
        <v>Ground Floor For Parking &amp; Commercial</v>
      </c>
      <c r="H104" s="137"/>
      <c r="I104" s="31"/>
      <c r="L104" s="57"/>
      <c r="M104" s="57"/>
      <c r="N104" s="31"/>
    </row>
    <row r="105" spans="1:14" s="32" customFormat="1" ht="15.75" customHeight="1" x14ac:dyDescent="0.25">
      <c r="A105" s="58">
        <f t="shared" ref="A105:A115" si="0">A104+1</f>
        <v>2</v>
      </c>
      <c r="B105" s="59"/>
      <c r="C105" s="37" t="s">
        <v>200</v>
      </c>
      <c r="D105" s="37">
        <f>(2.3*5.6+0.95*1.3)*10.764</f>
        <v>151.93385999999998</v>
      </c>
      <c r="E105" s="37">
        <v>0</v>
      </c>
      <c r="F105" s="37">
        <f t="shared" ref="F105:F107" si="1">(D105+E105)*(($F$102)+1)</f>
        <v>235.49748299999999</v>
      </c>
      <c r="G105" s="138"/>
      <c r="H105" s="139"/>
      <c r="I105" s="31"/>
      <c r="L105" s="57"/>
      <c r="M105" s="57"/>
      <c r="N105" s="31"/>
    </row>
    <row r="106" spans="1:14" s="32" customFormat="1" ht="15.75" customHeight="1" x14ac:dyDescent="0.25">
      <c r="A106" s="58">
        <f t="shared" si="0"/>
        <v>3</v>
      </c>
      <c r="B106" s="59"/>
      <c r="C106" s="37" t="s">
        <v>200</v>
      </c>
      <c r="D106" s="37">
        <f>(2.75*6.65)*10.764</f>
        <v>196.84665000000001</v>
      </c>
      <c r="E106" s="37">
        <v>0</v>
      </c>
      <c r="F106" s="37">
        <f t="shared" si="1"/>
        <v>305.11230750000004</v>
      </c>
      <c r="G106" s="138"/>
      <c r="H106" s="139"/>
      <c r="I106" s="31"/>
      <c r="L106" s="57"/>
      <c r="M106" s="57"/>
      <c r="N106" s="31"/>
    </row>
    <row r="107" spans="1:14" s="32" customFormat="1" ht="15.75" customHeight="1" x14ac:dyDescent="0.25">
      <c r="A107" s="58">
        <f t="shared" si="0"/>
        <v>4</v>
      </c>
      <c r="B107" s="59"/>
      <c r="C107" s="37" t="s">
        <v>200</v>
      </c>
      <c r="D107" s="37">
        <f>2.75*4.8*10.764</f>
        <v>142.08479999999997</v>
      </c>
      <c r="E107" s="37">
        <v>0</v>
      </c>
      <c r="F107" s="37">
        <f t="shared" si="1"/>
        <v>220.23143999999996</v>
      </c>
      <c r="G107" s="138"/>
      <c r="H107" s="139"/>
      <c r="I107" s="31"/>
      <c r="L107" s="57"/>
      <c r="M107" s="57"/>
      <c r="N107" s="31"/>
    </row>
    <row r="108" spans="1:14" s="32" customFormat="1" x14ac:dyDescent="0.25">
      <c r="A108" s="58">
        <f t="shared" si="0"/>
        <v>5</v>
      </c>
      <c r="B108" s="59"/>
      <c r="C108" s="37" t="s">
        <v>200</v>
      </c>
      <c r="D108" s="37">
        <f>(2.3*4.5+1.2*1.3)*10.764</f>
        <v>128.19924</v>
      </c>
      <c r="E108" s="37">
        <v>0</v>
      </c>
      <c r="F108" s="37">
        <f>(D108+E108)*(($F$102)+1)</f>
        <v>198.708822</v>
      </c>
      <c r="G108" s="138"/>
      <c r="H108" s="139"/>
      <c r="I108" s="31"/>
      <c r="L108" s="57"/>
      <c r="M108" s="57"/>
      <c r="N108" s="31"/>
    </row>
    <row r="109" spans="1:14" s="32" customFormat="1" ht="15.75" customHeight="1" x14ac:dyDescent="0.25">
      <c r="A109" s="58">
        <f t="shared" si="0"/>
        <v>6</v>
      </c>
      <c r="B109" s="59"/>
      <c r="C109" s="37" t="s">
        <v>200</v>
      </c>
      <c r="D109" s="37">
        <f>2.75*6.65*10.764</f>
        <v>196.84665000000001</v>
      </c>
      <c r="E109" s="37">
        <v>0</v>
      </c>
      <c r="F109" s="37">
        <f t="shared" ref="F109:F111" si="2">(D109+E109)*(($F$102)+1)</f>
        <v>305.11230750000004</v>
      </c>
      <c r="G109" s="138"/>
      <c r="H109" s="139"/>
      <c r="I109" s="31"/>
      <c r="L109" s="57"/>
      <c r="M109" s="57"/>
      <c r="N109" s="31"/>
    </row>
    <row r="110" spans="1:14" s="32" customFormat="1" ht="15.75" customHeight="1" x14ac:dyDescent="0.25">
      <c r="A110" s="58">
        <f t="shared" si="0"/>
        <v>7</v>
      </c>
      <c r="B110" s="59"/>
      <c r="C110" s="37" t="s">
        <v>200</v>
      </c>
      <c r="D110" s="37">
        <f>2.75*6.65*10.764</f>
        <v>196.84665000000001</v>
      </c>
      <c r="E110" s="37">
        <v>0</v>
      </c>
      <c r="F110" s="37">
        <f t="shared" si="2"/>
        <v>305.11230750000004</v>
      </c>
      <c r="G110" s="138"/>
      <c r="H110" s="139"/>
      <c r="I110" s="31"/>
      <c r="L110" s="57"/>
      <c r="M110" s="57"/>
      <c r="N110" s="31"/>
    </row>
    <row r="111" spans="1:14" s="32" customFormat="1" ht="15.75" customHeight="1" x14ac:dyDescent="0.25">
      <c r="A111" s="58">
        <f t="shared" si="0"/>
        <v>8</v>
      </c>
      <c r="B111" s="59"/>
      <c r="C111" s="37" t="s">
        <v>200</v>
      </c>
      <c r="D111" s="37">
        <f>(2.3*4.5+1.2*1.3)*10.764</f>
        <v>128.19924</v>
      </c>
      <c r="E111" s="37">
        <v>0</v>
      </c>
      <c r="F111" s="37">
        <f t="shared" si="2"/>
        <v>198.708822</v>
      </c>
      <c r="G111" s="138"/>
      <c r="H111" s="139"/>
      <c r="I111" s="31"/>
      <c r="L111" s="57"/>
      <c r="M111" s="57"/>
      <c r="N111" s="31"/>
    </row>
    <row r="112" spans="1:14" s="32" customFormat="1" ht="15.75" customHeight="1" x14ac:dyDescent="0.25">
      <c r="A112" s="58">
        <f t="shared" si="0"/>
        <v>9</v>
      </c>
      <c r="B112" s="59"/>
      <c r="C112" s="37" t="s">
        <v>200</v>
      </c>
      <c r="D112" s="37">
        <f>2.75*4.8*10.764</f>
        <v>142.08479999999997</v>
      </c>
      <c r="E112" s="37">
        <v>0</v>
      </c>
      <c r="F112" s="37">
        <f t="shared" ref="F112:F114" si="3">(D112+E112)*(($F$102)+1)</f>
        <v>220.23143999999996</v>
      </c>
      <c r="G112" s="138"/>
      <c r="H112" s="139"/>
      <c r="I112" s="31"/>
      <c r="L112" s="57"/>
      <c r="M112" s="57"/>
      <c r="N112" s="31"/>
    </row>
    <row r="113" spans="1:14" s="32" customFormat="1" ht="15.75" customHeight="1" x14ac:dyDescent="0.25">
      <c r="A113" s="58">
        <f t="shared" si="0"/>
        <v>10</v>
      </c>
      <c r="B113" s="59"/>
      <c r="C113" s="37" t="s">
        <v>200</v>
      </c>
      <c r="D113" s="37">
        <f>2.75*6.65*10.764</f>
        <v>196.84665000000001</v>
      </c>
      <c r="E113" s="37">
        <v>0</v>
      </c>
      <c r="F113" s="37">
        <f t="shared" si="3"/>
        <v>305.11230750000004</v>
      </c>
      <c r="G113" s="138"/>
      <c r="H113" s="139"/>
      <c r="I113" s="31"/>
      <c r="L113" s="57"/>
      <c r="M113" s="57"/>
      <c r="N113" s="31"/>
    </row>
    <row r="114" spans="1:14" s="32" customFormat="1" ht="15.75" customHeight="1" x14ac:dyDescent="0.25">
      <c r="A114" s="58">
        <f t="shared" si="0"/>
        <v>11</v>
      </c>
      <c r="B114" s="59"/>
      <c r="C114" s="37" t="s">
        <v>200</v>
      </c>
      <c r="D114" s="37">
        <f>(2.3*4.3+0.95*1.3)*10.764</f>
        <v>119.74949999999997</v>
      </c>
      <c r="E114" s="37">
        <v>0</v>
      </c>
      <c r="F114" s="37">
        <f t="shared" si="3"/>
        <v>185.61172499999995</v>
      </c>
      <c r="G114" s="138"/>
      <c r="H114" s="139"/>
      <c r="I114" s="31"/>
      <c r="L114" s="57"/>
      <c r="M114" s="57"/>
      <c r="N114" s="31"/>
    </row>
    <row r="115" spans="1:14" s="32" customFormat="1" ht="15.75" customHeight="1" x14ac:dyDescent="0.25">
      <c r="A115" s="58">
        <f t="shared" si="0"/>
        <v>12</v>
      </c>
      <c r="B115" s="59"/>
      <c r="C115" s="37" t="s">
        <v>200</v>
      </c>
      <c r="D115" s="37">
        <f>(4.65*5.6)*10.764</f>
        <v>280.29455999999999</v>
      </c>
      <c r="E115" s="37">
        <v>0</v>
      </c>
      <c r="F115" s="37">
        <f t="shared" ref="F115" si="4">(D115+E115)*(($F$102)+1)</f>
        <v>434.456568</v>
      </c>
      <c r="G115" s="140"/>
      <c r="H115" s="141"/>
      <c r="I115" s="31"/>
      <c r="L115" s="57"/>
      <c r="M115" s="57"/>
      <c r="N115" s="31"/>
    </row>
    <row r="116" spans="1:14" s="32" customFormat="1" x14ac:dyDescent="0.25">
      <c r="A116" s="58"/>
      <c r="B116" s="61"/>
      <c r="C116" s="61"/>
      <c r="D116" s="61"/>
      <c r="E116" s="61"/>
      <c r="F116" s="61"/>
      <c r="G116" s="61"/>
      <c r="H116" s="59"/>
      <c r="I116" s="31"/>
      <c r="N116" s="31"/>
    </row>
    <row r="117" spans="1:14" ht="47.25" customHeight="1" x14ac:dyDescent="0.25">
      <c r="A117" s="62" t="s">
        <v>124</v>
      </c>
      <c r="B117" s="62" t="s">
        <v>125</v>
      </c>
      <c r="C117" s="78" t="s">
        <v>60</v>
      </c>
      <c r="D117" s="78" t="s">
        <v>61</v>
      </c>
      <c r="E117" s="84" t="s">
        <v>62</v>
      </c>
      <c r="F117" s="38" t="s">
        <v>153</v>
      </c>
      <c r="G117" s="62" t="s">
        <v>63</v>
      </c>
      <c r="H117" s="86"/>
      <c r="I117" s="31"/>
    </row>
    <row r="118" spans="1:14" s="32" customFormat="1" x14ac:dyDescent="0.25">
      <c r="A118" s="63"/>
      <c r="B118" s="63"/>
      <c r="C118" s="79"/>
      <c r="D118" s="79"/>
      <c r="E118" s="85"/>
      <c r="F118" s="13">
        <v>0.5</v>
      </c>
      <c r="G118" s="63"/>
      <c r="H118" s="87"/>
      <c r="I118" s="31"/>
    </row>
    <row r="119" spans="1:14" s="32" customFormat="1" x14ac:dyDescent="0.25">
      <c r="A119" s="64" t="s">
        <v>201</v>
      </c>
      <c r="B119" s="64"/>
      <c r="C119" s="64"/>
      <c r="D119" s="64"/>
      <c r="E119" s="64"/>
      <c r="F119" s="64"/>
      <c r="G119" s="64"/>
      <c r="H119" s="64"/>
      <c r="I119" s="31"/>
      <c r="L119" s="57"/>
      <c r="M119" s="57"/>
    </row>
    <row r="120" spans="1:14" s="32" customFormat="1" x14ac:dyDescent="0.25">
      <c r="A120" s="60">
        <v>1</v>
      </c>
      <c r="B120" s="60"/>
      <c r="C120" s="46" t="s">
        <v>202</v>
      </c>
      <c r="D120" s="46">
        <f>(32.63+7.75)*10.764</f>
        <v>434.65032000000002</v>
      </c>
      <c r="E120" s="46">
        <v>0</v>
      </c>
      <c r="F120" s="46">
        <f t="shared" ref="F120:F121" si="5">D120*(($F$118)+1)+(IF(E120&lt;101,E120,IF(E120&lt;201,E120/2,IF(E120&lt;=301,E120/3,E120/4))))</f>
        <v>651.97548000000006</v>
      </c>
      <c r="G120" s="60" t="str">
        <f>A119</f>
        <v>1st Floor</v>
      </c>
      <c r="H120" s="60"/>
      <c r="I120" s="31"/>
      <c r="J120" s="32">
        <f>4.2*2.75+2.5*2.3+2.75*2.75+1.5*1.2+1.35*0.95+0.9*2.3+1.2*1</f>
        <v>31.215</v>
      </c>
      <c r="N120" s="31"/>
    </row>
    <row r="121" spans="1:14" s="32" customFormat="1" x14ac:dyDescent="0.25">
      <c r="A121" s="60">
        <f t="shared" ref="A121:A130" si="6">A120+1</f>
        <v>2</v>
      </c>
      <c r="B121" s="60"/>
      <c r="C121" s="46" t="s">
        <v>203</v>
      </c>
      <c r="D121" s="46">
        <f>(45.77+2.75)*10.764</f>
        <v>522.26927999999998</v>
      </c>
      <c r="E121" s="46">
        <f>18.42*10.764</f>
        <v>198.27288000000001</v>
      </c>
      <c r="F121" s="46">
        <f t="shared" si="5"/>
        <v>882.54035999999996</v>
      </c>
      <c r="G121" s="60"/>
      <c r="H121" s="60"/>
      <c r="I121" s="31"/>
      <c r="N121" s="31"/>
    </row>
    <row r="122" spans="1:14" s="32" customFormat="1" x14ac:dyDescent="0.25">
      <c r="A122" s="60">
        <f t="shared" si="6"/>
        <v>3</v>
      </c>
      <c r="B122" s="60"/>
      <c r="C122" s="46" t="s">
        <v>202</v>
      </c>
      <c r="D122" s="46">
        <f>(35.79+2.3)*10.764</f>
        <v>410.00075999999996</v>
      </c>
      <c r="E122" s="46">
        <f>9.99*10.764</f>
        <v>107.53236</v>
      </c>
      <c r="F122" s="46">
        <f t="shared" ref="F122:F130" si="7">D122*(($F$118)+1)+(IF(E122&lt;101,E122,IF(E122&lt;201,E122/2,IF(E122&lt;=301,E122/3,E122/4))))</f>
        <v>668.76731999999993</v>
      </c>
      <c r="G122" s="60"/>
      <c r="H122" s="60"/>
      <c r="I122" s="31"/>
      <c r="N122" s="31"/>
    </row>
    <row r="123" spans="1:14" s="32" customFormat="1" x14ac:dyDescent="0.25">
      <c r="A123" s="60">
        <f t="shared" si="6"/>
        <v>4</v>
      </c>
      <c r="B123" s="60"/>
      <c r="C123" s="46" t="s">
        <v>202</v>
      </c>
      <c r="D123" s="46">
        <f>(35.79+2.3)*10.764</f>
        <v>410.00075999999996</v>
      </c>
      <c r="E123" s="46">
        <f>9.39*10.764</f>
        <v>101.07396</v>
      </c>
      <c r="F123" s="46">
        <f t="shared" si="7"/>
        <v>665.53811999999994</v>
      </c>
      <c r="G123" s="60"/>
      <c r="H123" s="60"/>
      <c r="I123" s="31"/>
      <c r="N123" s="31"/>
    </row>
    <row r="124" spans="1:14" s="32" customFormat="1" x14ac:dyDescent="0.25">
      <c r="A124" s="60">
        <f t="shared" si="6"/>
        <v>5</v>
      </c>
      <c r="B124" s="60"/>
      <c r="C124" s="46" t="s">
        <v>203</v>
      </c>
      <c r="D124" s="46">
        <f>(45.77+2.75)*10.764</f>
        <v>522.26927999999998</v>
      </c>
      <c r="E124" s="46">
        <f>18.42*10.764</f>
        <v>198.27288000000001</v>
      </c>
      <c r="F124" s="46">
        <f t="shared" si="7"/>
        <v>882.54035999999996</v>
      </c>
      <c r="G124" s="60"/>
      <c r="H124" s="60"/>
      <c r="I124" s="31"/>
      <c r="N124" s="31"/>
    </row>
    <row r="125" spans="1:14" s="32" customFormat="1" x14ac:dyDescent="0.25">
      <c r="A125" s="60">
        <f t="shared" si="6"/>
        <v>6</v>
      </c>
      <c r="B125" s="60"/>
      <c r="C125" s="46" t="s">
        <v>203</v>
      </c>
      <c r="D125" s="46">
        <f>(44.7+8.25)*10.764</f>
        <v>569.9538</v>
      </c>
      <c r="E125" s="46">
        <v>0</v>
      </c>
      <c r="F125" s="46">
        <f t="shared" si="7"/>
        <v>854.9307</v>
      </c>
      <c r="G125" s="60"/>
      <c r="H125" s="60"/>
      <c r="I125" s="31"/>
      <c r="N125" s="31"/>
    </row>
    <row r="126" spans="1:14" s="32" customFormat="1" x14ac:dyDescent="0.25">
      <c r="A126" s="60">
        <f t="shared" si="6"/>
        <v>7</v>
      </c>
      <c r="B126" s="60"/>
      <c r="C126" s="46" t="s">
        <v>202</v>
      </c>
      <c r="D126" s="46">
        <f>(32.94+7.75)*10.764</f>
        <v>437.98715999999996</v>
      </c>
      <c r="E126" s="46">
        <v>0</v>
      </c>
      <c r="F126" s="46">
        <f t="shared" si="7"/>
        <v>656.98073999999997</v>
      </c>
      <c r="G126" s="60"/>
      <c r="H126" s="60"/>
      <c r="I126" s="31"/>
      <c r="N126" s="31"/>
    </row>
    <row r="127" spans="1:14" s="32" customFormat="1" x14ac:dyDescent="0.25">
      <c r="A127" s="60">
        <f t="shared" si="6"/>
        <v>8</v>
      </c>
      <c r="B127" s="60"/>
      <c r="C127" s="46" t="s">
        <v>202</v>
      </c>
      <c r="D127" s="46">
        <f>(30.3+7.75)*10.764</f>
        <v>409.57019999999994</v>
      </c>
      <c r="E127" s="48">
        <v>0</v>
      </c>
      <c r="F127" s="46">
        <f t="shared" si="7"/>
        <v>614.35529999999994</v>
      </c>
      <c r="G127" s="60"/>
      <c r="H127" s="60"/>
      <c r="I127" s="31"/>
      <c r="N127" s="31"/>
    </row>
    <row r="128" spans="1:14" s="32" customFormat="1" x14ac:dyDescent="0.25">
      <c r="A128" s="60">
        <f t="shared" si="6"/>
        <v>9</v>
      </c>
      <c r="B128" s="60"/>
      <c r="C128" s="46" t="s">
        <v>202</v>
      </c>
      <c r="D128" s="46">
        <f>(32.43+7.75)*10.764</f>
        <v>432.49751999999995</v>
      </c>
      <c r="E128" s="46">
        <v>0</v>
      </c>
      <c r="F128" s="46">
        <f t="shared" si="7"/>
        <v>648.74627999999996</v>
      </c>
      <c r="G128" s="60"/>
      <c r="H128" s="60"/>
      <c r="I128" s="31"/>
      <c r="N128" s="31"/>
    </row>
    <row r="129" spans="1:14" s="32" customFormat="1" x14ac:dyDescent="0.25">
      <c r="A129" s="60">
        <f t="shared" si="6"/>
        <v>10</v>
      </c>
      <c r="B129" s="60"/>
      <c r="C129" s="46" t="s">
        <v>202</v>
      </c>
      <c r="D129" s="46">
        <f>(30.35+5.45)*10.764</f>
        <v>385.35120000000001</v>
      </c>
      <c r="E129" s="46">
        <v>0</v>
      </c>
      <c r="F129" s="46">
        <f t="shared" si="7"/>
        <v>578.02679999999998</v>
      </c>
      <c r="G129" s="60"/>
      <c r="H129" s="60"/>
      <c r="I129" s="31"/>
      <c r="N129" s="31"/>
    </row>
    <row r="130" spans="1:14" s="32" customFormat="1" x14ac:dyDescent="0.25">
      <c r="A130" s="60">
        <f t="shared" si="6"/>
        <v>11</v>
      </c>
      <c r="B130" s="60"/>
      <c r="C130" s="46" t="s">
        <v>202</v>
      </c>
      <c r="D130" s="46">
        <f>(32.94+7.75)*10.764</f>
        <v>437.98715999999996</v>
      </c>
      <c r="E130" s="46">
        <v>0</v>
      </c>
      <c r="F130" s="46">
        <f t="shared" si="7"/>
        <v>656.98073999999997</v>
      </c>
      <c r="G130" s="60"/>
      <c r="H130" s="60"/>
      <c r="I130" s="31"/>
      <c r="N130" s="31"/>
    </row>
    <row r="131" spans="1:14" s="32" customFormat="1" ht="15.75" customHeight="1" x14ac:dyDescent="0.25">
      <c r="A131" s="64" t="s">
        <v>204</v>
      </c>
      <c r="B131" s="64"/>
      <c r="C131" s="64"/>
      <c r="D131" s="64"/>
      <c r="E131" s="64"/>
      <c r="F131" s="64"/>
      <c r="G131" s="64"/>
      <c r="H131" s="64"/>
      <c r="I131" s="31"/>
    </row>
    <row r="132" spans="1:14" s="32" customFormat="1" ht="15.75" customHeight="1" x14ac:dyDescent="0.25">
      <c r="A132" s="58">
        <v>1</v>
      </c>
      <c r="B132" s="59"/>
      <c r="C132" s="37" t="s">
        <v>202</v>
      </c>
      <c r="D132" s="37">
        <f>40.38*10.764</f>
        <v>434.65032000000002</v>
      </c>
      <c r="E132" s="37">
        <v>0</v>
      </c>
      <c r="F132" s="37">
        <f t="shared" ref="F132:F142" si="8">D132*(($F$118)+1)+(IF(E132&lt;101,E132,IF(E132&lt;201,E132/2,IF(E132&lt;=301,E132/3,E132/4))))</f>
        <v>651.97548000000006</v>
      </c>
      <c r="G132" s="136" t="str">
        <f>A131</f>
        <v>2nd, 3rd, 4th, 5th, 6th, 7th, 9th, 10th, 11th, 12th &amp; 14th Floor</v>
      </c>
      <c r="H132" s="137"/>
      <c r="I132" s="31"/>
    </row>
    <row r="133" spans="1:14" s="32" customFormat="1" ht="15.75" customHeight="1" x14ac:dyDescent="0.25">
      <c r="A133" s="58">
        <v>2</v>
      </c>
      <c r="B133" s="59"/>
      <c r="C133" s="37" t="s">
        <v>203</v>
      </c>
      <c r="D133" s="37">
        <f>55.22*10.764</f>
        <v>594.38807999999995</v>
      </c>
      <c r="E133" s="37">
        <v>0</v>
      </c>
      <c r="F133" s="37">
        <f t="shared" si="8"/>
        <v>891.58211999999992</v>
      </c>
      <c r="G133" s="138"/>
      <c r="H133" s="139"/>
      <c r="I133" s="31"/>
    </row>
    <row r="134" spans="1:14" s="32" customFormat="1" ht="15.75" customHeight="1" x14ac:dyDescent="0.25">
      <c r="A134" s="58">
        <v>3</v>
      </c>
      <c r="B134" s="59"/>
      <c r="C134" s="37" t="s">
        <v>202</v>
      </c>
      <c r="D134" s="37">
        <f>40.71*10.764</f>
        <v>438.20243999999997</v>
      </c>
      <c r="E134" s="37">
        <v>0</v>
      </c>
      <c r="F134" s="37">
        <f t="shared" si="8"/>
        <v>657.30365999999992</v>
      </c>
      <c r="G134" s="138"/>
      <c r="H134" s="139"/>
      <c r="I134" s="31"/>
    </row>
    <row r="135" spans="1:14" s="32" customFormat="1" ht="15.75" customHeight="1" x14ac:dyDescent="0.25">
      <c r="A135" s="58">
        <v>4</v>
      </c>
      <c r="B135" s="59"/>
      <c r="C135" s="37" t="s">
        <v>202</v>
      </c>
      <c r="D135" s="37">
        <f>40.71*10.764</f>
        <v>438.20243999999997</v>
      </c>
      <c r="E135" s="37">
        <v>0</v>
      </c>
      <c r="F135" s="37">
        <f t="shared" si="8"/>
        <v>657.30365999999992</v>
      </c>
      <c r="G135" s="138"/>
      <c r="H135" s="139"/>
      <c r="I135" s="31"/>
    </row>
    <row r="136" spans="1:14" s="32" customFormat="1" ht="15.75" customHeight="1" x14ac:dyDescent="0.25">
      <c r="A136" s="58">
        <v>5</v>
      </c>
      <c r="B136" s="59"/>
      <c r="C136" s="37" t="s">
        <v>203</v>
      </c>
      <c r="D136" s="37">
        <f>55.22*10.764</f>
        <v>594.38807999999995</v>
      </c>
      <c r="E136" s="37">
        <v>0</v>
      </c>
      <c r="F136" s="37">
        <f t="shared" si="8"/>
        <v>891.58211999999992</v>
      </c>
      <c r="G136" s="138"/>
      <c r="H136" s="139"/>
      <c r="I136" s="31">
        <f>2.75*4.2+2.3*2.5+2.75*2.75+3.5*2.75+2.1*1.2+1.2*2.1+1*2.1+1*2.1</f>
        <v>43.727500000000006</v>
      </c>
    </row>
    <row r="137" spans="1:14" s="32" customFormat="1" ht="15.75" customHeight="1" x14ac:dyDescent="0.25">
      <c r="A137" s="58">
        <v>6</v>
      </c>
      <c r="B137" s="59"/>
      <c r="C137" s="37" t="s">
        <v>203</v>
      </c>
      <c r="D137" s="37">
        <f>52.95*10.764</f>
        <v>569.9538</v>
      </c>
      <c r="E137" s="37">
        <v>0</v>
      </c>
      <c r="F137" s="37">
        <f t="shared" si="8"/>
        <v>854.9307</v>
      </c>
      <c r="G137" s="138"/>
      <c r="H137" s="139"/>
      <c r="I137" s="31"/>
    </row>
    <row r="138" spans="1:14" s="32" customFormat="1" ht="15.75" customHeight="1" x14ac:dyDescent="0.25">
      <c r="A138" s="58">
        <v>7</v>
      </c>
      <c r="B138" s="59"/>
      <c r="C138" s="37" t="s">
        <v>202</v>
      </c>
      <c r="D138" s="37">
        <f>40.69*10.734</f>
        <v>436.76646</v>
      </c>
      <c r="E138" s="37">
        <v>0</v>
      </c>
      <c r="F138" s="37">
        <f t="shared" si="8"/>
        <v>655.14968999999996</v>
      </c>
      <c r="G138" s="138"/>
      <c r="H138" s="139"/>
      <c r="I138" s="31"/>
    </row>
    <row r="139" spans="1:14" s="32" customFormat="1" ht="15.75" customHeight="1" x14ac:dyDescent="0.25">
      <c r="A139" s="58">
        <v>8</v>
      </c>
      <c r="B139" s="59"/>
      <c r="C139" s="37" t="s">
        <v>202</v>
      </c>
      <c r="D139" s="37">
        <f>38.05*10.764</f>
        <v>409.57019999999994</v>
      </c>
      <c r="E139" s="37">
        <v>0</v>
      </c>
      <c r="F139" s="37">
        <f t="shared" si="8"/>
        <v>614.35529999999994</v>
      </c>
      <c r="G139" s="138"/>
      <c r="H139" s="139"/>
      <c r="I139" s="31"/>
    </row>
    <row r="140" spans="1:14" s="32" customFormat="1" ht="15.75" customHeight="1" x14ac:dyDescent="0.25">
      <c r="A140" s="58">
        <v>9</v>
      </c>
      <c r="B140" s="59"/>
      <c r="C140" s="37" t="s">
        <v>202</v>
      </c>
      <c r="D140" s="37">
        <f>40.18*10.764</f>
        <v>432.49751999999995</v>
      </c>
      <c r="E140" s="37">
        <v>0</v>
      </c>
      <c r="F140" s="37">
        <f t="shared" si="8"/>
        <v>648.74627999999996</v>
      </c>
      <c r="G140" s="138"/>
      <c r="H140" s="139"/>
      <c r="I140" s="31"/>
    </row>
    <row r="141" spans="1:14" s="32" customFormat="1" ht="15.75" customHeight="1" x14ac:dyDescent="0.25">
      <c r="A141" s="58">
        <v>10</v>
      </c>
      <c r="B141" s="59"/>
      <c r="C141" s="37" t="s">
        <v>202</v>
      </c>
      <c r="D141" s="37">
        <f>35.8*10.764</f>
        <v>385.35119999999995</v>
      </c>
      <c r="E141" s="37">
        <v>0</v>
      </c>
      <c r="F141" s="37">
        <f t="shared" si="8"/>
        <v>578.02679999999987</v>
      </c>
      <c r="G141" s="138"/>
      <c r="H141" s="139"/>
      <c r="I141" s="31"/>
    </row>
    <row r="142" spans="1:14" s="32" customFormat="1" ht="15.75" customHeight="1" x14ac:dyDescent="0.25">
      <c r="A142" s="58">
        <v>11</v>
      </c>
      <c r="B142" s="59"/>
      <c r="C142" s="37" t="s">
        <v>202</v>
      </c>
      <c r="D142" s="37">
        <f>40.69*10.764</f>
        <v>437.98715999999996</v>
      </c>
      <c r="E142" s="37">
        <v>0</v>
      </c>
      <c r="F142" s="37">
        <f t="shared" si="8"/>
        <v>656.98073999999997</v>
      </c>
      <c r="G142" s="140"/>
      <c r="H142" s="141"/>
      <c r="I142" s="31"/>
    </row>
    <row r="143" spans="1:14" s="32" customFormat="1" ht="15.75" customHeight="1" x14ac:dyDescent="0.25">
      <c r="A143" s="81" t="s">
        <v>205</v>
      </c>
      <c r="B143" s="82"/>
      <c r="C143" s="82"/>
      <c r="D143" s="82"/>
      <c r="E143" s="82"/>
      <c r="F143" s="82"/>
      <c r="G143" s="82"/>
      <c r="H143" s="83"/>
      <c r="I143" s="31"/>
    </row>
    <row r="144" spans="1:14" s="32" customFormat="1" ht="15.75" customHeight="1" x14ac:dyDescent="0.25">
      <c r="A144" s="58">
        <v>1</v>
      </c>
      <c r="B144" s="59"/>
      <c r="C144" s="37" t="s">
        <v>202</v>
      </c>
      <c r="D144" s="37">
        <f>40.38*10.764</f>
        <v>434.65032000000002</v>
      </c>
      <c r="E144" s="37">
        <v>0</v>
      </c>
      <c r="F144" s="37">
        <f t="shared" ref="F144:F149" si="9">D144*(($F$118)+1)+(IF(E144&lt;101,E144,IF(E144&lt;201,E144/2,IF(E144&lt;=301,E144/3,E144/4))))</f>
        <v>651.97548000000006</v>
      </c>
      <c r="G144" s="136" t="str">
        <f>A143</f>
        <v>8th &amp; 13th Floor (Part Refuge Area)</v>
      </c>
      <c r="H144" s="137"/>
      <c r="I144" s="31"/>
    </row>
    <row r="145" spans="1:9" s="32" customFormat="1" ht="15.75" customHeight="1" x14ac:dyDescent="0.25">
      <c r="A145" s="58">
        <v>2</v>
      </c>
      <c r="B145" s="59"/>
      <c r="C145" s="37" t="s">
        <v>203</v>
      </c>
      <c r="D145" s="37">
        <f>55.22*10.764</f>
        <v>594.38807999999995</v>
      </c>
      <c r="E145" s="37">
        <v>0</v>
      </c>
      <c r="F145" s="37">
        <f t="shared" si="9"/>
        <v>891.58211999999992</v>
      </c>
      <c r="G145" s="138"/>
      <c r="H145" s="139"/>
      <c r="I145" s="31"/>
    </row>
    <row r="146" spans="1:9" s="32" customFormat="1" ht="15.75" customHeight="1" x14ac:dyDescent="0.25">
      <c r="A146" s="58">
        <v>3</v>
      </c>
      <c r="B146" s="59"/>
      <c r="C146" s="37" t="s">
        <v>202</v>
      </c>
      <c r="D146" s="37">
        <f>40.71*10.764</f>
        <v>438.20243999999997</v>
      </c>
      <c r="E146" s="37">
        <v>0</v>
      </c>
      <c r="F146" s="37">
        <f t="shared" si="9"/>
        <v>657.30365999999992</v>
      </c>
      <c r="G146" s="138"/>
      <c r="H146" s="139"/>
      <c r="I146" s="31"/>
    </row>
    <row r="147" spans="1:9" s="32" customFormat="1" ht="15.75" customHeight="1" x14ac:dyDescent="0.25">
      <c r="A147" s="58">
        <v>4</v>
      </c>
      <c r="B147" s="59"/>
      <c r="C147" s="37" t="s">
        <v>202</v>
      </c>
      <c r="D147" s="37">
        <f>40.71*10.764</f>
        <v>438.20243999999997</v>
      </c>
      <c r="E147" s="37">
        <v>0</v>
      </c>
      <c r="F147" s="37">
        <f t="shared" si="9"/>
        <v>657.30365999999992</v>
      </c>
      <c r="G147" s="138"/>
      <c r="H147" s="139"/>
      <c r="I147" s="31"/>
    </row>
    <row r="148" spans="1:9" s="32" customFormat="1" ht="15.75" customHeight="1" x14ac:dyDescent="0.25">
      <c r="A148" s="58">
        <v>5</v>
      </c>
      <c r="B148" s="59"/>
      <c r="C148" s="37" t="s">
        <v>203</v>
      </c>
      <c r="D148" s="37">
        <f>55.22*10.764</f>
        <v>594.38807999999995</v>
      </c>
      <c r="E148" s="37">
        <v>0</v>
      </c>
      <c r="F148" s="37">
        <f t="shared" si="9"/>
        <v>891.58211999999992</v>
      </c>
      <c r="G148" s="138"/>
      <c r="H148" s="139"/>
      <c r="I148" s="31">
        <f>2.75*4.2+2.3*2.5+2.75*2.75+3.5*2.75+2.1*1.2+1.2*2.1+1*2.1+1*2.1</f>
        <v>43.727500000000006</v>
      </c>
    </row>
    <row r="149" spans="1:9" s="32" customFormat="1" ht="15.75" customHeight="1" x14ac:dyDescent="0.25">
      <c r="A149" s="58">
        <v>6</v>
      </c>
      <c r="B149" s="59"/>
      <c r="C149" s="37" t="s">
        <v>203</v>
      </c>
      <c r="D149" s="37">
        <f>52.95*10.764</f>
        <v>569.9538</v>
      </c>
      <c r="E149" s="37">
        <v>0</v>
      </c>
      <c r="F149" s="37">
        <f t="shared" si="9"/>
        <v>854.9307</v>
      </c>
      <c r="G149" s="138"/>
      <c r="H149" s="139"/>
      <c r="I149" s="31"/>
    </row>
    <row r="150" spans="1:9" s="32" customFormat="1" ht="15.75" customHeight="1" x14ac:dyDescent="0.25">
      <c r="A150" s="58">
        <v>7</v>
      </c>
      <c r="B150" s="59"/>
      <c r="C150" s="58" t="s">
        <v>206</v>
      </c>
      <c r="D150" s="61"/>
      <c r="E150" s="61"/>
      <c r="F150" s="59"/>
      <c r="G150" s="138"/>
      <c r="H150" s="139"/>
      <c r="I150" s="31"/>
    </row>
    <row r="151" spans="1:9" s="32" customFormat="1" ht="15.75" customHeight="1" x14ac:dyDescent="0.25">
      <c r="A151" s="58">
        <v>8</v>
      </c>
      <c r="B151" s="59"/>
      <c r="C151" s="37" t="s">
        <v>202</v>
      </c>
      <c r="D151" s="37">
        <f>38.05*10.764</f>
        <v>409.57019999999994</v>
      </c>
      <c r="E151" s="37">
        <v>0</v>
      </c>
      <c r="F151" s="37">
        <f>D151*(($F$118)+1)+(IF(E151&lt;101,E151,IF(E151&lt;201,E151/2,IF(E151&lt;=301,E151/3,E151/4))))</f>
        <v>614.35529999999994</v>
      </c>
      <c r="G151" s="138"/>
      <c r="H151" s="139"/>
      <c r="I151" s="31"/>
    </row>
    <row r="152" spans="1:9" s="32" customFormat="1" ht="15.75" customHeight="1" x14ac:dyDescent="0.25">
      <c r="A152" s="58">
        <v>9</v>
      </c>
      <c r="B152" s="59"/>
      <c r="C152" s="37" t="s">
        <v>202</v>
      </c>
      <c r="D152" s="37">
        <f>40.18*10.764</f>
        <v>432.49751999999995</v>
      </c>
      <c r="E152" s="37">
        <v>0</v>
      </c>
      <c r="F152" s="37">
        <f>D152*(($F$118)+1)+(IF(E152&lt;101,E152,IF(E152&lt;201,E152/2,IF(E152&lt;=301,E152/3,E152/4))))</f>
        <v>648.74627999999996</v>
      </c>
      <c r="G152" s="138"/>
      <c r="H152" s="139"/>
      <c r="I152" s="31"/>
    </row>
    <row r="153" spans="1:9" s="32" customFormat="1" ht="15.75" customHeight="1" x14ac:dyDescent="0.25">
      <c r="A153" s="58">
        <v>10</v>
      </c>
      <c r="B153" s="59"/>
      <c r="C153" s="37" t="s">
        <v>202</v>
      </c>
      <c r="D153" s="37">
        <f>35.8*10.764</f>
        <v>385.35119999999995</v>
      </c>
      <c r="E153" s="37">
        <v>0</v>
      </c>
      <c r="F153" s="37">
        <f>D153*(($F$118)+1)+(IF(E153&lt;101,E153,IF(E153&lt;201,E153/2,IF(E153&lt;=301,E153/3,E153/4))))</f>
        <v>578.02679999999987</v>
      </c>
      <c r="G153" s="138"/>
      <c r="H153" s="139"/>
      <c r="I153" s="31"/>
    </row>
    <row r="154" spans="1:9" s="32" customFormat="1" ht="15.75" customHeight="1" x14ac:dyDescent="0.25">
      <c r="A154" s="58">
        <v>11</v>
      </c>
      <c r="B154" s="59"/>
      <c r="C154" s="37" t="s">
        <v>202</v>
      </c>
      <c r="D154" s="37">
        <f>40.69*10.764</f>
        <v>437.98715999999996</v>
      </c>
      <c r="E154" s="37">
        <v>0</v>
      </c>
      <c r="F154" s="37">
        <f>D154*(($F$118)+1)+(IF(E154&lt;101,E154,IF(E154&lt;201,E154/2,IF(E154&lt;=301,E154/3,E154/4))))</f>
        <v>656.98073999999997</v>
      </c>
      <c r="G154" s="140"/>
      <c r="H154" s="141"/>
      <c r="I154" s="31"/>
    </row>
    <row r="155" spans="1:9" s="30" customFormat="1" x14ac:dyDescent="0.25">
      <c r="A155" s="132" t="s">
        <v>71</v>
      </c>
      <c r="B155" s="132"/>
      <c r="C155" s="132"/>
      <c r="D155" s="132"/>
      <c r="E155" s="132"/>
      <c r="F155" s="132"/>
      <c r="G155" s="132"/>
      <c r="H155" s="132"/>
    </row>
    <row r="156" spans="1:9" s="30" customFormat="1" x14ac:dyDescent="0.25">
      <c r="A156" s="40" t="s">
        <v>156</v>
      </c>
      <c r="B156" s="129" t="s">
        <v>226</v>
      </c>
      <c r="C156" s="130"/>
      <c r="D156" s="130"/>
      <c r="E156" s="130"/>
      <c r="F156" s="130"/>
      <c r="G156" s="130"/>
      <c r="H156" s="131"/>
      <c r="I156" s="30" t="s">
        <v>226</v>
      </c>
    </row>
    <row r="157" spans="1:9" s="30" customFormat="1" x14ac:dyDescent="0.25">
      <c r="A157" s="40" t="s">
        <v>156</v>
      </c>
      <c r="B157" s="129" t="str">
        <f>(IF(F117="Saleable area Loading :","We have considered Saleable area of Flats as per our Calculation.","We considered Saleable area of Flat as per Builder area Sheet."))</f>
        <v>We have considered Saleable area of Flats as per our Calculation.</v>
      </c>
      <c r="C157" s="130"/>
      <c r="D157" s="130"/>
      <c r="E157" s="130"/>
      <c r="F157" s="130"/>
      <c r="G157" s="130"/>
      <c r="H157" s="131"/>
    </row>
    <row r="158" spans="1:9" s="30" customFormat="1" x14ac:dyDescent="0.25">
      <c r="A158" s="40" t="s">
        <v>156</v>
      </c>
      <c r="B158" s="129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" s="130"/>
      <c r="D158" s="130"/>
      <c r="E158" s="130"/>
      <c r="F158" s="130"/>
      <c r="G158" s="130"/>
      <c r="H158" s="131"/>
    </row>
    <row r="159" spans="1:9" s="30" customFormat="1" x14ac:dyDescent="0.25">
      <c r="A159" s="40" t="s">
        <v>156</v>
      </c>
      <c r="B159" s="73" t="s">
        <v>127</v>
      </c>
      <c r="C159" s="74"/>
      <c r="D159" s="74"/>
      <c r="E159" s="74"/>
      <c r="F159" s="74"/>
      <c r="G159" s="74"/>
      <c r="H159" s="75"/>
    </row>
    <row r="160" spans="1:9" s="30" customFormat="1" x14ac:dyDescent="0.25">
      <c r="A160" s="40" t="s">
        <v>156</v>
      </c>
      <c r="B160" s="73" t="s">
        <v>209</v>
      </c>
      <c r="C160" s="74"/>
      <c r="D160" s="74"/>
      <c r="E160" s="74"/>
      <c r="F160" s="74"/>
      <c r="G160" s="74"/>
      <c r="H160" s="75"/>
    </row>
    <row r="161" spans="1:8" s="30" customFormat="1" x14ac:dyDescent="0.25">
      <c r="A161" s="40" t="s">
        <v>156</v>
      </c>
      <c r="B161" s="73" t="s">
        <v>155</v>
      </c>
      <c r="C161" s="74"/>
      <c r="D161" s="74"/>
      <c r="E161" s="74"/>
      <c r="F161" s="74"/>
      <c r="G161" s="74"/>
      <c r="H161" s="75"/>
    </row>
    <row r="162" spans="1:8" s="30" customFormat="1" x14ac:dyDescent="0.25">
      <c r="A162" s="40" t="s">
        <v>156</v>
      </c>
      <c r="B162" s="73" t="s">
        <v>128</v>
      </c>
      <c r="C162" s="74"/>
      <c r="D162" s="74"/>
      <c r="E162" s="74"/>
      <c r="F162" s="74"/>
      <c r="G162" s="74"/>
      <c r="H162" s="75"/>
    </row>
    <row r="163" spans="1:8" s="30" customFormat="1" ht="33" customHeight="1" x14ac:dyDescent="0.25">
      <c r="A163" s="47" t="s">
        <v>156</v>
      </c>
      <c r="B163" s="67" t="s">
        <v>157</v>
      </c>
      <c r="C163" s="67"/>
      <c r="D163" s="67"/>
      <c r="E163" s="67"/>
      <c r="F163" s="67"/>
      <c r="G163" s="67"/>
      <c r="H163" s="67"/>
    </row>
    <row r="164" spans="1:8" s="30" customFormat="1" x14ac:dyDescent="0.25">
      <c r="A164" s="47" t="s">
        <v>156</v>
      </c>
      <c r="B164" s="67" t="s">
        <v>129</v>
      </c>
      <c r="C164" s="67"/>
      <c r="D164" s="67"/>
      <c r="E164" s="67"/>
      <c r="F164" s="67"/>
      <c r="G164" s="67"/>
      <c r="H164" s="67"/>
    </row>
    <row r="165" spans="1:8" s="30" customFormat="1" x14ac:dyDescent="0.25">
      <c r="A165" s="47" t="s">
        <v>156</v>
      </c>
      <c r="B165" s="55" t="s">
        <v>210</v>
      </c>
      <c r="C165" s="55"/>
      <c r="D165" s="55"/>
      <c r="E165" s="55"/>
      <c r="F165" s="55"/>
      <c r="G165" s="55"/>
      <c r="H165" s="55"/>
    </row>
    <row r="166" spans="1:8" s="30" customFormat="1" x14ac:dyDescent="0.25">
      <c r="A166" s="47" t="s">
        <v>156</v>
      </c>
      <c r="B166" s="55" t="s">
        <v>218</v>
      </c>
      <c r="C166" s="55"/>
      <c r="D166" s="55"/>
      <c r="E166" s="55"/>
      <c r="F166" s="55"/>
      <c r="G166" s="55"/>
      <c r="H166" s="55"/>
    </row>
    <row r="167" spans="1:8" s="30" customFormat="1" ht="32.450000000000003" hidden="1" customHeight="1" x14ac:dyDescent="0.25">
      <c r="A167" s="47" t="s">
        <v>156</v>
      </c>
      <c r="B167" s="56" t="s">
        <v>219</v>
      </c>
      <c r="C167" s="56"/>
      <c r="D167" s="56"/>
      <c r="E167" s="56"/>
      <c r="F167" s="56"/>
      <c r="G167" s="56"/>
      <c r="H167" s="56"/>
    </row>
    <row r="168" spans="1:8" s="30" customFormat="1" x14ac:dyDescent="0.25">
      <c r="A168" s="52" t="s">
        <v>156</v>
      </c>
      <c r="B168" s="55" t="s">
        <v>221</v>
      </c>
      <c r="C168" s="55"/>
      <c r="D168" s="55"/>
      <c r="E168" s="55"/>
      <c r="F168" s="55"/>
      <c r="G168" s="55"/>
      <c r="H168" s="55"/>
    </row>
    <row r="169" spans="1:8" x14ac:dyDescent="0.25">
      <c r="A169" s="127" t="s">
        <v>64</v>
      </c>
      <c r="B169" s="127"/>
      <c r="C169" s="127"/>
      <c r="D169" s="127"/>
      <c r="E169" s="127"/>
      <c r="F169" s="127"/>
      <c r="G169" s="127"/>
      <c r="H169" s="127"/>
    </row>
    <row r="170" spans="1:8" x14ac:dyDescent="0.25">
      <c r="A170" s="77" t="s">
        <v>65</v>
      </c>
      <c r="B170" s="77"/>
      <c r="C170" s="77"/>
      <c r="D170" s="77"/>
      <c r="E170" s="77"/>
      <c r="F170" s="77"/>
      <c r="G170" s="77"/>
      <c r="H170" s="77"/>
    </row>
    <row r="171" spans="1:8" ht="15.75" customHeight="1" x14ac:dyDescent="0.25">
      <c r="A171" s="148" t="s">
        <v>66</v>
      </c>
      <c r="B171" s="148"/>
      <c r="C171" s="148"/>
      <c r="D171" s="148"/>
      <c r="E171" s="148"/>
      <c r="F171" s="148"/>
      <c r="G171" s="148"/>
      <c r="H171" s="148"/>
    </row>
    <row r="172" spans="1:8" x14ac:dyDescent="0.25">
      <c r="A172" s="77" t="s">
        <v>67</v>
      </c>
      <c r="B172" s="77"/>
      <c r="C172" s="77"/>
      <c r="D172" s="77"/>
      <c r="E172" s="77"/>
      <c r="F172" s="77"/>
      <c r="G172" s="77"/>
      <c r="H172" s="77"/>
    </row>
    <row r="173" spans="1:8" x14ac:dyDescent="0.25">
      <c r="A173" s="77" t="s">
        <v>68</v>
      </c>
      <c r="B173" s="77"/>
      <c r="C173" s="77"/>
      <c r="D173" s="77"/>
      <c r="E173" s="77"/>
      <c r="F173" s="77"/>
      <c r="G173" s="77"/>
      <c r="H173" s="77"/>
    </row>
    <row r="174" spans="1:8" hidden="1" x14ac:dyDescent="0.25">
      <c r="A174" s="77" t="s">
        <v>130</v>
      </c>
      <c r="B174" s="77"/>
      <c r="C174" s="77"/>
      <c r="D174" s="77"/>
      <c r="E174" s="77"/>
      <c r="F174" s="77"/>
      <c r="G174" s="77"/>
      <c r="H174" s="77"/>
    </row>
    <row r="175" spans="1:8" hidden="1" x14ac:dyDescent="0.25">
      <c r="A175" s="105" t="s">
        <v>131</v>
      </c>
      <c r="B175" s="105"/>
      <c r="C175" s="105"/>
      <c r="D175" s="105"/>
      <c r="E175" s="105"/>
      <c r="F175" s="105"/>
      <c r="G175" s="105"/>
      <c r="H175" s="105"/>
    </row>
    <row r="176" spans="1:8" x14ac:dyDescent="0.25">
      <c r="A176" s="124" t="s">
        <v>81</v>
      </c>
      <c r="B176" s="124"/>
      <c r="C176" s="124" t="s">
        <v>212</v>
      </c>
      <c r="D176" s="124"/>
      <c r="E176" s="124" t="s">
        <v>109</v>
      </c>
      <c r="F176" s="124"/>
      <c r="G176" s="124" t="s">
        <v>225</v>
      </c>
      <c r="H176" s="124"/>
    </row>
    <row r="177" spans="1:8" x14ac:dyDescent="0.25">
      <c r="A177" s="123" t="s">
        <v>83</v>
      </c>
      <c r="B177" s="123"/>
      <c r="C177" s="123"/>
      <c r="D177" s="123"/>
      <c r="E177" s="123"/>
      <c r="F177" s="123"/>
      <c r="G177" s="123"/>
      <c r="H177" s="123"/>
    </row>
    <row r="178" spans="1:8" x14ac:dyDescent="0.25">
      <c r="A178" s="123"/>
      <c r="B178" s="123"/>
      <c r="C178" s="123"/>
      <c r="D178" s="123"/>
      <c r="E178" s="123"/>
      <c r="F178" s="123"/>
      <c r="G178" s="123"/>
      <c r="H178" s="123"/>
    </row>
    <row r="179" spans="1:8" x14ac:dyDescent="0.25">
      <c r="A179" s="123"/>
      <c r="B179" s="123"/>
      <c r="C179" s="123"/>
      <c r="D179" s="123"/>
      <c r="E179" s="123"/>
      <c r="F179" s="123"/>
      <c r="G179" s="123"/>
      <c r="H179" s="123"/>
    </row>
    <row r="180" spans="1:8" hidden="1" x14ac:dyDescent="0.25">
      <c r="A180" s="123"/>
      <c r="B180" s="123"/>
      <c r="C180" s="123"/>
      <c r="D180" s="123"/>
      <c r="E180" s="123"/>
      <c r="F180" s="123"/>
      <c r="G180" s="123"/>
      <c r="H180" s="123"/>
    </row>
    <row r="181" spans="1:8" x14ac:dyDescent="0.25">
      <c r="A181" s="33" t="s">
        <v>69</v>
      </c>
      <c r="B181" s="34"/>
      <c r="C181" s="34"/>
      <c r="D181" s="33" t="str">
        <f>E8</f>
        <v>Tulsi Aawas</v>
      </c>
      <c r="F181" s="34"/>
      <c r="G181" s="34"/>
      <c r="H181" s="34"/>
    </row>
    <row r="182" spans="1:8" x14ac:dyDescent="0.25">
      <c r="A182" s="34"/>
      <c r="B182" s="34"/>
      <c r="C182" s="34"/>
      <c r="D182" s="34"/>
      <c r="E182" s="34"/>
      <c r="F182" s="34"/>
      <c r="G182" s="34"/>
      <c r="H182" s="34"/>
    </row>
    <row r="183" spans="1:8" x14ac:dyDescent="0.25">
      <c r="A183" s="34"/>
      <c r="B183" s="34"/>
      <c r="C183" s="34"/>
      <c r="D183" s="34"/>
      <c r="E183" s="34"/>
      <c r="F183" s="34"/>
      <c r="G183" s="34"/>
      <c r="H183" s="34"/>
    </row>
    <row r="184" spans="1:8" ht="15" customHeight="1" x14ac:dyDescent="0.25"/>
    <row r="219" spans="1:10" x14ac:dyDescent="0.25">
      <c r="J219" s="16" t="s">
        <v>213</v>
      </c>
    </row>
    <row r="223" spans="1:10" x14ac:dyDescent="0.25">
      <c r="A223" s="36" t="s">
        <v>196</v>
      </c>
    </row>
    <row r="260" spans="1:1" x14ac:dyDescent="0.25">
      <c r="A260" s="36" t="s">
        <v>70</v>
      </c>
    </row>
  </sheetData>
  <mergeCells count="312">
    <mergeCell ref="I58:M58"/>
    <mergeCell ref="B166:H166"/>
    <mergeCell ref="A16:B16"/>
    <mergeCell ref="C16:H16"/>
    <mergeCell ref="E41:H41"/>
    <mergeCell ref="A41:D41"/>
    <mergeCell ref="A174:H174"/>
    <mergeCell ref="A171:H171"/>
    <mergeCell ref="A120:B120"/>
    <mergeCell ref="A97:B97"/>
    <mergeCell ref="D117:D118"/>
    <mergeCell ref="E117:E118"/>
    <mergeCell ref="G117:H118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A142:B142"/>
    <mergeCell ref="G132:H142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B159:H159"/>
    <mergeCell ref="B160:H160"/>
    <mergeCell ref="A155:H155"/>
    <mergeCell ref="C101:C102"/>
    <mergeCell ref="A108:B108"/>
    <mergeCell ref="A113:B113"/>
    <mergeCell ref="G94:H94"/>
    <mergeCell ref="A89:E89"/>
    <mergeCell ref="C95:D95"/>
    <mergeCell ref="E95:F95"/>
    <mergeCell ref="B101:B102"/>
    <mergeCell ref="A101:A102"/>
    <mergeCell ref="C117:C118"/>
    <mergeCell ref="F89:H89"/>
    <mergeCell ref="E94:F94"/>
    <mergeCell ref="A94:B94"/>
    <mergeCell ref="A115:B115"/>
    <mergeCell ref="C97:D97"/>
    <mergeCell ref="G97:H97"/>
    <mergeCell ref="G104:H115"/>
    <mergeCell ref="G120:H130"/>
    <mergeCell ref="A143:H143"/>
    <mergeCell ref="A144:B144"/>
    <mergeCell ref="G144:H154"/>
    <mergeCell ref="B156:H156"/>
    <mergeCell ref="B157:H157"/>
    <mergeCell ref="A133:B133"/>
    <mergeCell ref="A100:H100"/>
    <mergeCell ref="A135:B135"/>
    <mergeCell ref="A138:B138"/>
    <mergeCell ref="A139:B139"/>
    <mergeCell ref="A140:B140"/>
    <mergeCell ref="A141:B141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C150:F150"/>
    <mergeCell ref="A136:B136"/>
    <mergeCell ref="A137:B137"/>
    <mergeCell ref="B117:B118"/>
    <mergeCell ref="A109:B109"/>
    <mergeCell ref="A177:H180"/>
    <mergeCell ref="A176:B176"/>
    <mergeCell ref="E176:F176"/>
    <mergeCell ref="C176:D176"/>
    <mergeCell ref="G176:H176"/>
    <mergeCell ref="A93:H93"/>
    <mergeCell ref="A91:E91"/>
    <mergeCell ref="F91:H91"/>
    <mergeCell ref="A92:E92"/>
    <mergeCell ref="F92:H92"/>
    <mergeCell ref="A119:H119"/>
    <mergeCell ref="A98:B98"/>
    <mergeCell ref="A134:B134"/>
    <mergeCell ref="A95:B95"/>
    <mergeCell ref="A172:H172"/>
    <mergeCell ref="A96:H96"/>
    <mergeCell ref="A175:H175"/>
    <mergeCell ref="A173:H173"/>
    <mergeCell ref="A169:H169"/>
    <mergeCell ref="A170:H170"/>
    <mergeCell ref="E97:F97"/>
    <mergeCell ref="B164:H164"/>
    <mergeCell ref="B162:H162"/>
    <mergeCell ref="B158:H158"/>
    <mergeCell ref="D64:H64"/>
    <mergeCell ref="A62:C62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6:B7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G37:H37"/>
    <mergeCell ref="A44:D44"/>
    <mergeCell ref="D57:H57"/>
    <mergeCell ref="A40:D40"/>
    <mergeCell ref="E40:H40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F79:H79"/>
    <mergeCell ref="F84:H84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F87:H87"/>
    <mergeCell ref="F88:H88"/>
    <mergeCell ref="L108:M108"/>
    <mergeCell ref="C98:D98"/>
    <mergeCell ref="E98:F98"/>
    <mergeCell ref="G98:H98"/>
    <mergeCell ref="F86:H86"/>
    <mergeCell ref="A80:E80"/>
    <mergeCell ref="A103:H103"/>
    <mergeCell ref="E101:E102"/>
    <mergeCell ref="G101:H102"/>
    <mergeCell ref="C94:D94"/>
    <mergeCell ref="F90:H90"/>
    <mergeCell ref="A99:H99"/>
    <mergeCell ref="A126:B126"/>
    <mergeCell ref="A130:B130"/>
    <mergeCell ref="L107:M107"/>
    <mergeCell ref="L106:M106"/>
    <mergeCell ref="L105:M105"/>
    <mergeCell ref="L104:M104"/>
    <mergeCell ref="C38:H38"/>
    <mergeCell ref="B163:H163"/>
    <mergeCell ref="A47:B47"/>
    <mergeCell ref="C47:H47"/>
    <mergeCell ref="B161:H161"/>
    <mergeCell ref="F81:H81"/>
    <mergeCell ref="A81:E81"/>
    <mergeCell ref="D101:D102"/>
    <mergeCell ref="A83:E83"/>
    <mergeCell ref="A104:B104"/>
    <mergeCell ref="A105:B105"/>
    <mergeCell ref="A106:B106"/>
    <mergeCell ref="A107:B107"/>
    <mergeCell ref="A84:E84"/>
    <mergeCell ref="A90:E90"/>
    <mergeCell ref="L113:M113"/>
    <mergeCell ref="A114:B114"/>
    <mergeCell ref="L114:M114"/>
    <mergeCell ref="B168:H168"/>
    <mergeCell ref="B167:H167"/>
    <mergeCell ref="B165:H165"/>
    <mergeCell ref="L109:M109"/>
    <mergeCell ref="A110:B110"/>
    <mergeCell ref="L110:M110"/>
    <mergeCell ref="A111:B111"/>
    <mergeCell ref="L111:M111"/>
    <mergeCell ref="A112:B112"/>
    <mergeCell ref="L112:M112"/>
    <mergeCell ref="A128:B128"/>
    <mergeCell ref="A129:B129"/>
    <mergeCell ref="A127:B127"/>
    <mergeCell ref="L119:M119"/>
    <mergeCell ref="A116:H116"/>
    <mergeCell ref="A117:A118"/>
    <mergeCell ref="A124:B124"/>
    <mergeCell ref="A121:B121"/>
    <mergeCell ref="A122:B122"/>
    <mergeCell ref="A123:B123"/>
    <mergeCell ref="L115:M115"/>
    <mergeCell ref="A131:H131"/>
    <mergeCell ref="A132:B132"/>
    <mergeCell ref="A125:B12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80" max="16383" man="1"/>
    <brk id="222" max="16383" man="1"/>
    <brk id="25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50" t="s">
        <v>110</v>
      </c>
      <c r="C3" s="150"/>
      <c r="D3" s="150"/>
      <c r="E3" s="150"/>
      <c r="F3" s="150"/>
      <c r="G3" s="150"/>
      <c r="H3" s="150"/>
    </row>
    <row r="4" spans="1:9" x14ac:dyDescent="0.25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2025-07-02T10:39:02Z</cp:lastPrinted>
  <dcterms:created xsi:type="dcterms:W3CDTF">2019-07-16T09:29:46Z</dcterms:created>
  <dcterms:modified xsi:type="dcterms:W3CDTF">2025-09-29T12:45:14Z</dcterms:modified>
</cp:coreProperties>
</file>