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New folder\"/>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Report!$A$1:$H$297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4" i="1" l="1"/>
  <c r="E143" i="1"/>
  <c r="E140" i="1"/>
  <c r="E139" i="1"/>
  <c r="E133" i="1"/>
  <c r="E132" i="1"/>
  <c r="E129" i="1"/>
  <c r="E121" i="1"/>
  <c r="E118" i="1"/>
  <c r="E107" i="1"/>
  <c r="I106" i="1"/>
  <c r="I104" i="1"/>
  <c r="I105" i="1"/>
  <c r="G51" i="1" l="1"/>
  <c r="G52" i="1" s="1"/>
  <c r="E104" i="1"/>
  <c r="E138" i="1" l="1"/>
  <c r="D139" i="1"/>
  <c r="D138" i="1"/>
  <c r="E122" i="1"/>
  <c r="E120" i="1"/>
  <c r="E119" i="1"/>
  <c r="E146" i="1"/>
  <c r="D146" i="1"/>
  <c r="E145" i="1"/>
  <c r="D145" i="1"/>
  <c r="D144" i="1"/>
  <c r="D143" i="1"/>
  <c r="E142" i="1"/>
  <c r="D142" i="1"/>
  <c r="E141" i="1"/>
  <c r="D141" i="1"/>
  <c r="D140" i="1"/>
  <c r="F139" i="1"/>
  <c r="H139" i="1" s="1"/>
  <c r="E137" i="1"/>
  <c r="D137" i="1"/>
  <c r="D135" i="1"/>
  <c r="D134" i="1"/>
  <c r="D133" i="1"/>
  <c r="D132" i="1"/>
  <c r="D131" i="1"/>
  <c r="D130" i="1"/>
  <c r="D129" i="1"/>
  <c r="D128" i="1"/>
  <c r="D127" i="1"/>
  <c r="D126" i="1"/>
  <c r="E135" i="1"/>
  <c r="E124" i="1"/>
  <c r="E134" i="1"/>
  <c r="E123" i="1"/>
  <c r="E131" i="1"/>
  <c r="E130" i="1"/>
  <c r="E128" i="1"/>
  <c r="E117" i="1"/>
  <c r="E127" i="1"/>
  <c r="E126" i="1"/>
  <c r="E115" i="1"/>
  <c r="D122" i="1"/>
  <c r="D121" i="1"/>
  <c r="D119" i="1"/>
  <c r="I117" i="1"/>
  <c r="D124" i="1"/>
  <c r="D123" i="1"/>
  <c r="D120" i="1"/>
  <c r="D118" i="1"/>
  <c r="I116" i="1"/>
  <c r="D117" i="1"/>
  <c r="I115" i="1"/>
  <c r="E116" i="1"/>
  <c r="D116" i="1"/>
  <c r="I114" i="1"/>
  <c r="D115" i="1"/>
  <c r="E113" i="1"/>
  <c r="E112" i="1"/>
  <c r="E111" i="1"/>
  <c r="E110" i="1"/>
  <c r="E109" i="1"/>
  <c r="E108" i="1"/>
  <c r="E106" i="1"/>
  <c r="E105" i="1"/>
  <c r="D113" i="1"/>
  <c r="D112" i="1"/>
  <c r="D111" i="1"/>
  <c r="D110" i="1"/>
  <c r="D109" i="1"/>
  <c r="D108" i="1"/>
  <c r="D107" i="1"/>
  <c r="D106" i="1"/>
  <c r="D105" i="1"/>
  <c r="D104" i="1"/>
  <c r="I107" i="1"/>
  <c r="F135" i="1" l="1"/>
  <c r="H135" i="1" s="1"/>
  <c r="F115" i="1"/>
  <c r="H115" i="1" s="1"/>
  <c r="F121" i="1"/>
  <c r="H121" i="1" s="1"/>
  <c r="F112" i="1"/>
  <c r="H112" i="1" s="1"/>
  <c r="F134" i="1"/>
  <c r="H134" i="1" s="1"/>
  <c r="F141" i="1"/>
  <c r="H141" i="1" s="1"/>
  <c r="F145" i="1"/>
  <c r="H145" i="1" s="1"/>
  <c r="F143" i="1"/>
  <c r="H143" i="1" s="1"/>
  <c r="F116" i="1"/>
  <c r="H116" i="1" s="1"/>
  <c r="F140" i="1"/>
  <c r="H140" i="1" s="1"/>
  <c r="F144" i="1"/>
  <c r="H144" i="1" s="1"/>
  <c r="F111" i="1"/>
  <c r="H111" i="1" s="1"/>
  <c r="F117" i="1"/>
  <c r="H117" i="1" s="1"/>
  <c r="F119" i="1"/>
  <c r="H119" i="1" s="1"/>
  <c r="F137" i="1"/>
  <c r="H137" i="1" s="1"/>
  <c r="F120" i="1"/>
  <c r="H120" i="1" s="1"/>
  <c r="F109" i="1"/>
  <c r="H109" i="1" s="1"/>
  <c r="F123" i="1"/>
  <c r="H123" i="1" s="1"/>
  <c r="F131" i="1"/>
  <c r="H131" i="1" s="1"/>
  <c r="F118" i="1"/>
  <c r="H118" i="1" s="1"/>
  <c r="F110" i="1"/>
  <c r="H110" i="1" s="1"/>
  <c r="F122" i="1"/>
  <c r="H122" i="1" s="1"/>
  <c r="F124" i="1"/>
  <c r="H124" i="1" s="1"/>
  <c r="F138" i="1"/>
  <c r="H138" i="1" s="1"/>
  <c r="F142" i="1"/>
  <c r="H142" i="1" s="1"/>
  <c r="F146" i="1"/>
  <c r="H146" i="1" s="1"/>
  <c r="F132" i="1"/>
  <c r="H132" i="1" s="1"/>
  <c r="F133" i="1"/>
  <c r="H133" i="1" s="1"/>
  <c r="F113" i="1"/>
  <c r="H113" i="1" s="1"/>
  <c r="B149" i="1"/>
  <c r="S33" i="1" l="1"/>
  <c r="F11" i="5" l="1"/>
  <c r="G11" i="5" s="1"/>
  <c r="F10" i="5"/>
  <c r="G10" i="5" s="1"/>
  <c r="F9" i="5"/>
  <c r="G9" i="5" s="1"/>
  <c r="F8" i="5"/>
  <c r="G8" i="5" s="1"/>
  <c r="G7" i="5"/>
  <c r="F7" i="5"/>
  <c r="G6" i="5"/>
  <c r="F6" i="5"/>
  <c r="F5" i="5"/>
  <c r="G5" i="5" s="1"/>
  <c r="G12" i="5" s="1"/>
  <c r="D169" i="1"/>
  <c r="F130" i="1"/>
  <c r="H130" i="1" s="1"/>
  <c r="F129" i="1"/>
  <c r="H129" i="1" s="1"/>
  <c r="F128" i="1"/>
  <c r="H128" i="1" s="1"/>
  <c r="F127" i="1"/>
  <c r="H127" i="1" s="1"/>
  <c r="F126" i="1"/>
  <c r="H126" i="1" s="1"/>
  <c r="F108" i="1"/>
  <c r="H108" i="1" s="1"/>
  <c r="F107" i="1"/>
  <c r="H107" i="1" s="1"/>
  <c r="F106" i="1"/>
  <c r="H106" i="1" s="1"/>
  <c r="F105" i="1"/>
  <c r="H105" i="1" s="1"/>
  <c r="F104" i="1"/>
  <c r="F93" i="1"/>
  <c r="C67" i="1"/>
  <c r="D61" i="1"/>
  <c r="D56" i="1"/>
  <c r="C51" i="1"/>
  <c r="C52" i="1" s="1"/>
  <c r="E44" i="1"/>
  <c r="E45" i="1" s="1"/>
  <c r="E31" i="1"/>
  <c r="E28" i="1"/>
  <c r="E26" i="1"/>
  <c r="C16" i="1"/>
  <c r="I15" i="1"/>
  <c r="Z13" i="1"/>
  <c r="E8" i="1"/>
  <c r="E3" i="1"/>
  <c r="H68" i="1"/>
  <c r="C96" i="1" l="1"/>
  <c r="C97" i="1" s="1"/>
  <c r="E96" i="1"/>
  <c r="E97" i="1" s="1"/>
  <c r="H104" i="1"/>
  <c r="G96" i="1" s="1"/>
  <c r="G97" i="1" s="1"/>
  <c r="J67" i="1"/>
  <c r="J69" i="1" s="1"/>
  <c r="J70" i="1"/>
  <c r="J71" i="1"/>
  <c r="J72" i="1"/>
  <c r="C71" i="1" s="1"/>
  <c r="D75" i="1"/>
  <c r="D77" i="1"/>
  <c r="D76" i="1"/>
  <c r="D80" i="1"/>
  <c r="D74" i="1"/>
  <c r="D79" i="1"/>
  <c r="D73" i="1"/>
  <c r="D78" i="1"/>
  <c r="B68" i="1"/>
  <c r="J73" i="1" s="1"/>
  <c r="D71" i="1" l="1"/>
  <c r="J77" i="1"/>
  <c r="J75" i="1"/>
  <c r="J76" i="1"/>
  <c r="J74" i="1"/>
  <c r="J79" i="1" s="1"/>
  <c r="J80" i="1" s="1"/>
  <c r="C72" i="1" s="1"/>
  <c r="J78" i="1"/>
  <c r="J68" i="1" l="1"/>
  <c r="E71" i="1"/>
  <c r="D72" i="1"/>
  <c r="I68" i="1" s="1"/>
  <c r="G71" i="1"/>
  <c r="D65" i="1" s="1"/>
  <c r="F66" i="1" l="1"/>
  <c r="D66" i="1"/>
  <c r="I69" i="1"/>
  <c r="I67" i="1" s="1"/>
  <c r="C6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D56"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86"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0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<sst xmlns="http://schemas.openxmlformats.org/spreadsheetml/2006/main" count="521" uniqueCount="331">
  <si>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</si>
  <si>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</si>
  <si>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</si>
  <si>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</si>
  <si>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</si>
  <si>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</si>
  <si>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</si>
  <si>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</si>
  <si>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</si>
  <si>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</si>
  <si>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</si>
  <si>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</si>
  <si>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</si>
  <si>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</si>
  <si>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</si>
  <si>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</si>
  <si>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</si>
  <si>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</si>
  <si>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</si>
  <si>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</si>
  <si>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</si>
  <si>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</si>
  <si>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</si>
  <si>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</si>
  <si>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</si>
  <si>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</si>
  <si>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</si>
  <si>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</si>
  <si>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</si>
  <si>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</si>
  <si>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</si>
  <si>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</si>
  <si>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</si>
  <si>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</si>
  <si>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</si>
  <si>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</si>
  <si>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</si>
  <si>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</si>
  <si>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</si>
  <si>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</si>
  <si>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</si>
  <si>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</si>
  <si>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</si>
  <si>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</si>
  <si>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</si>
  <si>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</si>
  <si>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</si>
  <si>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</si>
  <si>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</si>
  <si>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</si>
  <si>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</si>
  <si>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</si>
  <si>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</si>
  <si>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</si>
  <si>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</si>
  <si>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</si>
  <si>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</si>
  <si>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</si>
  <si>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</si>
  <si>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</si>
  <si>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</si>
  <si>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</si>
  <si>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</si>
  <si>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</si>
  <si>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</si>
  <si>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</si>
  <si>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</si>
  <si>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</si>
  <si>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</si>
  <si>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</si>
  <si>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</si>
  <si>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</si>
  <si>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</si>
  <si>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</si>
  <si>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</si>
  <si>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</si>
  <si>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</si>
  <si>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</si>
  <si>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</si>
  <si>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</si>
  <si>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</si>
  <si>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</si>
  <si>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</si>
  <si>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</si>
  <si>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</si>
  <si>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</si>
  <si>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</si>
  <si>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</si>
  <si>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</si>
  <si>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</si>
  <si>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</si>
  <si>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</si>
  <si>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</si>
  <si>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</si>
  <si>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</si>
  <si>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</si>
  <si>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</si>
  <si>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</si>
  <si>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</si>
  <si>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</si>
  <si>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</si>
  <si>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</si>
  <si>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</si>
  <si>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</si>
  <si>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</si>
  <si>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</si>
  <si>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</si>
  <si>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</si>
  <si>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</si>
  <si>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</si>
  <si>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</si>
  <si>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</si>
  <si>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</si>
  <si>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</si>
  <si>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</si>
  <si>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</si>
  <si>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</si>
  <si>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</si>
  <si>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</si>
  <si>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</si>
  <si>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</si>
  <si>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</si>
  <si>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</si>
  <si>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</si>
  <si>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</si>
  <si>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</si>
  <si>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</si>
  <si>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</si>
  <si>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</si>
  <si>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</si>
  <si>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</si>
  <si>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</si>
  <si>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</si>
  <si>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</si>
  <si>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</si>
  <si>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</si>
  <si>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</si>
  <si>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</si>
  <si>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</si>
  <si>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</si>
  <si>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</si>
  <si>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</si>
  <si>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</si>
  <si>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</si>
  <si>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</si>
  <si>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</si>
  <si>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</si>
  <si>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</si>
  <si>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</si>
  <si>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</si>
  <si>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</si>
  <si>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</si>
  <si>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</si>
  <si>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</si>
  <si>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</si>
  <si>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</si>
  <si>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</si>
  <si>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</si>
  <si>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</si>
  <si>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</si>
  <si>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</si>
  <si>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</si>
  <si>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</si>
  <si>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</si>
  <si>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</si>
  <si>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</si>
  <si>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</si>
  <si>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</si>
  <si>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</si>
  <si>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</si>
  <si>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</si>
  <si>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</si>
  <si>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</si>
  <si>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</si>
  <si>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</si>
  <si>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</si>
  <si>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</si>
  <si>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</si>
  <si>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</si>
  <si>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</si>
  <si>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</si>
  <si>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</si>
  <si>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</si>
  <si>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</si>
  <si>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</si>
  <si>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</si>
  <si>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</si>
  <si>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</si>
  <si>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</si>
  <si>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</si>
  <si>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</si>
  <si>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</si>
  <si>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</si>
  <si>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</si>
  <si>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</si>
  <si>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</si>
  <si>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</si>
  <si>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</si>
  <si>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</si>
  <si>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</si>
  <si>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</si>
  <si>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</si>
  <si>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</si>
  <si>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</si>
  <si>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</si>
  <si>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</si>
  <si>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</si>
  <si>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</si>
  <si>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</si>
  <si>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</si>
  <si>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</si>
  <si>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</si>
  <si>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</si>
  <si>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</si>
  <si>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</si>
  <si>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</si>
  <si>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</si>
  <si>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</si>
  <si>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</si>
  <si>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</si>
  <si>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</si>
  <si>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</si>
  <si>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</si>
  <si>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</si>
  <si>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</si>
  <si>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</si>
  <si>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</si>
  <si>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</si>
  <si>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</si>
  <si>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</si>
  <si>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</si>
  <si>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</si>
  <si>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</si>
  <si>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</si>
  <si>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</si>
  <si>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</si>
  <si>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</si>
  <si>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</si>
  <si>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</si>
  <si>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</si>
  <si>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</si>
  <si>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</si>
  <si>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</si>
  <si>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</si>
  <si>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</si>
  <si>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</si>
  <si>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</si>
  <si>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</si>
  <si>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</si>
  <si>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</si>
  <si>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</si>
  <si>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</si>
  <si>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</si>
  <si>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</si>
  <si>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</si>
  <si>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</si>
  <si>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</si>
  <si>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</si>
  <si>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</si>
  <si>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</si>
  <si>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</si>
  <si>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</si>
  <si>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</si>
  <si>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</si>
  <si>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</si>
  <si>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</si>
  <si>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</si>
  <si>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</si>
  <si>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</si>
  <si>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</si>
  <si>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</si>
  <si>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</si>
  <si>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</si>
  <si>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</si>
  <si>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</si>
  <si>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</si>
  <si>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</si>
  <si>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</si>
  <si>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</si>
  <si>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</si>
  <si>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</si>
  <si>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</si>
  <si>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</si>
  <si>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</si>
  <si>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</si>
  <si>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</si>
  <si>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</si>
  <si>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</si>
  <si>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</si>
  <si>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</si>
  <si>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</si>
  <si>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Pramukh Developers</t>
  </si>
  <si>
    <t>Patels Eirene</t>
  </si>
  <si>
    <t>Nikul Patel – 9665393600</t>
  </si>
  <si>
    <t>As per RERA - 31/08/2026</t>
  </si>
  <si>
    <t>P51700054106</t>
  </si>
  <si>
    <t>Plot No</t>
  </si>
  <si>
    <t>12 M Wide Road</t>
  </si>
  <si>
    <t>Internal Road</t>
  </si>
  <si>
    <t>Other Plot</t>
  </si>
  <si>
    <t>19.2095011,73.1775815</t>
  </si>
  <si>
    <t>Trishul Appartment</t>
  </si>
  <si>
    <t>Prathamesh Shraddha Apartment</t>
  </si>
  <si>
    <t>https://maps.app.goo.gl/gkMKAYpMMUj37JUF7</t>
  </si>
  <si>
    <t>Kansai Road</t>
  </si>
  <si>
    <t>Ambernath East</t>
  </si>
  <si>
    <t>Kansai</t>
  </si>
  <si>
    <t>2.2 KM from Ulhasnagar Railway Station</t>
  </si>
  <si>
    <t>1BHK</t>
  </si>
  <si>
    <t>2BHK</t>
  </si>
  <si>
    <t>3rd, 5th &amp; 6th Floor</t>
  </si>
  <si>
    <t>3BHK</t>
  </si>
  <si>
    <t>1RK</t>
  </si>
  <si>
    <t xml:space="preserve">Details of Residential in Building   </t>
  </si>
  <si>
    <t>Ground Floor For Parking</t>
  </si>
  <si>
    <t>4th Floor</t>
  </si>
  <si>
    <t>CATAM/B/2023/APL/00105</t>
  </si>
  <si>
    <t>Stilt + 1st Floor to 6th Floor</t>
  </si>
  <si>
    <t>Flats - 60</t>
  </si>
  <si>
    <t xml:space="preserve">Construction work is in process at the time of Visit (labour found)
</t>
  </si>
  <si>
    <t xml:space="preserve">We considered Gross carpet area = Net carpet + Enclose balcony </t>
  </si>
  <si>
    <t>Mr. Sudhir Bhosale</t>
  </si>
  <si>
    <t>277, Cts No.4483 To 4488, S.No. 15/2 ,D.D Scheme No. 15 (Pt), Redevelopement of " Prathamesh Shraddha Apartment  "</t>
  </si>
  <si>
    <t xml:space="preserve">Stilt + 1st to 6th Floor
</t>
  </si>
  <si>
    <r>
      <t xml:space="preserve">Proposed Amenities :                                                                                                                                                                                                                         </t>
    </r>
    <r>
      <rPr>
        <b/>
        <sz val="12"/>
        <rFont val="Times New Roman"/>
        <family val="1"/>
      </rPr>
      <t xml:space="preserve">                                               </t>
    </r>
  </si>
  <si>
    <t>Flats</t>
  </si>
  <si>
    <t>1st Floor for Residential</t>
  </si>
  <si>
    <t>Balcony Area</t>
  </si>
  <si>
    <r>
      <t xml:space="preserve">Flat No.
</t>
    </r>
    <r>
      <rPr>
        <b/>
        <sz val="11"/>
        <rFont val="Times New Roman"/>
        <family val="1"/>
      </rPr>
      <t>(Approved Plan)</t>
    </r>
  </si>
  <si>
    <t>Approved Plans, CC, Sale Plans, Cost Sheet.</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</si>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</sst>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 numFmtId="169" formatCode="0.000"/>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15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7" xfId="0" applyFont="1" applyBorder="1" applyProtection="1">
      <protection hidden="1"/>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6" xfId="1" applyFont="1" applyBorder="1"/>
    <xf numFmtId="0" fontId="16"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0" borderId="18" xfId="0" applyFont="1" applyBorder="1"/>
    <xf numFmtId="0" fontId="23" fillId="0" borderId="3"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7" xfId="0" applyFill="1" applyBorder="1"/>
    <xf numFmtId="0" fontId="0" fillId="0" borderId="4" xfId="0" applyBorder="1"/>
    <xf numFmtId="0" fontId="0" fillId="0" borderId="1" xfId="0" applyBorder="1" applyAlignment="1">
      <alignment vertical="top" wrapText="1"/>
    </xf>
    <xf numFmtId="0" fontId="0" fillId="0" borderId="1" xfId="0" applyFill="1" applyBorder="1"/>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6" fillId="0" borderId="1" xfId="0" applyFont="1" applyBorder="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69" fontId="6" fillId="0" borderId="0" xfId="1" applyNumberFormat="1" applyFont="1" applyAlignment="1">
      <alignment horizontal="center" vertical="center"/>
    </xf>
    <xf numFmtId="168" fontId="6" fillId="0" borderId="0" xfId="1" applyNumberFormat="1" applyFont="1" applyAlignment="1">
      <alignment horizontal="center" vertical="center"/>
    </xf>
    <xf numFmtId="1" fontId="12" fillId="0" borderId="2" xfId="1" applyNumberFormat="1" applyFont="1" applyBorder="1" applyAlignment="1" applyProtection="1">
      <alignment horizontal="center" vertical="top" wrapText="1"/>
      <protection locked="0"/>
    </xf>
    <xf numFmtId="9" fontId="12" fillId="0" borderId="10" xfId="8" applyFont="1" applyFill="1" applyBorder="1" applyAlignment="1" applyProtection="1">
      <alignment horizontal="center" vertical="top" wrapText="1"/>
      <protection locked="0"/>
    </xf>
    <xf numFmtId="0" fontId="6" fillId="0" borderId="17"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1" fontId="5" fillId="0" borderId="4" xfId="1" applyNumberFormat="1" applyFont="1" applyBorder="1" applyAlignment="1" applyProtection="1">
      <alignment horizontal="center" vertical="center" wrapText="1"/>
      <protection locked="0"/>
    </xf>
    <xf numFmtId="1" fontId="5" fillId="0" borderId="5"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5" fillId="0" borderId="4"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1" fontId="7" fillId="0" borderId="4"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0" fontId="5" fillId="0" borderId="15" xfId="1" applyFont="1" applyBorder="1" applyAlignment="1" applyProtection="1">
      <alignment horizontal="left" vertical="top" wrapText="1"/>
      <protection locked="0"/>
    </xf>
    <xf numFmtId="0" fontId="11" fillId="0" borderId="11"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12" fillId="0" borderId="2" xfId="1" applyNumberFormat="1" applyFont="1" applyBorder="1" applyAlignment="1" applyProtection="1">
      <alignment horizontal="center" vertical="top" wrapText="1"/>
      <protection locked="0"/>
    </xf>
    <xf numFmtId="1" fontId="12" fillId="0" borderId="10"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4" fontId="5" fillId="0" borderId="4" xfId="1" applyNumberFormat="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7" fillId="0" borderId="4" xfId="1" applyFont="1" applyBorder="1" applyAlignment="1" applyProtection="1">
      <alignment horizontal="left" vertical="top"/>
      <protection locked="0"/>
    </xf>
    <xf numFmtId="0" fontId="7" fillId="0" borderId="5" xfId="1" applyFont="1" applyBorder="1" applyAlignment="1" applyProtection="1">
      <alignment horizontal="left" vertical="top"/>
      <protection locked="0"/>
    </xf>
    <xf numFmtId="1" fontId="12" fillId="0" borderId="4" xfId="0" applyNumberFormat="1" applyFont="1" applyBorder="1" applyAlignment="1" applyProtection="1">
      <alignment vertical="top" wrapText="1"/>
      <protection locked="0"/>
    </xf>
    <xf numFmtId="1" fontId="12" fillId="0" borderId="15"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7" fillId="0" borderId="4" xfId="0" applyNumberFormat="1" applyFont="1" applyBorder="1" applyAlignment="1" applyProtection="1">
      <alignment vertical="top" wrapText="1"/>
      <protection locked="0"/>
    </xf>
    <xf numFmtId="1" fontId="7" fillId="0" borderId="15" xfId="0" applyNumberFormat="1" applyFont="1" applyBorder="1" applyAlignment="1" applyProtection="1">
      <alignment vertical="top" wrapText="1"/>
      <protection locked="0"/>
    </xf>
    <xf numFmtId="1" fontId="7" fillId="0" borderId="5"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7" fillId="0" borderId="10" xfId="1" applyFont="1" applyBorder="1" applyAlignment="1" applyProtection="1">
      <alignment horizontal="center" vertical="top"/>
      <protection locked="0"/>
    </xf>
    <xf numFmtId="0" fontId="9" fillId="0" borderId="1" xfId="0"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12" fillId="0" borderId="11" xfId="1" applyNumberFormat="1" applyFont="1" applyBorder="1" applyAlignment="1" applyProtection="1">
      <alignment horizontal="center" vertical="top" wrapText="1"/>
      <protection locked="0"/>
    </xf>
    <xf numFmtId="1" fontId="12" fillId="0" borderId="13" xfId="1" applyNumberFormat="1" applyFont="1" applyBorder="1" applyAlignment="1" applyProtection="1">
      <alignment horizontal="center" vertical="top" wrapText="1"/>
      <protection locked="0"/>
    </xf>
    <xf numFmtId="0" fontId="11" fillId="0" borderId="2" xfId="1" applyFont="1" applyBorder="1" applyAlignment="1" applyProtection="1">
      <alignment horizontal="left"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4" xfId="1" applyFont="1" applyBorder="1" applyAlignment="1" applyProtection="1">
      <alignment horizontal="center" vertical="top"/>
      <protection locked="0"/>
    </xf>
    <xf numFmtId="0" fontId="11" fillId="0" borderId="15"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center"/>
      <protection locked="0"/>
    </xf>
    <xf numFmtId="0" fontId="12" fillId="0" borderId="4" xfId="1" applyFont="1" applyBorder="1" applyAlignment="1" applyProtection="1">
      <alignment horizontal="center" vertical="top"/>
      <protection locked="0"/>
    </xf>
    <xf numFmtId="0" fontId="12" fillId="0" borderId="15"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5" fillId="0" borderId="1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5" fillId="0" borderId="13" xfId="1" applyFont="1" applyBorder="1" applyAlignment="1" applyProtection="1">
      <alignment horizontal="left" vertical="top" wrapText="1"/>
      <protection locked="0"/>
    </xf>
    <xf numFmtId="0" fontId="5" fillId="0" borderId="14" xfId="1" applyFont="1" applyBorder="1" applyAlignment="1" applyProtection="1">
      <alignment horizontal="left" vertical="top" wrapText="1"/>
      <protection locked="0"/>
    </xf>
    <xf numFmtId="0" fontId="24" fillId="0" borderId="1" xfId="10" applyFill="1" applyBorder="1" applyAlignment="1" applyProtection="1">
      <alignment horizontal="left" vertical="top" wrapText="1"/>
      <protection locked="0"/>
    </xf>
    <xf numFmtId="1" fontId="28" fillId="0" borderId="2" xfId="1" applyNumberFormat="1" applyFont="1" applyBorder="1" applyAlignment="1" applyProtection="1">
      <alignment horizontal="center" vertical="top" wrapText="1"/>
      <protection locked="0"/>
    </xf>
    <xf numFmtId="1" fontId="28" fillId="0" borderId="10" xfId="1"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top" wrapText="1"/>
      <protection locked="0"/>
    </xf>
    <xf numFmtId="0" fontId="11" fillId="0" borderId="2" xfId="1" applyFont="1" applyBorder="1" applyAlignment="1" applyProtection="1">
      <alignment horizontal="left" vertical="top"/>
      <protection locked="0"/>
    </xf>
    <xf numFmtId="0" fontId="11" fillId="0" borderId="12"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top" wrapText="1"/>
      <protection locked="0"/>
    </xf>
    <xf numFmtId="0" fontId="12" fillId="0" borderId="4" xfId="1" applyFont="1" applyBorder="1" applyAlignment="1" applyProtection="1">
      <alignment horizontal="left" vertical="top"/>
      <protection locked="0"/>
    </xf>
    <xf numFmtId="0" fontId="12" fillId="0" borderId="15" xfId="1" applyFont="1" applyBorder="1" applyAlignment="1" applyProtection="1">
      <alignment horizontal="left" vertical="top"/>
      <protection locked="0"/>
    </xf>
    <xf numFmtId="0" fontId="12" fillId="0" borderId="5" xfId="1" applyFont="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8" fillId="0" borderId="1" xfId="5" applyFont="1" applyBorder="1" applyAlignment="1">
      <alignment horizontal="left"/>
    </xf>
    <xf numFmtId="0" fontId="22" fillId="2" borderId="9" xfId="0" applyFont="1" applyFill="1" applyBorder="1"/>
    <xf numFmtId="0" fontId="23" fillId="0" borderId="5" xfId="0" applyFont="1" applyBorder="1"/>
    <xf numFmtId="9" fontId="11"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276</xdr:row>
      <xdr:rowOff>8600</xdr:rowOff>
    </xdr:from>
    <xdr:to>
      <xdr:col>6</xdr:col>
      <xdr:colOff>125054</xdr:colOff>
      <xdr:row>294</xdr:row>
      <xdr:rowOff>8150</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123950" y="69245825"/>
          <a:ext cx="3849329" cy="3600000"/>
        </a:xfrm>
        <a:prstGeom prst="rect">
          <a:avLst/>
        </a:prstGeom>
        <a:ln>
          <a:solidFill>
            <a:schemeClr val="tx1"/>
          </a:solidFill>
        </a:ln>
      </xdr:spPr>
    </xdr:pic>
    <xdr:clientData/>
  </xdr:twoCellAnchor>
  <xdr:twoCellAnchor editAs="oneCell">
    <xdr:from>
      <xdr:col>1</xdr:col>
      <xdr:colOff>364892</xdr:colOff>
      <xdr:row>255</xdr:row>
      <xdr:rowOff>123825</xdr:rowOff>
    </xdr:from>
    <xdr:to>
      <xdr:col>6</xdr:col>
      <xdr:colOff>87088</xdr:colOff>
      <xdr:row>273</xdr:row>
      <xdr:rowOff>123375</xdr:rowOff>
    </xdr:to>
    <xdr:pic>
      <xdr:nvPicPr>
        <xdr:cNvPr id="3" name="Picture 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126892" y="65160525"/>
          <a:ext cx="3808421" cy="3600000"/>
        </a:xfrm>
        <a:prstGeom prst="rect">
          <a:avLst/>
        </a:prstGeom>
        <a:ln>
          <a:solidFill>
            <a:schemeClr val="tx1"/>
          </a:solidFill>
        </a:ln>
      </xdr:spPr>
    </xdr:pic>
    <xdr:clientData/>
  </xdr:twoCellAnchor>
  <xdr:twoCellAnchor>
    <xdr:from>
      <xdr:col>2</xdr:col>
      <xdr:colOff>685013</xdr:colOff>
      <xdr:row>280</xdr:row>
      <xdr:rowOff>32455</xdr:rowOff>
    </xdr:from>
    <xdr:to>
      <xdr:col>3</xdr:col>
      <xdr:colOff>902043</xdr:colOff>
      <xdr:row>287</xdr:row>
      <xdr:rowOff>192551</xdr:rowOff>
    </xdr:to>
    <xdr:sp macro="" textlink="">
      <xdr:nvSpPr>
        <xdr:cNvPr id="4" name="Rectangle 3"/>
        <xdr:cNvSpPr/>
      </xdr:nvSpPr>
      <xdr:spPr>
        <a:xfrm rot="1974141">
          <a:off x="2247113" y="70069780"/>
          <a:ext cx="1064755" cy="1560271"/>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editAs="oneCell">
    <xdr:from>
      <xdr:col>1</xdr:col>
      <xdr:colOff>190500</xdr:colOff>
      <xdr:row>212</xdr:row>
      <xdr:rowOff>38100</xdr:rowOff>
    </xdr:from>
    <xdr:to>
      <xdr:col>6</xdr:col>
      <xdr:colOff>486493</xdr:colOff>
      <xdr:row>231</xdr:row>
      <xdr:rowOff>1917</xdr:rowOff>
    </xdr:to>
    <xdr:pic>
      <xdr:nvPicPr>
        <xdr:cNvPr id="10" name="Picture 9"/>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52500" y="44005500"/>
          <a:ext cx="4382218" cy="3761117"/>
        </a:xfrm>
        <a:prstGeom prst="rect">
          <a:avLst/>
        </a:prstGeom>
        <a:ln>
          <a:solidFill>
            <a:schemeClr val="tx1"/>
          </a:solidFill>
        </a:ln>
      </xdr:spPr>
    </xdr:pic>
    <xdr:clientData/>
  </xdr:twoCellAnchor>
  <xdr:twoCellAnchor editAs="oneCell">
    <xdr:from>
      <xdr:col>2</xdr:col>
      <xdr:colOff>780511</xdr:colOff>
      <xdr:row>232</xdr:row>
      <xdr:rowOff>50321</xdr:rowOff>
    </xdr:from>
    <xdr:to>
      <xdr:col>5</xdr:col>
      <xdr:colOff>48883</xdr:colOff>
      <xdr:row>252</xdr:row>
      <xdr:rowOff>107950</xdr:rowOff>
    </xdr:to>
    <xdr:pic>
      <xdr:nvPicPr>
        <xdr:cNvPr id="11" name="Picture 10"/>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rot="10800000">
          <a:off x="2418811" y="46964121"/>
          <a:ext cx="1935372" cy="3994629"/>
        </a:xfrm>
        <a:prstGeom prst="rect">
          <a:avLst/>
        </a:prstGeom>
        <a:ln>
          <a:solidFill>
            <a:schemeClr val="tx1"/>
          </a:solidFill>
        </a:ln>
      </xdr:spPr>
    </xdr:pic>
    <xdr:clientData/>
  </xdr:twoCellAnchor>
  <xdr:twoCellAnchor>
    <xdr:from>
      <xdr:col>3</xdr:col>
      <xdr:colOff>161925</xdr:colOff>
      <xdr:row>233</xdr:row>
      <xdr:rowOff>19050</xdr:rowOff>
    </xdr:from>
    <xdr:to>
      <xdr:col>3</xdr:col>
      <xdr:colOff>276225</xdr:colOff>
      <xdr:row>234</xdr:row>
      <xdr:rowOff>57150</xdr:rowOff>
    </xdr:to>
    <xdr:cxnSp macro="">
      <xdr:nvCxnSpPr>
        <xdr:cNvPr id="13" name="Straight Arrow Connector 12"/>
        <xdr:cNvCxnSpPr/>
      </xdr:nvCxnSpPr>
      <xdr:spPr>
        <a:xfrm flipH="1" flipV="1">
          <a:off x="2571750" y="48186975"/>
          <a:ext cx="114300" cy="2381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781050</xdr:colOff>
      <xdr:row>232</xdr:row>
      <xdr:rowOff>9525</xdr:rowOff>
    </xdr:from>
    <xdr:ext cx="302903" cy="311496"/>
    <xdr:sp macro="" textlink="">
      <xdr:nvSpPr>
        <xdr:cNvPr id="14" name="TextBox 13"/>
        <xdr:cNvSpPr txBox="1"/>
      </xdr:nvSpPr>
      <xdr:spPr>
        <a:xfrm>
          <a:off x="2343150" y="47977425"/>
          <a:ext cx="30290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1"/>
            <a:t>N</a:t>
          </a:r>
        </a:p>
      </xdr:txBody>
    </xdr:sp>
    <xdr:clientData/>
  </xdr:oneCellAnchor>
  <xdr:twoCellAnchor>
    <xdr:from>
      <xdr:col>3</xdr:col>
      <xdr:colOff>0</xdr:colOff>
      <xdr:row>223</xdr:row>
      <xdr:rowOff>152400</xdr:rowOff>
    </xdr:from>
    <xdr:to>
      <xdr:col>3</xdr:col>
      <xdr:colOff>476250</xdr:colOff>
      <xdr:row>226</xdr:row>
      <xdr:rowOff>85725</xdr:rowOff>
    </xdr:to>
    <xdr:sp macro="" textlink="">
      <xdr:nvSpPr>
        <xdr:cNvPr id="15" name="Oval 14"/>
        <xdr:cNvSpPr/>
      </xdr:nvSpPr>
      <xdr:spPr>
        <a:xfrm>
          <a:off x="2409825" y="46110525"/>
          <a:ext cx="476250" cy="5334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50800</xdr:colOff>
      <xdr:row>169</xdr:row>
      <xdr:rowOff>50800</xdr:rowOff>
    </xdr:from>
    <xdr:to>
      <xdr:col>7</xdr:col>
      <xdr:colOff>711200</xdr:colOff>
      <xdr:row>205</xdr:row>
      <xdr:rowOff>22862</xdr:rowOff>
    </xdr:to>
    <xdr:grpSp>
      <xdr:nvGrpSpPr>
        <xdr:cNvPr id="12" name="Group 11"/>
        <xdr:cNvGrpSpPr/>
      </xdr:nvGrpSpPr>
      <xdr:grpSpPr>
        <a:xfrm>
          <a:off x="50800" y="34569400"/>
          <a:ext cx="6515100" cy="7052312"/>
          <a:chOff x="50800" y="34569400"/>
          <a:chExt cx="6515100" cy="7052312"/>
        </a:xfrm>
      </xdr:grpSpPr>
      <xdr:pic>
        <xdr:nvPicPr>
          <xdr:cNvPr id="16" name="Pictur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3584878" y="39569712"/>
            <a:ext cx="2722119" cy="2052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4511" y="39569712"/>
            <a:ext cx="1543294" cy="2052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917910" y="39569712"/>
            <a:ext cx="1536863" cy="2052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279306" y="34569400"/>
            <a:ext cx="2057724" cy="2736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69154" y="34569400"/>
            <a:ext cx="2057724" cy="2736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89458" y="34569400"/>
            <a:ext cx="2057724" cy="2736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710847" y="37411556"/>
            <a:ext cx="1543294" cy="2052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0800" y="37411556"/>
            <a:ext cx="1511544" cy="2052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094441" y="37411556"/>
            <a:ext cx="1471459" cy="2052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402644" y="37411556"/>
            <a:ext cx="1543294"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gkMKAYpMMUj37JUF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55"/>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8" width="11"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x14ac:dyDescent="0.35">
      <c r="A1" s="119" t="s">
        <v>160</v>
      </c>
      <c r="B1" s="119"/>
      <c r="C1" s="119"/>
      <c r="D1" s="119"/>
      <c r="E1" s="119"/>
      <c r="F1" s="119"/>
      <c r="G1" s="119"/>
      <c r="H1" s="119"/>
    </row>
    <row r="2" spans="1:26" ht="16.5" customHeight="1" x14ac:dyDescent="0.35">
      <c r="A2" s="120" t="s">
        <v>0</v>
      </c>
      <c r="B2" s="120"/>
      <c r="C2" s="120"/>
      <c r="D2" s="120"/>
      <c r="E2" s="120"/>
      <c r="F2" s="120"/>
      <c r="G2" s="120"/>
      <c r="H2" s="120"/>
    </row>
    <row r="3" spans="1:26" x14ac:dyDescent="0.35">
      <c r="A3" s="90" t="s">
        <v>1</v>
      </c>
      <c r="B3" s="90"/>
      <c r="C3" s="90"/>
      <c r="D3" s="90"/>
      <c r="E3" s="90" t="str">
        <f ca="1">TEXT(TODAY(),"DD/MM/YYYY")</f>
        <v>28/09/2025</v>
      </c>
      <c r="F3" s="90"/>
      <c r="G3" s="90"/>
      <c r="H3" s="90"/>
      <c r="K3" s="47" t="s">
        <v>229</v>
      </c>
      <c r="L3" s="45" t="s">
        <v>227</v>
      </c>
      <c r="M3" s="45" t="s">
        <v>232</v>
      </c>
      <c r="N3" s="45" t="s">
        <v>230</v>
      </c>
      <c r="O3" s="45" t="s">
        <v>231</v>
      </c>
      <c r="P3" s="45" t="s">
        <v>233</v>
      </c>
    </row>
    <row r="4" spans="1:26" ht="15" customHeight="1" x14ac:dyDescent="0.35">
      <c r="A4" s="90" t="s">
        <v>226</v>
      </c>
      <c r="B4" s="90"/>
      <c r="C4" s="90"/>
      <c r="D4" s="90"/>
      <c r="E4" s="90" t="s">
        <v>227</v>
      </c>
      <c r="F4" s="90"/>
      <c r="G4" s="90"/>
      <c r="H4" s="90"/>
      <c r="K4" s="44" t="s">
        <v>228</v>
      </c>
      <c r="L4" s="45" t="s">
        <v>165</v>
      </c>
      <c r="M4" s="45" t="s">
        <v>237</v>
      </c>
      <c r="N4" s="45" t="s">
        <v>239</v>
      </c>
      <c r="O4" s="45" t="s">
        <v>241</v>
      </c>
      <c r="P4" s="45"/>
    </row>
    <row r="5" spans="1:26" ht="15" customHeight="1" x14ac:dyDescent="0.35">
      <c r="A5" s="90" t="s">
        <v>2</v>
      </c>
      <c r="B5" s="90"/>
      <c r="C5" s="90"/>
      <c r="D5" s="90"/>
      <c r="E5" s="90" t="s">
        <v>236</v>
      </c>
      <c r="F5" s="90"/>
      <c r="G5" s="90"/>
      <c r="H5" s="90"/>
      <c r="K5" s="44"/>
      <c r="L5" s="45" t="s">
        <v>234</v>
      </c>
      <c r="M5" s="45" t="s">
        <v>238</v>
      </c>
      <c r="N5" s="45" t="s">
        <v>240</v>
      </c>
      <c r="O5" s="45" t="s">
        <v>242</v>
      </c>
      <c r="P5" s="45"/>
    </row>
    <row r="6" spans="1:26" x14ac:dyDescent="0.35">
      <c r="A6" s="90" t="s">
        <v>3</v>
      </c>
      <c r="B6" s="90"/>
      <c r="C6" s="90"/>
      <c r="D6" s="90"/>
      <c r="E6" s="122">
        <v>45928</v>
      </c>
      <c r="F6" s="90"/>
      <c r="G6" s="90"/>
      <c r="H6" s="90"/>
      <c r="K6" s="44"/>
      <c r="L6" s="45" t="s">
        <v>235</v>
      </c>
      <c r="M6" s="45"/>
      <c r="N6" s="45"/>
      <c r="O6" s="45" t="s">
        <v>243</v>
      </c>
      <c r="P6" s="45"/>
    </row>
    <row r="7" spans="1:26" ht="16.5" customHeight="1" x14ac:dyDescent="0.35">
      <c r="A7" s="90" t="s">
        <v>4</v>
      </c>
      <c r="B7" s="90"/>
      <c r="C7" s="90"/>
      <c r="D7" s="90"/>
      <c r="E7" s="90" t="s">
        <v>291</v>
      </c>
      <c r="F7" s="90"/>
      <c r="G7" s="90"/>
      <c r="H7" s="90"/>
      <c r="K7" s="44"/>
      <c r="L7" s="45" t="s">
        <v>236</v>
      </c>
      <c r="M7" s="45"/>
      <c r="N7" s="45"/>
      <c r="O7" s="45" t="s">
        <v>243</v>
      </c>
      <c r="P7" s="45"/>
    </row>
    <row r="8" spans="1:26" ht="15" customHeight="1" x14ac:dyDescent="0.35">
      <c r="A8" s="90" t="s">
        <v>5</v>
      </c>
      <c r="B8" s="90"/>
      <c r="C8" s="90"/>
      <c r="D8" s="90"/>
      <c r="E8" s="90" t="str">
        <f>E7</f>
        <v>Pramukh Developers</v>
      </c>
      <c r="F8" s="90"/>
      <c r="G8" s="90"/>
      <c r="H8" s="90"/>
      <c r="K8" s="44"/>
      <c r="L8" s="45"/>
      <c r="M8" s="45"/>
      <c r="N8" s="45"/>
      <c r="O8" s="45" t="s">
        <v>244</v>
      </c>
      <c r="P8" s="45"/>
    </row>
    <row r="9" spans="1:26" x14ac:dyDescent="0.35">
      <c r="A9" s="90" t="s">
        <v>6</v>
      </c>
      <c r="B9" s="90"/>
      <c r="C9" s="90"/>
      <c r="D9" s="90"/>
      <c r="E9" s="121" t="s">
        <v>292</v>
      </c>
      <c r="F9" s="121"/>
      <c r="G9" s="121"/>
      <c r="H9" s="121"/>
      <c r="K9" s="44"/>
      <c r="L9" s="45"/>
      <c r="M9" s="45"/>
      <c r="N9" s="45"/>
      <c r="O9" s="45" t="s">
        <v>245</v>
      </c>
      <c r="P9" s="45"/>
    </row>
    <row r="10" spans="1:26" x14ac:dyDescent="0.35">
      <c r="A10" s="90" t="s">
        <v>162</v>
      </c>
      <c r="B10" s="90"/>
      <c r="C10" s="90"/>
      <c r="D10" s="90"/>
      <c r="E10" s="90" t="s">
        <v>293</v>
      </c>
      <c r="F10" s="90"/>
      <c r="G10" s="90"/>
      <c r="H10" s="90"/>
      <c r="K10" s="44"/>
      <c r="L10" s="45"/>
      <c r="M10" s="45"/>
      <c r="N10" s="45"/>
      <c r="O10" s="45"/>
      <c r="P10" s="45"/>
    </row>
    <row r="11" spans="1:26" hidden="1" x14ac:dyDescent="0.35">
      <c r="A11" s="90" t="s">
        <v>163</v>
      </c>
      <c r="B11" s="90"/>
      <c r="C11" s="90"/>
      <c r="D11" s="90"/>
      <c r="E11" s="90" t="s">
        <v>293</v>
      </c>
      <c r="F11" s="90"/>
      <c r="G11" s="90"/>
      <c r="H11" s="90"/>
    </row>
    <row r="12" spans="1:26" x14ac:dyDescent="0.35">
      <c r="A12" s="90" t="s">
        <v>7</v>
      </c>
      <c r="B12" s="90"/>
      <c r="C12" s="90"/>
      <c r="D12" s="90"/>
      <c r="E12" s="90" t="s">
        <v>117</v>
      </c>
      <c r="F12" s="90"/>
      <c r="G12" s="90"/>
      <c r="H12" s="90"/>
    </row>
    <row r="13" spans="1:26" x14ac:dyDescent="0.35">
      <c r="A13" s="90" t="s">
        <v>166</v>
      </c>
      <c r="B13" s="90"/>
      <c r="C13" s="90"/>
      <c r="D13" s="90"/>
      <c r="E13" s="90" t="s">
        <v>302</v>
      </c>
      <c r="F13" s="90"/>
      <c r="G13" s="90"/>
      <c r="H13" s="90"/>
      <c r="S13" s="45" t="s">
        <v>172</v>
      </c>
      <c r="T13" s="45" t="s">
        <v>182</v>
      </c>
      <c r="U13" s="45" t="s">
        <v>167</v>
      </c>
      <c r="V13" s="45" t="s">
        <v>187</v>
      </c>
      <c r="W13" s="45" t="s">
        <v>205</v>
      </c>
      <c r="X13"/>
      <c r="Y13" t="s">
        <v>187</v>
      </c>
      <c r="Z13" t="e">
        <f ca="1">OFFSET($S$13,1,MATCH($G20,$S$13:$W$13,0)-1,15,1)</f>
        <v>#VALUE!</v>
      </c>
    </row>
    <row r="14" spans="1:26" x14ac:dyDescent="0.35">
      <c r="A14" s="73" t="s">
        <v>272</v>
      </c>
      <c r="B14" s="73"/>
      <c r="C14" s="73"/>
      <c r="D14" s="73"/>
      <c r="E14" s="89" t="s">
        <v>329</v>
      </c>
      <c r="F14" s="89"/>
      <c r="G14" s="89"/>
      <c r="H14" s="89"/>
      <c r="S14" s="45" t="s">
        <v>173</v>
      </c>
      <c r="T14" s="45" t="s">
        <v>180</v>
      </c>
      <c r="U14" s="45" t="s">
        <v>202</v>
      </c>
      <c r="V14" s="45" t="s">
        <v>188</v>
      </c>
      <c r="W14" s="45" t="s">
        <v>206</v>
      </c>
      <c r="X14"/>
      <c r="Y14"/>
      <c r="Z14"/>
    </row>
    <row r="15" spans="1:26" x14ac:dyDescent="0.35">
      <c r="A15" s="73" t="s">
        <v>8</v>
      </c>
      <c r="B15" s="73"/>
      <c r="C15" s="73"/>
      <c r="D15" s="73"/>
      <c r="E15" s="89" t="s">
        <v>295</v>
      </c>
      <c r="F15" s="90"/>
      <c r="G15" s="90"/>
      <c r="H15" s="90"/>
      <c r="I15" s="67" t="e">
        <f ca="1">OFFSET($D$5,1,MATCH($J13,$D$5:$H$5,0)-1,15,1)</f>
        <v>#N/A</v>
      </c>
      <c r="J15" s="68"/>
      <c r="K15" s="68"/>
      <c r="L15" s="68"/>
      <c r="M15" s="68"/>
      <c r="N15" s="68"/>
      <c r="O15" s="68"/>
      <c r="P15" s="68"/>
      <c r="S15" s="45" t="s">
        <v>174</v>
      </c>
      <c r="T15" s="45" t="s">
        <v>181</v>
      </c>
      <c r="U15" s="45" t="s">
        <v>203</v>
      </c>
      <c r="V15" s="45" t="s">
        <v>189</v>
      </c>
      <c r="W15" s="45" t="s">
        <v>219</v>
      </c>
      <c r="X15"/>
      <c r="Y15"/>
      <c r="Z15"/>
    </row>
    <row r="16" spans="1:26" ht="63.75" customHeight="1" x14ac:dyDescent="0.35">
      <c r="A16" s="89" t="s">
        <v>9</v>
      </c>
      <c r="B16" s="89"/>
      <c r="C16" s="126" t="str">
        <f>CONCATENATE((IF(OR(E9="",E9="NA"),"",E9)),", ",(IF(OR(A17="",A17="NA"),"",A17)),".",(IF(OR(C17="",C17="NA"),"",C17)),", near ",(IF(OR(C22="",C22="NA"),"",C22)),", ",(IF(OR(C19="",C19="NA"),"",C19)),", ",(IF(OR(C18="",C18="NA"),"",C18)),", ",(IF(OR(G19="",G19="NA"),"",G19)),", ",(IF(OR(C20="",C20="NA"),"",C20)),", ",(IF(OR(C21="",C21="NA"),"",C21)),", ",(IF(OR(G20="",G20="NA"),"",G20))," - ",(IF(OR(G21="",G21="NA"),"",G21)),".")</f>
        <v>Patels Eirene, Plot No.277, Cts No.4483 To 4488, S.No. 15/2 ,D.D Scheme No. 15 (Pt), Redevelopement of " Prathamesh Shraddha Apartment  ", near Trishul Appartment, Kansai Road, , Kansai, Ambernath East, Ambernath, Thane  - 421501.</v>
      </c>
      <c r="D16" s="126"/>
      <c r="E16" s="126"/>
      <c r="F16" s="126"/>
      <c r="G16" s="126"/>
      <c r="H16" s="126"/>
      <c r="S16" s="45" t="s">
        <v>175</v>
      </c>
      <c r="T16" s="45" t="s">
        <v>183</v>
      </c>
      <c r="U16" s="45" t="s">
        <v>204</v>
      </c>
      <c r="V16" s="45" t="s">
        <v>190</v>
      </c>
      <c r="W16" s="45" t="s">
        <v>207</v>
      </c>
      <c r="X16"/>
      <c r="Y16"/>
      <c r="Z16"/>
    </row>
    <row r="17" spans="1:26" ht="36" customHeight="1" x14ac:dyDescent="0.35">
      <c r="A17" s="89" t="s">
        <v>296</v>
      </c>
      <c r="B17" s="89"/>
      <c r="C17" s="89" t="s">
        <v>322</v>
      </c>
      <c r="D17" s="89"/>
      <c r="E17" s="89"/>
      <c r="F17" s="89"/>
      <c r="G17" s="89"/>
      <c r="H17" s="89"/>
      <c r="S17" s="45" t="s">
        <v>176</v>
      </c>
      <c r="T17" s="45" t="s">
        <v>184</v>
      </c>
      <c r="U17" s="45" t="s">
        <v>167</v>
      </c>
      <c r="V17" s="45" t="s">
        <v>191</v>
      </c>
      <c r="W17" s="45" t="s">
        <v>208</v>
      </c>
      <c r="X17"/>
      <c r="Y17"/>
      <c r="Z17"/>
    </row>
    <row r="18" spans="1:26" ht="15.75" customHeight="1" x14ac:dyDescent="0.35">
      <c r="A18" s="89" t="s">
        <v>158</v>
      </c>
      <c r="B18" s="89"/>
      <c r="C18" s="89" t="s">
        <v>28</v>
      </c>
      <c r="D18" s="89"/>
      <c r="E18" s="89"/>
      <c r="F18" s="89"/>
      <c r="G18" s="89"/>
      <c r="H18" s="89"/>
      <c r="S18" s="45" t="s">
        <v>177</v>
      </c>
      <c r="T18" s="45" t="s">
        <v>182</v>
      </c>
      <c r="U18" s="45"/>
      <c r="V18" s="45" t="s">
        <v>192</v>
      </c>
      <c r="W18" s="45" t="s">
        <v>209</v>
      </c>
      <c r="X18"/>
      <c r="Y18"/>
      <c r="Z18"/>
    </row>
    <row r="19" spans="1:26" ht="15.75" customHeight="1" x14ac:dyDescent="0.35">
      <c r="A19" s="89" t="s">
        <v>10</v>
      </c>
      <c r="B19" s="89"/>
      <c r="C19" s="90" t="s">
        <v>304</v>
      </c>
      <c r="D19" s="90"/>
      <c r="E19" s="89" t="s">
        <v>70</v>
      </c>
      <c r="F19" s="89"/>
      <c r="G19" s="89" t="s">
        <v>306</v>
      </c>
      <c r="H19" s="89"/>
      <c r="S19" s="45" t="s">
        <v>178</v>
      </c>
      <c r="T19" s="45" t="s">
        <v>185</v>
      </c>
      <c r="U19" s="45"/>
      <c r="V19" s="45" t="s">
        <v>193</v>
      </c>
      <c r="W19" s="45" t="s">
        <v>210</v>
      </c>
      <c r="X19"/>
      <c r="Y19"/>
      <c r="Z19"/>
    </row>
    <row r="20" spans="1:26" x14ac:dyDescent="0.35">
      <c r="A20" s="90" t="s">
        <v>12</v>
      </c>
      <c r="B20" s="90"/>
      <c r="C20" s="89" t="s">
        <v>305</v>
      </c>
      <c r="D20" s="89"/>
      <c r="E20" s="89" t="s">
        <v>11</v>
      </c>
      <c r="F20" s="89"/>
      <c r="G20" s="127" t="s">
        <v>172</v>
      </c>
      <c r="H20" s="127"/>
      <c r="S20" s="45" t="s">
        <v>179</v>
      </c>
      <c r="T20" s="45" t="s">
        <v>186</v>
      </c>
      <c r="U20" s="45"/>
      <c r="V20" s="45" t="s">
        <v>194</v>
      </c>
      <c r="W20" s="45" t="s">
        <v>211</v>
      </c>
      <c r="X20"/>
      <c r="Y20"/>
      <c r="Z20"/>
    </row>
    <row r="21" spans="1:26" x14ac:dyDescent="0.35">
      <c r="A21" s="90" t="s">
        <v>71</v>
      </c>
      <c r="B21" s="90"/>
      <c r="C21" s="89" t="s">
        <v>178</v>
      </c>
      <c r="D21" s="89"/>
      <c r="E21" s="89" t="s">
        <v>13</v>
      </c>
      <c r="F21" s="89"/>
      <c r="G21" s="89">
        <v>421501</v>
      </c>
      <c r="H21" s="89"/>
      <c r="S21" s="45"/>
      <c r="T21" s="45"/>
      <c r="U21" s="45"/>
      <c r="V21" s="45" t="s">
        <v>195</v>
      </c>
      <c r="W21" s="45" t="s">
        <v>212</v>
      </c>
      <c r="X21"/>
      <c r="Y21"/>
      <c r="Z21"/>
    </row>
    <row r="22" spans="1:26" ht="32.25" customHeight="1" x14ac:dyDescent="0.35">
      <c r="A22" s="73" t="s">
        <v>118</v>
      </c>
      <c r="B22" s="73"/>
      <c r="C22" s="89" t="s">
        <v>301</v>
      </c>
      <c r="D22" s="89"/>
      <c r="E22" s="78" t="s">
        <v>14</v>
      </c>
      <c r="F22" s="78"/>
      <c r="G22" s="89" t="s">
        <v>307</v>
      </c>
      <c r="H22" s="89"/>
      <c r="S22" s="45"/>
      <c r="T22" s="45"/>
      <c r="U22" s="45"/>
      <c r="V22" s="45" t="s">
        <v>196</v>
      </c>
      <c r="W22" s="45" t="s">
        <v>213</v>
      </c>
      <c r="X22"/>
      <c r="Y22"/>
      <c r="Z22"/>
    </row>
    <row r="23" spans="1:26" ht="15" customHeight="1" x14ac:dyDescent="0.35">
      <c r="A23" s="78" t="s">
        <v>72</v>
      </c>
      <c r="B23" s="78"/>
      <c r="C23" s="78"/>
      <c r="D23" s="78"/>
      <c r="E23" s="90" t="s">
        <v>15</v>
      </c>
      <c r="F23" s="90"/>
      <c r="G23" s="90"/>
      <c r="H23" s="90"/>
      <c r="S23" s="45"/>
      <c r="T23" s="45"/>
      <c r="U23" s="45"/>
      <c r="V23" s="45" t="s">
        <v>197</v>
      </c>
      <c r="W23" s="45" t="s">
        <v>214</v>
      </c>
      <c r="X23"/>
      <c r="Y23"/>
      <c r="Z23"/>
    </row>
    <row r="24" spans="1:26" ht="18.75" customHeight="1" x14ac:dyDescent="0.35">
      <c r="A24" s="78"/>
      <c r="B24" s="78"/>
      <c r="C24" s="78"/>
      <c r="D24" s="78"/>
      <c r="E24" s="90"/>
      <c r="F24" s="90"/>
      <c r="G24" s="90"/>
      <c r="H24" s="90"/>
      <c r="S24" s="45"/>
      <c r="T24" s="45"/>
      <c r="U24" s="45"/>
      <c r="V24" s="45" t="s">
        <v>198</v>
      </c>
      <c r="W24" s="45" t="s">
        <v>215</v>
      </c>
      <c r="X24"/>
      <c r="Y24"/>
      <c r="Z24"/>
    </row>
    <row r="25" spans="1:26" ht="15" customHeight="1" x14ac:dyDescent="0.35">
      <c r="A25" s="78" t="s">
        <v>16</v>
      </c>
      <c r="B25" s="78"/>
      <c r="C25" s="78"/>
      <c r="D25" s="78"/>
      <c r="E25" s="89" t="s">
        <v>17</v>
      </c>
      <c r="F25" s="89"/>
      <c r="G25" s="89"/>
      <c r="H25" s="89"/>
      <c r="S25" s="45"/>
      <c r="T25" s="45"/>
      <c r="U25" s="45"/>
      <c r="V25" s="45" t="s">
        <v>199</v>
      </c>
      <c r="W25" s="45" t="s">
        <v>216</v>
      </c>
      <c r="X25"/>
      <c r="Y25"/>
      <c r="Z25"/>
    </row>
    <row r="26" spans="1:26" ht="15" customHeight="1" x14ac:dyDescent="0.35">
      <c r="A26" s="73" t="s">
        <v>18</v>
      </c>
      <c r="B26" s="73"/>
      <c r="C26" s="73"/>
      <c r="D26" s="73"/>
      <c r="E26" s="89" t="str">
        <f>IF(AND(G20="Mumbai"),"Upper Class","Middle Class")</f>
        <v>Middle Class</v>
      </c>
      <c r="F26" s="89"/>
      <c r="G26" s="89"/>
      <c r="H26" s="89"/>
      <c r="S26" s="45"/>
      <c r="T26" s="45"/>
      <c r="U26" s="45"/>
      <c r="V26" s="45" t="s">
        <v>200</v>
      </c>
      <c r="W26" s="45" t="s">
        <v>217</v>
      </c>
      <c r="X26"/>
      <c r="Y26"/>
      <c r="Z26"/>
    </row>
    <row r="27" spans="1:26" x14ac:dyDescent="0.35">
      <c r="A27" s="73" t="s">
        <v>19</v>
      </c>
      <c r="B27" s="73"/>
      <c r="C27" s="73"/>
      <c r="D27" s="73"/>
      <c r="E27" s="89" t="s">
        <v>20</v>
      </c>
      <c r="F27" s="89"/>
      <c r="G27" s="89"/>
      <c r="H27" s="89"/>
      <c r="S27" s="45"/>
      <c r="T27" s="45"/>
      <c r="U27" s="45"/>
      <c r="V27" s="45" t="s">
        <v>201</v>
      </c>
      <c r="W27" s="45" t="s">
        <v>218</v>
      </c>
      <c r="X27"/>
      <c r="Y27"/>
      <c r="Z27"/>
    </row>
    <row r="28" spans="1:26" ht="15.75" customHeight="1" x14ac:dyDescent="0.35">
      <c r="A28" s="73" t="s">
        <v>21</v>
      </c>
      <c r="B28" s="73"/>
      <c r="C28" s="73"/>
      <c r="D28" s="73"/>
      <c r="E28" s="89" t="str">
        <f>IF(AND(G20="Mumbai"),"Developed","Developing")</f>
        <v>Developing</v>
      </c>
      <c r="F28" s="89"/>
      <c r="G28" s="89"/>
      <c r="H28" s="89"/>
    </row>
    <row r="29" spans="1:26" x14ac:dyDescent="0.35">
      <c r="A29" s="73" t="s">
        <v>22</v>
      </c>
      <c r="B29" s="73"/>
      <c r="C29" s="73"/>
      <c r="D29" s="73"/>
      <c r="E29" s="89" t="s">
        <v>23</v>
      </c>
      <c r="F29" s="89"/>
      <c r="G29" s="89"/>
      <c r="H29" s="89"/>
    </row>
    <row r="30" spans="1:26" ht="15.75" customHeight="1" x14ac:dyDescent="0.35">
      <c r="A30" s="73" t="s">
        <v>77</v>
      </c>
      <c r="B30" s="73"/>
      <c r="C30" s="73"/>
      <c r="D30" s="73"/>
      <c r="E30" s="89" t="s">
        <v>78</v>
      </c>
      <c r="F30" s="89"/>
      <c r="G30" s="89"/>
      <c r="H30" s="89"/>
    </row>
    <row r="31" spans="1:26" ht="15" customHeight="1" x14ac:dyDescent="0.35">
      <c r="A31" s="73" t="s">
        <v>30</v>
      </c>
      <c r="B31" s="73"/>
      <c r="C31" s="73"/>
      <c r="D31" s="73"/>
      <c r="E31" s="89"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31" s="89"/>
      <c r="G31" s="89"/>
      <c r="H31" s="89"/>
    </row>
    <row r="32" spans="1:26" ht="15.75" customHeight="1" x14ac:dyDescent="0.35">
      <c r="A32" s="73" t="s">
        <v>89</v>
      </c>
      <c r="B32" s="73"/>
      <c r="C32" s="73"/>
      <c r="D32" s="73"/>
      <c r="E32" s="89" t="s">
        <v>31</v>
      </c>
      <c r="F32" s="89"/>
      <c r="G32" s="89"/>
      <c r="H32" s="89"/>
    </row>
    <row r="33" spans="1:19" s="17" customFormat="1" x14ac:dyDescent="0.35">
      <c r="A33" s="132" t="s">
        <v>90</v>
      </c>
      <c r="B33" s="132"/>
      <c r="C33" s="129" t="s">
        <v>168</v>
      </c>
      <c r="D33" s="130"/>
      <c r="E33" s="131"/>
      <c r="F33" s="129" t="s">
        <v>29</v>
      </c>
      <c r="G33" s="130"/>
      <c r="H33" s="131"/>
      <c r="S33" s="17" t="e">
        <f ca="1">OFFSET($S$13,1,MATCH($G20,$S$13:$W$13,0)-1,15,1)</f>
        <v>#VALUE!</v>
      </c>
    </row>
    <row r="34" spans="1:19" s="17" customFormat="1" x14ac:dyDescent="0.35">
      <c r="A34" s="128" t="s">
        <v>24</v>
      </c>
      <c r="B34" s="128" t="s">
        <v>28</v>
      </c>
      <c r="C34" s="123" t="s">
        <v>299</v>
      </c>
      <c r="D34" s="124"/>
      <c r="E34" s="125"/>
      <c r="F34" s="123" t="s">
        <v>301</v>
      </c>
      <c r="G34" s="124"/>
      <c r="H34" s="125"/>
    </row>
    <row r="35" spans="1:19" x14ac:dyDescent="0.35">
      <c r="A35" s="128" t="s">
        <v>25</v>
      </c>
      <c r="B35" s="128" t="s">
        <v>28</v>
      </c>
      <c r="C35" s="123" t="s">
        <v>299</v>
      </c>
      <c r="D35" s="124"/>
      <c r="E35" s="125"/>
      <c r="F35" s="123" t="s">
        <v>299</v>
      </c>
      <c r="G35" s="124"/>
      <c r="H35" s="125"/>
    </row>
    <row r="36" spans="1:19" s="17" customFormat="1" x14ac:dyDescent="0.35">
      <c r="A36" s="128" t="s">
        <v>27</v>
      </c>
      <c r="B36" s="128" t="s">
        <v>28</v>
      </c>
      <c r="C36" s="123" t="s">
        <v>297</v>
      </c>
      <c r="D36" s="124"/>
      <c r="E36" s="125"/>
      <c r="F36" s="123" t="s">
        <v>298</v>
      </c>
      <c r="G36" s="124"/>
      <c r="H36" s="125"/>
    </row>
    <row r="37" spans="1:19" x14ac:dyDescent="0.35">
      <c r="A37" s="128" t="s">
        <v>26</v>
      </c>
      <c r="B37" s="128" t="s">
        <v>28</v>
      </c>
      <c r="C37" s="123" t="s">
        <v>298</v>
      </c>
      <c r="D37" s="124"/>
      <c r="E37" s="125"/>
      <c r="F37" s="123" t="s">
        <v>299</v>
      </c>
      <c r="G37" s="124"/>
      <c r="H37" s="125"/>
    </row>
    <row r="38" spans="1:19" x14ac:dyDescent="0.35">
      <c r="A38" s="73" t="s">
        <v>273</v>
      </c>
      <c r="B38" s="73"/>
      <c r="C38" s="73"/>
      <c r="D38" s="73"/>
      <c r="E38" s="73"/>
      <c r="F38" s="73"/>
      <c r="G38" s="73"/>
      <c r="H38" s="73"/>
    </row>
    <row r="39" spans="1:19" ht="15.75" customHeight="1" x14ac:dyDescent="0.35">
      <c r="A39" s="73" t="s">
        <v>161</v>
      </c>
      <c r="B39" s="73"/>
      <c r="C39" s="112" t="s">
        <v>300</v>
      </c>
      <c r="D39" s="112"/>
      <c r="E39" s="112"/>
      <c r="F39" s="112"/>
      <c r="G39" s="112"/>
      <c r="H39" s="112"/>
    </row>
    <row r="40" spans="1:19" x14ac:dyDescent="0.35">
      <c r="A40" s="73" t="s">
        <v>157</v>
      </c>
      <c r="B40" s="73"/>
      <c r="C40" s="141" t="s">
        <v>303</v>
      </c>
      <c r="D40" s="89"/>
      <c r="E40" s="89"/>
      <c r="F40" s="89"/>
      <c r="G40" s="89"/>
      <c r="H40" s="89"/>
    </row>
    <row r="41" spans="1:19" x14ac:dyDescent="0.35">
      <c r="A41" s="112" t="s">
        <v>32</v>
      </c>
      <c r="B41" s="112"/>
      <c r="C41" s="112"/>
      <c r="D41" s="112"/>
      <c r="E41" s="112"/>
      <c r="F41" s="112"/>
      <c r="G41" s="112"/>
      <c r="H41" s="112"/>
    </row>
    <row r="42" spans="1:19" x14ac:dyDescent="0.35">
      <c r="A42" s="73" t="s">
        <v>33</v>
      </c>
      <c r="B42" s="73"/>
      <c r="C42" s="73"/>
      <c r="D42" s="73"/>
      <c r="E42" s="133">
        <v>999</v>
      </c>
      <c r="F42" s="133"/>
      <c r="G42" s="133"/>
      <c r="H42" s="133"/>
    </row>
    <row r="43" spans="1:19" x14ac:dyDescent="0.35">
      <c r="A43" s="73" t="s">
        <v>34</v>
      </c>
      <c r="B43" s="73"/>
      <c r="C43" s="73"/>
      <c r="D43" s="73"/>
      <c r="E43" s="79">
        <v>1.1000000000000001</v>
      </c>
      <c r="F43" s="79"/>
      <c r="G43" s="79"/>
      <c r="H43" s="79"/>
    </row>
    <row r="44" spans="1:19" x14ac:dyDescent="0.35">
      <c r="A44" s="73" t="s">
        <v>35</v>
      </c>
      <c r="B44" s="73"/>
      <c r="C44" s="73"/>
      <c r="D44" s="73"/>
      <c r="E44" s="79">
        <f>E46/E42-E43</f>
        <v>2.0938138138138136</v>
      </c>
      <c r="F44" s="79"/>
      <c r="G44" s="79"/>
      <c r="H44" s="79"/>
    </row>
    <row r="45" spans="1:19" x14ac:dyDescent="0.35">
      <c r="A45" s="73" t="s">
        <v>36</v>
      </c>
      <c r="B45" s="73"/>
      <c r="C45" s="73"/>
      <c r="D45" s="73"/>
      <c r="E45" s="79">
        <f>E43+E44</f>
        <v>3.1938138138138137</v>
      </c>
      <c r="F45" s="79"/>
      <c r="G45" s="79"/>
      <c r="H45" s="79"/>
    </row>
    <row r="46" spans="1:19" x14ac:dyDescent="0.35">
      <c r="A46" s="73" t="s">
        <v>88</v>
      </c>
      <c r="B46" s="73"/>
      <c r="C46" s="73"/>
      <c r="D46" s="73"/>
      <c r="E46" s="136">
        <v>3190.62</v>
      </c>
      <c r="F46" s="136"/>
      <c r="G46" s="136"/>
      <c r="H46" s="136"/>
    </row>
    <row r="47" spans="1:19" x14ac:dyDescent="0.35">
      <c r="A47" s="90" t="s">
        <v>37</v>
      </c>
      <c r="B47" s="90"/>
      <c r="C47" s="90"/>
      <c r="D47" s="90"/>
      <c r="E47" s="90" t="s">
        <v>117</v>
      </c>
      <c r="F47" s="90"/>
      <c r="G47" s="90"/>
      <c r="H47" s="90"/>
    </row>
    <row r="48" spans="1:19" x14ac:dyDescent="0.35">
      <c r="A48" s="112" t="s">
        <v>38</v>
      </c>
      <c r="B48" s="112"/>
      <c r="C48" s="112"/>
      <c r="D48" s="112"/>
      <c r="E48" s="112"/>
      <c r="F48" s="112"/>
      <c r="G48" s="112"/>
      <c r="H48" s="112"/>
    </row>
    <row r="49" spans="1:22" ht="33.75" customHeight="1" x14ac:dyDescent="0.35">
      <c r="A49" s="81" t="s">
        <v>147</v>
      </c>
      <c r="B49" s="82"/>
      <c r="C49" s="149" t="s">
        <v>257</v>
      </c>
      <c r="D49" s="150"/>
      <c r="E49" s="150"/>
      <c r="F49" s="150"/>
      <c r="G49" s="150"/>
      <c r="H49" s="151"/>
      <c r="R49" t="s">
        <v>246</v>
      </c>
      <c r="S49" t="s">
        <v>167</v>
      </c>
      <c r="T49" t="s">
        <v>172</v>
      </c>
      <c r="U49" t="s">
        <v>187</v>
      </c>
      <c r="V49" t="s">
        <v>182</v>
      </c>
    </row>
    <row r="50" spans="1:22" ht="15.75" customHeight="1" x14ac:dyDescent="0.35">
      <c r="A50" s="81" t="s">
        <v>39</v>
      </c>
      <c r="B50" s="82"/>
      <c r="C50" s="81" t="s">
        <v>316</v>
      </c>
      <c r="D50" s="86"/>
      <c r="E50" s="82"/>
      <c r="F50" s="15" t="s">
        <v>40</v>
      </c>
      <c r="G50" s="97">
        <v>45142</v>
      </c>
      <c r="H50" s="82"/>
      <c r="R50"/>
      <c r="S50" t="s">
        <v>247</v>
      </c>
      <c r="T50" t="s">
        <v>252</v>
      </c>
      <c r="U50" t="s">
        <v>263</v>
      </c>
      <c r="V50" t="s">
        <v>268</v>
      </c>
    </row>
    <row r="51" spans="1:22" x14ac:dyDescent="0.35">
      <c r="A51" s="81" t="s">
        <v>41</v>
      </c>
      <c r="B51" s="82"/>
      <c r="C51" s="81" t="str">
        <f>C50</f>
        <v>CATAM/B/2023/APL/00105</v>
      </c>
      <c r="D51" s="86"/>
      <c r="E51" s="82"/>
      <c r="F51" s="15" t="s">
        <v>40</v>
      </c>
      <c r="G51" s="97">
        <f>G50</f>
        <v>45142</v>
      </c>
      <c r="H51" s="82"/>
      <c r="R51"/>
      <c r="S51" t="s">
        <v>248</v>
      </c>
      <c r="T51" t="s">
        <v>253</v>
      </c>
      <c r="U51" t="s">
        <v>261</v>
      </c>
      <c r="V51" t="s">
        <v>269</v>
      </c>
    </row>
    <row r="52" spans="1:22" s="18" customFormat="1" ht="15.75" customHeight="1" x14ac:dyDescent="0.35">
      <c r="A52" s="137" t="s">
        <v>151</v>
      </c>
      <c r="B52" s="138"/>
      <c r="C52" s="81" t="str">
        <f>C51</f>
        <v>CATAM/B/2023/APL/00105</v>
      </c>
      <c r="D52" s="86"/>
      <c r="E52" s="82"/>
      <c r="F52" s="15" t="s">
        <v>40</v>
      </c>
      <c r="G52" s="97">
        <f>G51</f>
        <v>45142</v>
      </c>
      <c r="H52" s="82"/>
      <c r="R52"/>
      <c r="S52" t="s">
        <v>249</v>
      </c>
      <c r="T52" t="s">
        <v>254</v>
      </c>
      <c r="U52" t="s">
        <v>251</v>
      </c>
      <c r="V52" t="s">
        <v>270</v>
      </c>
    </row>
    <row r="53" spans="1:22" s="18" customFormat="1" x14ac:dyDescent="0.35">
      <c r="A53" s="139"/>
      <c r="B53" s="140"/>
      <c r="C53" s="81" t="s">
        <v>317</v>
      </c>
      <c r="D53" s="86"/>
      <c r="E53" s="86"/>
      <c r="F53" s="86"/>
      <c r="G53" s="86"/>
      <c r="H53" s="82"/>
      <c r="R53"/>
      <c r="S53" t="s">
        <v>250</v>
      </c>
      <c r="T53" t="s">
        <v>257</v>
      </c>
      <c r="U53" t="s">
        <v>264</v>
      </c>
    </row>
    <row r="54" spans="1:22" x14ac:dyDescent="0.35">
      <c r="A54" s="74" t="s">
        <v>42</v>
      </c>
      <c r="B54" s="75"/>
      <c r="C54" s="74" t="s">
        <v>102</v>
      </c>
      <c r="D54" s="76"/>
      <c r="E54" s="75"/>
      <c r="F54" s="38" t="s">
        <v>40</v>
      </c>
      <c r="G54" s="99" t="s">
        <v>28</v>
      </c>
      <c r="H54" s="100"/>
      <c r="R54"/>
      <c r="T54" t="s">
        <v>262</v>
      </c>
    </row>
    <row r="55" spans="1:22" x14ac:dyDescent="0.35">
      <c r="A55" s="98" t="s">
        <v>44</v>
      </c>
      <c r="B55" s="98"/>
      <c r="C55" s="98"/>
      <c r="D55" s="98"/>
      <c r="E55" s="98"/>
      <c r="F55" s="98"/>
      <c r="G55" s="98"/>
      <c r="H55" s="98"/>
      <c r="T55" t="s">
        <v>271</v>
      </c>
    </row>
    <row r="56" spans="1:22" x14ac:dyDescent="0.35">
      <c r="A56" s="78" t="s">
        <v>87</v>
      </c>
      <c r="B56" s="78"/>
      <c r="C56" s="78"/>
      <c r="D56" s="73">
        <f>E46</f>
        <v>3190.62</v>
      </c>
      <c r="E56" s="73"/>
      <c r="F56" s="73"/>
      <c r="G56" s="73"/>
      <c r="H56" s="73"/>
      <c r="R56"/>
    </row>
    <row r="57" spans="1:22" x14ac:dyDescent="0.35">
      <c r="A57" s="89" t="s">
        <v>45</v>
      </c>
      <c r="B57" s="90"/>
      <c r="C57" s="90"/>
      <c r="D57" s="90" t="s">
        <v>318</v>
      </c>
      <c r="E57" s="90"/>
      <c r="F57" s="90"/>
      <c r="G57" s="90"/>
      <c r="H57" s="90"/>
      <c r="I57" s="19"/>
      <c r="R57"/>
    </row>
    <row r="58" spans="1:22" ht="16.5" customHeight="1" x14ac:dyDescent="0.35">
      <c r="A58" s="87" t="s">
        <v>46</v>
      </c>
      <c r="B58" s="88"/>
      <c r="C58" s="147"/>
      <c r="D58" s="118" t="s">
        <v>323</v>
      </c>
      <c r="E58" s="146"/>
      <c r="F58" s="146"/>
      <c r="G58" s="146"/>
      <c r="H58" s="146"/>
      <c r="R58"/>
    </row>
    <row r="59" spans="1:22" ht="15.75" customHeight="1" x14ac:dyDescent="0.35">
      <c r="A59" s="87" t="s">
        <v>85</v>
      </c>
      <c r="B59" s="88"/>
      <c r="C59" s="88"/>
      <c r="D59" s="89" t="s">
        <v>323</v>
      </c>
      <c r="E59" s="90"/>
      <c r="F59" s="90"/>
      <c r="G59" s="90"/>
      <c r="H59" s="90"/>
      <c r="R59"/>
    </row>
    <row r="60" spans="1:22" ht="15.75" customHeight="1" x14ac:dyDescent="0.35">
      <c r="A60" s="73" t="s">
        <v>43</v>
      </c>
      <c r="B60" s="73"/>
      <c r="C60" s="73"/>
      <c r="D60" s="134" t="s">
        <v>294</v>
      </c>
      <c r="E60" s="134"/>
      <c r="F60" s="134"/>
      <c r="G60" s="134"/>
      <c r="H60" s="134"/>
      <c r="J60" s="20"/>
      <c r="K60" s="19"/>
      <c r="N60" s="19"/>
      <c r="S60"/>
    </row>
    <row r="61" spans="1:22" ht="15.75" customHeight="1" x14ac:dyDescent="0.35">
      <c r="A61" s="73" t="s">
        <v>83</v>
      </c>
      <c r="B61" s="73"/>
      <c r="C61" s="73"/>
      <c r="D61" s="135" t="str">
        <f>(IF(G54="NA","60 Years After Completion",IF(G54&lt;&gt;"NA",""&amp;60-ROUNDDOWN((E3-G54)/360,0)&amp;" Years"," ")))</f>
        <v>60 Years After Completion</v>
      </c>
      <c r="E61" s="135"/>
      <c r="F61" s="135"/>
      <c r="G61" s="135"/>
      <c r="H61" s="135"/>
      <c r="N61" s="19"/>
      <c r="S61"/>
    </row>
    <row r="62" spans="1:22" ht="15.75" customHeight="1" x14ac:dyDescent="0.35">
      <c r="A62" s="73" t="s">
        <v>84</v>
      </c>
      <c r="B62" s="73"/>
      <c r="C62" s="73"/>
      <c r="D62" s="78" t="s">
        <v>23</v>
      </c>
      <c r="E62" s="78"/>
      <c r="F62" s="78"/>
      <c r="G62" s="78"/>
      <c r="H62" s="78"/>
      <c r="J62" s="21"/>
      <c r="K62" s="21"/>
      <c r="S62"/>
    </row>
    <row r="63" spans="1:22" x14ac:dyDescent="0.35">
      <c r="A63" s="90" t="s">
        <v>324</v>
      </c>
      <c r="B63" s="90"/>
      <c r="C63" s="90"/>
      <c r="D63" s="89" t="s">
        <v>28</v>
      </c>
      <c r="E63" s="78"/>
      <c r="F63" s="78"/>
      <c r="G63" s="78"/>
      <c r="H63" s="78"/>
      <c r="S63"/>
    </row>
    <row r="64" spans="1:22" x14ac:dyDescent="0.35">
      <c r="A64" s="78" t="s">
        <v>144</v>
      </c>
      <c r="B64" s="78"/>
      <c r="C64" s="78"/>
      <c r="D64" s="78" t="s">
        <v>28</v>
      </c>
      <c r="E64" s="78"/>
      <c r="F64" s="78"/>
      <c r="G64" s="78"/>
      <c r="H64" s="78"/>
      <c r="I64" s="22"/>
      <c r="J64" s="22"/>
      <c r="K64" s="22"/>
      <c r="L64" s="22"/>
      <c r="M64" s="22"/>
      <c r="N64" s="22"/>
    </row>
    <row r="65" spans="1:19" ht="15.75" customHeight="1" x14ac:dyDescent="0.35">
      <c r="A65" s="73" t="s">
        <v>82</v>
      </c>
      <c r="B65" s="73"/>
      <c r="C65" s="73"/>
      <c r="D65" s="89" t="str">
        <f ca="1">(IF(G71&gt;95%,"Nothing",IF(G71&gt;0%,"Cement, Aggregate, Steel, etc",IF(G71=0%,"Work not yet Started"))))</f>
        <v>Cement, Aggregate, Steel, etc</v>
      </c>
      <c r="E65" s="89"/>
      <c r="F65" s="89"/>
      <c r="G65" s="89"/>
      <c r="H65" s="89"/>
      <c r="J65" s="21"/>
      <c r="S65"/>
    </row>
    <row r="66" spans="1:19" ht="33.75" customHeight="1" thickBot="1" x14ac:dyDescent="0.4">
      <c r="A66" s="78" t="s">
        <v>115</v>
      </c>
      <c r="B66" s="78"/>
      <c r="C66" s="78"/>
      <c r="D66" s="89" t="str">
        <f ca="1">(IF(D65="Nothing","Yes",IF(D65="Cement, Aggregate, Steel, etc","Under Construction",IF(D65="Work not yet Started","Work not yet Started"))))</f>
        <v>Under Construction</v>
      </c>
      <c r="E66" s="89"/>
      <c r="F66" s="89" t="str">
        <f ca="1">(IF(D65="Nothing","Yes",IF(D65="Cement, Aggregate, Steel, etc","Under Construction",IF(D65="Work not yet Started","Work not yet Started"))))</f>
        <v>Under Construction</v>
      </c>
      <c r="G66" s="89"/>
      <c r="H66" s="89"/>
      <c r="S66"/>
    </row>
    <row r="67" spans="1:19" ht="15.75" customHeight="1" x14ac:dyDescent="0.35">
      <c r="A67" s="153" t="s">
        <v>136</v>
      </c>
      <c r="B67" s="153"/>
      <c r="C67" s="153" t="str">
        <f>D59</f>
        <v xml:space="preserve">Stilt + 1st to 6th Floor
</v>
      </c>
      <c r="D67" s="153"/>
      <c r="E67" s="153"/>
      <c r="F67" s="153"/>
      <c r="G67" s="153"/>
      <c r="H67" s="153"/>
      <c r="I67" s="155" t="str">
        <f ca="1">IF(D80=100%,"All work Completed. Possession granted to the Building.",IF(D79=100%,"All work Completed, Waiting for OC",I68&amp;""&amp;I69&amp;""&amp;J68&amp;""&amp;J67&amp;" "&amp;J69))</f>
        <v>Excavation, Plinth, RCC Slab, Brickwork Completed, Internal Plaster upto 5 Floor, External Plaster upto 3 Floor Completed</v>
      </c>
      <c r="J67" s="40" t="str">
        <f ca="1">(IF(C73=(D68+F68+H68),"",IF(C73&gt;0,", RCC upto "&amp;C73&amp;" Slab","")))&amp;(IF(C74=H68,"",IF(C74&gt;0,", Brickwork upto "&amp;C74&amp;" Floor","")))&amp;(IF(C75=H68,"",IF(C75&gt;0,", Internal Plaster upto "&amp;C75&amp;" Floor","")))&amp;(IF(C76=H68,"",IF(C76&gt;0,", External Plaster upto "&amp;C76&amp;" Floor","")))&amp;(IF(C77=H68,"",IF(C77&gt;0,", Flooring upto "&amp;C77&amp;" Floor","")))&amp;(IF(C78=H68,"",IF(C78&gt;0,", Painting upto "&amp;C78&amp;" Floor","")))&amp;(IF(C79=H68,"",IF(C79&gt;0,", Finishing upto "&amp;C79&amp;" Floor","")))&amp;(IF(C80=H68,"",IF(C80&gt;0,", Possession upto "&amp;C80&amp;" Floor","")))</f>
        <v>, Internal Plaster upto 5 Floor, External Plaster upto 3 Floor</v>
      </c>
      <c r="S67"/>
    </row>
    <row r="68" spans="1:19" x14ac:dyDescent="0.35">
      <c r="A68" s="42" t="s">
        <v>138</v>
      </c>
      <c r="B68" s="42">
        <f>IF(AND(ISNUMBER(SEARCH("1B",C67))),1,IF(AND(ISNUMBER(SEARCH("2B",C67))),2,IF(AND(ISNUMBER(SEARCH("3B",C67))),3,IF(AND(ISNUMBER(SEARCH("4B",C67))),4,IF(ISNUMBER(SEARCH("5B",C67)),5,0)))))</f>
        <v>0</v>
      </c>
      <c r="C68" s="42" t="s">
        <v>69</v>
      </c>
      <c r="D68" s="42">
        <v>1</v>
      </c>
      <c r="E68" s="42" t="s">
        <v>68</v>
      </c>
      <c r="F68" s="42">
        <v>0</v>
      </c>
      <c r="G68" s="42" t="s">
        <v>76</v>
      </c>
      <c r="H68" s="42">
        <f ca="1">--TRIM(RIGHT(SUBSTITUTE(LEFT(C67,_xlfn.AGGREGATE(16,6,FIND({0,1,2,3,4,5,6,7,8,9},C67,ROW(INDIRECT("1:"&amp;LEN(C67)))),1))," ",REPT(" ",LEN(C67))),LEN(C67)))</f>
        <v>6</v>
      </c>
      <c r="I68" s="156" t="str">
        <f ca="1">IF(D71=100%,"Excavation","")&amp;IF(D72=100%,", Plinth","")&amp;IF(D73=100%,", RCC Slab","")&amp;IF(D74=100%,", Brickwork","")&amp;IF(D75=100%,", Internal Plaster","")&amp;IF(D76=100%,", External Plaster","")&amp;IF(D77=100%,", Flooring","")&amp;IF(D78=100%,", Painting","")&amp;IF(D79=100%,", Building common Amenities","")</f>
        <v>Excavation, Plinth, RCC Slab, Brickwork</v>
      </c>
      <c r="J68" s="41" t="str">
        <f ca="1">(IF(C71=0,"Work not yet Started.",IF(D71=25%,"Piling work in process",IF(D71=50%,"Excavation work in process",IF(D71=100%,"","0")))))&amp;(IF(C72=0%,"",IF(C72=J73,", Footing work is process",IF(C72=J74,", Footing work Completed",IF(C72=J75,", 1st Basement Completed",IF(C72=J76,", 1st &amp; 2nd Basement Completed",IF(C72=J77,", 1st to 3rd Basement Completed",IF(C72=J78,", 1st to 4th Basement Completed",IF(C72=J79,", Plinth work is process",IF(C72=J80,"","0"))))))))))</f>
        <v/>
      </c>
      <c r="S68"/>
    </row>
    <row r="69" spans="1:19" ht="32.5" customHeight="1" x14ac:dyDescent="0.35">
      <c r="A69" s="121" t="s">
        <v>86</v>
      </c>
      <c r="B69" s="121"/>
      <c r="C69" s="153" t="str">
        <f ca="1">I67</f>
        <v>Excavation, Plinth, RCC Slab, Brickwork Completed, Internal Plaster upto 5 Floor, External Plaster upto 3 Floor Completed</v>
      </c>
      <c r="D69" s="153"/>
      <c r="E69" s="153"/>
      <c r="F69" s="153"/>
      <c r="G69" s="153"/>
      <c r="H69" s="153"/>
      <c r="I69" s="156" t="str">
        <f ca="1">IF(I68&lt;&gt;""," Completed","")</f>
        <v xml:space="preserve"> Completed</v>
      </c>
      <c r="J69" s="41" t="str">
        <f ca="1">IF(J67&lt;&gt;"","Completed","")</f>
        <v>Completed</v>
      </c>
      <c r="S69"/>
    </row>
    <row r="70" spans="1:19" ht="15.75" customHeight="1" x14ac:dyDescent="0.35">
      <c r="A70" s="80" t="s">
        <v>47</v>
      </c>
      <c r="B70" s="80"/>
      <c r="C70" s="61" t="s">
        <v>135</v>
      </c>
      <c r="D70" s="61" t="s">
        <v>79</v>
      </c>
      <c r="E70" s="80" t="s">
        <v>81</v>
      </c>
      <c r="F70" s="80"/>
      <c r="G70" s="80" t="s">
        <v>80</v>
      </c>
      <c r="H70" s="80"/>
      <c r="I70" s="13" t="s">
        <v>137</v>
      </c>
      <c r="J70" s="23">
        <f ca="1">H68*25%</f>
        <v>1.5</v>
      </c>
      <c r="S70"/>
    </row>
    <row r="71" spans="1:19" x14ac:dyDescent="0.35">
      <c r="A71" s="80" t="s">
        <v>124</v>
      </c>
      <c r="B71" s="80"/>
      <c r="C71" s="61">
        <f ca="1">J72</f>
        <v>6</v>
      </c>
      <c r="D71" s="62">
        <f ca="1">((100/H68)*C71)/100</f>
        <v>1</v>
      </c>
      <c r="E71" s="157">
        <f ca="1">(((C72/H68*10)+(40/(D68+F68+H68)*C73)+(7.5/(H68)*C74)+(7.5/(H68)*C75)+(10/H68*C76)+(10/H68*C77)+(5/H68*C78)+(5/H68*C79)+(5/H68*C80))/100)</f>
        <v>0.6875</v>
      </c>
      <c r="F71" s="157"/>
      <c r="G71" s="157">
        <f ca="1">((((C71/H68)*20)+((C72/H68)*25)+(30/(H68+F68+D68)*C73)+(5/H68*C74)+(5/H68*C75)+(5/H68*C76)+(5/H68*C77)+(0/H68*C78)+(0/H68*C79)+(5/H68*C80))/100)</f>
        <v>0.8666666666666667</v>
      </c>
      <c r="H71" s="157"/>
      <c r="I71" s="13" t="s">
        <v>97</v>
      </c>
      <c r="J71" s="24">
        <f ca="1">H68*50%</f>
        <v>3</v>
      </c>
    </row>
    <row r="72" spans="1:19" x14ac:dyDescent="0.35">
      <c r="A72" s="80" t="s">
        <v>48</v>
      </c>
      <c r="B72" s="80"/>
      <c r="C72" s="61">
        <f ca="1">J80</f>
        <v>6</v>
      </c>
      <c r="D72" s="62">
        <f ca="1">((100/H68)*C72)/100</f>
        <v>1</v>
      </c>
      <c r="E72" s="157"/>
      <c r="F72" s="157"/>
      <c r="G72" s="157"/>
      <c r="H72" s="157"/>
      <c r="I72" s="13" t="s">
        <v>98</v>
      </c>
      <c r="J72" s="24">
        <f ca="1">H68</f>
        <v>6</v>
      </c>
      <c r="S72"/>
    </row>
    <row r="73" spans="1:19" ht="15.75" customHeight="1" x14ac:dyDescent="0.35">
      <c r="A73" s="80" t="s">
        <v>125</v>
      </c>
      <c r="B73" s="80"/>
      <c r="C73" s="61">
        <v>7</v>
      </c>
      <c r="D73" s="62">
        <f ca="1">((100/(D68+F68+H68))*C73)/100</f>
        <v>1</v>
      </c>
      <c r="E73" s="157"/>
      <c r="F73" s="157"/>
      <c r="G73" s="157"/>
      <c r="H73" s="157"/>
      <c r="I73" s="13" t="s">
        <v>99</v>
      </c>
      <c r="J73" s="25">
        <f ca="1">(IF(B68&gt;1,(H68/(B68+2)),H68/4))</f>
        <v>1.5</v>
      </c>
      <c r="S73"/>
    </row>
    <row r="74" spans="1:19" ht="15.75" customHeight="1" x14ac:dyDescent="0.35">
      <c r="A74" s="80" t="s">
        <v>132</v>
      </c>
      <c r="B74" s="80" t="s">
        <v>126</v>
      </c>
      <c r="C74" s="61">
        <v>6</v>
      </c>
      <c r="D74" s="62">
        <f ca="1">((100/H68)*C74)/100</f>
        <v>1</v>
      </c>
      <c r="E74" s="157"/>
      <c r="F74" s="157"/>
      <c r="G74" s="157"/>
      <c r="H74" s="157"/>
      <c r="I74" s="13" t="s">
        <v>100</v>
      </c>
      <c r="J74" s="25">
        <f ca="1">(IF(B68&gt;1,(H68/(B68+2)+J73),H68/4+J73))</f>
        <v>3</v>
      </c>
    </row>
    <row r="75" spans="1:19" ht="15.75" customHeight="1" x14ac:dyDescent="0.35">
      <c r="A75" s="80" t="s">
        <v>133</v>
      </c>
      <c r="B75" s="80" t="s">
        <v>126</v>
      </c>
      <c r="C75" s="61">
        <v>5</v>
      </c>
      <c r="D75" s="62">
        <f ca="1">((100/H68)*C75)/100</f>
        <v>0.83333333333333348</v>
      </c>
      <c r="E75" s="157"/>
      <c r="F75" s="157"/>
      <c r="G75" s="157"/>
      <c r="H75" s="157"/>
      <c r="I75" s="13" t="s">
        <v>142</v>
      </c>
      <c r="J75" s="25">
        <f>(IF(B68&gt;1,(H68/(B68+2)+J74),0))</f>
        <v>0</v>
      </c>
    </row>
    <row r="76" spans="1:19" ht="15" customHeight="1" x14ac:dyDescent="0.35">
      <c r="A76" s="80" t="s">
        <v>131</v>
      </c>
      <c r="B76" s="80" t="s">
        <v>128</v>
      </c>
      <c r="C76" s="61">
        <v>3</v>
      </c>
      <c r="D76" s="62">
        <f ca="1">((100/(H68))*C76)/100</f>
        <v>0.5</v>
      </c>
      <c r="E76" s="157"/>
      <c r="F76" s="157"/>
      <c r="G76" s="157"/>
      <c r="H76" s="157"/>
      <c r="I76" s="13" t="s">
        <v>139</v>
      </c>
      <c r="J76" s="25">
        <f>(IF(B68&gt;2,(H68/(B68+2)+J75),0))</f>
        <v>0</v>
      </c>
    </row>
    <row r="77" spans="1:19" ht="15.75" customHeight="1" x14ac:dyDescent="0.35">
      <c r="A77" s="80" t="s">
        <v>127</v>
      </c>
      <c r="B77" s="80" t="s">
        <v>127</v>
      </c>
      <c r="C77" s="61">
        <v>0</v>
      </c>
      <c r="D77" s="62">
        <f ca="1">((100/H68)*C77)/100</f>
        <v>0</v>
      </c>
      <c r="E77" s="157"/>
      <c r="F77" s="157"/>
      <c r="G77" s="157"/>
      <c r="H77" s="157"/>
      <c r="I77" s="13" t="s">
        <v>140</v>
      </c>
      <c r="J77" s="26">
        <f>(IF(B68&gt;3,(H68/(B68+2)+J76),0))</f>
        <v>0</v>
      </c>
    </row>
    <row r="78" spans="1:19" ht="15.75" customHeight="1" x14ac:dyDescent="0.35">
      <c r="A78" s="80" t="s">
        <v>134</v>
      </c>
      <c r="B78" s="80"/>
      <c r="C78" s="61">
        <v>0</v>
      </c>
      <c r="D78" s="62">
        <f ca="1">((100/H68)*C78)/100</f>
        <v>0</v>
      </c>
      <c r="E78" s="157"/>
      <c r="F78" s="157"/>
      <c r="G78" s="157"/>
      <c r="H78" s="157"/>
      <c r="I78" s="13" t="s">
        <v>141</v>
      </c>
      <c r="J78" s="25">
        <f>(IF(B68&gt;4,(H68/(B68+2)+J77),0))</f>
        <v>0</v>
      </c>
    </row>
    <row r="79" spans="1:19" ht="15.75" customHeight="1" x14ac:dyDescent="0.35">
      <c r="A79" s="80" t="s">
        <v>129</v>
      </c>
      <c r="B79" s="80" t="s">
        <v>129</v>
      </c>
      <c r="C79" s="61">
        <v>0</v>
      </c>
      <c r="D79" s="62">
        <f ca="1">((100/(H68))*C79)/100</f>
        <v>0</v>
      </c>
      <c r="E79" s="157"/>
      <c r="F79" s="157"/>
      <c r="G79" s="157"/>
      <c r="H79" s="157"/>
      <c r="I79" s="13" t="s">
        <v>143</v>
      </c>
      <c r="J79" s="25">
        <f ca="1">(IF(B68=1,(H68/(B68+3)+J74),IF(B68=0,(H68/4+J74),IF(B68&gt;1,0))))</f>
        <v>4.5</v>
      </c>
    </row>
    <row r="80" spans="1:19" ht="16" thickBot="1" x14ac:dyDescent="0.4">
      <c r="A80" s="80" t="s">
        <v>130</v>
      </c>
      <c r="B80" s="80"/>
      <c r="C80" s="61">
        <v>0</v>
      </c>
      <c r="D80" s="62">
        <f ca="1">((100/(H68))*C80)/100</f>
        <v>0</v>
      </c>
      <c r="E80" s="157"/>
      <c r="F80" s="157"/>
      <c r="G80" s="157"/>
      <c r="H80" s="157"/>
      <c r="I80" s="14" t="s">
        <v>101</v>
      </c>
      <c r="J80" s="27">
        <f ca="1">(IF(B68&gt;1.5,(H68/(B68+2)+J74+MAX(0,J75-J74)+MAX(0,J76-J75)+MAX(0,J77-J76)+MAX(0,J78-J77)+MAX(0,J79-J78)),IF(B68=1,(H68/(B68+3)+J79),IF(B68=0,H68/4+J79))))</f>
        <v>6</v>
      </c>
    </row>
    <row r="81" spans="1:22" x14ac:dyDescent="0.35">
      <c r="A81" s="152" t="s">
        <v>152</v>
      </c>
      <c r="B81" s="152"/>
      <c r="C81" s="152"/>
      <c r="D81" s="152"/>
      <c r="E81" s="152"/>
      <c r="F81" s="108" t="s">
        <v>156</v>
      </c>
      <c r="G81" s="108"/>
      <c r="H81" s="108"/>
      <c r="R81" t="s">
        <v>246</v>
      </c>
      <c r="S81" t="s">
        <v>167</v>
      </c>
      <c r="T81" t="s">
        <v>172</v>
      </c>
      <c r="U81" t="s">
        <v>187</v>
      </c>
      <c r="V81" t="s">
        <v>182</v>
      </c>
    </row>
    <row r="82" spans="1:22" x14ac:dyDescent="0.35">
      <c r="A82" s="73" t="s">
        <v>154</v>
      </c>
      <c r="B82" s="73"/>
      <c r="C82" s="73"/>
      <c r="D82" s="73"/>
      <c r="E82" s="73"/>
      <c r="F82" s="69">
        <v>4800</v>
      </c>
      <c r="G82" s="69"/>
      <c r="H82" s="69"/>
      <c r="R82"/>
      <c r="S82">
        <v>800000</v>
      </c>
      <c r="T82">
        <v>150000</v>
      </c>
      <c r="U82">
        <v>100000</v>
      </c>
      <c r="V82">
        <v>100000</v>
      </c>
    </row>
    <row r="83" spans="1:22" hidden="1" x14ac:dyDescent="0.35">
      <c r="A83" s="73" t="s">
        <v>153</v>
      </c>
      <c r="B83" s="73"/>
      <c r="C83" s="73"/>
      <c r="D83" s="73"/>
      <c r="E83" s="73"/>
      <c r="F83" s="69"/>
      <c r="G83" s="69"/>
      <c r="H83" s="69"/>
      <c r="R83"/>
      <c r="S83">
        <v>900000</v>
      </c>
      <c r="T83">
        <v>200000</v>
      </c>
      <c r="U83">
        <v>150000</v>
      </c>
      <c r="V83">
        <v>150000</v>
      </c>
    </row>
    <row r="84" spans="1:22" hidden="1" x14ac:dyDescent="0.35">
      <c r="A84" s="73" t="s">
        <v>155</v>
      </c>
      <c r="B84" s="73"/>
      <c r="C84" s="73"/>
      <c r="D84" s="73"/>
      <c r="E84" s="73"/>
      <c r="F84" s="69"/>
      <c r="G84" s="69"/>
      <c r="H84" s="69"/>
      <c r="R84"/>
      <c r="S84">
        <v>1000000</v>
      </c>
      <c r="T84">
        <v>250000</v>
      </c>
      <c r="U84">
        <v>200000</v>
      </c>
      <c r="V84">
        <v>200000</v>
      </c>
    </row>
    <row r="85" spans="1:22" s="28" customFormat="1" hidden="1" x14ac:dyDescent="0.35">
      <c r="A85" s="73" t="s">
        <v>169</v>
      </c>
      <c r="B85" s="73"/>
      <c r="C85" s="73"/>
      <c r="D85" s="73"/>
      <c r="E85" s="73"/>
      <c r="F85" s="69"/>
      <c r="G85" s="69"/>
      <c r="H85" s="69"/>
      <c r="R85"/>
      <c r="S85">
        <v>1100000</v>
      </c>
      <c r="T85">
        <v>300000</v>
      </c>
      <c r="U85">
        <v>250000</v>
      </c>
      <c r="V85" s="18">
        <v>250000</v>
      </c>
    </row>
    <row r="86" spans="1:22" s="28" customFormat="1" x14ac:dyDescent="0.35">
      <c r="A86" s="73" t="s">
        <v>91</v>
      </c>
      <c r="B86" s="73"/>
      <c r="C86" s="73"/>
      <c r="D86" s="73"/>
      <c r="E86" s="73"/>
      <c r="F86" s="69">
        <v>250000</v>
      </c>
      <c r="G86" s="69"/>
      <c r="H86" s="69"/>
      <c r="R86"/>
      <c r="S86">
        <v>1200000</v>
      </c>
      <c r="T86">
        <v>350000</v>
      </c>
      <c r="U86">
        <v>300000</v>
      </c>
      <c r="V86">
        <v>300000</v>
      </c>
    </row>
    <row r="87" spans="1:22" s="28" customFormat="1" hidden="1" x14ac:dyDescent="0.35">
      <c r="A87" s="73" t="s">
        <v>92</v>
      </c>
      <c r="B87" s="73"/>
      <c r="C87" s="73"/>
      <c r="D87" s="73"/>
      <c r="E87" s="73"/>
      <c r="F87" s="69"/>
      <c r="G87" s="69"/>
      <c r="H87" s="69"/>
      <c r="R87"/>
      <c r="S87">
        <v>1300000</v>
      </c>
      <c r="T87">
        <v>400000</v>
      </c>
      <c r="U87">
        <v>350000</v>
      </c>
      <c r="V87" s="18">
        <v>400000</v>
      </c>
    </row>
    <row r="88" spans="1:22" s="28" customFormat="1" hidden="1" x14ac:dyDescent="0.35">
      <c r="A88" s="73" t="s">
        <v>93</v>
      </c>
      <c r="B88" s="73"/>
      <c r="C88" s="73"/>
      <c r="D88" s="73"/>
      <c r="E88" s="73"/>
      <c r="F88" s="69"/>
      <c r="G88" s="69"/>
      <c r="H88" s="69"/>
      <c r="R88"/>
      <c r="S88">
        <v>1400000</v>
      </c>
      <c r="T88">
        <v>500000</v>
      </c>
      <c r="U88">
        <v>400000</v>
      </c>
      <c r="V88"/>
    </row>
    <row r="89" spans="1:22" s="28" customFormat="1" hidden="1" x14ac:dyDescent="0.35">
      <c r="A89" s="73" t="s">
        <v>94</v>
      </c>
      <c r="B89" s="73"/>
      <c r="C89" s="73"/>
      <c r="D89" s="73"/>
      <c r="E89" s="73"/>
      <c r="F89" s="69"/>
      <c r="G89" s="69"/>
      <c r="H89" s="69"/>
      <c r="R89"/>
      <c r="S89">
        <v>1500000</v>
      </c>
      <c r="T89">
        <v>600000</v>
      </c>
      <c r="U89">
        <v>500000</v>
      </c>
      <c r="V89" s="18"/>
    </row>
    <row r="90" spans="1:22" s="28" customFormat="1" hidden="1" x14ac:dyDescent="0.35">
      <c r="A90" s="73" t="s">
        <v>95</v>
      </c>
      <c r="B90" s="73"/>
      <c r="C90" s="73"/>
      <c r="D90" s="73"/>
      <c r="E90" s="73"/>
      <c r="F90" s="69"/>
      <c r="G90" s="69"/>
      <c r="H90" s="69"/>
      <c r="R90"/>
      <c r="S90">
        <v>1600000</v>
      </c>
      <c r="T90">
        <v>700000</v>
      </c>
      <c r="U90">
        <v>600000</v>
      </c>
      <c r="V90"/>
    </row>
    <row r="91" spans="1:22" s="28" customFormat="1" hidden="1" x14ac:dyDescent="0.35">
      <c r="A91" s="73" t="s">
        <v>96</v>
      </c>
      <c r="B91" s="73"/>
      <c r="C91" s="73"/>
      <c r="D91" s="73"/>
      <c r="E91" s="73"/>
      <c r="F91" s="69"/>
      <c r="G91" s="69"/>
      <c r="H91" s="69"/>
      <c r="R91"/>
      <c r="S91">
        <v>1700000</v>
      </c>
      <c r="T91">
        <v>800000</v>
      </c>
      <c r="U91"/>
      <c r="V91" s="18"/>
    </row>
    <row r="92" spans="1:22" x14ac:dyDescent="0.35">
      <c r="A92" s="73" t="s">
        <v>49</v>
      </c>
      <c r="B92" s="73"/>
      <c r="C92" s="73"/>
      <c r="D92" s="73"/>
      <c r="E92" s="73"/>
      <c r="F92" s="69">
        <v>250000</v>
      </c>
      <c r="G92" s="69"/>
      <c r="H92" s="69"/>
      <c r="R92"/>
      <c r="S92">
        <v>1800000</v>
      </c>
      <c r="T92">
        <v>900000</v>
      </c>
      <c r="U92"/>
    </row>
    <row r="93" spans="1:22" s="29" customFormat="1" x14ac:dyDescent="0.35">
      <c r="A93" s="112" t="s">
        <v>50</v>
      </c>
      <c r="B93" s="112"/>
      <c r="C93" s="112"/>
      <c r="D93" s="112"/>
      <c r="E93" s="112"/>
      <c r="F93" s="69">
        <f>F82*0.8</f>
        <v>3840</v>
      </c>
      <c r="G93" s="69"/>
      <c r="H93" s="69"/>
      <c r="R93" s="16"/>
      <c r="S93" s="16"/>
      <c r="T93">
        <v>1000000</v>
      </c>
      <c r="U93"/>
      <c r="V93" s="16"/>
    </row>
    <row r="94" spans="1:22" s="30" customFormat="1" x14ac:dyDescent="0.35">
      <c r="A94" s="115" t="s">
        <v>67</v>
      </c>
      <c r="B94" s="115"/>
      <c r="C94" s="115"/>
      <c r="D94" s="115"/>
      <c r="E94" s="115"/>
      <c r="F94" s="115"/>
      <c r="G94" s="115"/>
      <c r="H94" s="115"/>
      <c r="T94"/>
    </row>
    <row r="95" spans="1:22" s="30" customFormat="1" ht="15.75" customHeight="1" x14ac:dyDescent="0.35">
      <c r="A95" s="93" t="s">
        <v>51</v>
      </c>
      <c r="B95" s="93"/>
      <c r="C95" s="77" t="s">
        <v>74</v>
      </c>
      <c r="D95" s="77"/>
      <c r="E95" s="109" t="s">
        <v>52</v>
      </c>
      <c r="F95" s="109"/>
      <c r="G95" s="93" t="s">
        <v>53</v>
      </c>
      <c r="H95" s="93"/>
      <c r="T95"/>
    </row>
    <row r="96" spans="1:22" s="30" customFormat="1" x14ac:dyDescent="0.35">
      <c r="A96" s="114" t="s">
        <v>325</v>
      </c>
      <c r="B96" s="114"/>
      <c r="C96" s="144">
        <f>COUNT(F104:F113)+COUNT(F115:F124)+COUNT(F126:F135)*3+COUNT(F137:F146)</f>
        <v>60</v>
      </c>
      <c r="D96" s="144"/>
      <c r="E96" s="145">
        <f>SUM(F104:F113)+SUM(F115:F124)+SUM(F126:F135)*3+SUM(F137:F146)</f>
        <v>29591.818397999999</v>
      </c>
      <c r="F96" s="145"/>
      <c r="G96" s="145">
        <f>SUM(H104:H113)+SUM(H115:H124)+SUM(H126:H135)*3+SUM(H137:H146)</f>
        <v>42908.136677099996</v>
      </c>
      <c r="H96" s="145"/>
      <c r="T96"/>
    </row>
    <row r="97" spans="1:20" s="60" customFormat="1" x14ac:dyDescent="0.35">
      <c r="A97" s="115" t="s">
        <v>146</v>
      </c>
      <c r="B97" s="115"/>
      <c r="C97" s="77">
        <f>SUM(C96)</f>
        <v>60</v>
      </c>
      <c r="D97" s="77"/>
      <c r="E97" s="148">
        <f>SUM(E96)</f>
        <v>29591.818397999999</v>
      </c>
      <c r="F97" s="148"/>
      <c r="G97" s="148">
        <f>SUM(G96)</f>
        <v>42908.136677099996</v>
      </c>
      <c r="H97" s="148"/>
      <c r="I97" s="29"/>
      <c r="J97" s="29"/>
      <c r="K97" s="29"/>
      <c r="L97" s="29"/>
      <c r="T97" s="48"/>
    </row>
    <row r="98" spans="1:20" s="29" customFormat="1" x14ac:dyDescent="0.35">
      <c r="A98" s="108" t="s">
        <v>54</v>
      </c>
      <c r="B98" s="108"/>
      <c r="C98" s="108"/>
      <c r="D98" s="108"/>
      <c r="E98" s="108"/>
      <c r="F98" s="108"/>
      <c r="G98" s="108"/>
      <c r="H98" s="108"/>
      <c r="I98" s="16"/>
      <c r="J98" s="16"/>
      <c r="K98" s="16"/>
      <c r="L98" s="16"/>
      <c r="T98" s="30"/>
    </row>
    <row r="99" spans="1:20" x14ac:dyDescent="0.35">
      <c r="A99" s="72" t="s">
        <v>313</v>
      </c>
      <c r="B99" s="72"/>
      <c r="C99" s="72"/>
      <c r="D99" s="72"/>
      <c r="E99" s="72"/>
      <c r="F99" s="72"/>
      <c r="G99" s="72"/>
      <c r="H99" s="72"/>
      <c r="I99" s="31"/>
      <c r="T99" s="30"/>
    </row>
    <row r="100" spans="1:20" ht="47.25" customHeight="1" x14ac:dyDescent="0.35">
      <c r="A100" s="116" t="s">
        <v>328</v>
      </c>
      <c r="B100" s="94" t="s">
        <v>170</v>
      </c>
      <c r="C100" s="94" t="s">
        <v>55</v>
      </c>
      <c r="D100" s="94" t="s">
        <v>225</v>
      </c>
      <c r="E100" s="94" t="s">
        <v>327</v>
      </c>
      <c r="F100" s="94" t="s">
        <v>56</v>
      </c>
      <c r="G100" s="142" t="s">
        <v>57</v>
      </c>
      <c r="H100" s="65" t="s">
        <v>145</v>
      </c>
      <c r="I100" s="31"/>
      <c r="J100" s="32"/>
      <c r="K100" s="32"/>
      <c r="L100" s="32"/>
      <c r="T100" s="32"/>
    </row>
    <row r="101" spans="1:20" s="32" customFormat="1" x14ac:dyDescent="0.35">
      <c r="A101" s="117"/>
      <c r="B101" s="95"/>
      <c r="C101" s="95"/>
      <c r="D101" s="95"/>
      <c r="E101" s="95"/>
      <c r="F101" s="95"/>
      <c r="G101" s="143"/>
      <c r="H101" s="66">
        <v>0.45</v>
      </c>
      <c r="I101" s="31"/>
      <c r="J101" s="57"/>
      <c r="K101" s="57"/>
      <c r="L101" s="57"/>
    </row>
    <row r="102" spans="1:20" s="57" customFormat="1" x14ac:dyDescent="0.35">
      <c r="A102" s="96" t="s">
        <v>314</v>
      </c>
      <c r="B102" s="96"/>
      <c r="C102" s="96"/>
      <c r="D102" s="96"/>
      <c r="E102" s="96"/>
      <c r="F102" s="96"/>
      <c r="G102" s="96"/>
      <c r="H102" s="96"/>
      <c r="I102" s="31"/>
      <c r="J102" s="32"/>
      <c r="K102" s="32"/>
    </row>
    <row r="103" spans="1:20" s="32" customFormat="1" x14ac:dyDescent="0.35">
      <c r="A103" s="113" t="s">
        <v>326</v>
      </c>
      <c r="B103" s="113"/>
      <c r="C103" s="113"/>
      <c r="D103" s="113"/>
      <c r="E103" s="113"/>
      <c r="F103" s="113"/>
      <c r="G103" s="113"/>
      <c r="H103" s="113"/>
      <c r="M103" s="57"/>
    </row>
    <row r="104" spans="1:20" s="32" customFormat="1" x14ac:dyDescent="0.35">
      <c r="A104" s="92">
        <v>1</v>
      </c>
      <c r="B104" s="92"/>
      <c r="C104" s="37" t="s">
        <v>308</v>
      </c>
      <c r="D104" s="59">
        <f>(32.67)*(10.674)</f>
        <v>348.71958000000001</v>
      </c>
      <c r="E104" s="59">
        <f>(1.1*2.75+1.15*2.3+1.15*2.75)*(10.674)</f>
        <v>94.278104999999996</v>
      </c>
      <c r="F104" s="46">
        <f t="shared" ref="F104:F113" si="0">D104+E104</f>
        <v>442.99768499999999</v>
      </c>
      <c r="G104" s="46">
        <v>0</v>
      </c>
      <c r="H104" s="46">
        <f t="shared" ref="H104:H113" si="1">F104*(($H$101)+1)+(IF(G104&lt;101,G104,IF(G104&lt;201,G104/2,IF(G104&lt;=301,G104/3,G104/4))))</f>
        <v>642.34664324999994</v>
      </c>
      <c r="I104" s="64">
        <f>4.3*2.75+2.65*2.3+2.65*2.75+2.3*1.1+2.3*1.1</f>
        <v>30.267499999999998</v>
      </c>
      <c r="N104" s="31"/>
    </row>
    <row r="105" spans="1:20" s="32" customFormat="1" x14ac:dyDescent="0.35">
      <c r="A105" s="92">
        <v>2</v>
      </c>
      <c r="B105" s="92"/>
      <c r="C105" s="37" t="s">
        <v>308</v>
      </c>
      <c r="D105" s="59">
        <f>(32.67)*(10.674)</f>
        <v>348.71958000000001</v>
      </c>
      <c r="E105" s="59">
        <f>(1.1*2.75+1.15*2.3+1.15*2.75)*(10.674)</f>
        <v>94.278104999999996</v>
      </c>
      <c r="F105" s="46">
        <f t="shared" si="0"/>
        <v>442.99768499999999</v>
      </c>
      <c r="G105" s="46">
        <v>0</v>
      </c>
      <c r="H105" s="46">
        <f t="shared" si="1"/>
        <v>642.34664324999994</v>
      </c>
      <c r="I105" s="64">
        <f>4.3*2.75+2.65*2.3+2.65*2.75+2.3*1.1+2.3*1.1</f>
        <v>30.267499999999998</v>
      </c>
      <c r="N105" s="31"/>
    </row>
    <row r="106" spans="1:20" s="32" customFormat="1" x14ac:dyDescent="0.35">
      <c r="A106" s="92">
        <v>3</v>
      </c>
      <c r="B106" s="92"/>
      <c r="C106" s="37" t="s">
        <v>309</v>
      </c>
      <c r="D106" s="59">
        <f>(43.21)*(10.674)</f>
        <v>461.22354000000001</v>
      </c>
      <c r="E106" s="59">
        <f>(2.75*1.1+3.35*1.15)*(10.674)</f>
        <v>73.410434999999993</v>
      </c>
      <c r="F106" s="46">
        <f t="shared" si="0"/>
        <v>534.63397499999996</v>
      </c>
      <c r="G106" s="46">
        <v>0</v>
      </c>
      <c r="H106" s="46">
        <f t="shared" si="1"/>
        <v>775.21926374999987</v>
      </c>
      <c r="I106" s="63">
        <f>2.75*4.3+2.35*2.15+3.35*1.6+3.35*2.75+1.8*1.1+1.8*1.1+1*4.35</f>
        <v>39.759999999999991</v>
      </c>
      <c r="N106" s="31"/>
    </row>
    <row r="107" spans="1:20" s="32" customFormat="1" x14ac:dyDescent="0.35">
      <c r="A107" s="92">
        <v>4</v>
      </c>
      <c r="B107" s="92"/>
      <c r="C107" s="37" t="s">
        <v>309</v>
      </c>
      <c r="D107" s="59">
        <f>(35.86)*(10.674)</f>
        <v>382.76963999999998</v>
      </c>
      <c r="E107" s="59">
        <f>(2.75*1.1+2.35*1.7+2.75+2.15+2.75)*(10.674)</f>
        <v>156.58758</v>
      </c>
      <c r="F107" s="46">
        <f t="shared" si="0"/>
        <v>539.35721999999998</v>
      </c>
      <c r="G107" s="46">
        <v>0</v>
      </c>
      <c r="H107" s="46">
        <f t="shared" si="1"/>
        <v>782.06796899999995</v>
      </c>
      <c r="I107" s="31">
        <f>2.75*4.3+2.35*2.15+2.35*1.05+2.35*2.75+1.8*1.1+1.8*1.1+0.9*4.35</f>
        <v>33.682499999999997</v>
      </c>
      <c r="N107" s="31"/>
    </row>
    <row r="108" spans="1:20" s="32" customFormat="1" x14ac:dyDescent="0.35">
      <c r="A108" s="92">
        <v>5</v>
      </c>
      <c r="B108" s="92"/>
      <c r="C108" s="56" t="s">
        <v>308</v>
      </c>
      <c r="D108" s="59">
        <f>(30.02)*(10.674)</f>
        <v>320.43347999999997</v>
      </c>
      <c r="E108" s="59">
        <f>(1.1*2.75+1.65*2.3+1.65*2.75)*(10.674)</f>
        <v>121.22995499999999</v>
      </c>
      <c r="F108" s="46">
        <f t="shared" si="0"/>
        <v>441.66343499999994</v>
      </c>
      <c r="G108" s="46">
        <v>0</v>
      </c>
      <c r="H108" s="46">
        <f t="shared" si="1"/>
        <v>640.41198074999988</v>
      </c>
      <c r="I108" s="31"/>
      <c r="J108" s="57"/>
      <c r="K108" s="57"/>
      <c r="L108" s="57"/>
      <c r="N108" s="31"/>
    </row>
    <row r="109" spans="1:20" s="57" customFormat="1" x14ac:dyDescent="0.35">
      <c r="A109" s="92">
        <v>6</v>
      </c>
      <c r="B109" s="92"/>
      <c r="C109" s="56" t="s">
        <v>309</v>
      </c>
      <c r="D109" s="59">
        <f>(37.93)*(10.674)</f>
        <v>404.86481999999995</v>
      </c>
      <c r="E109" s="59">
        <f>(1.1*2.75+1.65*2.1+1.6*2.95+1.15*2.75)*(10.674)</f>
        <v>153.41206499999998</v>
      </c>
      <c r="F109" s="56">
        <f t="shared" si="0"/>
        <v>558.27688499999999</v>
      </c>
      <c r="G109" s="56">
        <v>0</v>
      </c>
      <c r="H109" s="56">
        <f t="shared" si="1"/>
        <v>809.50148324999998</v>
      </c>
      <c r="I109" s="31"/>
      <c r="N109" s="31"/>
    </row>
    <row r="110" spans="1:20" s="57" customFormat="1" x14ac:dyDescent="0.35">
      <c r="A110" s="92">
        <v>7</v>
      </c>
      <c r="B110" s="92"/>
      <c r="C110" s="56" t="s">
        <v>309</v>
      </c>
      <c r="D110" s="59">
        <f>(37.75)*(10.674)</f>
        <v>402.94349999999997</v>
      </c>
      <c r="E110" s="59">
        <f>(1.1*2.75+1.5*2.3+1.6*2.75+1*2.75)*(10.674)</f>
        <v>145.43324999999999</v>
      </c>
      <c r="F110" s="56">
        <f t="shared" si="0"/>
        <v>548.3767499999999</v>
      </c>
      <c r="G110" s="56">
        <v>0</v>
      </c>
      <c r="H110" s="56">
        <f t="shared" si="1"/>
        <v>795.14628749999986</v>
      </c>
      <c r="I110" s="31"/>
      <c r="N110" s="31"/>
    </row>
    <row r="111" spans="1:20" s="57" customFormat="1" x14ac:dyDescent="0.35">
      <c r="A111" s="92">
        <v>8</v>
      </c>
      <c r="B111" s="92"/>
      <c r="C111" s="56" t="s">
        <v>308</v>
      </c>
      <c r="D111" s="59">
        <f>(32.94)*(10.674)</f>
        <v>351.60155999999995</v>
      </c>
      <c r="E111" s="59">
        <f>(2.75*1.1+3.35*1.35)*(10.674)</f>
        <v>80.562015000000002</v>
      </c>
      <c r="F111" s="56">
        <f t="shared" si="0"/>
        <v>432.16357499999992</v>
      </c>
      <c r="G111" s="56">
        <v>0</v>
      </c>
      <c r="H111" s="56">
        <f t="shared" si="1"/>
        <v>626.63718374999985</v>
      </c>
      <c r="I111" s="31"/>
      <c r="N111" s="31"/>
    </row>
    <row r="112" spans="1:20" s="57" customFormat="1" x14ac:dyDescent="0.35">
      <c r="A112" s="92">
        <v>9</v>
      </c>
      <c r="B112" s="92"/>
      <c r="C112" s="56" t="s">
        <v>309</v>
      </c>
      <c r="D112" s="59">
        <f>(35.02)*(10.674)</f>
        <v>373.80348000000004</v>
      </c>
      <c r="E112" s="59">
        <f>(2.75*1.1+2.1*1.7+2.75*1.25+1.25*2.15+1*2.75)*(10.674)</f>
        <v>165.12678</v>
      </c>
      <c r="F112" s="56">
        <f t="shared" si="0"/>
        <v>538.93026000000009</v>
      </c>
      <c r="G112" s="56">
        <v>0</v>
      </c>
      <c r="H112" s="56">
        <f t="shared" si="1"/>
        <v>781.44887700000015</v>
      </c>
      <c r="I112" s="31"/>
      <c r="N112" s="31"/>
    </row>
    <row r="113" spans="1:14" s="57" customFormat="1" x14ac:dyDescent="0.35">
      <c r="A113" s="92">
        <v>10</v>
      </c>
      <c r="B113" s="92"/>
      <c r="C113" s="56" t="s">
        <v>308</v>
      </c>
      <c r="D113" s="59">
        <f>(30.14)*(10.674)</f>
        <v>321.71436</v>
      </c>
      <c r="E113" s="59">
        <f>(1.1*2.75+1.55*2.29+1.7*2.75)*(10.674)</f>
        <v>120.07716300000001</v>
      </c>
      <c r="F113" s="56">
        <f t="shared" si="0"/>
        <v>441.79152299999998</v>
      </c>
      <c r="G113" s="56">
        <v>0</v>
      </c>
      <c r="H113" s="56">
        <f t="shared" si="1"/>
        <v>640.59770834999995</v>
      </c>
      <c r="I113" s="31"/>
      <c r="N113" s="31"/>
    </row>
    <row r="114" spans="1:14" s="57" customFormat="1" x14ac:dyDescent="0.35">
      <c r="A114" s="113" t="s">
        <v>116</v>
      </c>
      <c r="B114" s="113"/>
      <c r="C114" s="113"/>
      <c r="D114" s="113"/>
      <c r="E114" s="113"/>
      <c r="F114" s="113"/>
      <c r="G114" s="113"/>
      <c r="H114" s="113"/>
      <c r="I114" s="31">
        <f>4.3*2.75+2.65*2.3+2.65*2.75+2.3*1.1+2.3*1.1+0.9*2.3</f>
        <v>32.337499999999999</v>
      </c>
    </row>
    <row r="115" spans="1:14" s="57" customFormat="1" x14ac:dyDescent="0.35">
      <c r="A115" s="92">
        <v>1</v>
      </c>
      <c r="B115" s="92"/>
      <c r="C115" s="56" t="s">
        <v>308</v>
      </c>
      <c r="D115" s="59">
        <f>(32.67)*(10.674)</f>
        <v>348.71958000000001</v>
      </c>
      <c r="E115" s="59">
        <f>(1.1*2.75+1.15*2.3+1.15*2.75)*(10.674)</f>
        <v>94.278104999999996</v>
      </c>
      <c r="F115" s="56">
        <f t="shared" ref="F115:F124" si="2">D115+E115</f>
        <v>442.99768499999999</v>
      </c>
      <c r="G115" s="56">
        <v>0</v>
      </c>
      <c r="H115" s="56">
        <f t="shared" ref="H115:H124" si="3">F115*(($H$101)+1)+(IF(G115&lt;101,G115,IF(G115&lt;201,G115/2,IF(G115&lt;=301,G115/3,G115/4))))</f>
        <v>642.34664324999994</v>
      </c>
      <c r="I115" s="31">
        <f>4.3*2.75+2.65*2.3+2.65*2.75+2.3*1.1+2.3*1.1+0.9*2.3</f>
        <v>32.337499999999999</v>
      </c>
      <c r="N115" s="31"/>
    </row>
    <row r="116" spans="1:14" s="57" customFormat="1" x14ac:dyDescent="0.35">
      <c r="A116" s="92">
        <v>2</v>
      </c>
      <c r="B116" s="92"/>
      <c r="C116" s="56" t="s">
        <v>308</v>
      </c>
      <c r="D116" s="59">
        <f>(32.67)*(10.674)</f>
        <v>348.71958000000001</v>
      </c>
      <c r="E116" s="59">
        <f>(1.1*2.75+1.15*2.3+1.15*2.75)*(10.674)</f>
        <v>94.278104999999996</v>
      </c>
      <c r="F116" s="56">
        <f t="shared" si="2"/>
        <v>442.99768499999999</v>
      </c>
      <c r="G116" s="56">
        <v>0</v>
      </c>
      <c r="H116" s="56">
        <f t="shared" si="3"/>
        <v>642.34664324999994</v>
      </c>
      <c r="I116" s="31">
        <f>2.75*4.3+2.35*2.15+3.35*1.6+3.35*2.75+1.8*1.1+1.8*1.1+1*4.35</f>
        <v>39.759999999999991</v>
      </c>
      <c r="N116" s="31"/>
    </row>
    <row r="117" spans="1:14" s="57" customFormat="1" x14ac:dyDescent="0.35">
      <c r="A117" s="92">
        <v>3</v>
      </c>
      <c r="B117" s="92"/>
      <c r="C117" s="56" t="s">
        <v>309</v>
      </c>
      <c r="D117" s="59">
        <f>(43.21)*(10.674)</f>
        <v>461.22354000000001</v>
      </c>
      <c r="E117" s="59">
        <f>(2.75*1.1+3.35*1.15)*(10.674)</f>
        <v>73.410434999999993</v>
      </c>
      <c r="F117" s="56">
        <f t="shared" si="2"/>
        <v>534.63397499999996</v>
      </c>
      <c r="G117" s="56">
        <v>0</v>
      </c>
      <c r="H117" s="56">
        <f t="shared" si="3"/>
        <v>775.21926374999987</v>
      </c>
      <c r="I117" s="31">
        <f>2.75*4.3+2.35*2.15+2.35*1.05+1.8*1.1+1.8*1.1+0.9*4.35</f>
        <v>27.22</v>
      </c>
      <c r="N117" s="31"/>
    </row>
    <row r="118" spans="1:14" s="57" customFormat="1" x14ac:dyDescent="0.35">
      <c r="A118" s="92">
        <v>4</v>
      </c>
      <c r="B118" s="92"/>
      <c r="C118" s="56" t="s">
        <v>308</v>
      </c>
      <c r="D118" s="59">
        <f>(35.86)*(10.674)</f>
        <v>382.76963999999998</v>
      </c>
      <c r="E118" s="59">
        <f>(2.75*1.1+2.35*1.7+1*2.75+1*2.15)*(10.674)</f>
        <v>127.23407999999999</v>
      </c>
      <c r="F118" s="56">
        <f t="shared" si="2"/>
        <v>510.00371999999999</v>
      </c>
      <c r="G118" s="56">
        <v>0</v>
      </c>
      <c r="H118" s="56">
        <f t="shared" si="3"/>
        <v>739.50539399999991</v>
      </c>
      <c r="I118" s="31"/>
      <c r="N118" s="31"/>
    </row>
    <row r="119" spans="1:14" s="57" customFormat="1" x14ac:dyDescent="0.35">
      <c r="A119" s="92">
        <v>5</v>
      </c>
      <c r="B119" s="92"/>
      <c r="C119" s="56" t="s">
        <v>309</v>
      </c>
      <c r="D119" s="59">
        <f>(37.17)*(10.674)</f>
        <v>396.75258000000002</v>
      </c>
      <c r="E119" s="59">
        <f>(1.1*2.75+1.65*2.3+1.65*2.75+1.1*2.75)*(10.674)</f>
        <v>153.51880499999999</v>
      </c>
      <c r="F119" s="56">
        <f t="shared" si="2"/>
        <v>550.27138500000001</v>
      </c>
      <c r="G119" s="56">
        <v>0</v>
      </c>
      <c r="H119" s="56">
        <f t="shared" si="3"/>
        <v>797.89350824999997</v>
      </c>
      <c r="I119" s="31"/>
      <c r="N119" s="31"/>
    </row>
    <row r="120" spans="1:14" s="57" customFormat="1" x14ac:dyDescent="0.35">
      <c r="A120" s="92">
        <v>6</v>
      </c>
      <c r="B120" s="92"/>
      <c r="C120" s="56" t="s">
        <v>309</v>
      </c>
      <c r="D120" s="59">
        <f>(37.93)*(10.674)</f>
        <v>404.86481999999995</v>
      </c>
      <c r="E120" s="59">
        <f>(1.1*2.75+1.65*2.3+1.65*2.75+1.1*2.75)*(10.674)</f>
        <v>153.51880499999999</v>
      </c>
      <c r="F120" s="56">
        <f t="shared" si="2"/>
        <v>558.38362499999994</v>
      </c>
      <c r="G120" s="56">
        <v>0</v>
      </c>
      <c r="H120" s="56">
        <f t="shared" si="3"/>
        <v>809.65625624999984</v>
      </c>
      <c r="I120" s="31"/>
      <c r="N120" s="31"/>
    </row>
    <row r="121" spans="1:14" s="57" customFormat="1" x14ac:dyDescent="0.35">
      <c r="A121" s="92">
        <v>7</v>
      </c>
      <c r="B121" s="92"/>
      <c r="C121" s="56" t="s">
        <v>308</v>
      </c>
      <c r="D121" s="59">
        <f>(30.58)*(10.674)</f>
        <v>326.41091999999998</v>
      </c>
      <c r="E121" s="59">
        <f>(1.1*2.75+1.5*2.3+1.5*2.75)*(10.674)</f>
        <v>113.14439999999999</v>
      </c>
      <c r="F121" s="56">
        <f t="shared" si="2"/>
        <v>439.55531999999994</v>
      </c>
      <c r="G121" s="56">
        <v>0</v>
      </c>
      <c r="H121" s="56">
        <f t="shared" si="3"/>
        <v>637.35521399999993</v>
      </c>
      <c r="I121" s="31"/>
      <c r="N121" s="31"/>
    </row>
    <row r="122" spans="1:14" s="57" customFormat="1" x14ac:dyDescent="0.35">
      <c r="A122" s="92">
        <v>8</v>
      </c>
      <c r="B122" s="92"/>
      <c r="C122" s="56" t="s">
        <v>309</v>
      </c>
      <c r="D122" s="59">
        <f>(40.05)*(10.674)</f>
        <v>427.49369999999993</v>
      </c>
      <c r="E122" s="59">
        <f>(2.75*1.1+3.35*1.35+1*2.75)*(10.674)</f>
        <v>109.91551500000001</v>
      </c>
      <c r="F122" s="56">
        <f t="shared" si="2"/>
        <v>537.4092149999999</v>
      </c>
      <c r="G122" s="56">
        <v>0</v>
      </c>
      <c r="H122" s="56">
        <f t="shared" si="3"/>
        <v>779.24336174999985</v>
      </c>
      <c r="I122" s="31"/>
      <c r="N122" s="31"/>
    </row>
    <row r="123" spans="1:14" s="57" customFormat="1" x14ac:dyDescent="0.35">
      <c r="A123" s="92">
        <v>9</v>
      </c>
      <c r="B123" s="92"/>
      <c r="C123" s="56" t="s">
        <v>309</v>
      </c>
      <c r="D123" s="59">
        <f>(35.02)*(10.674)</f>
        <v>373.80348000000004</v>
      </c>
      <c r="E123" s="59">
        <f>(2.75*1.1+2.1*1.7+2.75*1.25+1.25*2.15+1*2.75)*(10.674)</f>
        <v>165.12678</v>
      </c>
      <c r="F123" s="56">
        <f t="shared" si="2"/>
        <v>538.93026000000009</v>
      </c>
      <c r="G123" s="56">
        <v>0</v>
      </c>
      <c r="H123" s="56">
        <f t="shared" si="3"/>
        <v>781.44887700000015</v>
      </c>
      <c r="I123" s="31"/>
      <c r="N123" s="31"/>
    </row>
    <row r="124" spans="1:14" s="57" customFormat="1" x14ac:dyDescent="0.35">
      <c r="A124" s="92">
        <v>10</v>
      </c>
      <c r="B124" s="92"/>
      <c r="C124" s="56" t="s">
        <v>308</v>
      </c>
      <c r="D124" s="59">
        <f>(30.14)*(10.674)</f>
        <v>321.71436</v>
      </c>
      <c r="E124" s="59">
        <f>(1.1*2.75+1.55*2.29+1.7*2.75)*(10.674)</f>
        <v>120.07716300000001</v>
      </c>
      <c r="F124" s="56">
        <f t="shared" si="2"/>
        <v>441.79152299999998</v>
      </c>
      <c r="G124" s="56">
        <v>0</v>
      </c>
      <c r="H124" s="56">
        <f t="shared" si="3"/>
        <v>640.59770834999995</v>
      </c>
      <c r="I124" s="31"/>
      <c r="J124" s="32"/>
      <c r="K124" s="32"/>
      <c r="L124" s="32"/>
      <c r="N124" s="31"/>
    </row>
    <row r="125" spans="1:14" s="32" customFormat="1" ht="15.75" customHeight="1" x14ac:dyDescent="0.35">
      <c r="A125" s="83" t="s">
        <v>310</v>
      </c>
      <c r="B125" s="84"/>
      <c r="C125" s="84"/>
      <c r="D125" s="84"/>
      <c r="E125" s="84"/>
      <c r="F125" s="84"/>
      <c r="G125" s="84"/>
      <c r="H125" s="85"/>
      <c r="I125" s="31"/>
    </row>
    <row r="126" spans="1:14" s="32" customFormat="1" ht="15.75" customHeight="1" x14ac:dyDescent="0.35">
      <c r="A126" s="70">
        <v>1</v>
      </c>
      <c r="B126" s="71"/>
      <c r="C126" s="37" t="s">
        <v>308</v>
      </c>
      <c r="D126" s="59">
        <f>(32.67)*(10.674)</f>
        <v>348.71958000000001</v>
      </c>
      <c r="E126" s="46">
        <f>(1.1*2.75+1.15*2.3+1.15*2.75)*(10.674)</f>
        <v>94.278104999999996</v>
      </c>
      <c r="F126" s="46">
        <f t="shared" ref="F126:F135" si="4">D126+E126</f>
        <v>442.99768499999999</v>
      </c>
      <c r="G126" s="46">
        <v>0</v>
      </c>
      <c r="H126" s="46">
        <f t="shared" ref="H126:H135" si="5">F126*(($H$101)+1)+(IF(G126&lt;101,G126,IF(G126&lt;201,G126/2,IF(G126&lt;=301,G126/3,G126/4))))</f>
        <v>642.34664324999994</v>
      </c>
      <c r="I126" s="31"/>
    </row>
    <row r="127" spans="1:14" s="32" customFormat="1" ht="15.75" customHeight="1" x14ac:dyDescent="0.35">
      <c r="A127" s="70">
        <v>2</v>
      </c>
      <c r="B127" s="71"/>
      <c r="C127" s="37" t="s">
        <v>308</v>
      </c>
      <c r="D127" s="59">
        <f>(32.67)*(10.674)</f>
        <v>348.71958000000001</v>
      </c>
      <c r="E127" s="56">
        <f>(1.1*2.75+1.15*2.3+1.15*2.75)*(10.674)</f>
        <v>94.278104999999996</v>
      </c>
      <c r="F127" s="46">
        <f t="shared" si="4"/>
        <v>442.99768499999999</v>
      </c>
      <c r="G127" s="46">
        <v>0</v>
      </c>
      <c r="H127" s="46">
        <f t="shared" si="5"/>
        <v>642.34664324999994</v>
      </c>
      <c r="I127" s="31"/>
    </row>
    <row r="128" spans="1:14" s="32" customFormat="1" ht="15.75" customHeight="1" x14ac:dyDescent="0.35">
      <c r="A128" s="70">
        <v>3</v>
      </c>
      <c r="B128" s="71"/>
      <c r="C128" s="37" t="s">
        <v>309</v>
      </c>
      <c r="D128" s="59">
        <f>(43.21)*(10.674)</f>
        <v>461.22354000000001</v>
      </c>
      <c r="E128" s="46">
        <f>(2.75*1.1+3.35*1.15)*(10.674)</f>
        <v>73.410434999999993</v>
      </c>
      <c r="F128" s="46">
        <f t="shared" si="4"/>
        <v>534.63397499999996</v>
      </c>
      <c r="G128" s="46">
        <v>0</v>
      </c>
      <c r="H128" s="46">
        <f t="shared" si="5"/>
        <v>775.21926374999987</v>
      </c>
      <c r="I128" s="31"/>
    </row>
    <row r="129" spans="1:12" s="32" customFormat="1" ht="15.75" customHeight="1" x14ac:dyDescent="0.35">
      <c r="A129" s="70">
        <v>4</v>
      </c>
      <c r="B129" s="71"/>
      <c r="C129" s="37" t="s">
        <v>309</v>
      </c>
      <c r="D129" s="59">
        <f>(35.86)*(10.674)</f>
        <v>382.76963999999998</v>
      </c>
      <c r="E129" s="46">
        <f>(2.75*1.1+2.35*1.7+1*2.75+1*2.75+2.15)*(10.674)</f>
        <v>156.58758</v>
      </c>
      <c r="F129" s="46">
        <f t="shared" si="4"/>
        <v>539.35721999999998</v>
      </c>
      <c r="G129" s="46">
        <v>0</v>
      </c>
      <c r="H129" s="46">
        <f t="shared" si="5"/>
        <v>782.06796899999995</v>
      </c>
      <c r="I129" s="31"/>
    </row>
    <row r="130" spans="1:12" s="32" customFormat="1" ht="15.75" customHeight="1" x14ac:dyDescent="0.35">
      <c r="A130" s="70">
        <v>5</v>
      </c>
      <c r="B130" s="71"/>
      <c r="C130" s="37" t="s">
        <v>308</v>
      </c>
      <c r="D130" s="59">
        <f>(30.02)*(10.674)</f>
        <v>320.43347999999997</v>
      </c>
      <c r="E130" s="46">
        <f>(1.1*2.75+1.65*2.3+1.65*2.75)*(10.674)</f>
        <v>121.22995499999999</v>
      </c>
      <c r="F130" s="46">
        <f t="shared" si="4"/>
        <v>441.66343499999994</v>
      </c>
      <c r="G130" s="46">
        <v>0</v>
      </c>
      <c r="H130" s="46">
        <f t="shared" si="5"/>
        <v>640.41198074999988</v>
      </c>
      <c r="I130" s="31"/>
      <c r="J130" s="57"/>
      <c r="K130" s="57"/>
      <c r="L130" s="57"/>
    </row>
    <row r="131" spans="1:12" s="57" customFormat="1" ht="15.75" customHeight="1" x14ac:dyDescent="0.35">
      <c r="A131" s="70">
        <v>6</v>
      </c>
      <c r="B131" s="71"/>
      <c r="C131" s="56" t="s">
        <v>309</v>
      </c>
      <c r="D131" s="59">
        <f>(37.93)*(10.674)</f>
        <v>404.86481999999995</v>
      </c>
      <c r="E131" s="56">
        <f>(1.1*2.75+1.65*2.1+1.6*2.95+1.15*2.75)*(10.674)</f>
        <v>153.41206499999998</v>
      </c>
      <c r="F131" s="56">
        <f t="shared" si="4"/>
        <v>558.27688499999999</v>
      </c>
      <c r="G131" s="56">
        <v>0</v>
      </c>
      <c r="H131" s="56">
        <f t="shared" si="5"/>
        <v>809.50148324999998</v>
      </c>
      <c r="I131" s="31"/>
    </row>
    <row r="132" spans="1:12" s="57" customFormat="1" ht="15.75" customHeight="1" x14ac:dyDescent="0.35">
      <c r="A132" s="70">
        <v>7</v>
      </c>
      <c r="B132" s="71"/>
      <c r="C132" s="56" t="s">
        <v>308</v>
      </c>
      <c r="D132" s="59">
        <f>(30.58)*(10.674)</f>
        <v>326.41091999999998</v>
      </c>
      <c r="E132" s="56">
        <f>(1.1*2.75+1.5*2.3+1.5*2.75)*(10.674)</f>
        <v>113.14439999999999</v>
      </c>
      <c r="F132" s="56">
        <f t="shared" si="4"/>
        <v>439.55531999999994</v>
      </c>
      <c r="G132" s="56">
        <v>0</v>
      </c>
      <c r="H132" s="56">
        <f t="shared" si="5"/>
        <v>637.35521399999993</v>
      </c>
      <c r="I132" s="31"/>
    </row>
    <row r="133" spans="1:12" s="57" customFormat="1" ht="15.75" customHeight="1" x14ac:dyDescent="0.35">
      <c r="A133" s="70">
        <v>8</v>
      </c>
      <c r="B133" s="71"/>
      <c r="C133" s="56" t="s">
        <v>309</v>
      </c>
      <c r="D133" s="59">
        <f>(40.11)*(10.674)</f>
        <v>428.13413999999995</v>
      </c>
      <c r="E133" s="56">
        <f>(2.75*1.1+3.35*1.35+2.75)*(10.674)</f>
        <v>109.91551500000001</v>
      </c>
      <c r="F133" s="56">
        <f t="shared" si="4"/>
        <v>538.04965499999992</v>
      </c>
      <c r="G133" s="56">
        <v>0</v>
      </c>
      <c r="H133" s="56">
        <f t="shared" si="5"/>
        <v>780.17199974999983</v>
      </c>
      <c r="I133" s="31"/>
    </row>
    <row r="134" spans="1:12" s="57" customFormat="1" ht="15.75" customHeight="1" x14ac:dyDescent="0.35">
      <c r="A134" s="70">
        <v>9</v>
      </c>
      <c r="B134" s="71"/>
      <c r="C134" s="56" t="s">
        <v>309</v>
      </c>
      <c r="D134" s="59">
        <f>(35.02)*(10.674)</f>
        <v>373.80348000000004</v>
      </c>
      <c r="E134" s="56">
        <f>(2.75*1.1+2.1*1.7+2.75*1.25+1.25*2.15+1*2.75)*(10.674)</f>
        <v>165.12678</v>
      </c>
      <c r="F134" s="56">
        <f t="shared" si="4"/>
        <v>538.93026000000009</v>
      </c>
      <c r="G134" s="56">
        <v>0</v>
      </c>
      <c r="H134" s="56">
        <f t="shared" si="5"/>
        <v>781.44887700000015</v>
      </c>
      <c r="I134" s="31"/>
    </row>
    <row r="135" spans="1:12" s="57" customFormat="1" ht="15.75" customHeight="1" x14ac:dyDescent="0.35">
      <c r="A135" s="70">
        <v>10</v>
      </c>
      <c r="B135" s="71"/>
      <c r="C135" s="56" t="s">
        <v>308</v>
      </c>
      <c r="D135" s="59">
        <f>(30.14)*(10.674)</f>
        <v>321.71436</v>
      </c>
      <c r="E135" s="56">
        <f>(1.1*2.75+1.55*2.29+1.7*2.75)*(10.674)</f>
        <v>120.07716300000001</v>
      </c>
      <c r="F135" s="56">
        <f t="shared" si="4"/>
        <v>441.79152299999998</v>
      </c>
      <c r="G135" s="56">
        <v>0</v>
      </c>
      <c r="H135" s="56">
        <f t="shared" si="5"/>
        <v>640.59770834999995</v>
      </c>
      <c r="I135" s="31"/>
      <c r="J135" s="32"/>
      <c r="K135" s="32"/>
      <c r="L135" s="32"/>
    </row>
    <row r="136" spans="1:12" s="32" customFormat="1" x14ac:dyDescent="0.35">
      <c r="A136" s="83" t="s">
        <v>315</v>
      </c>
      <c r="B136" s="84"/>
      <c r="C136" s="84"/>
      <c r="D136" s="84"/>
      <c r="E136" s="84"/>
      <c r="F136" s="84"/>
      <c r="G136" s="84"/>
      <c r="H136" s="85"/>
      <c r="I136" s="31"/>
      <c r="J136" s="57"/>
      <c r="K136" s="57"/>
      <c r="L136" s="57"/>
    </row>
    <row r="137" spans="1:12" s="57" customFormat="1" ht="15.75" customHeight="1" x14ac:dyDescent="0.35">
      <c r="A137" s="70">
        <v>1</v>
      </c>
      <c r="B137" s="71"/>
      <c r="C137" s="56" t="s">
        <v>308</v>
      </c>
      <c r="D137" s="59">
        <f>(32.67)*(10.674)</f>
        <v>348.71958000000001</v>
      </c>
      <c r="E137" s="56">
        <f>(1.1*2.75+1.15*2.3+1.15*2.75)*(10.674)</f>
        <v>94.278104999999996</v>
      </c>
      <c r="F137" s="56">
        <f t="shared" ref="F137:F146" si="6">D137+E137</f>
        <v>442.99768499999999</v>
      </c>
      <c r="G137" s="56">
        <v>0</v>
      </c>
      <c r="H137" s="56">
        <f t="shared" ref="H137:H146" si="7">F137*(($H$101)+1)+(IF(G137&lt;101,G137,IF(G137&lt;201,G137/2,IF(G137&lt;=301,G137/3,G137/4))))</f>
        <v>642.34664324999994</v>
      </c>
      <c r="I137" s="31"/>
    </row>
    <row r="138" spans="1:12" s="57" customFormat="1" ht="15.75" customHeight="1" x14ac:dyDescent="0.35">
      <c r="A138" s="70">
        <v>2</v>
      </c>
      <c r="B138" s="71"/>
      <c r="C138" s="56" t="s">
        <v>312</v>
      </c>
      <c r="D138" s="59">
        <f>(22.05)*(10.674)</f>
        <v>235.36169999999998</v>
      </c>
      <c r="E138" s="56">
        <f>(1.1*2.75+1.15*2.3)*(10.674)</f>
        <v>60.521579999999993</v>
      </c>
      <c r="F138" s="56">
        <f t="shared" si="6"/>
        <v>295.88327999999996</v>
      </c>
      <c r="G138" s="56">
        <v>0</v>
      </c>
      <c r="H138" s="56">
        <f t="shared" si="7"/>
        <v>429.03075599999994</v>
      </c>
      <c r="I138" s="31"/>
    </row>
    <row r="139" spans="1:12" s="57" customFormat="1" ht="15.75" customHeight="1" x14ac:dyDescent="0.35">
      <c r="A139" s="70">
        <v>3</v>
      </c>
      <c r="B139" s="71"/>
      <c r="C139" s="56" t="s">
        <v>311</v>
      </c>
      <c r="D139" s="59">
        <f>(53.89)*(10.674)</f>
        <v>575.22185999999999</v>
      </c>
      <c r="E139" s="56">
        <f>(2.75*1.1+3.35*1.15+2.75*1.15)*(10.674)</f>
        <v>107.16695999999999</v>
      </c>
      <c r="F139" s="56">
        <f t="shared" si="6"/>
        <v>682.38882000000001</v>
      </c>
      <c r="G139" s="56">
        <v>0</v>
      </c>
      <c r="H139" s="56">
        <f t="shared" si="7"/>
        <v>989.46378900000002</v>
      </c>
      <c r="I139" s="31"/>
    </row>
    <row r="140" spans="1:12" s="57" customFormat="1" ht="15.75" customHeight="1" x14ac:dyDescent="0.35">
      <c r="A140" s="70">
        <v>4</v>
      </c>
      <c r="B140" s="71"/>
      <c r="C140" s="56" t="s">
        <v>309</v>
      </c>
      <c r="D140" s="59">
        <f>(35.86)*(10.674)</f>
        <v>382.76963999999998</v>
      </c>
      <c r="E140" s="58">
        <f>(2.75*1.1+2.35*1.7+1*2.75+1*2.75+2.15)*(10.674)</f>
        <v>156.58758</v>
      </c>
      <c r="F140" s="56">
        <f t="shared" si="6"/>
        <v>539.35721999999998</v>
      </c>
      <c r="G140" s="56">
        <v>0</v>
      </c>
      <c r="H140" s="56">
        <f t="shared" si="7"/>
        <v>782.06796899999995</v>
      </c>
      <c r="I140" s="31"/>
    </row>
    <row r="141" spans="1:12" s="57" customFormat="1" ht="15.75" customHeight="1" x14ac:dyDescent="0.35">
      <c r="A141" s="70">
        <v>5</v>
      </c>
      <c r="B141" s="71"/>
      <c r="C141" s="56" t="s">
        <v>308</v>
      </c>
      <c r="D141" s="59">
        <f>(30.02)*(10.674)</f>
        <v>320.43347999999997</v>
      </c>
      <c r="E141" s="56">
        <f>(1.1*2.75+1.65*2.3+1.65*2.75)*(10.674)</f>
        <v>121.22995499999999</v>
      </c>
      <c r="F141" s="56">
        <f t="shared" si="6"/>
        <v>441.66343499999994</v>
      </c>
      <c r="G141" s="56">
        <v>0</v>
      </c>
      <c r="H141" s="56">
        <f t="shared" si="7"/>
        <v>640.41198074999988</v>
      </c>
      <c r="I141" s="31"/>
    </row>
    <row r="142" spans="1:12" s="57" customFormat="1" ht="15.75" customHeight="1" x14ac:dyDescent="0.35">
      <c r="A142" s="70">
        <v>6</v>
      </c>
      <c r="B142" s="71"/>
      <c r="C142" s="56" t="s">
        <v>309</v>
      </c>
      <c r="D142" s="59">
        <f>(37.93)*(10.674)</f>
        <v>404.86481999999995</v>
      </c>
      <c r="E142" s="56">
        <f>(1.1*2.75+1.65*2.1+1.6*2.95+1.15*2.75)*(10.674)</f>
        <v>153.41206499999998</v>
      </c>
      <c r="F142" s="56">
        <f t="shared" si="6"/>
        <v>558.27688499999999</v>
      </c>
      <c r="G142" s="56">
        <v>0</v>
      </c>
      <c r="H142" s="56">
        <f t="shared" si="7"/>
        <v>809.50148324999998</v>
      </c>
      <c r="I142" s="31"/>
    </row>
    <row r="143" spans="1:12" s="57" customFormat="1" ht="15.75" customHeight="1" x14ac:dyDescent="0.35">
      <c r="A143" s="70">
        <v>7</v>
      </c>
      <c r="B143" s="71"/>
      <c r="C143" s="56" t="s">
        <v>308</v>
      </c>
      <c r="D143" s="59">
        <f>(30.58)*(10.674)</f>
        <v>326.41091999999998</v>
      </c>
      <c r="E143" s="58">
        <f>(1.1*2.75+1.5*2.3+1.5*2.75)*(10.674)</f>
        <v>113.14439999999999</v>
      </c>
      <c r="F143" s="56">
        <f t="shared" si="6"/>
        <v>439.55531999999994</v>
      </c>
      <c r="G143" s="56">
        <v>0</v>
      </c>
      <c r="H143" s="56">
        <f t="shared" si="7"/>
        <v>637.35521399999993</v>
      </c>
      <c r="I143" s="31"/>
    </row>
    <row r="144" spans="1:12" s="57" customFormat="1" ht="15.75" customHeight="1" x14ac:dyDescent="0.35">
      <c r="A144" s="70">
        <v>8</v>
      </c>
      <c r="B144" s="71"/>
      <c r="C144" s="56" t="s">
        <v>309</v>
      </c>
      <c r="D144" s="59">
        <f>(40.11)*(10.674)</f>
        <v>428.13413999999995</v>
      </c>
      <c r="E144" s="58">
        <f>(2.75*1.1+3.35*1.35+2.75)*(10.674)</f>
        <v>109.91551500000001</v>
      </c>
      <c r="F144" s="56">
        <f t="shared" si="6"/>
        <v>538.04965499999992</v>
      </c>
      <c r="G144" s="56">
        <v>0</v>
      </c>
      <c r="H144" s="56">
        <f t="shared" si="7"/>
        <v>780.17199974999983</v>
      </c>
      <c r="I144" s="31"/>
    </row>
    <row r="145" spans="1:20" s="57" customFormat="1" ht="15.75" customHeight="1" x14ac:dyDescent="0.35">
      <c r="A145" s="70">
        <v>9</v>
      </c>
      <c r="B145" s="71"/>
      <c r="C145" s="56" t="s">
        <v>309</v>
      </c>
      <c r="D145" s="59">
        <f>(35.02)*(10.674)</f>
        <v>373.80348000000004</v>
      </c>
      <c r="E145" s="56">
        <f>(2.75*1.1+2.1*1.7+2.75*1.25+1.25*2.15+1*2.75)*(10.674)</f>
        <v>165.12678</v>
      </c>
      <c r="F145" s="56">
        <f t="shared" si="6"/>
        <v>538.93026000000009</v>
      </c>
      <c r="G145" s="56">
        <v>0</v>
      </c>
      <c r="H145" s="56">
        <f t="shared" si="7"/>
        <v>781.44887700000015</v>
      </c>
      <c r="I145" s="31"/>
    </row>
    <row r="146" spans="1:20" s="57" customFormat="1" ht="15.75" customHeight="1" x14ac:dyDescent="0.35">
      <c r="A146" s="70">
        <v>10</v>
      </c>
      <c r="B146" s="71"/>
      <c r="C146" s="56" t="s">
        <v>308</v>
      </c>
      <c r="D146" s="59">
        <f>(30.14)*(10.674)</f>
        <v>321.71436</v>
      </c>
      <c r="E146" s="56">
        <f>(1.1*2.75+1.55*2.29+1.7*2.75)*(10.674)</f>
        <v>120.07716300000001</v>
      </c>
      <c r="F146" s="56">
        <f t="shared" si="6"/>
        <v>441.79152299999998</v>
      </c>
      <c r="G146" s="56">
        <v>0</v>
      </c>
      <c r="H146" s="56">
        <f t="shared" si="7"/>
        <v>640.59770834999995</v>
      </c>
      <c r="I146" s="30"/>
      <c r="J146" s="30"/>
      <c r="K146" s="30"/>
      <c r="L146" s="30"/>
    </row>
    <row r="147" spans="1:20" s="30" customFormat="1" x14ac:dyDescent="0.35">
      <c r="A147" s="107" t="s">
        <v>65</v>
      </c>
      <c r="B147" s="107"/>
      <c r="C147" s="107"/>
      <c r="D147" s="107"/>
      <c r="E147" s="107"/>
      <c r="F147" s="107"/>
      <c r="G147" s="107"/>
      <c r="H147" s="107"/>
      <c r="T147" s="32"/>
    </row>
    <row r="148" spans="1:20" s="30" customFormat="1" x14ac:dyDescent="0.35">
      <c r="A148" s="39" t="s">
        <v>149</v>
      </c>
      <c r="B148" s="101" t="s">
        <v>319</v>
      </c>
      <c r="C148" s="102"/>
      <c r="D148" s="102"/>
      <c r="E148" s="102"/>
      <c r="F148" s="102"/>
      <c r="G148" s="102"/>
      <c r="H148" s="103"/>
      <c r="T148" s="32"/>
    </row>
    <row r="149" spans="1:20" s="30" customFormat="1" x14ac:dyDescent="0.35">
      <c r="A149" s="39" t="s">
        <v>149</v>
      </c>
      <c r="B149" s="101" t="str">
        <f>(IF(H100="Saleable area Loading :","We have considered Saleable area of Flats as per our Calculation.","We considered Saleable area of Flat as per Builder area Sheet."))</f>
        <v>We have considered Saleable area of Flats as per our Calculation.</v>
      </c>
      <c r="C149" s="102"/>
      <c r="D149" s="102"/>
      <c r="E149" s="102"/>
      <c r="F149" s="102"/>
      <c r="G149" s="102"/>
      <c r="H149" s="103"/>
      <c r="T149" s="32"/>
    </row>
    <row r="150" spans="1:20" s="30" customFormat="1" x14ac:dyDescent="0.35">
      <c r="A150" s="39" t="s">
        <v>149</v>
      </c>
      <c r="B150" s="104" t="s">
        <v>119</v>
      </c>
      <c r="C150" s="105"/>
      <c r="D150" s="105"/>
      <c r="E150" s="105"/>
      <c r="F150" s="105"/>
      <c r="G150" s="105"/>
      <c r="H150" s="106"/>
      <c r="T150" s="32"/>
    </row>
    <row r="151" spans="1:20" s="30" customFormat="1" ht="15" customHeight="1" x14ac:dyDescent="0.35">
      <c r="A151" s="39" t="s">
        <v>149</v>
      </c>
      <c r="B151" s="104" t="s">
        <v>320</v>
      </c>
      <c r="C151" s="105"/>
      <c r="D151" s="105"/>
      <c r="E151" s="105"/>
      <c r="F151" s="105"/>
      <c r="G151" s="105"/>
      <c r="H151" s="106"/>
      <c r="T151" s="32"/>
    </row>
    <row r="152" spans="1:20" s="30" customFormat="1" x14ac:dyDescent="0.35">
      <c r="A152" s="39" t="s">
        <v>149</v>
      </c>
      <c r="B152" s="104" t="s">
        <v>148</v>
      </c>
      <c r="C152" s="105"/>
      <c r="D152" s="105"/>
      <c r="E152" s="105"/>
      <c r="F152" s="105"/>
      <c r="G152" s="105"/>
      <c r="H152" s="106"/>
    </row>
    <row r="153" spans="1:20" s="30" customFormat="1" x14ac:dyDescent="0.35">
      <c r="A153" s="39" t="s">
        <v>149</v>
      </c>
      <c r="B153" s="104" t="s">
        <v>120</v>
      </c>
      <c r="C153" s="105"/>
      <c r="D153" s="105"/>
      <c r="E153" s="105"/>
      <c r="F153" s="105"/>
      <c r="G153" s="105"/>
      <c r="H153" s="106"/>
    </row>
    <row r="154" spans="1:20" s="30" customFormat="1" ht="34.5" customHeight="1" x14ac:dyDescent="0.35">
      <c r="A154" s="39" t="s">
        <v>149</v>
      </c>
      <c r="B154" s="104" t="s">
        <v>150</v>
      </c>
      <c r="C154" s="105"/>
      <c r="D154" s="105"/>
      <c r="E154" s="105"/>
      <c r="F154" s="105"/>
      <c r="G154" s="105"/>
      <c r="H154" s="106"/>
    </row>
    <row r="155" spans="1:20" s="30" customFormat="1" x14ac:dyDescent="0.35">
      <c r="A155" s="39" t="s">
        <v>149</v>
      </c>
      <c r="B155" s="104" t="s">
        <v>121</v>
      </c>
      <c r="C155" s="105"/>
      <c r="D155" s="105"/>
      <c r="E155" s="105"/>
      <c r="F155" s="105"/>
      <c r="G155" s="105"/>
      <c r="H155" s="106"/>
    </row>
    <row r="156" spans="1:20" s="30" customFormat="1" ht="32.25" customHeight="1" x14ac:dyDescent="0.35">
      <c r="A156" s="43" t="s">
        <v>149</v>
      </c>
      <c r="B156" s="101" t="s">
        <v>171</v>
      </c>
      <c r="C156" s="102"/>
      <c r="D156" s="102"/>
      <c r="E156" s="102"/>
      <c r="F156" s="102"/>
      <c r="G156" s="102"/>
      <c r="H156" s="103"/>
    </row>
    <row r="157" spans="1:20" x14ac:dyDescent="0.35">
      <c r="A157" s="98" t="s">
        <v>58</v>
      </c>
      <c r="B157" s="98"/>
      <c r="C157" s="98"/>
      <c r="D157" s="98"/>
      <c r="E157" s="98"/>
      <c r="F157" s="98"/>
      <c r="G157" s="98"/>
      <c r="H157" s="98"/>
      <c r="T157" s="30"/>
    </row>
    <row r="158" spans="1:20" x14ac:dyDescent="0.35">
      <c r="A158" s="73" t="s">
        <v>59</v>
      </c>
      <c r="B158" s="73"/>
      <c r="C158" s="73"/>
      <c r="D158" s="73"/>
      <c r="E158" s="73"/>
      <c r="F158" s="73"/>
      <c r="G158" s="73"/>
      <c r="H158" s="73"/>
      <c r="T158" s="30"/>
    </row>
    <row r="159" spans="1:20" ht="15.75" customHeight="1" x14ac:dyDescent="0.35">
      <c r="A159" s="91" t="s">
        <v>60</v>
      </c>
      <c r="B159" s="91"/>
      <c r="C159" s="91"/>
      <c r="D159" s="91"/>
      <c r="E159" s="91"/>
      <c r="F159" s="91"/>
      <c r="G159" s="91"/>
      <c r="H159" s="91"/>
      <c r="T159" s="30"/>
    </row>
    <row r="160" spans="1:20" x14ac:dyDescent="0.35">
      <c r="A160" s="73" t="s">
        <v>61</v>
      </c>
      <c r="B160" s="73"/>
      <c r="C160" s="73"/>
      <c r="D160" s="73"/>
      <c r="E160" s="73"/>
      <c r="F160" s="73"/>
      <c r="G160" s="73"/>
      <c r="H160" s="73"/>
      <c r="T160" s="30"/>
    </row>
    <row r="161" spans="1:20" x14ac:dyDescent="0.35">
      <c r="A161" s="73" t="s">
        <v>62</v>
      </c>
      <c r="B161" s="73"/>
      <c r="C161" s="73"/>
      <c r="D161" s="73"/>
      <c r="E161" s="73"/>
      <c r="F161" s="73"/>
      <c r="G161" s="73"/>
      <c r="H161" s="73"/>
      <c r="T161" s="30"/>
    </row>
    <row r="162" spans="1:20" x14ac:dyDescent="0.35">
      <c r="A162" s="73" t="s">
        <v>122</v>
      </c>
      <c r="B162" s="73"/>
      <c r="C162" s="73"/>
      <c r="D162" s="73"/>
      <c r="E162" s="73"/>
      <c r="F162" s="73"/>
      <c r="G162" s="73"/>
      <c r="H162" s="73"/>
      <c r="T162" s="30"/>
    </row>
    <row r="163" spans="1:20" x14ac:dyDescent="0.35">
      <c r="A163" s="78" t="s">
        <v>123</v>
      </c>
      <c r="B163" s="78"/>
      <c r="C163" s="78"/>
      <c r="D163" s="78"/>
      <c r="E163" s="78"/>
      <c r="F163" s="78"/>
      <c r="G163" s="78"/>
      <c r="H163" s="78"/>
    </row>
    <row r="164" spans="1:20" x14ac:dyDescent="0.35">
      <c r="A164" s="111" t="s">
        <v>73</v>
      </c>
      <c r="B164" s="111"/>
      <c r="C164" s="111" t="s">
        <v>321</v>
      </c>
      <c r="D164" s="111"/>
      <c r="E164" s="111" t="s">
        <v>103</v>
      </c>
      <c r="F164" s="111"/>
      <c r="G164" s="111" t="s">
        <v>330</v>
      </c>
      <c r="H164" s="111"/>
    </row>
    <row r="165" spans="1:20" x14ac:dyDescent="0.35">
      <c r="A165" s="110" t="s">
        <v>75</v>
      </c>
      <c r="B165" s="110"/>
      <c r="C165" s="110"/>
      <c r="D165" s="110"/>
      <c r="E165" s="110"/>
      <c r="F165" s="110"/>
      <c r="G165" s="110"/>
      <c r="H165" s="110"/>
    </row>
    <row r="166" spans="1:20" x14ac:dyDescent="0.35">
      <c r="A166" s="110"/>
      <c r="B166" s="110"/>
      <c r="C166" s="110"/>
      <c r="D166" s="110"/>
      <c r="E166" s="110"/>
      <c r="F166" s="110"/>
      <c r="G166" s="110"/>
      <c r="H166" s="110"/>
    </row>
    <row r="167" spans="1:20" x14ac:dyDescent="0.35">
      <c r="A167" s="110"/>
      <c r="B167" s="110"/>
      <c r="C167" s="110"/>
      <c r="D167" s="110"/>
      <c r="E167" s="110"/>
      <c r="F167" s="110"/>
      <c r="G167" s="110"/>
      <c r="H167" s="110"/>
    </row>
    <row r="168" spans="1:20" x14ac:dyDescent="0.35">
      <c r="A168" s="110"/>
      <c r="B168" s="110"/>
      <c r="C168" s="110"/>
      <c r="D168" s="110"/>
      <c r="E168" s="110"/>
      <c r="F168" s="110"/>
      <c r="G168" s="110"/>
      <c r="H168" s="110"/>
    </row>
    <row r="169" spans="1:20" x14ac:dyDescent="0.35">
      <c r="A169" s="33" t="s">
        <v>63</v>
      </c>
      <c r="B169" s="34"/>
      <c r="C169" s="34"/>
      <c r="D169" s="33" t="str">
        <f>E9</f>
        <v>Patels Eirene</v>
      </c>
      <c r="F169" s="34"/>
      <c r="G169" s="34"/>
      <c r="H169" s="34"/>
    </row>
    <row r="170" spans="1:20" x14ac:dyDescent="0.35">
      <c r="A170" s="34"/>
      <c r="B170" s="34"/>
      <c r="C170" s="34"/>
      <c r="D170" s="34"/>
      <c r="E170" s="34"/>
      <c r="F170" s="34"/>
      <c r="G170" s="34"/>
      <c r="H170" s="34"/>
    </row>
    <row r="171" spans="1:20" x14ac:dyDescent="0.35">
      <c r="A171" s="34"/>
      <c r="B171" s="34"/>
      <c r="C171" s="34"/>
      <c r="D171" s="34"/>
      <c r="E171" s="34"/>
      <c r="F171" s="34"/>
      <c r="G171" s="34"/>
      <c r="H171" s="34"/>
    </row>
    <row r="172" spans="1:20" ht="15" customHeight="1" x14ac:dyDescent="0.35"/>
    <row r="212" spans="1:1" x14ac:dyDescent="0.35">
      <c r="A212" s="36" t="s">
        <v>159</v>
      </c>
    </row>
    <row r="255" spans="1:1" x14ac:dyDescent="0.35">
      <c r="A255" s="36" t="s">
        <v>64</v>
      </c>
    </row>
  </sheetData>
  <mergeCells count="275">
    <mergeCell ref="A143:B143"/>
    <mergeCell ref="A144:B144"/>
    <mergeCell ref="A145:B145"/>
    <mergeCell ref="A146:B146"/>
    <mergeCell ref="C53:H53"/>
    <mergeCell ref="A132:B132"/>
    <mergeCell ref="A133:B133"/>
    <mergeCell ref="A134:B134"/>
    <mergeCell ref="A135:B135"/>
    <mergeCell ref="A137:B137"/>
    <mergeCell ref="A138:B138"/>
    <mergeCell ref="A139:B139"/>
    <mergeCell ref="A140:B140"/>
    <mergeCell ref="A141:B141"/>
    <mergeCell ref="A119:B119"/>
    <mergeCell ref="A120:B120"/>
    <mergeCell ref="A121:B121"/>
    <mergeCell ref="A122:B122"/>
    <mergeCell ref="A123:B123"/>
    <mergeCell ref="A124:B124"/>
    <mergeCell ref="A114:H114"/>
    <mergeCell ref="A131:B131"/>
    <mergeCell ref="A109:B109"/>
    <mergeCell ref="A45:D45"/>
    <mergeCell ref="E71:F80"/>
    <mergeCell ref="G71:H80"/>
    <mergeCell ref="A79:B79"/>
    <mergeCell ref="A80:B80"/>
    <mergeCell ref="A69:B69"/>
    <mergeCell ref="G97:H97"/>
    <mergeCell ref="B154:H154"/>
    <mergeCell ref="A107:B107"/>
    <mergeCell ref="A49:B49"/>
    <mergeCell ref="C49:H49"/>
    <mergeCell ref="B152:H152"/>
    <mergeCell ref="F83:H83"/>
    <mergeCell ref="A83:E83"/>
    <mergeCell ref="A85:E85"/>
    <mergeCell ref="A84:E84"/>
    <mergeCell ref="A81:E81"/>
    <mergeCell ref="F85:H85"/>
    <mergeCell ref="A73:B73"/>
    <mergeCell ref="A108:B108"/>
    <mergeCell ref="A105:B105"/>
    <mergeCell ref="A106:B106"/>
    <mergeCell ref="A67:B67"/>
    <mergeCell ref="C67:H67"/>
    <mergeCell ref="A78:B78"/>
    <mergeCell ref="C96:D96"/>
    <mergeCell ref="E96:F96"/>
    <mergeCell ref="G96:H96"/>
    <mergeCell ref="A82:E82"/>
    <mergeCell ref="A47:D47"/>
    <mergeCell ref="A48:H48"/>
    <mergeCell ref="D58:H58"/>
    <mergeCell ref="A58:C58"/>
    <mergeCell ref="A77:B77"/>
    <mergeCell ref="A75:B75"/>
    <mergeCell ref="A62:C62"/>
    <mergeCell ref="D62:H62"/>
    <mergeCell ref="C69:H69"/>
    <mergeCell ref="A72:B72"/>
    <mergeCell ref="A74:B74"/>
    <mergeCell ref="A86:E86"/>
    <mergeCell ref="A91:E91"/>
    <mergeCell ref="A38:H38"/>
    <mergeCell ref="A37:B37"/>
    <mergeCell ref="C37:E37"/>
    <mergeCell ref="A42:D42"/>
    <mergeCell ref="E42:H42"/>
    <mergeCell ref="A41:H41"/>
    <mergeCell ref="A60:C60"/>
    <mergeCell ref="A61:C61"/>
    <mergeCell ref="D60:H60"/>
    <mergeCell ref="D61:H61"/>
    <mergeCell ref="A44:D44"/>
    <mergeCell ref="E44:H44"/>
    <mergeCell ref="E45:H45"/>
    <mergeCell ref="E46:H46"/>
    <mergeCell ref="E47:H47"/>
    <mergeCell ref="F37:H37"/>
    <mergeCell ref="C50:E50"/>
    <mergeCell ref="G50:H50"/>
    <mergeCell ref="A52:B53"/>
    <mergeCell ref="A40:B40"/>
    <mergeCell ref="C40:H40"/>
    <mergeCell ref="A39:B39"/>
    <mergeCell ref="C39:H39"/>
    <mergeCell ref="A46:D4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2:B22"/>
    <mergeCell ref="C22:D22"/>
    <mergeCell ref="E22:F22"/>
    <mergeCell ref="G22:H22"/>
    <mergeCell ref="E27:H27"/>
    <mergeCell ref="A29:D29"/>
    <mergeCell ref="E29:H29"/>
    <mergeCell ref="A26:D26"/>
    <mergeCell ref="E26:H26"/>
    <mergeCell ref="E19:F19"/>
    <mergeCell ref="G19:H19"/>
    <mergeCell ref="A20:B20"/>
    <mergeCell ref="C20:D20"/>
    <mergeCell ref="E20:F20"/>
    <mergeCell ref="G20:H20"/>
    <mergeCell ref="A21:B21"/>
    <mergeCell ref="C21:D21"/>
    <mergeCell ref="E21:F21"/>
    <mergeCell ref="G21:H21"/>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70:F70"/>
    <mergeCell ref="A63:C63"/>
    <mergeCell ref="D63:H63"/>
    <mergeCell ref="A66:C66"/>
    <mergeCell ref="D66:H66"/>
    <mergeCell ref="A64:C64"/>
    <mergeCell ref="D65:H65"/>
    <mergeCell ref="A71:B71"/>
    <mergeCell ref="G70:H70"/>
    <mergeCell ref="A70:B70"/>
    <mergeCell ref="A165:H168"/>
    <mergeCell ref="A164:B164"/>
    <mergeCell ref="E164:F164"/>
    <mergeCell ref="C164:D164"/>
    <mergeCell ref="G164:H164"/>
    <mergeCell ref="A92:E92"/>
    <mergeCell ref="F92:H92"/>
    <mergeCell ref="A93:E93"/>
    <mergeCell ref="F93:H93"/>
    <mergeCell ref="A103:H103"/>
    <mergeCell ref="A96:B96"/>
    <mergeCell ref="A128:B128"/>
    <mergeCell ref="A160:H160"/>
    <mergeCell ref="A94:H94"/>
    <mergeCell ref="A163:H163"/>
    <mergeCell ref="A161:H161"/>
    <mergeCell ref="A157:H157"/>
    <mergeCell ref="G95:H95"/>
    <mergeCell ref="A130:B130"/>
    <mergeCell ref="B100:B101"/>
    <mergeCell ref="A158:H158"/>
    <mergeCell ref="A100:A101"/>
    <mergeCell ref="F100:F101"/>
    <mergeCell ref="A126:B126"/>
    <mergeCell ref="A55:H55"/>
    <mergeCell ref="A56:C56"/>
    <mergeCell ref="A57:C57"/>
    <mergeCell ref="D57:H57"/>
    <mergeCell ref="G54:H54"/>
    <mergeCell ref="G51:H51"/>
    <mergeCell ref="B156:H156"/>
    <mergeCell ref="B155:H155"/>
    <mergeCell ref="B153:H153"/>
    <mergeCell ref="B148:H148"/>
    <mergeCell ref="B149:H149"/>
    <mergeCell ref="B150:H150"/>
    <mergeCell ref="B151:H151"/>
    <mergeCell ref="A147:H147"/>
    <mergeCell ref="A136:H136"/>
    <mergeCell ref="F81:H81"/>
    <mergeCell ref="F86:H86"/>
    <mergeCell ref="A87:E87"/>
    <mergeCell ref="F87:H87"/>
    <mergeCell ref="A89:E89"/>
    <mergeCell ref="F84:H84"/>
    <mergeCell ref="A88:E88"/>
    <mergeCell ref="E95:F95"/>
    <mergeCell ref="A98:H98"/>
    <mergeCell ref="A162:H162"/>
    <mergeCell ref="A159:H159"/>
    <mergeCell ref="A104:B104"/>
    <mergeCell ref="A95:B95"/>
    <mergeCell ref="D100:D101"/>
    <mergeCell ref="E100:E101"/>
    <mergeCell ref="F82:H82"/>
    <mergeCell ref="F88:H88"/>
    <mergeCell ref="C97:D97"/>
    <mergeCell ref="A102:H102"/>
    <mergeCell ref="A129:B129"/>
    <mergeCell ref="C100:C101"/>
    <mergeCell ref="G100:G101"/>
    <mergeCell ref="A110:B110"/>
    <mergeCell ref="A111:B111"/>
    <mergeCell ref="A112:B112"/>
    <mergeCell ref="A113:B113"/>
    <mergeCell ref="A115:B115"/>
    <mergeCell ref="A116:B116"/>
    <mergeCell ref="A117:B117"/>
    <mergeCell ref="A118:B118"/>
    <mergeCell ref="A97:B97"/>
    <mergeCell ref="E97:F97"/>
    <mergeCell ref="A142:B142"/>
    <mergeCell ref="I15:P15"/>
    <mergeCell ref="F91:H91"/>
    <mergeCell ref="F89:H89"/>
    <mergeCell ref="A127:B127"/>
    <mergeCell ref="A99:H99"/>
    <mergeCell ref="A90:E90"/>
    <mergeCell ref="A54:B54"/>
    <mergeCell ref="C54:E54"/>
    <mergeCell ref="D56:H56"/>
    <mergeCell ref="F90:H90"/>
    <mergeCell ref="C95:D95"/>
    <mergeCell ref="D64:H64"/>
    <mergeCell ref="A65:C65"/>
    <mergeCell ref="E43:H43"/>
    <mergeCell ref="A43:D43"/>
    <mergeCell ref="A76:B76"/>
    <mergeCell ref="A50:B50"/>
    <mergeCell ref="A125:H125"/>
    <mergeCell ref="C52:E52"/>
    <mergeCell ref="A59:C59"/>
    <mergeCell ref="D59:H59"/>
    <mergeCell ref="C51:E51"/>
    <mergeCell ref="G52:H52"/>
    <mergeCell ref="A51:B51"/>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164:H164">
      <formula1>"Kunal Kadam,Pranita Mhatre,Shruti Fule,Pooja Kawale,Neha Dhokale,Shruti Tathare, Hitakshi Mhatre, Sachin Sawant"</formula1>
    </dataValidation>
    <dataValidation type="list" allowBlank="1" showInputMessage="1" showErrorMessage="1" sqref="F81:H81">
      <formula1>"On Saleable Area,On Builtup Area,On Carpet Area,On Plot Area"</formula1>
    </dataValidation>
    <dataValidation type="list" allowBlank="1" showInputMessage="1" showErrorMessage="1" sqref="F92:H92">
      <formula1>OFFSET($S$81,1,MATCH($G20,$S$81:$W$81,0)-1,15,1)</formula1>
    </dataValidation>
    <dataValidation type="list" allowBlank="1" showInputMessage="1" showErrorMessage="1" sqref="B100:B10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00:E101">
      <formula1>"Fungible area,Balcony Area,Chajja Area,Cornice Area,AP Area,WS Area"</formula1>
    </dataValidation>
    <dataValidation type="list" allowBlank="1" showInputMessage="1" showErrorMessage="1" sqref="H10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76">
      <formula1>0</formula1>
      <formula2>H68</formula2>
    </dataValidation>
    <dataValidation type="list" allowBlank="1" showInputMessage="1" showErrorMessage="1" sqref="H100">
      <formula1>"Saleable area Loading :,Builder Saleable Area"</formula1>
    </dataValidation>
    <dataValidation type="list" allowBlank="1" showInputMessage="1" showErrorMessage="1" sqref="D100:D101">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66" max="16383" man="1"/>
    <brk id="168" max="16383" man="1"/>
    <brk id="211" max="16383" man="1"/>
    <brk id="25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54" t="s">
        <v>104</v>
      </c>
      <c r="C3" s="154"/>
      <c r="D3" s="154"/>
      <c r="E3" s="154"/>
      <c r="F3" s="154"/>
      <c r="G3" s="154"/>
      <c r="H3" s="154"/>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11</v>
      </c>
      <c r="D4" s="45" t="s">
        <v>172</v>
      </c>
      <c r="E4" s="45" t="s">
        <v>182</v>
      </c>
      <c r="F4" s="45" t="s">
        <v>167</v>
      </c>
      <c r="G4" s="45" t="s">
        <v>187</v>
      </c>
      <c r="H4" s="45" t="s">
        <v>205</v>
      </c>
      <c r="J4" t="s">
        <v>187</v>
      </c>
      <c r="K4" t="s">
        <v>203</v>
      </c>
    </row>
    <row r="5" spans="2:11" x14ac:dyDescent="0.35">
      <c r="B5" s="44"/>
      <c r="C5" s="44"/>
      <c r="D5" s="45" t="s">
        <v>173</v>
      </c>
      <c r="E5" s="45" t="s">
        <v>180</v>
      </c>
      <c r="F5" s="45" t="s">
        <v>202</v>
      </c>
      <c r="G5" s="45" t="s">
        <v>188</v>
      </c>
      <c r="H5" s="45" t="s">
        <v>206</v>
      </c>
    </row>
    <row r="6" spans="2:11" x14ac:dyDescent="0.35">
      <c r="B6" s="44"/>
      <c r="C6" s="44"/>
      <c r="D6" s="45" t="s">
        <v>174</v>
      </c>
      <c r="E6" s="45" t="s">
        <v>181</v>
      </c>
      <c r="F6" s="45" t="s">
        <v>203</v>
      </c>
      <c r="G6" s="45" t="s">
        <v>189</v>
      </c>
      <c r="H6" s="45" t="s">
        <v>219</v>
      </c>
    </row>
    <row r="7" spans="2:11" x14ac:dyDescent="0.35">
      <c r="B7" s="44"/>
      <c r="C7" s="44"/>
      <c r="D7" s="45" t="s">
        <v>175</v>
      </c>
      <c r="E7" s="45" t="s">
        <v>183</v>
      </c>
      <c r="F7" s="45" t="s">
        <v>204</v>
      </c>
      <c r="G7" s="45" t="s">
        <v>190</v>
      </c>
      <c r="H7" s="45" t="s">
        <v>207</v>
      </c>
    </row>
    <row r="8" spans="2:11" x14ac:dyDescent="0.35">
      <c r="B8" s="44"/>
      <c r="C8" s="44"/>
      <c r="D8" s="45" t="s">
        <v>176</v>
      </c>
      <c r="E8" s="45" t="s">
        <v>184</v>
      </c>
      <c r="F8" s="45"/>
      <c r="G8" s="45" t="s">
        <v>191</v>
      </c>
      <c r="H8" s="45" t="s">
        <v>208</v>
      </c>
    </row>
    <row r="9" spans="2:11" x14ac:dyDescent="0.35">
      <c r="B9" s="44"/>
      <c r="C9" s="44"/>
      <c r="D9" s="45" t="s">
        <v>177</v>
      </c>
      <c r="E9" s="45" t="s">
        <v>182</v>
      </c>
      <c r="F9" s="45"/>
      <c r="G9" s="45" t="s">
        <v>192</v>
      </c>
      <c r="H9" s="45" t="s">
        <v>209</v>
      </c>
    </row>
    <row r="10" spans="2:11" x14ac:dyDescent="0.35">
      <c r="B10" s="44"/>
      <c r="C10" s="44"/>
      <c r="D10" s="45" t="s">
        <v>178</v>
      </c>
      <c r="E10" s="45" t="s">
        <v>185</v>
      </c>
      <c r="F10" s="45"/>
      <c r="G10" s="45" t="s">
        <v>193</v>
      </c>
      <c r="H10" s="45" t="s">
        <v>210</v>
      </c>
    </row>
    <row r="11" spans="2:11" x14ac:dyDescent="0.35">
      <c r="B11" s="44"/>
      <c r="C11" s="44"/>
      <c r="D11" s="45" t="s">
        <v>179</v>
      </c>
      <c r="E11" s="45" t="s">
        <v>186</v>
      </c>
      <c r="F11" s="45"/>
      <c r="G11" s="45" t="s">
        <v>194</v>
      </c>
      <c r="H11" s="45" t="s">
        <v>211</v>
      </c>
    </row>
    <row r="12" spans="2:11" x14ac:dyDescent="0.35">
      <c r="B12" s="44"/>
      <c r="C12" s="44"/>
      <c r="D12" s="45"/>
      <c r="E12" s="45"/>
      <c r="F12" s="45"/>
      <c r="G12" s="45" t="s">
        <v>195</v>
      </c>
      <c r="H12" s="45" t="s">
        <v>212</v>
      </c>
    </row>
    <row r="13" spans="2:11" x14ac:dyDescent="0.35">
      <c r="B13" s="44"/>
      <c r="C13" s="44"/>
      <c r="D13" s="45"/>
      <c r="E13" s="45"/>
      <c r="F13" s="45"/>
      <c r="G13" s="45" t="s">
        <v>196</v>
      </c>
      <c r="H13" s="45" t="s">
        <v>213</v>
      </c>
    </row>
    <row r="14" spans="2:11" x14ac:dyDescent="0.35">
      <c r="B14" s="44"/>
      <c r="C14" s="44"/>
      <c r="D14" s="45"/>
      <c r="E14" s="45"/>
      <c r="F14" s="45"/>
      <c r="G14" s="45" t="s">
        <v>197</v>
      </c>
      <c r="H14" s="45" t="s">
        <v>214</v>
      </c>
    </row>
    <row r="15" spans="2:11" x14ac:dyDescent="0.35">
      <c r="B15" s="44"/>
      <c r="C15" s="44"/>
      <c r="D15" s="45"/>
      <c r="E15" s="45"/>
      <c r="F15" s="45"/>
      <c r="G15" s="45" t="s">
        <v>198</v>
      </c>
      <c r="H15" s="45" t="s">
        <v>215</v>
      </c>
    </row>
    <row r="16" spans="2:11" x14ac:dyDescent="0.35">
      <c r="B16" s="44"/>
      <c r="C16" s="44"/>
      <c r="D16" s="45"/>
      <c r="E16" s="45"/>
      <c r="F16" s="45"/>
      <c r="G16" s="45" t="s">
        <v>199</v>
      </c>
      <c r="H16" s="45" t="s">
        <v>216</v>
      </c>
    </row>
    <row r="17" spans="2:8" x14ac:dyDescent="0.35">
      <c r="B17" s="44"/>
      <c r="C17" s="44"/>
      <c r="D17" s="45"/>
      <c r="E17" s="45"/>
      <c r="F17" s="45"/>
      <c r="G17" s="45" t="s">
        <v>200</v>
      </c>
      <c r="H17" s="45" t="s">
        <v>217</v>
      </c>
    </row>
    <row r="18" spans="2:8" x14ac:dyDescent="0.35">
      <c r="B18" s="44"/>
      <c r="C18" s="44"/>
      <c r="D18" s="45"/>
      <c r="E18" s="45"/>
      <c r="F18" s="45"/>
      <c r="G18" s="45" t="s">
        <v>201</v>
      </c>
      <c r="H18" s="45" t="s">
        <v>218</v>
      </c>
    </row>
    <row r="24" spans="2:8" x14ac:dyDescent="0.35">
      <c r="C24" t="s">
        <v>164</v>
      </c>
    </row>
    <row r="25" spans="2:8" x14ac:dyDescent="0.35">
      <c r="C25" t="s">
        <v>220</v>
      </c>
    </row>
    <row r="26" spans="2:8" x14ac:dyDescent="0.35">
      <c r="C26" t="s">
        <v>221</v>
      </c>
    </row>
    <row r="27" spans="2:8" x14ac:dyDescent="0.35">
      <c r="C27" t="s">
        <v>222</v>
      </c>
    </row>
    <row r="28" spans="2:8" x14ac:dyDescent="0.35">
      <c r="C28" t="s">
        <v>223</v>
      </c>
    </row>
    <row r="29" spans="2:8" x14ac:dyDescent="0.35">
      <c r="C29" t="s">
        <v>224</v>
      </c>
    </row>
    <row r="30" spans="2:8" x14ac:dyDescent="0.35">
      <c r="C30" t="s">
        <v>164</v>
      </c>
    </row>
    <row r="33" spans="3:11" x14ac:dyDescent="0.35">
      <c r="J33">
        <v>1</v>
      </c>
      <c r="K33">
        <v>2</v>
      </c>
    </row>
    <row r="34" spans="3:11" x14ac:dyDescent="0.35">
      <c r="C34" s="47" t="s">
        <v>229</v>
      </c>
      <c r="D34" s="45" t="s">
        <v>227</v>
      </c>
      <c r="E34" s="45" t="s">
        <v>232</v>
      </c>
      <c r="F34" s="45" t="s">
        <v>230</v>
      </c>
      <c r="G34" s="45" t="s">
        <v>231</v>
      </c>
      <c r="H34" s="45" t="s">
        <v>233</v>
      </c>
      <c r="J34" t="s">
        <v>187</v>
      </c>
      <c r="K34" t="s">
        <v>203</v>
      </c>
    </row>
    <row r="35" spans="3:11" x14ac:dyDescent="0.35">
      <c r="C35" s="44" t="s">
        <v>228</v>
      </c>
      <c r="D35" s="45" t="s">
        <v>165</v>
      </c>
      <c r="E35" s="45" t="s">
        <v>237</v>
      </c>
      <c r="F35" s="45" t="s">
        <v>239</v>
      </c>
      <c r="G35" s="45" t="s">
        <v>241</v>
      </c>
      <c r="H35" s="45"/>
    </row>
    <row r="36" spans="3:11" x14ac:dyDescent="0.35">
      <c r="C36" s="44"/>
      <c r="D36" s="45" t="s">
        <v>234</v>
      </c>
      <c r="E36" s="45" t="s">
        <v>238</v>
      </c>
      <c r="F36" s="45" t="s">
        <v>240</v>
      </c>
      <c r="G36" s="45" t="s">
        <v>242</v>
      </c>
      <c r="H36" s="45"/>
    </row>
    <row r="37" spans="3:11" x14ac:dyDescent="0.35">
      <c r="C37" s="44"/>
      <c r="D37" s="45" t="s">
        <v>235</v>
      </c>
      <c r="E37" s="45"/>
      <c r="F37" s="45"/>
      <c r="G37" s="45" t="s">
        <v>243</v>
      </c>
      <c r="H37" s="45"/>
    </row>
    <row r="38" spans="3:11" x14ac:dyDescent="0.35">
      <c r="C38" s="44"/>
      <c r="D38" s="45" t="s">
        <v>236</v>
      </c>
      <c r="E38" s="45"/>
      <c r="F38" s="45"/>
      <c r="G38" s="45" t="s">
        <v>243</v>
      </c>
      <c r="H38" s="45"/>
    </row>
    <row r="39" spans="3:11" x14ac:dyDescent="0.35">
      <c r="C39" s="44"/>
      <c r="D39" s="45"/>
      <c r="E39" s="45"/>
      <c r="F39" s="45"/>
      <c r="G39" s="45" t="s">
        <v>244</v>
      </c>
      <c r="H39" s="45"/>
    </row>
    <row r="40" spans="3:11" x14ac:dyDescent="0.35">
      <c r="C40" s="44"/>
      <c r="D40" s="45"/>
      <c r="E40" s="45"/>
      <c r="F40" s="45"/>
      <c r="G40" s="45" t="s">
        <v>245</v>
      </c>
      <c r="H40" s="45"/>
    </row>
    <row r="41" spans="3:11" x14ac:dyDescent="0.35">
      <c r="C41" s="44"/>
      <c r="D41" s="45"/>
      <c r="E41" s="45"/>
      <c r="F41" s="45"/>
      <c r="G41" s="45"/>
      <c r="H41" s="45"/>
    </row>
    <row r="43" spans="3:11" x14ac:dyDescent="0.35">
      <c r="C43" t="s">
        <v>246</v>
      </c>
    </row>
    <row r="44" spans="3:11" x14ac:dyDescent="0.35">
      <c r="C44" t="s">
        <v>167</v>
      </c>
      <c r="D44" t="s">
        <v>247</v>
      </c>
    </row>
    <row r="45" spans="3:11" x14ac:dyDescent="0.35">
      <c r="D45" t="s">
        <v>248</v>
      </c>
    </row>
    <row r="46" spans="3:11" x14ac:dyDescent="0.35">
      <c r="D46" t="s">
        <v>249</v>
      </c>
    </row>
    <row r="47" spans="3:11" x14ac:dyDescent="0.35">
      <c r="D47" t="s">
        <v>250</v>
      </c>
    </row>
    <row r="48" spans="3:11" x14ac:dyDescent="0.35">
      <c r="D48" t="s">
        <v>251</v>
      </c>
    </row>
    <row r="49" spans="3:4" x14ac:dyDescent="0.35">
      <c r="C49" t="s">
        <v>172</v>
      </c>
      <c r="D49" t="s">
        <v>252</v>
      </c>
    </row>
    <row r="50" spans="3:4" x14ac:dyDescent="0.35">
      <c r="D50" t="s">
        <v>253</v>
      </c>
    </row>
    <row r="51" spans="3:4" x14ac:dyDescent="0.35">
      <c r="D51" t="s">
        <v>254</v>
      </c>
    </row>
    <row r="52" spans="3:4" x14ac:dyDescent="0.35">
      <c r="D52" t="s">
        <v>257</v>
      </c>
    </row>
    <row r="53" spans="3:4" x14ac:dyDescent="0.35">
      <c r="D53" t="s">
        <v>255</v>
      </c>
    </row>
    <row r="54" spans="3:4" x14ac:dyDescent="0.35">
      <c r="D54" t="s">
        <v>256</v>
      </c>
    </row>
    <row r="55" spans="3:4" x14ac:dyDescent="0.35">
      <c r="D55" t="s">
        <v>258</v>
      </c>
    </row>
    <row r="56" spans="3:4" x14ac:dyDescent="0.35">
      <c r="D56" t="s">
        <v>259</v>
      </c>
    </row>
    <row r="57" spans="3:4" x14ac:dyDescent="0.35">
      <c r="D57" t="s">
        <v>260</v>
      </c>
    </row>
    <row r="58" spans="3:4" x14ac:dyDescent="0.35">
      <c r="D58" t="s">
        <v>262</v>
      </c>
    </row>
    <row r="59" spans="3:4" x14ac:dyDescent="0.35">
      <c r="D59" t="s">
        <v>271</v>
      </c>
    </row>
    <row r="60" spans="3:4" x14ac:dyDescent="0.35">
      <c r="C60" t="s">
        <v>187</v>
      </c>
      <c r="D60" t="s">
        <v>263</v>
      </c>
    </row>
    <row r="61" spans="3:4" x14ac:dyDescent="0.35">
      <c r="D61" t="s">
        <v>261</v>
      </c>
    </row>
    <row r="62" spans="3:4" x14ac:dyDescent="0.35">
      <c r="D62" t="s">
        <v>251</v>
      </c>
    </row>
    <row r="63" spans="3:4" x14ac:dyDescent="0.35">
      <c r="D63" t="s">
        <v>264</v>
      </c>
    </row>
    <row r="64" spans="3:4" x14ac:dyDescent="0.35">
      <c r="D64" t="s">
        <v>265</v>
      </c>
    </row>
    <row r="65" spans="3:4" x14ac:dyDescent="0.35">
      <c r="D65" t="s">
        <v>266</v>
      </c>
    </row>
    <row r="66" spans="3:4" x14ac:dyDescent="0.35">
      <c r="D66" t="s">
        <v>267</v>
      </c>
    </row>
    <row r="67" spans="3:4" x14ac:dyDescent="0.35">
      <c r="C67" t="s">
        <v>182</v>
      </c>
      <c r="D67" t="s">
        <v>268</v>
      </c>
    </row>
    <row r="68" spans="3:4" x14ac:dyDescent="0.35">
      <c r="D68" t="s">
        <v>269</v>
      </c>
    </row>
    <row r="69" spans="3:4" x14ac:dyDescent="0.35">
      <c r="D69" t="s">
        <v>270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48">
        <v>1</v>
      </c>
      <c r="C2" s="51" t="s">
        <v>274</v>
      </c>
    </row>
    <row r="3" spans="2:3" x14ac:dyDescent="0.35">
      <c r="B3" s="48">
        <v>2</v>
      </c>
      <c r="C3" s="49" t="s">
        <v>275</v>
      </c>
    </row>
    <row r="4" spans="2:3" x14ac:dyDescent="0.35">
      <c r="B4" s="48">
        <v>3</v>
      </c>
      <c r="C4" s="50" t="s">
        <v>276</v>
      </c>
    </row>
    <row r="5" spans="2:3" x14ac:dyDescent="0.35">
      <c r="B5" s="48">
        <v>4</v>
      </c>
      <c r="C5" s="49" t="s">
        <v>277</v>
      </c>
    </row>
    <row r="6" spans="2:3" x14ac:dyDescent="0.35">
      <c r="B6" s="48">
        <v>5</v>
      </c>
      <c r="C6" s="50" t="s">
        <v>278</v>
      </c>
    </row>
    <row r="7" spans="2:3" ht="29" x14ac:dyDescent="0.35">
      <c r="B7" s="48">
        <v>6</v>
      </c>
      <c r="C7" s="49" t="s">
        <v>279</v>
      </c>
    </row>
    <row r="8" spans="2:3" ht="72.5" x14ac:dyDescent="0.35">
      <c r="B8" s="48">
        <v>7</v>
      </c>
      <c r="C8" s="49" t="s">
        <v>280</v>
      </c>
    </row>
    <row r="9" spans="2:3" x14ac:dyDescent="0.35">
      <c r="B9" s="48">
        <v>8</v>
      </c>
      <c r="C9" s="50" t="s">
        <v>281</v>
      </c>
    </row>
    <row r="10" spans="2:3" x14ac:dyDescent="0.35">
      <c r="B10" s="48">
        <v>9</v>
      </c>
      <c r="C10" s="50" t="s">
        <v>282</v>
      </c>
    </row>
    <row r="11" spans="2:3" x14ac:dyDescent="0.35">
      <c r="B11" s="48">
        <v>10</v>
      </c>
      <c r="C11" s="50" t="s">
        <v>283</v>
      </c>
    </row>
    <row r="12" spans="2:3" x14ac:dyDescent="0.35">
      <c r="B12" s="48">
        <v>11</v>
      </c>
      <c r="C12" s="50" t="s">
        <v>284</v>
      </c>
    </row>
    <row r="13" spans="2:3" x14ac:dyDescent="0.35">
      <c r="B13" s="48">
        <v>12</v>
      </c>
      <c r="C13" s="50" t="s">
        <v>285</v>
      </c>
    </row>
    <row r="14" spans="2:3" x14ac:dyDescent="0.35">
      <c r="B14" s="48">
        <v>13</v>
      </c>
      <c r="C14" s="50" t="s">
        <v>286</v>
      </c>
    </row>
    <row r="15" spans="2:3" x14ac:dyDescent="0.35">
      <c r="B15" s="48">
        <v>14</v>
      </c>
      <c r="C15" s="50" t="s">
        <v>276</v>
      </c>
    </row>
    <row r="16" spans="2:3" x14ac:dyDescent="0.35">
      <c r="B16" s="48">
        <v>15</v>
      </c>
      <c r="C16" s="50" t="s">
        <v>287</v>
      </c>
    </row>
    <row r="17" spans="2:3" ht="31.5" customHeight="1" x14ac:dyDescent="0.35">
      <c r="B17" s="52">
        <v>16</v>
      </c>
      <c r="C17" s="54" t="s">
        <v>288</v>
      </c>
    </row>
    <row r="18" spans="2:3" x14ac:dyDescent="0.35">
      <c r="B18" s="53">
        <v>17</v>
      </c>
      <c r="C18" s="54" t="s">
        <v>289</v>
      </c>
    </row>
    <row r="19" spans="2:3" x14ac:dyDescent="0.35">
      <c r="B19" s="52">
        <v>18</v>
      </c>
      <c r="C19" s="48" t="s">
        <v>290</v>
      </c>
    </row>
    <row r="20" spans="2:3" x14ac:dyDescent="0.35">
      <c r="B20" s="53">
        <v>19</v>
      </c>
      <c r="C20" s="48"/>
    </row>
    <row r="21" spans="2:3" x14ac:dyDescent="0.35">
      <c r="B21" s="55">
        <v>20</v>
      </c>
      <c r="C21" s="48"/>
    </row>
    <row r="22" spans="2:3" x14ac:dyDescent="0.35">
      <c r="B22" s="48"/>
      <c r="C22" s="48"/>
    </row>
    <row r="23" spans="2:3" x14ac:dyDescent="0.35">
      <c r="B23" s="48"/>
      <c r="C23" s="48"/>
    </row>
    <row r="24" spans="2:3" x14ac:dyDescent="0.35">
      <c r="B24" s="48"/>
      <c r="C24" s="48"/>
    </row>
    <row r="25" spans="2:3" x14ac:dyDescent="0.35">
      <c r="B25" s="48"/>
      <c r="C25" s="48"/>
    </row>
    <row r="26" spans="2:3" x14ac:dyDescent="0.35">
      <c r="B26" s="48"/>
      <c r="C26" s="4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2024-02-21T07:10:54Z</cp:lastPrinted>
  <dcterms:created xsi:type="dcterms:W3CDTF">2019-07-16T09:29:46Z</dcterms:created>
  <dcterms:modified xsi:type="dcterms:W3CDTF">2025-09-28T11:33:57Z</dcterms:modified>
</cp:coreProperties>
</file>