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E:\Shruti\Sept 25\23221 - Kohinoor Garden\"/>
    </mc:Choice>
  </mc:AlternateContent>
  <bookViews>
    <workbookView xWindow="0" yWindow="0" windowWidth="20490" windowHeight="7755" tabRatio="725"/>
  </bookViews>
  <sheets>
    <sheet name="Report" sheetId="1" r:id="rId1"/>
    <sheet name="Research" sheetId="4" r:id="rId2"/>
    <sheet name="valuation" sheetId="5" r:id="rId3"/>
    <sheet name="Remarks" sheetId="6" r:id="rId4"/>
    <sheet name="Area Calculation" sheetId="7" r:id="rId5"/>
  </sheets>
  <definedNames>
    <definedName name="_xlnm.Print_Area" localSheetId="0">Report!$A$1:$H$387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4" i="1" l="1"/>
  <c r="K164" i="1" l="1"/>
  <c r="K165" i="1"/>
  <c r="K166" i="1"/>
  <c r="K167" i="1"/>
  <c r="K168" i="1"/>
  <c r="K169" i="1"/>
  <c r="K170" i="1"/>
  <c r="K171" i="1"/>
  <c r="K172" i="1"/>
  <c r="K163" i="1"/>
  <c r="H222" i="1"/>
  <c r="H218" i="1"/>
  <c r="H217" i="1"/>
  <c r="H210" i="1"/>
  <c r="H211" i="1"/>
  <c r="H212" i="1"/>
  <c r="H213" i="1"/>
  <c r="H214" i="1"/>
  <c r="H215" i="1"/>
  <c r="H209" i="1"/>
  <c r="H199" i="1"/>
  <c r="H200" i="1"/>
  <c r="H201" i="1"/>
  <c r="H202" i="1"/>
  <c r="H203" i="1"/>
  <c r="H204" i="1"/>
  <c r="H205" i="1"/>
  <c r="H206" i="1"/>
  <c r="H207" i="1"/>
  <c r="H188" i="1"/>
  <c r="H189" i="1"/>
  <c r="H190" i="1"/>
  <c r="H191" i="1"/>
  <c r="H192" i="1"/>
  <c r="H193" i="1"/>
  <c r="H194" i="1"/>
  <c r="H195" i="1"/>
  <c r="H196" i="1"/>
  <c r="H175" i="1"/>
  <c r="H176" i="1"/>
  <c r="H177" i="1"/>
  <c r="H178" i="1"/>
  <c r="H179" i="1"/>
  <c r="H180" i="1"/>
  <c r="H181" i="1"/>
  <c r="H182" i="1"/>
  <c r="H183" i="1"/>
  <c r="H174" i="1"/>
  <c r="C123" i="1"/>
  <c r="C122" i="1"/>
  <c r="E123" i="1"/>
  <c r="E122" i="1"/>
  <c r="A228" i="1"/>
  <c r="E222" i="1"/>
  <c r="D222" i="1"/>
  <c r="A221" i="1"/>
  <c r="A222" i="1" s="1"/>
  <c r="A223" i="1" s="1"/>
  <c r="A224" i="1" s="1"/>
  <c r="A225" i="1" s="1"/>
  <c r="A226" i="1" s="1"/>
  <c r="I218" i="1"/>
  <c r="E218" i="1"/>
  <c r="D218" i="1"/>
  <c r="F218" i="1" s="1"/>
  <c r="F217" i="1"/>
  <c r="E217" i="1"/>
  <c r="D217" i="1"/>
  <c r="E215" i="1"/>
  <c r="D215" i="1"/>
  <c r="F215" i="1" s="1"/>
  <c r="E214" i="1"/>
  <c r="D214" i="1"/>
  <c r="F214" i="1" s="1"/>
  <c r="E213" i="1"/>
  <c r="D213" i="1"/>
  <c r="E212" i="1"/>
  <c r="D212" i="1"/>
  <c r="F212" i="1" s="1"/>
  <c r="E211" i="1"/>
  <c r="D211" i="1"/>
  <c r="F211" i="1" s="1"/>
  <c r="E210" i="1"/>
  <c r="D210" i="1"/>
  <c r="F210" i="1" s="1"/>
  <c r="A210" i="1"/>
  <c r="A211" i="1" s="1"/>
  <c r="A212" i="1" s="1"/>
  <c r="A213" i="1" s="1"/>
  <c r="A214" i="1" s="1"/>
  <c r="A215" i="1" s="1"/>
  <c r="A216" i="1" s="1"/>
  <c r="A217" i="1" s="1"/>
  <c r="A218" i="1" s="1"/>
  <c r="E209" i="1"/>
  <c r="D209" i="1"/>
  <c r="E207" i="1"/>
  <c r="D207" i="1"/>
  <c r="E206" i="1"/>
  <c r="D206" i="1"/>
  <c r="E205" i="1"/>
  <c r="D205" i="1"/>
  <c r="E204" i="1"/>
  <c r="D204" i="1"/>
  <c r="E203" i="1"/>
  <c r="D203" i="1"/>
  <c r="E202" i="1"/>
  <c r="D202" i="1"/>
  <c r="E201" i="1"/>
  <c r="D201" i="1"/>
  <c r="E200" i="1"/>
  <c r="D200" i="1"/>
  <c r="E199" i="1"/>
  <c r="D199" i="1"/>
  <c r="E198" i="1"/>
  <c r="D198" i="1"/>
  <c r="E196" i="1"/>
  <c r="D196" i="1"/>
  <c r="E195" i="1"/>
  <c r="D195" i="1"/>
  <c r="E194" i="1"/>
  <c r="D194" i="1"/>
  <c r="E193" i="1"/>
  <c r="D193" i="1"/>
  <c r="E192" i="1"/>
  <c r="D192" i="1"/>
  <c r="E191" i="1"/>
  <c r="D191" i="1"/>
  <c r="E190" i="1"/>
  <c r="D190" i="1"/>
  <c r="E189" i="1"/>
  <c r="D189" i="1"/>
  <c r="E188" i="1"/>
  <c r="D188" i="1"/>
  <c r="E187" i="1"/>
  <c r="D187" i="1"/>
  <c r="E183" i="1"/>
  <c r="D183" i="1"/>
  <c r="F183" i="1" s="1"/>
  <c r="E182" i="1"/>
  <c r="D182" i="1"/>
  <c r="E181" i="1"/>
  <c r="D181" i="1"/>
  <c r="F181" i="1" s="1"/>
  <c r="E180" i="1"/>
  <c r="D180" i="1"/>
  <c r="E179" i="1"/>
  <c r="D179" i="1"/>
  <c r="F179" i="1" s="1"/>
  <c r="E178" i="1"/>
  <c r="D178" i="1"/>
  <c r="F178" i="1" s="1"/>
  <c r="E177" i="1"/>
  <c r="D177" i="1"/>
  <c r="F177" i="1" s="1"/>
  <c r="E176" i="1"/>
  <c r="D176" i="1"/>
  <c r="E175" i="1"/>
  <c r="D175" i="1"/>
  <c r="A175" i="1"/>
  <c r="A176" i="1" s="1"/>
  <c r="A177" i="1" s="1"/>
  <c r="A178" i="1" s="1"/>
  <c r="A179" i="1" s="1"/>
  <c r="A180" i="1" s="1"/>
  <c r="A181" i="1" s="1"/>
  <c r="A182" i="1" s="1"/>
  <c r="A183" i="1" s="1"/>
  <c r="E174" i="1"/>
  <c r="D174" i="1"/>
  <c r="I173" i="1"/>
  <c r="E172" i="1"/>
  <c r="D172" i="1"/>
  <c r="E171" i="1"/>
  <c r="D171" i="1"/>
  <c r="E170" i="1"/>
  <c r="D170" i="1"/>
  <c r="E169" i="1"/>
  <c r="D169" i="1"/>
  <c r="E168" i="1"/>
  <c r="D168" i="1"/>
  <c r="E167" i="1"/>
  <c r="D167" i="1"/>
  <c r="E166" i="1"/>
  <c r="D166" i="1"/>
  <c r="E165" i="1"/>
  <c r="D165" i="1"/>
  <c r="E164" i="1"/>
  <c r="D164" i="1"/>
  <c r="E163" i="1"/>
  <c r="D163" i="1"/>
  <c r="E161" i="1"/>
  <c r="D161" i="1"/>
  <c r="E160" i="1"/>
  <c r="D160" i="1"/>
  <c r="E159" i="1"/>
  <c r="D159" i="1"/>
  <c r="E157" i="1"/>
  <c r="D157" i="1"/>
  <c r="E156" i="1"/>
  <c r="D156" i="1"/>
  <c r="E155" i="1"/>
  <c r="D155" i="1"/>
  <c r="E154" i="1"/>
  <c r="D154" i="1"/>
  <c r="E153" i="1"/>
  <c r="D153" i="1"/>
  <c r="E152" i="1"/>
  <c r="D152" i="1"/>
  <c r="E150" i="1"/>
  <c r="D150" i="1"/>
  <c r="E149" i="1"/>
  <c r="D149" i="1"/>
  <c r="E148" i="1"/>
  <c r="D148" i="1"/>
  <c r="E147" i="1"/>
  <c r="D147" i="1"/>
  <c r="E146" i="1"/>
  <c r="D146" i="1"/>
  <c r="E145" i="1"/>
  <c r="D145" i="1"/>
  <c r="E144" i="1"/>
  <c r="D144" i="1"/>
  <c r="E143" i="1"/>
  <c r="D143" i="1"/>
  <c r="E142" i="1"/>
  <c r="D142" i="1"/>
  <c r="E141" i="1"/>
  <c r="D141" i="1"/>
  <c r="F213" i="1" l="1"/>
  <c r="F222" i="1"/>
  <c r="F209" i="1"/>
  <c r="F175" i="1"/>
  <c r="F176" i="1"/>
  <c r="F182" i="1"/>
  <c r="F174" i="1"/>
  <c r="F180" i="1"/>
  <c r="E43" i="1" l="1"/>
  <c r="K184" i="1" l="1"/>
  <c r="J155" i="1"/>
  <c r="C16" i="1" l="1"/>
  <c r="L41" i="7" l="1"/>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I42" i="7" s="1"/>
  <c r="H42" i="7" s="1"/>
  <c r="E7" i="7"/>
  <c r="L6" i="7"/>
  <c r="L42" i="7" s="1"/>
  <c r="K42" i="7" s="1"/>
  <c r="I6" i="7"/>
  <c r="E6" i="7"/>
  <c r="E42" i="7" s="1"/>
  <c r="G11" i="5"/>
  <c r="F11" i="5"/>
  <c r="G10" i="5"/>
  <c r="F10" i="5"/>
  <c r="G9" i="5"/>
  <c r="F9" i="5"/>
  <c r="G8" i="5"/>
  <c r="F8" i="5"/>
  <c r="G7" i="5"/>
  <c r="F7" i="5"/>
  <c r="G6" i="5"/>
  <c r="F6" i="5"/>
  <c r="G5" i="5"/>
  <c r="G12" i="5" s="1"/>
  <c r="F5" i="5"/>
  <c r="D256" i="1"/>
  <c r="B233" i="1"/>
  <c r="B232" i="1"/>
  <c r="F206" i="1"/>
  <c r="F202" i="1"/>
  <c r="F200" i="1"/>
  <c r="A199" i="1"/>
  <c r="A200" i="1" s="1"/>
  <c r="A201" i="1" s="1"/>
  <c r="A202" i="1" s="1"/>
  <c r="A203" i="1" s="1"/>
  <c r="A204" i="1" s="1"/>
  <c r="A205" i="1" s="1"/>
  <c r="A206" i="1" s="1"/>
  <c r="A207" i="1" s="1"/>
  <c r="F191" i="1"/>
  <c r="A188" i="1"/>
  <c r="A189" i="1" s="1"/>
  <c r="A190" i="1" s="1"/>
  <c r="A191" i="1" s="1"/>
  <c r="A192" i="1" s="1"/>
  <c r="A193" i="1" s="1"/>
  <c r="A194" i="1" s="1"/>
  <c r="A195" i="1" s="1"/>
  <c r="A196" i="1" s="1"/>
  <c r="A164" i="1"/>
  <c r="A165" i="1" s="1"/>
  <c r="A166" i="1" s="1"/>
  <c r="A167" i="1" s="1"/>
  <c r="A168" i="1" s="1"/>
  <c r="A169" i="1" s="1"/>
  <c r="A170" i="1" s="1"/>
  <c r="A171" i="1" s="1"/>
  <c r="A172" i="1" s="1"/>
  <c r="A153" i="1"/>
  <c r="A154" i="1" s="1"/>
  <c r="A155" i="1" s="1"/>
  <c r="A156" i="1" s="1"/>
  <c r="A157" i="1" s="1"/>
  <c r="A158" i="1" s="1"/>
  <c r="A159" i="1" s="1"/>
  <c r="A160" i="1" s="1"/>
  <c r="A161" i="1" s="1"/>
  <c r="A142" i="1"/>
  <c r="A143" i="1" s="1"/>
  <c r="A144" i="1" s="1"/>
  <c r="A145" i="1" s="1"/>
  <c r="A146" i="1" s="1"/>
  <c r="A147" i="1" s="1"/>
  <c r="A148" i="1" s="1"/>
  <c r="A149" i="1" s="1"/>
  <c r="A150" i="1" s="1"/>
  <c r="F134" i="1"/>
  <c r="H134" i="1" s="1"/>
  <c r="F133" i="1"/>
  <c r="H133" i="1" s="1"/>
  <c r="F132" i="1"/>
  <c r="H132" i="1" s="1"/>
  <c r="A132" i="1"/>
  <c r="A133" i="1" s="1"/>
  <c r="A134" i="1" s="1"/>
  <c r="F131" i="1"/>
  <c r="H131" i="1" s="1"/>
  <c r="K122" i="1"/>
  <c r="F114" i="1"/>
  <c r="B89" i="1"/>
  <c r="B75" i="1"/>
  <c r="D68" i="1"/>
  <c r="D62" i="1"/>
  <c r="G58" i="1"/>
  <c r="C58" i="1"/>
  <c r="G56" i="1"/>
  <c r="C56" i="1"/>
  <c r="G51" i="1"/>
  <c r="C51" i="1"/>
  <c r="E44" i="1"/>
  <c r="S33" i="1"/>
  <c r="E31" i="1"/>
  <c r="E28" i="1"/>
  <c r="E26" i="1"/>
  <c r="I15" i="1"/>
  <c r="Z13" i="1"/>
  <c r="E3" i="1"/>
  <c r="H75" i="1"/>
  <c r="H89" i="1"/>
  <c r="F168" i="1" l="1"/>
  <c r="H168" i="1" s="1"/>
  <c r="F188" i="1"/>
  <c r="F190" i="1"/>
  <c r="F192" i="1"/>
  <c r="F194" i="1"/>
  <c r="F196" i="1"/>
  <c r="I196" i="1" s="1"/>
  <c r="F152" i="1"/>
  <c r="H152" i="1" s="1"/>
  <c r="F167" i="1"/>
  <c r="H167" i="1" s="1"/>
  <c r="F154" i="1"/>
  <c r="H154" i="1" s="1"/>
  <c r="F149" i="1"/>
  <c r="H149" i="1" s="1"/>
  <c r="F203" i="1"/>
  <c r="F205" i="1"/>
  <c r="F207" i="1"/>
  <c r="F142" i="1"/>
  <c r="F144" i="1"/>
  <c r="H144" i="1" s="1"/>
  <c r="F146" i="1"/>
  <c r="H146" i="1" s="1"/>
  <c r="I147" i="1" s="1"/>
  <c r="F148" i="1"/>
  <c r="H148" i="1" s="1"/>
  <c r="F164" i="1"/>
  <c r="H164" i="1" s="1"/>
  <c r="F189" i="1"/>
  <c r="F161" i="1"/>
  <c r="H161" i="1" s="1"/>
  <c r="F169" i="1"/>
  <c r="H169" i="1" s="1"/>
  <c r="F143" i="1"/>
  <c r="H143" i="1" s="1"/>
  <c r="J143" i="1" s="1"/>
  <c r="F145" i="1"/>
  <c r="H145" i="1" s="1"/>
  <c r="I145" i="1" s="1"/>
  <c r="F147" i="1"/>
  <c r="H147" i="1" s="1"/>
  <c r="F150" i="1"/>
  <c r="H150" i="1" s="1"/>
  <c r="F153" i="1"/>
  <c r="H153" i="1" s="1"/>
  <c r="F163" i="1"/>
  <c r="H163" i="1" s="1"/>
  <c r="F193" i="1"/>
  <c r="F195" i="1"/>
  <c r="F198" i="1"/>
  <c r="H198" i="1" s="1"/>
  <c r="F201" i="1"/>
  <c r="E44" i="7"/>
  <c r="D42" i="7"/>
  <c r="D44" i="7" s="1"/>
  <c r="F156" i="1"/>
  <c r="H156" i="1" s="1"/>
  <c r="F159" i="1"/>
  <c r="H159" i="1" s="1"/>
  <c r="F166" i="1"/>
  <c r="H166" i="1" s="1"/>
  <c r="F170" i="1"/>
  <c r="H170" i="1" s="1"/>
  <c r="F172" i="1"/>
  <c r="H172" i="1" s="1"/>
  <c r="F204" i="1"/>
  <c r="F155" i="1"/>
  <c r="H155" i="1" s="1"/>
  <c r="F157" i="1"/>
  <c r="H157" i="1" s="1"/>
  <c r="F160" i="1"/>
  <c r="H160" i="1" s="1"/>
  <c r="F165" i="1"/>
  <c r="H165" i="1" s="1"/>
  <c r="F171" i="1"/>
  <c r="H171" i="1" s="1"/>
  <c r="F187" i="1"/>
  <c r="H187" i="1" s="1"/>
  <c r="F199" i="1"/>
  <c r="J85" i="1"/>
  <c r="J84" i="1"/>
  <c r="J83" i="1"/>
  <c r="J82" i="1"/>
  <c r="J99" i="1"/>
  <c r="J98" i="1"/>
  <c r="J97" i="1"/>
  <c r="J96" i="1"/>
  <c r="F141" i="1"/>
  <c r="H141" i="1" s="1"/>
  <c r="H142" i="1"/>
  <c r="I143" i="1" s="1"/>
  <c r="E45" i="1"/>
  <c r="D87" i="1"/>
  <c r="D83" i="1"/>
  <c r="J78" i="1"/>
  <c r="D85" i="1"/>
  <c r="J80" i="1"/>
  <c r="J81" i="1" s="1"/>
  <c r="J86" i="1" s="1"/>
  <c r="J87" i="1" s="1"/>
  <c r="C79" i="1" s="1"/>
  <c r="J77" i="1"/>
  <c r="J74" i="1"/>
  <c r="J76" i="1" s="1"/>
  <c r="J79" i="1"/>
  <c r="C78" i="1" s="1"/>
  <c r="D78" i="1" s="1"/>
  <c r="D86" i="1"/>
  <c r="D81" i="1"/>
  <c r="D84" i="1"/>
  <c r="D80" i="1"/>
  <c r="D82" i="1"/>
  <c r="J94" i="1"/>
  <c r="J95" i="1" s="1"/>
  <c r="J100" i="1" s="1"/>
  <c r="J101" i="1" s="1"/>
  <c r="C93" i="1" s="1"/>
  <c r="D99" i="1"/>
  <c r="D95" i="1"/>
  <c r="D101" i="1"/>
  <c r="D97" i="1"/>
  <c r="D100" i="1"/>
  <c r="D96" i="1"/>
  <c r="J92" i="1"/>
  <c r="D94" i="1"/>
  <c r="J93" i="1"/>
  <c r="C92" i="1" s="1"/>
  <c r="D92" i="1" s="1"/>
  <c r="J91" i="1"/>
  <c r="J88" i="1"/>
  <c r="J90" i="1" s="1"/>
  <c r="D98" i="1"/>
  <c r="G78" i="1" l="1"/>
  <c r="D72" i="1" s="1"/>
  <c r="F73" i="1" s="1"/>
  <c r="E78" i="1"/>
  <c r="D79" i="1"/>
  <c r="I75" i="1" s="1"/>
  <c r="I76" i="1" s="1"/>
  <c r="J75" i="1"/>
  <c r="G122" i="1"/>
  <c r="G123" i="1"/>
  <c r="C125" i="1"/>
  <c r="E92" i="1"/>
  <c r="D93" i="1"/>
  <c r="I89" i="1" s="1"/>
  <c r="I90" i="1" s="1"/>
  <c r="G92" i="1"/>
  <c r="J89" i="1"/>
  <c r="D73" i="1" l="1"/>
  <c r="G124" i="1"/>
  <c r="G125" i="1" s="1"/>
  <c r="E124" i="1"/>
  <c r="E125" i="1" s="1"/>
  <c r="I88" i="1"/>
  <c r="C90" i="1" s="1"/>
  <c r="I74" i="1"/>
  <c r="C76" i="1" s="1"/>
</calcChain>
</file>

<file path=xl/comments1.xml><?xml version="1.0" encoding="utf-8"?>
<comments xmlns="http://schemas.openxmlformats.org/spreadsheetml/2006/main">
  <authors>
    <author>Sachin</author>
    <author>SACHIN</author>
  </authors>
  <commentList>
    <comment ref="E12" authorId="0" shapeId="0">
      <text>
        <r>
          <rPr>
            <b/>
            <sz val="9"/>
            <rFont val="Tahoma"/>
            <family val="2"/>
          </rPr>
          <t>Sachin:</t>
        </r>
        <r>
          <rPr>
            <sz val="9"/>
            <rFont val="Tahoma"/>
            <family val="2"/>
          </rPr>
          <t xml:space="preserve">
Building No. 
Tower No.
Wing 
Bunglow No., etc</t>
        </r>
      </text>
    </comment>
    <comment ref="E13" authorId="0" shapeId="0">
      <text>
        <r>
          <rPr>
            <b/>
            <sz val="9"/>
            <rFont val="Tahoma"/>
            <family val="2"/>
          </rPr>
          <t>Sachin:</t>
        </r>
        <r>
          <rPr>
            <sz val="9"/>
            <rFont val="Tahoma"/>
            <family val="2"/>
          </rPr>
          <t xml:space="preserve">
If exisiting Building is provided write it or else
NA</t>
        </r>
      </text>
    </comment>
    <comment ref="C55" authorId="1" shapeId="0">
      <text>
        <r>
          <rPr>
            <b/>
            <sz val="9"/>
            <rFont val="Tahoma"/>
            <family val="2"/>
          </rPr>
          <t>SACHIN:</t>
        </r>
        <r>
          <rPr>
            <sz val="9"/>
            <rFont val="Tahoma"/>
            <family val="2"/>
          </rPr>
          <t xml:space="preserve">
Floor with height</t>
        </r>
      </text>
    </comment>
    <comment ref="C57" authorId="1" shapeId="0">
      <text>
        <r>
          <rPr>
            <b/>
            <sz val="9"/>
            <rFont val="Tahoma"/>
            <family val="2"/>
          </rPr>
          <t>SACHIN:</t>
        </r>
        <r>
          <rPr>
            <sz val="9"/>
            <rFont val="Tahoma"/>
            <family val="2"/>
          </rPr>
          <t xml:space="preserve">
Survey Nos.</t>
        </r>
      </text>
    </comment>
    <comment ref="C59" authorId="1" shapeId="0">
      <text>
        <r>
          <rPr>
            <b/>
            <sz val="9"/>
            <rFont val="Tahoma"/>
            <family val="2"/>
          </rPr>
          <t>SACHIN:</t>
        </r>
        <r>
          <rPr>
            <sz val="9"/>
            <rFont val="Tahoma"/>
            <family val="2"/>
          </rPr>
          <t xml:space="preserve">
Height from AMSL</t>
        </r>
      </text>
    </comment>
    <comment ref="D62" authorId="0" shapeId="0">
      <text>
        <r>
          <rPr>
            <b/>
            <sz val="9"/>
            <rFont val="Tahoma"/>
            <family val="2"/>
          </rPr>
          <t>Sachin:</t>
        </r>
        <r>
          <rPr>
            <sz val="9"/>
            <rFont val="Tahoma"/>
            <family val="2"/>
          </rPr>
          <t xml:space="preserve">
If multiple building in project or complex just mention builtup of required building</t>
        </r>
      </text>
    </comment>
    <comment ref="F107" authorId="1" shapeId="0">
      <text>
        <r>
          <rPr>
            <b/>
            <sz val="9"/>
            <rFont val="Tahoma"/>
            <family val="2"/>
          </rPr>
          <t>SACHIN:</t>
        </r>
        <r>
          <rPr>
            <sz val="9"/>
            <rFont val="Tahoma"/>
            <family val="2"/>
          </rPr>
          <t xml:space="preserve">
Other charges should be given on basis of location amenties builder type n should not exceed above 12 lakhs or 8% of flat value</t>
        </r>
      </text>
    </comment>
    <comment ref="H137" authorId="1" shapeId="0">
      <text>
        <r>
          <rPr>
            <b/>
            <sz val="9"/>
            <rFont val="Tahoma"/>
            <family val="2"/>
          </rPr>
          <t>SACHIN:</t>
        </r>
        <r>
          <rPr>
            <sz val="9"/>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rFont val="Tahoma"/>
            <family val="2"/>
          </rPr>
          <t>SACHIN:</t>
        </r>
        <r>
          <rPr>
            <sz val="9"/>
            <rFont val="Tahoma"/>
            <family val="2"/>
          </rPr>
          <t xml:space="preserve">
If banker changes the rate</t>
        </r>
      </text>
    </comment>
    <comment ref="C10" authorId="0" shapeId="0">
      <text>
        <r>
          <rPr>
            <b/>
            <sz val="9"/>
            <rFont val="Tahoma"/>
            <family val="2"/>
          </rPr>
          <t>SACHIN:</t>
        </r>
        <r>
          <rPr>
            <sz val="9"/>
            <rFont val="Tahoma"/>
            <family val="2"/>
          </rPr>
          <t xml:space="preserve">
If we change the rate</t>
        </r>
      </text>
    </comment>
  </commentList>
</comments>
</file>

<file path=xl/sharedStrings.xml><?xml version="1.0" encoding="utf-8"?>
<sst xmlns="http://schemas.openxmlformats.org/spreadsheetml/2006/main" count="734" uniqueCount="415">
  <si>
    <t>Office No. 1031, Wing J, Akshar Business Park, Plot No. 03 Sector 25, Near APMC Market, Vashi, Navi Mumbai, Maharashtra 400703 TEL: 022-46090378/79/80                                                                       
E mail : vsjcapf@gmail.com. Web site : www.vsjadon.com</t>
  </si>
  <si>
    <t xml:space="preserve">Valuation Report </t>
  </si>
  <si>
    <t>Date:</t>
  </si>
  <si>
    <t>Bank</t>
  </si>
  <si>
    <t>Axis Bank</t>
  </si>
  <si>
    <t>PNB Housing Finance Limited</t>
  </si>
  <si>
    <t>Cent Bank</t>
  </si>
  <si>
    <t>Sammaan Capital</t>
  </si>
  <si>
    <t>ABFHL</t>
  </si>
  <si>
    <t>Bank Name:</t>
  </si>
  <si>
    <t>Branch</t>
  </si>
  <si>
    <t>Axis Goregaon</t>
  </si>
  <si>
    <t>PNB Thane</t>
  </si>
  <si>
    <t>Cent Kalyan</t>
  </si>
  <si>
    <t>SCL Kalyan</t>
  </si>
  <si>
    <t>CPC Name:</t>
  </si>
  <si>
    <t>Axis Badlapur</t>
  </si>
  <si>
    <t>Axis Thane</t>
  </si>
  <si>
    <t>PNB Borivali</t>
  </si>
  <si>
    <t>Cent Belapur</t>
  </si>
  <si>
    <t>SCL Badlapur</t>
  </si>
  <si>
    <t>Date Of Property Visit</t>
  </si>
  <si>
    <t>Axis Sanpada</t>
  </si>
  <si>
    <t>SCL Vashi</t>
  </si>
  <si>
    <t>Name of the builder group</t>
  </si>
  <si>
    <t>Name of the builder company</t>
  </si>
  <si>
    <t>SCL Thane</t>
  </si>
  <si>
    <t>Name of the Project</t>
  </si>
  <si>
    <t>Kohinoor Gardens</t>
  </si>
  <si>
    <t>SCL Andheri</t>
  </si>
  <si>
    <t>Provided Contact Details (Name &amp; Contact No.)</t>
  </si>
  <si>
    <t xml:space="preserve">Mr. Roshan Mali  8879380266
</t>
  </si>
  <si>
    <t>SCL Borivali</t>
  </si>
  <si>
    <t>Site Person - Contact Details (Name &amp; Contact No.)</t>
  </si>
  <si>
    <t>SCL Virar</t>
  </si>
  <si>
    <t>Name / No of the Building</t>
  </si>
  <si>
    <t>Wing A &amp; B</t>
  </si>
  <si>
    <t>Name / No of the Existing Building</t>
  </si>
  <si>
    <t>NA</t>
  </si>
  <si>
    <t>Thane</t>
  </si>
  <si>
    <t>Palghar</t>
  </si>
  <si>
    <t>Mumbai</t>
  </si>
  <si>
    <t>Raigad</t>
  </si>
  <si>
    <t>Pune</t>
  </si>
  <si>
    <t>Documents Provided</t>
  </si>
  <si>
    <t>Mokhada</t>
  </si>
  <si>
    <t>Andheri</t>
  </si>
  <si>
    <t>Alibag</t>
  </si>
  <si>
    <t>Pune City</t>
  </si>
  <si>
    <t>RERA No.</t>
  </si>
  <si>
    <t>P51700076841</t>
  </si>
  <si>
    <t>Shahpur</t>
  </si>
  <si>
    <t>Talasari</t>
  </si>
  <si>
    <t>Borivali</t>
  </si>
  <si>
    <t>Panvel</t>
  </si>
  <si>
    <t>Haveli</t>
  </si>
  <si>
    <t xml:space="preserve">Project location details       </t>
  </si>
  <si>
    <t>Kalyan</t>
  </si>
  <si>
    <t>Vasai</t>
  </si>
  <si>
    <t>Kurla</t>
  </si>
  <si>
    <t>Uran</t>
  </si>
  <si>
    <t>Khed</t>
  </si>
  <si>
    <t>Bhiwandi</t>
  </si>
  <si>
    <t>Vikramgad</t>
  </si>
  <si>
    <t>Karjat</t>
  </si>
  <si>
    <t>Baramati</t>
  </si>
  <si>
    <t>Locality</t>
  </si>
  <si>
    <t>Siddhivinayak Nagar</t>
  </si>
  <si>
    <t>Ulhasnagar</t>
  </si>
  <si>
    <t>Khalapur</t>
  </si>
  <si>
    <t>Junnar</t>
  </si>
  <si>
    <t>Road</t>
  </si>
  <si>
    <t>Shivaji Road</t>
  </si>
  <si>
    <t>Locality/Village</t>
  </si>
  <si>
    <t>Ulhasnagar 01</t>
  </si>
  <si>
    <t>Ambernath</t>
  </si>
  <si>
    <t>Dahanu</t>
  </si>
  <si>
    <t>Pen</t>
  </si>
  <si>
    <t>Shirur</t>
  </si>
  <si>
    <t>City</t>
  </si>
  <si>
    <t>Shahad East</t>
  </si>
  <si>
    <t>District</t>
  </si>
  <si>
    <t>Murbad</t>
  </si>
  <si>
    <t>Wada</t>
  </si>
  <si>
    <t>Sudhagad</t>
  </si>
  <si>
    <t>Indapur</t>
  </si>
  <si>
    <t>Taluka</t>
  </si>
  <si>
    <t>Pin Code</t>
  </si>
  <si>
    <t>Mahad</t>
  </si>
  <si>
    <t>Daund</t>
  </si>
  <si>
    <t>Nearby Landmark</t>
  </si>
  <si>
    <t>Kohinoor Prime</t>
  </si>
  <si>
    <t xml:space="preserve">Distance from city centre: </t>
  </si>
  <si>
    <t>Roha</t>
  </si>
  <si>
    <t>Mawal</t>
  </si>
  <si>
    <t>Accessibility to the Project from the City: (Proximity to civic amenities like school, hospital, market, etc.)</t>
  </si>
  <si>
    <t>all available at  1 to 2 km.</t>
  </si>
  <si>
    <t>Mangaon</t>
  </si>
  <si>
    <t>Ambegaon</t>
  </si>
  <si>
    <t>Poladpur</t>
  </si>
  <si>
    <t>Purandhar</t>
  </si>
  <si>
    <t>Does property have Electricity / Water / Drainage Connection</t>
  </si>
  <si>
    <t>Yes</t>
  </si>
  <si>
    <t>Mahasala</t>
  </si>
  <si>
    <t>Bhor</t>
  </si>
  <si>
    <t>Class of locality</t>
  </si>
  <si>
    <t>Shriwardhan</t>
  </si>
  <si>
    <t>Mulshi</t>
  </si>
  <si>
    <t>Nature of land with topographical condtion</t>
  </si>
  <si>
    <t>Plane</t>
  </si>
  <si>
    <t>Murud</t>
  </si>
  <si>
    <t>Velhe</t>
  </si>
  <si>
    <t xml:space="preserve">Nature of the locality </t>
  </si>
  <si>
    <t>Quality of infrastructure in vicinity</t>
  </si>
  <si>
    <t>Good</t>
  </si>
  <si>
    <t>Type of Structure</t>
  </si>
  <si>
    <t>RCC Frame Structure</t>
  </si>
  <si>
    <t xml:space="preserve">Approved usage of the Property:                                                                                                                                             </t>
  </si>
  <si>
    <t>Restrictive Covenants in regard to Land Use</t>
  </si>
  <si>
    <t>No</t>
  </si>
  <si>
    <t>Boundries</t>
  </si>
  <si>
    <t>As per Layout</t>
  </si>
  <si>
    <t>At site</t>
  </si>
  <si>
    <t>East</t>
  </si>
  <si>
    <t>6 M W Road</t>
  </si>
  <si>
    <t>West</t>
  </si>
  <si>
    <t>18 M W Road</t>
  </si>
  <si>
    <t>North</t>
  </si>
  <si>
    <t>South</t>
  </si>
  <si>
    <t>Other Plot</t>
  </si>
  <si>
    <t>Houses</t>
  </si>
  <si>
    <t>Does the boundaries at site match, as mentioned in the Documentation: NA</t>
  </si>
  <si>
    <t>Latitude, Longitude</t>
  </si>
  <si>
    <t>Location Link</t>
  </si>
  <si>
    <t>Area Statement Details :</t>
  </si>
  <si>
    <t>Total land area of the project in Sq. Mt.</t>
  </si>
  <si>
    <t>Permissible FSI</t>
  </si>
  <si>
    <t>Permissible TDR/Paid FSI</t>
  </si>
  <si>
    <t>Total FSI availaible for the project</t>
  </si>
  <si>
    <t>Total Approved Builtup area of the project (Sq.Mt)</t>
  </si>
  <si>
    <t>Total number of Buildings</t>
  </si>
  <si>
    <t>02 Wings</t>
  </si>
  <si>
    <t xml:space="preserve">Approval Detail : Plan approval </t>
  </si>
  <si>
    <t>Name of Municipal Corporation/Authority</t>
  </si>
  <si>
    <t>Ulhasnagar Municipal Corporation</t>
  </si>
  <si>
    <t>Authorites</t>
  </si>
  <si>
    <t xml:space="preserve">Layout Approval No     </t>
  </si>
  <si>
    <t>UMP/NRV/BP/12/24/393</t>
  </si>
  <si>
    <t>Dated</t>
  </si>
  <si>
    <t>Slum Rehabilitation Authority (SRA)</t>
  </si>
  <si>
    <t>Navi Mumbai Municipal Corporation (NMMC)</t>
  </si>
  <si>
    <t>Panvel Municipal Corporation</t>
  </si>
  <si>
    <t>Vasai-Virar City Municipal Corporation. (VVCMC)</t>
  </si>
  <si>
    <t xml:space="preserve">Approved Floor plan No.  </t>
  </si>
  <si>
    <t>Municipal Corporation of Greater Mumbai (MCGM)</t>
  </si>
  <si>
    <t>Thane Muncipal Cooperation (TMC)</t>
  </si>
  <si>
    <t>City and Industrial Development Corporation (CIDCO)</t>
  </si>
  <si>
    <t>Collector Of Palghar</t>
  </si>
  <si>
    <t xml:space="preserve">Commencement-CC No
Valid Up to: </t>
  </si>
  <si>
    <t>Maharashtra Housing and Area Development Authority(MHADA)</t>
  </si>
  <si>
    <t>Kalyan Dombivli Municipal Corporation (KMDC)</t>
  </si>
  <si>
    <t>Maharashtra State Road Development Corporation Limited (MSRDC)</t>
  </si>
  <si>
    <t>Town Planner, Palghar</t>
  </si>
  <si>
    <t>Mumbai Metropolitan Region Development Authority (MMRDA)</t>
  </si>
  <si>
    <t>Ambernath Municipal Council (AMC)</t>
  </si>
  <si>
    <t>Navi Mumbai Airport Influence Notified Area (NAINA)</t>
  </si>
  <si>
    <t xml:space="preserve">Fire Noc No
Valid Up to: </t>
  </si>
  <si>
    <t>Kulgoan Badlapur Municipal Council</t>
  </si>
  <si>
    <t>Pen Municipal Council</t>
  </si>
  <si>
    <t xml:space="preserve">Environmental Clearance Certificate (EC) No
Valid Up for: </t>
  </si>
  <si>
    <t>Town Planning Thane</t>
  </si>
  <si>
    <t>Raigad Zilha Parishad</t>
  </si>
  <si>
    <t>Roha Municipal Council</t>
  </si>
  <si>
    <t xml:space="preserve">Airport Noc No
Valid Up to: </t>
  </si>
  <si>
    <t>Nagar Rachana Ani Mulya Nirdharan Vibhag Thane</t>
  </si>
  <si>
    <t>Collector Of Raigad</t>
  </si>
  <si>
    <t>Bhiwandi Nizampur City Municipal Corporation</t>
  </si>
  <si>
    <t xml:space="preserve">O. Certificate No.: </t>
  </si>
  <si>
    <t>NA
Approved upto : NA</t>
  </si>
  <si>
    <t>Maharashtra Industrial Development Corporation (MIDC)</t>
  </si>
  <si>
    <t>Building wise Construction details</t>
  </si>
  <si>
    <t>Mira-Bhayandar Municipal Corporation</t>
  </si>
  <si>
    <t>Approved area of building (Sq.Mt)</t>
  </si>
  <si>
    <t>Approved no of units</t>
  </si>
  <si>
    <t>Approved no of Floors</t>
  </si>
  <si>
    <t>Proposed no of Floors</t>
  </si>
  <si>
    <t xml:space="preserve">Wing B = G + 1st to 18th Floor
</t>
  </si>
  <si>
    <t>Expected Completion</t>
  </si>
  <si>
    <t>As per RERA - 30/11/2027</t>
  </si>
  <si>
    <t>Projected life of the structure</t>
  </si>
  <si>
    <t xml:space="preserve">Quality of construction: </t>
  </si>
  <si>
    <t xml:space="preserve">Intercom connection, CCTV, Biometric access in lobby, Gymnasium, Jogging track, Yoga,  Aerobics, Table Tennis, Football, Co-Working Space With Cafeteria, etc. </t>
  </si>
  <si>
    <t>https://www.kohinoor-group.in/project-kohinoor-garden.html</t>
  </si>
  <si>
    <t xml:space="preserve">Violations Observed if any : </t>
  </si>
  <si>
    <t xml:space="preserve">Material laying at Site: </t>
  </si>
  <si>
    <t xml:space="preserve">Wheather the construction is as per approved Building plan : </t>
  </si>
  <si>
    <t>Construction details:</t>
  </si>
  <si>
    <t>Basement</t>
  </si>
  <si>
    <t>Ground</t>
  </si>
  <si>
    <t>Podium</t>
  </si>
  <si>
    <t>Floors</t>
  </si>
  <si>
    <t xml:space="preserve">Stage of construction: </t>
  </si>
  <si>
    <t>Type of Work</t>
  </si>
  <si>
    <t>Slab/Floor</t>
  </si>
  <si>
    <t>Complition %</t>
  </si>
  <si>
    <t>Progress %</t>
  </si>
  <si>
    <t>Disbursement %</t>
  </si>
  <si>
    <t>Piling Work in process</t>
  </si>
  <si>
    <t>Excavation</t>
  </si>
  <si>
    <t>Excavation in process</t>
  </si>
  <si>
    <t>Plinth</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</si>
  <si>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</si>
  <si>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</si>
  <si>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</si>
  <si>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</si>
  <si>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</si>
  <si>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</si>
  <si>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</si>
  <si>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</si>
  <si>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</si>
  <si>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</si>
  <si>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</si>
  <si>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</si>
  <si>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</si>
  <si>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</si>
  <si>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</si>
  <si>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</si>
  <si>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</si>
  <si>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</si>
  <si>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</si>
  <si>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 xml:space="preserve">Recommended Rates of the Property : </t>
  </si>
  <si>
    <t>On Saleable Area</t>
  </si>
  <si>
    <t>Recommended rate of the Flat Per Sq. Ft.</t>
  </si>
  <si>
    <t>Recommended rate of the Office Per Sq. Ft.</t>
  </si>
  <si>
    <t>Floor Rise Rate from    Floor</t>
  </si>
  <si>
    <t>Development Charges</t>
  </si>
  <si>
    <t>Club Charges</t>
  </si>
  <si>
    <t>Gas Connection Charges</t>
  </si>
  <si>
    <t>Water, Electricity, Drainages, Sewerage Connection</t>
  </si>
  <si>
    <t>Society Formation Charges</t>
  </si>
  <si>
    <t>Advance Maintenance Charges</t>
  </si>
  <si>
    <t xml:space="preserve">Recommended rate of Parking </t>
  </si>
  <si>
    <t>Distressed valuation of the Property</t>
  </si>
  <si>
    <t>Commercial Area Details :</t>
  </si>
  <si>
    <t>Building &amp; Wing</t>
  </si>
  <si>
    <t>No. of Units</t>
  </si>
  <si>
    <t>Total Carpet Area</t>
  </si>
  <si>
    <t>Total Saleable Area</t>
  </si>
  <si>
    <t>Total</t>
  </si>
  <si>
    <t>Residential Area Details :</t>
  </si>
  <si>
    <t>Wing A</t>
  </si>
  <si>
    <t>Wing B</t>
  </si>
  <si>
    <t>Grand Total</t>
  </si>
  <si>
    <t>Building details Floor Wise</t>
  </si>
  <si>
    <t xml:space="preserve">Details of Residential in Building   </t>
  </si>
  <si>
    <t>Shop No. (Sale Plan)</t>
  </si>
  <si>
    <t>Description</t>
  </si>
  <si>
    <t>Carpet area</t>
  </si>
  <si>
    <t>Attached Loft area</t>
  </si>
  <si>
    <t>Gross Carpet area</t>
  </si>
  <si>
    <t>Attached Terrace area</t>
  </si>
  <si>
    <t>Saleable area Loading :</t>
  </si>
  <si>
    <t>Ground Floor</t>
  </si>
  <si>
    <t>Flat No. (Sale Plan)</t>
  </si>
  <si>
    <t>2BHK</t>
  </si>
  <si>
    <t>1BHK</t>
  </si>
  <si>
    <t>8th &amp; 13th Floor (Part Refuge Area)</t>
  </si>
  <si>
    <t>Refuge Area</t>
  </si>
  <si>
    <t>18th Floor</t>
  </si>
  <si>
    <t>Refuge Area In A Wing</t>
  </si>
  <si>
    <t>But Floors are interconnected</t>
  </si>
  <si>
    <t>Club House</t>
  </si>
  <si>
    <t xml:space="preserve">Remarks:  </t>
  </si>
  <si>
    <t>*</t>
  </si>
  <si>
    <t>We considered Carpet area as per Approved Plan.</t>
  </si>
  <si>
    <t>We have considered proposed No. of Floor for Stage Calculation.</t>
  </si>
  <si>
    <t>We have considered rate by verifying it from market inquire.</t>
  </si>
  <si>
    <t>Recommended rate should be considered as all inclusive rate if other charges are not mentioned. (Excluding GST &amp; other government Taxes)</t>
  </si>
  <si>
    <t>Car parking is subjected to authentic documentation.</t>
  </si>
  <si>
    <t xml:space="preserve">As the project is redevelopement project but rehab statement or rehab flats is not mentioned approved layout plan &amp; floor plan.
</t>
  </si>
  <si>
    <t xml:space="preserve">Please check for Fire Noc.
</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</si>
  <si>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</si>
  <si>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</si>
  <si>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</si>
  <si>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</si>
  <si>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</si>
  <si>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</si>
  <si>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</si>
  <si>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Inspected By :</t>
  </si>
  <si>
    <t>Report By :</t>
  </si>
  <si>
    <t>Shruti Tathare</t>
  </si>
  <si>
    <t>Authorized Signatory
Name &amp; Seal of the agency</t>
  </si>
  <si>
    <t xml:space="preserve">PHOTOGRAPHS OF PROPERTY : 
</t>
  </si>
  <si>
    <t>Google Map :</t>
  </si>
  <si>
    <t>Market Research Data</t>
  </si>
  <si>
    <t>Source</t>
  </si>
  <si>
    <t>Distance from proposed property</t>
  </si>
  <si>
    <t>Flat</t>
  </si>
  <si>
    <t>Net Carpet</t>
  </si>
  <si>
    <t>Saleable Area</t>
  </si>
  <si>
    <t>Rate on Saleable</t>
  </si>
  <si>
    <t>Market Value</t>
  </si>
  <si>
    <t>Magic Brick</t>
  </si>
  <si>
    <t>99 Acres</t>
  </si>
  <si>
    <t>Average</t>
  </si>
  <si>
    <t xml:space="preserve">Valuation Adopted </t>
  </si>
  <si>
    <t xml:space="preserve">Thane </t>
  </si>
  <si>
    <t>Approved Plans, CC, Sale Plans, Builder Saleable Area, Cost Sheet, Airport Noc, Railway Noc, OC</t>
  </si>
  <si>
    <t>Approved Plans, CC</t>
  </si>
  <si>
    <t>Approved Plans, CC, Sale Plans</t>
  </si>
  <si>
    <t>Approved Plans, CC, Sale Plans, Builder Saleable Area</t>
  </si>
  <si>
    <t>Approved Plans, CC, Sale Plans, Builder Saleable Area, Cost Sheet,</t>
  </si>
  <si>
    <t>Approved Plans, CC, Builder Saleable Area,</t>
  </si>
  <si>
    <t>Indiabulls Housing Finance Ltd</t>
  </si>
  <si>
    <t>IBHF Kalyan</t>
  </si>
  <si>
    <t>IBHF Badlapur</t>
  </si>
  <si>
    <t>IBHF Vashi</t>
  </si>
  <si>
    <t>IBHF Thane</t>
  </si>
  <si>
    <t>IBHF Andheri</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</si>
  <si>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</si>
  <si>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</si>
  <si>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</si>
  <si>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</si>
  <si>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</si>
  <si>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</si>
  <si>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</si>
  <si>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rPr>
        <sz val="11"/>
        <color rgb="FF000000"/>
        <rFont val="Calibri"/>
        <family val="2"/>
      </rP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</si>
  <si>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</si>
  <si>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</si>
  <si>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</si>
  <si>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</si>
  <si>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</si>
  <si>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</si>
  <si>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</si>
  <si>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</si>
  <si>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</si>
  <si>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building have received First CC on 08/05/2015 still building is still under construction.</t>
  </si>
  <si>
    <t>Since the project has received first CC on 17/01/2020, But construction work of Wing A is not yet started. Please provide revised approved CC for Wing A.</t>
  </si>
  <si>
    <r>
      <rPr>
        <sz val="11"/>
        <color rgb="FF000000"/>
        <rFont val="Calibri"/>
        <family val="2"/>
      </rP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</si>
  <si>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rPr>
        <sz val="11"/>
        <color rgb="FF000000"/>
        <rFont val="Calibri"/>
        <family val="2"/>
      </rP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</si>
  <si>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High tension lines are passing nearby project Project Name. Please provide Power Noc.</t>
  </si>
  <si>
    <t>As Flat No. 201, 202, 203 &amp; 204 consists of large terrace area but dimension of that area is not mentioned. Therefore we have not considered terrace area for that flat.</t>
  </si>
  <si>
    <t>Electric Lines are passing above the project</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</si>
  <si>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</si>
  <si>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</si>
  <si>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</si>
  <si>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</si>
  <si>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</si>
  <si>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</si>
  <si>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</si>
  <si>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 xml:space="preserve">Floor No </t>
  </si>
  <si>
    <t>Discription</t>
  </si>
  <si>
    <t>Carpet</t>
  </si>
  <si>
    <t>Fungible</t>
  </si>
  <si>
    <t>Terrace</t>
  </si>
  <si>
    <t>L</t>
  </si>
  <si>
    <t>W</t>
  </si>
  <si>
    <t>A</t>
  </si>
  <si>
    <t>Hall</t>
  </si>
  <si>
    <t>Balcony</t>
  </si>
  <si>
    <t>CB</t>
  </si>
  <si>
    <t>kitch</t>
  </si>
  <si>
    <t>FB</t>
  </si>
  <si>
    <t>Bed1</t>
  </si>
  <si>
    <t>Bed2</t>
  </si>
  <si>
    <t>Bed3</t>
  </si>
  <si>
    <t>Bed4</t>
  </si>
  <si>
    <t>DB</t>
  </si>
  <si>
    <t>toilet2</t>
  </si>
  <si>
    <t>toilet3</t>
  </si>
  <si>
    <t>toilet4</t>
  </si>
  <si>
    <t>passage1</t>
  </si>
  <si>
    <t>passage2</t>
  </si>
  <si>
    <t>passage3</t>
  </si>
  <si>
    <t>passage4</t>
  </si>
  <si>
    <t>Servant room</t>
  </si>
  <si>
    <r>
      <t xml:space="preserve">Proposed Amenities :                                                                                                                                                                                                                         </t>
    </r>
    <r>
      <rPr>
        <b/>
        <sz val="12"/>
        <rFont val="Times New Roman"/>
        <family val="1"/>
      </rPr>
      <t xml:space="preserve">                                               </t>
    </r>
  </si>
  <si>
    <r>
      <t xml:space="preserve">Shop No.
</t>
    </r>
    <r>
      <rPr>
        <b/>
        <sz val="11"/>
        <rFont val="Times New Roman"/>
        <family val="1"/>
      </rPr>
      <t>(Approved Plan)</t>
    </r>
  </si>
  <si>
    <r>
      <t xml:space="preserve">Flat No.
</t>
    </r>
    <r>
      <rPr>
        <b/>
        <sz val="11"/>
        <rFont val="Times New Roman"/>
        <family val="1"/>
      </rPr>
      <t>(Approved Plan)</t>
    </r>
  </si>
  <si>
    <t>Clarification letter provided by bank regarding above query is attached below.</t>
  </si>
  <si>
    <t xml:space="preserve">Section No. mentioned in Approved plans is 7A.
Section No. mentioned in CC, Rera &amp; Title Report is 7B.
</t>
  </si>
  <si>
    <t xml:space="preserve">Project address mentioned in Architects letter provided by Bank officials on mail is  Section No. - 7B &amp; Sheet No. 83A (Architects Letter attached Below).
</t>
  </si>
  <si>
    <t>M/s. KGI Realty Private Limited</t>
  </si>
  <si>
    <t>19.239722,73.158778</t>
  </si>
  <si>
    <t>Kohinoor Group</t>
  </si>
  <si>
    <t>0.6 KM from Shahad Railway Station</t>
  </si>
  <si>
    <t xml:space="preserve"> Sudhir Bhosale</t>
  </si>
  <si>
    <t>Balcony Area</t>
  </si>
  <si>
    <t>8th &amp; 13th Floor</t>
  </si>
  <si>
    <t xml:space="preserve">We received approved plans dtd. 28/03/2024, but the address provided in the approved plan does not match with the CC, title report or RERA Certificate.
Please provide an Authority clarification letter for the proper address or Revised Approved Plans &amp; Fire NOC.
</t>
  </si>
  <si>
    <t>2447(P), U.No. 198, Sheet No. 83A, Section - 7B, UNR-01</t>
  </si>
  <si>
    <t>18 Mtr Wide Road</t>
  </si>
  <si>
    <t>https://maps.app.goo.gl/VR44dJ4adGyBASDB8</t>
  </si>
  <si>
    <t xml:space="preserve">DDUMC/AR/2025/APL/00002 </t>
  </si>
  <si>
    <t>Wing A &amp; B = G + 1st to 19th Floor</t>
  </si>
  <si>
    <t xml:space="preserve">Wing A &amp; B = G + 1st to 19th Floor
</t>
  </si>
  <si>
    <t>Approved Plans, CC, Sale Plans, Fire NOC</t>
  </si>
  <si>
    <t>UMC/FIRE/05/2024</t>
  </si>
  <si>
    <t>Gr. + 1st to 14th Floor (Total Height = 44.40Mtrs.)</t>
  </si>
  <si>
    <t>Ground Floor For Parking, Entrance Lobby, Society Office, Driver's Room &amp; Porch</t>
  </si>
  <si>
    <t>1st to 7th, 9th to 12th &amp; 14th to 17th Floor For Residential</t>
  </si>
  <si>
    <t>19th Floor</t>
  </si>
  <si>
    <t>18th Floor For Residential (Part Refuge Area)</t>
  </si>
  <si>
    <t>19th Floor For Residential (Part Club House, Swimming Pool &amp; Open Terrace Area)</t>
  </si>
  <si>
    <t xml:space="preserve"> - </t>
  </si>
  <si>
    <t>Swimming Pool</t>
  </si>
  <si>
    <t>Open Terrace Area</t>
  </si>
  <si>
    <t xml:space="preserve">Construction work is in process at the time of Visit (labour found).
Plot Cleaning Work is in Process.
Work not yet Started.
Construction work is in process at the time of Visit (labour found)
</t>
  </si>
  <si>
    <t>Layout :</t>
  </si>
  <si>
    <t>Wing B = G + 1st to 19th Floor</t>
  </si>
  <si>
    <t>Wing A = G + 1st to 19th Floor</t>
  </si>
  <si>
    <t>Flats - 368</t>
  </si>
  <si>
    <t>Ms. Jayashree 8070063208</t>
  </si>
  <si>
    <t>CTS No</t>
  </si>
  <si>
    <t>We considered Gross carpet area = Net carpet +  E.P. Area + D.B Area.</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</si>
</sst>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 #,##0.00_ ;_ * \-#,##0.00_ ;_ * &quot;-&quot;??_ ;_ @_ "/>
    <numFmt numFmtId="164" formatCode="_(* #,##0.00_);_(* \(#,##0.00\);_(* &quot;-&quot;??_);_(@_)"/>
    <numFmt numFmtId="165" formatCode="_(* #,##0_);_(* \(#,##0\);_(* &quot;-&quot;??_);_(@_)"/>
    <numFmt numFmtId="166" formatCode="dd\/mm\/yyyy;@"/>
    <numFmt numFmtId="167" formatCode="d\/mm\/yyyy;@"/>
    <numFmt numFmtId="168" formatCode="0.0"/>
    <numFmt numFmtId="169" formatCode="[$-404]e&quot;年&quot;m&quot;月&quot;d&quot;日&quot;;@"/>
    <numFmt numFmtId="170" formatCode="_ * #,##0_ ;_ * \-#,##0_ ;_ * &quot;-&quot;??_ ;_ @_ "/>
    <numFmt numFmtId="171" formatCode="0_ "/>
    <numFmt numFmtId="172" formatCode="0.000"/>
  </numFmts>
  <fonts count="28">
    <font>
      <sz val="11"/>
      <color rgb="FF000000"/>
      <name val="Calibri"/>
      <charset val="134"/>
    </font>
    <font>
      <b/>
      <sz val="11"/>
      <color theme="1"/>
      <name val="Calibri"/>
      <family val="2"/>
      <scheme val="minor"/>
    </font>
    <font>
      <sz val="11"/>
      <color indexed="8"/>
      <name val="Calibri"/>
      <family val="2"/>
    </font>
    <font>
      <sz val="11"/>
      <color theme="1"/>
      <name val="Calibri"/>
      <family val="2"/>
      <scheme val="minor"/>
    </font>
    <font>
      <sz val="11"/>
      <color rgb="FFFF0000"/>
      <name val="Calibri"/>
      <family val="2"/>
      <scheme val="minor"/>
    </font>
    <font>
      <sz val="11"/>
      <color rgb="FFFF0000"/>
      <name val="Calibri"/>
      <family val="2"/>
    </font>
    <font>
      <sz val="12"/>
      <color rgb="FFFF0000"/>
      <name val="Times New Roman"/>
      <family val="1"/>
    </font>
    <font>
      <sz val="12"/>
      <name val="Times New Roman"/>
      <family val="1"/>
    </font>
    <font>
      <sz val="11"/>
      <color theme="1"/>
      <name val="Times New Roman"/>
      <family val="1"/>
    </font>
    <font>
      <sz val="12"/>
      <color indexed="8"/>
      <name val="Times New Roman"/>
      <family val="1"/>
    </font>
    <font>
      <sz val="12"/>
      <color theme="1"/>
      <name val="Times New Roman"/>
      <family val="1"/>
    </font>
    <font>
      <b/>
      <sz val="11.5"/>
      <color indexed="8"/>
      <name val="Times New Roman"/>
      <family val="1"/>
    </font>
    <font>
      <b/>
      <sz val="12"/>
      <color indexed="8"/>
      <name val="Times New Roman"/>
      <family val="1"/>
    </font>
    <font>
      <b/>
      <sz val="12"/>
      <name val="Times New Roman"/>
      <family val="1"/>
    </font>
    <font>
      <u/>
      <sz val="11"/>
      <color theme="10"/>
      <name val="Calibri"/>
      <family val="2"/>
    </font>
    <font>
      <b/>
      <sz val="12"/>
      <color rgb="FFFF0000"/>
      <name val="Times New Roman"/>
      <family val="1"/>
    </font>
    <font>
      <b/>
      <sz val="12"/>
      <color theme="1"/>
      <name val="Times New Roman"/>
      <family val="1"/>
    </font>
    <font>
      <sz val="10"/>
      <color theme="1"/>
      <name val="Times New Roman"/>
      <family val="1"/>
    </font>
    <font>
      <sz val="11"/>
      <name val="Calibri"/>
      <family val="2"/>
    </font>
    <font>
      <sz val="11"/>
      <color theme="0"/>
      <name val="Calibri"/>
      <family val="2"/>
    </font>
    <font>
      <sz val="11"/>
      <color rgb="FF000000"/>
      <name val="Times New Roman"/>
      <family val="1"/>
    </font>
    <font>
      <sz val="11"/>
      <name val="Times New Roman"/>
      <family val="1"/>
    </font>
    <font>
      <sz val="10"/>
      <name val="Arial"/>
      <family val="2"/>
    </font>
    <font>
      <b/>
      <sz val="11"/>
      <color rgb="FF000000"/>
      <name val="Calibri"/>
      <family val="2"/>
    </font>
    <font>
      <sz val="9"/>
      <name val="Tahoma"/>
      <family val="2"/>
    </font>
    <font>
      <b/>
      <sz val="9"/>
      <name val="Tahoma"/>
      <family val="2"/>
    </font>
    <font>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9" tint="0.79995117038483843"/>
        <bgColor indexed="64"/>
      </patternFill>
    </fill>
  </fills>
  <borders count="3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diagonal/>
    </border>
    <border>
      <left/>
      <right style="thin">
        <color auto="1"/>
      </right>
      <top/>
      <bottom/>
      <diagonal/>
    </border>
    <border>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s>
  <cellStyleXfs count="11">
    <xf numFmtId="0" fontId="0" fillId="0" borderId="0"/>
    <xf numFmtId="43" fontId="26" fillId="0" borderId="0" applyFont="0" applyFill="0" applyBorder="0" applyAlignment="0" applyProtection="0"/>
    <xf numFmtId="9" fontId="26" fillId="0" borderId="0" applyFont="0" applyFill="0" applyBorder="0" applyAlignment="0" applyProtection="0"/>
    <xf numFmtId="0" fontId="14" fillId="0" borderId="0" applyNumberFormat="0" applyFill="0" applyBorder="0" applyAlignment="0" applyProtection="0"/>
    <xf numFmtId="164" fontId="2" fillId="0" borderId="0" applyFont="0" applyFill="0" applyBorder="0" applyAlignment="0" applyProtection="0"/>
    <xf numFmtId="0" fontId="2" fillId="0" borderId="0"/>
    <xf numFmtId="0" fontId="2" fillId="0" borderId="0"/>
    <xf numFmtId="0" fontId="3" fillId="0" borderId="0"/>
    <xf numFmtId="0" fontId="3" fillId="0" borderId="0"/>
    <xf numFmtId="0" fontId="22" fillId="0" borderId="0"/>
    <xf numFmtId="0" fontId="3" fillId="0" borderId="0"/>
  </cellStyleXfs>
  <cellXfs count="258">
    <xf numFmtId="0" fontId="0" fillId="0" borderId="0" xfId="0"/>
    <xf numFmtId="0" fontId="0" fillId="0" borderId="0" xfId="0" applyAlignment="1">
      <alignment horizontal="center" vertical="center"/>
    </xf>
    <xf numFmtId="0" fontId="0" fillId="2" borderId="1" xfId="0" applyFill="1" applyBorder="1" applyAlignment="1">
      <alignment horizontal="center" vertical="center"/>
    </xf>
    <xf numFmtId="0" fontId="0" fillId="0" borderId="2" xfId="0"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5" borderId="1" xfId="0" applyFill="1" applyBorder="1" applyAlignment="1">
      <alignment horizontal="center" vertical="center"/>
    </xf>
    <xf numFmtId="0" fontId="0" fillId="0" borderId="0" xfId="0" applyAlignment="1">
      <alignment horizontal="left" vertical="top"/>
    </xf>
    <xf numFmtId="0" fontId="0" fillId="0" borderId="1" xfId="0" applyBorder="1"/>
    <xf numFmtId="0" fontId="0" fillId="0" borderId="1" xfId="0" applyBorder="1" applyAlignment="1">
      <alignment horizontal="left" vertical="top" wrapText="1"/>
    </xf>
    <xf numFmtId="0" fontId="0" fillId="0" borderId="1" xfId="0" applyBorder="1" applyAlignment="1">
      <alignment wrapText="1"/>
    </xf>
    <xf numFmtId="0" fontId="0" fillId="0" borderId="1" xfId="0" applyBorder="1" applyAlignment="1"/>
    <xf numFmtId="0" fontId="0" fillId="0" borderId="3" xfId="0" applyFill="1" applyBorder="1" applyAlignment="1">
      <alignment horizontal="center" vertical="top"/>
    </xf>
    <xf numFmtId="0" fontId="0" fillId="0" borderId="1" xfId="0" applyBorder="1" applyAlignment="1">
      <alignment vertical="top" wrapText="1"/>
    </xf>
    <xf numFmtId="0" fontId="0" fillId="0" borderId="4" xfId="0" applyBorder="1"/>
    <xf numFmtId="0" fontId="0" fillId="0" borderId="3" xfId="0" applyFill="1" applyBorder="1"/>
    <xf numFmtId="0" fontId="0" fillId="0" borderId="1" xfId="0" applyFill="1" applyBorder="1"/>
    <xf numFmtId="0" fontId="0" fillId="0" borderId="1" xfId="0" applyFill="1" applyBorder="1" applyAlignment="1">
      <alignment horizontal="left" vertical="top"/>
    </xf>
    <xf numFmtId="0" fontId="0" fillId="0" borderId="4" xfId="0" applyBorder="1" applyAlignment="1">
      <alignment horizontal="left" vertical="top"/>
    </xf>
    <xf numFmtId="0" fontId="0" fillId="0" borderId="4" xfId="0" applyFill="1" applyBorder="1"/>
    <xf numFmtId="0" fontId="0" fillId="0" borderId="4" xfId="0" applyBorder="1" applyAlignment="1">
      <alignment vertical="top"/>
    </xf>
    <xf numFmtId="0" fontId="0" fillId="0" borderId="4" xfId="0" applyFill="1" applyBorder="1" applyAlignment="1">
      <alignment horizontal="left" vertical="top"/>
    </xf>
    <xf numFmtId="0" fontId="0" fillId="0" borderId="0" xfId="0" applyAlignment="1">
      <alignment horizontal="center"/>
    </xf>
    <xf numFmtId="0" fontId="2" fillId="0" borderId="0" xfId="6"/>
    <xf numFmtId="0" fontId="3" fillId="0" borderId="0" xfId="10"/>
    <xf numFmtId="0" fontId="1" fillId="0" borderId="1" xfId="10" applyFont="1" applyBorder="1" applyAlignment="1">
      <alignment horizontal="center" vertical="top" wrapText="1"/>
    </xf>
    <xf numFmtId="0" fontId="3" fillId="0" borderId="1" xfId="10" applyBorder="1" applyAlignment="1">
      <alignment horizontal="center" vertical="center"/>
    </xf>
    <xf numFmtId="0" fontId="3" fillId="0" borderId="1" xfId="10" applyBorder="1" applyAlignment="1">
      <alignment horizontal="left" vertical="center"/>
    </xf>
    <xf numFmtId="1" fontId="3" fillId="0" borderId="1" xfId="10" applyNumberFormat="1" applyBorder="1" applyAlignment="1">
      <alignment horizontal="center" vertical="center"/>
    </xf>
    <xf numFmtId="165" fontId="3" fillId="0" borderId="1" xfId="4" applyNumberFormat="1" applyFont="1" applyBorder="1" applyAlignment="1">
      <alignment horizontal="right" vertical="center"/>
    </xf>
    <xf numFmtId="0" fontId="3" fillId="0" borderId="1" xfId="10" applyBorder="1" applyAlignment="1">
      <alignment horizontal="left" vertical="center" wrapText="1"/>
    </xf>
    <xf numFmtId="0" fontId="1" fillId="0" borderId="1" xfId="10" applyFont="1" applyBorder="1" applyAlignment="1">
      <alignment horizontal="center" vertical="center"/>
    </xf>
    <xf numFmtId="1" fontId="4" fillId="0" borderId="1" xfId="10" applyNumberFormat="1" applyFont="1" applyBorder="1" applyAlignment="1">
      <alignment horizontal="center" vertical="center"/>
    </xf>
    <xf numFmtId="0" fontId="2" fillId="0" borderId="1" xfId="6" applyBorder="1" applyAlignment="1">
      <alignment horizontal="center" vertical="center"/>
    </xf>
    <xf numFmtId="0" fontId="5" fillId="0" borderId="0" xfId="6" applyFont="1"/>
    <xf numFmtId="0" fontId="6" fillId="0" borderId="0" xfId="8" applyFont="1"/>
    <xf numFmtId="0" fontId="7" fillId="0" borderId="0" xfId="8" applyFont="1"/>
    <xf numFmtId="0" fontId="8" fillId="0" borderId="0" xfId="8" applyFont="1"/>
    <xf numFmtId="0" fontId="9" fillId="0" borderId="0" xfId="5" applyFont="1"/>
    <xf numFmtId="0" fontId="10" fillId="0" borderId="0" xfId="0" applyFont="1" applyAlignment="1">
      <alignment horizontal="center" vertical="center"/>
    </xf>
    <xf numFmtId="0" fontId="10" fillId="0" borderId="0" xfId="8" applyFont="1" applyAlignment="1">
      <alignment horizontal="center" vertical="center"/>
    </xf>
    <xf numFmtId="0" fontId="10" fillId="0" borderId="0" xfId="8" applyFont="1" applyProtection="1">
      <protection locked="0"/>
    </xf>
    <xf numFmtId="0" fontId="10" fillId="0" borderId="0" xfId="8" applyFont="1"/>
    <xf numFmtId="0" fontId="9" fillId="0" borderId="1" xfId="8" applyFont="1" applyBorder="1" applyAlignment="1" applyProtection="1">
      <alignment vertical="top" wrapText="1"/>
      <protection locked="0"/>
    </xf>
    <xf numFmtId="0" fontId="12" fillId="0" borderId="1" xfId="8" applyFont="1" applyBorder="1" applyAlignment="1" applyProtection="1">
      <alignment vertical="top"/>
      <protection locked="0"/>
    </xf>
    <xf numFmtId="169" fontId="10" fillId="0" borderId="0" xfId="8" applyNumberFormat="1" applyFont="1"/>
    <xf numFmtId="1" fontId="10" fillId="0" borderId="0" xfId="8" applyNumberFormat="1" applyFont="1"/>
    <xf numFmtId="0" fontId="7" fillId="0" borderId="1" xfId="8" applyFont="1" applyBorder="1"/>
    <xf numFmtId="0" fontId="10" fillId="0" borderId="1" xfId="8" applyFont="1" applyBorder="1"/>
    <xf numFmtId="0" fontId="7" fillId="0" borderId="19" xfId="8" applyFont="1" applyBorder="1" applyAlignment="1" applyProtection="1">
      <alignment horizontal="center" vertical="top"/>
      <protection locked="0"/>
    </xf>
    <xf numFmtId="0" fontId="7" fillId="0" borderId="1" xfId="8" applyFont="1" applyBorder="1" applyAlignment="1" applyProtection="1">
      <alignment horizontal="center" vertical="top"/>
      <protection locked="0"/>
    </xf>
    <xf numFmtId="0" fontId="9" fillId="0" borderId="1" xfId="8" applyFont="1" applyBorder="1" applyAlignment="1" applyProtection="1">
      <alignment horizontal="center" vertical="top"/>
      <protection locked="0"/>
    </xf>
    <xf numFmtId="0" fontId="7" fillId="0" borderId="20" xfId="8" applyFont="1" applyBorder="1" applyAlignment="1" applyProtection="1">
      <alignment horizontal="center" vertical="top"/>
      <protection locked="0"/>
    </xf>
    <xf numFmtId="0" fontId="10" fillId="0" borderId="1" xfId="8" applyFont="1" applyBorder="1" applyAlignment="1" applyProtection="1">
      <alignment horizontal="center" vertical="top" wrapText="1"/>
      <protection locked="0"/>
    </xf>
    <xf numFmtId="9" fontId="10" fillId="0" borderId="1" xfId="2" applyFont="1" applyFill="1" applyBorder="1" applyAlignment="1" applyProtection="1">
      <alignment horizontal="center" vertical="top" wrapText="1"/>
      <protection locked="0"/>
    </xf>
    <xf numFmtId="0" fontId="10" fillId="0" borderId="25" xfId="8" applyFont="1" applyBorder="1" applyAlignment="1" applyProtection="1">
      <alignment horizontal="center" vertical="top" wrapText="1"/>
      <protection locked="0"/>
    </xf>
    <xf numFmtId="9" fontId="10" fillId="0" borderId="25" xfId="2" applyFont="1" applyFill="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wrapText="1"/>
      <protection locked="0"/>
    </xf>
    <xf numFmtId="14" fontId="10" fillId="0" borderId="0" xfId="8" applyNumberFormat="1" applyFont="1"/>
    <xf numFmtId="0" fontId="10" fillId="0" borderId="0" xfId="8" applyFont="1" applyProtection="1">
      <protection hidden="1"/>
    </xf>
    <xf numFmtId="0" fontId="17" fillId="0" borderId="0" xfId="8" applyFont="1"/>
    <xf numFmtId="0" fontId="18" fillId="2" borderId="29" xfId="0" applyFont="1" applyFill="1" applyBorder="1"/>
    <xf numFmtId="0" fontId="19" fillId="0" borderId="30" xfId="0" applyFont="1" applyBorder="1"/>
    <xf numFmtId="0" fontId="19" fillId="0" borderId="1" xfId="0" applyFont="1" applyBorder="1"/>
    <xf numFmtId="0" fontId="19" fillId="0" borderId="20" xfId="0" applyFont="1" applyBorder="1"/>
    <xf numFmtId="0" fontId="20" fillId="0" borderId="0" xfId="0" applyFont="1" applyProtection="1">
      <protection hidden="1"/>
    </xf>
    <xf numFmtId="0" fontId="10" fillId="0" borderId="23" xfId="8" applyFont="1" applyBorder="1"/>
    <xf numFmtId="0" fontId="20" fillId="0" borderId="23" xfId="0" applyFont="1" applyBorder="1" applyProtection="1">
      <protection hidden="1"/>
    </xf>
    <xf numFmtId="1" fontId="0" fillId="0" borderId="23" xfId="0" applyNumberFormat="1" applyBorder="1"/>
    <xf numFmtId="1" fontId="0" fillId="0" borderId="23" xfId="0" applyNumberFormat="1" applyBorder="1" applyAlignment="1">
      <alignment horizontal="right"/>
    </xf>
    <xf numFmtId="0" fontId="20" fillId="0" borderId="31" xfId="0" applyFont="1" applyBorder="1" applyProtection="1">
      <protection hidden="1"/>
    </xf>
    <xf numFmtId="1" fontId="0" fillId="0" borderId="28" xfId="0" applyNumberFormat="1" applyBorder="1"/>
    <xf numFmtId="171" fontId="10" fillId="0" borderId="1" xfId="0" applyNumberFormat="1" applyFont="1" applyBorder="1" applyAlignment="1">
      <alignment horizontal="center" vertical="center"/>
    </xf>
    <xf numFmtId="1" fontId="9" fillId="0" borderId="1" xfId="8" applyNumberFormat="1" applyFont="1" applyBorder="1" applyAlignment="1" applyProtection="1">
      <alignment horizontal="center" vertical="center" wrapText="1"/>
      <protection locked="0"/>
    </xf>
    <xf numFmtId="1" fontId="10" fillId="0" borderId="0" xfId="8" applyNumberFormat="1" applyFont="1" applyAlignment="1">
      <alignment horizontal="center" vertical="center"/>
    </xf>
    <xf numFmtId="0" fontId="16" fillId="0" borderId="0" xfId="8" applyFont="1" applyAlignment="1">
      <alignment horizontal="center" vertical="center"/>
    </xf>
    <xf numFmtId="0" fontId="12" fillId="0" borderId="0" xfId="8" applyFont="1" applyAlignment="1" applyProtection="1">
      <alignment vertical="top"/>
      <protection locked="0"/>
    </xf>
    <xf numFmtId="0" fontId="12" fillId="0" borderId="0" xfId="8" applyFont="1" applyAlignment="1" applyProtection="1">
      <alignment vertical="top" wrapText="1"/>
      <protection locked="0"/>
    </xf>
    <xf numFmtId="0" fontId="16" fillId="0" borderId="0" xfId="8" applyFont="1" applyProtection="1">
      <protection locked="0"/>
    </xf>
    <xf numFmtId="1" fontId="9" fillId="0" borderId="1" xfId="0" applyNumberFormat="1" applyFont="1" applyBorder="1" applyAlignment="1" applyProtection="1">
      <alignment horizontal="center" vertical="center" wrapText="1"/>
      <protection locked="0"/>
    </xf>
    <xf numFmtId="9" fontId="13" fillId="0" borderId="13" xfId="2" applyFont="1" applyFill="1" applyBorder="1" applyAlignment="1" applyProtection="1">
      <alignment horizontal="center" vertical="top" wrapText="1"/>
      <protection locked="0"/>
    </xf>
    <xf numFmtId="1" fontId="7" fillId="0" borderId="1" xfId="8" applyNumberFormat="1" applyFont="1" applyBorder="1" applyAlignment="1" applyProtection="1">
      <alignment horizontal="center" vertical="center" wrapText="1"/>
      <protection locked="0"/>
    </xf>
    <xf numFmtId="1" fontId="7" fillId="0" borderId="1" xfId="8" applyNumberFormat="1" applyFont="1" applyFill="1" applyBorder="1" applyAlignment="1" applyProtection="1">
      <alignment horizontal="center" vertical="center" wrapText="1"/>
      <protection locked="0"/>
    </xf>
    <xf numFmtId="0" fontId="6" fillId="0" borderId="0" xfId="0" applyFont="1" applyAlignment="1">
      <alignment horizontal="center" vertical="center"/>
    </xf>
    <xf numFmtId="0" fontId="7" fillId="0" borderId="1" xfId="8" applyFont="1" applyBorder="1" applyAlignment="1" applyProtection="1">
      <alignment horizontal="center" vertical="top" wrapText="1"/>
      <protection locked="0"/>
    </xf>
    <xf numFmtId="0" fontId="10" fillId="0" borderId="0" xfId="8" applyFont="1" applyAlignment="1">
      <alignment horizontal="center" vertical="center"/>
    </xf>
    <xf numFmtId="1" fontId="9" fillId="0" borderId="1" xfId="0" applyNumberFormat="1" applyFont="1" applyBorder="1" applyAlignment="1" applyProtection="1">
      <alignment horizontal="center" vertical="center" wrapText="1"/>
      <protection locked="0"/>
    </xf>
    <xf numFmtId="1" fontId="13" fillId="0" borderId="12" xfId="8" applyNumberFormat="1" applyFont="1" applyBorder="1" applyAlignment="1" applyProtection="1">
      <alignment horizontal="center" vertical="top" wrapText="1"/>
      <protection locked="0"/>
    </xf>
    <xf numFmtId="1" fontId="9" fillId="0" borderId="1" xfId="8" applyNumberFormat="1" applyFont="1" applyBorder="1" applyAlignment="1" applyProtection="1">
      <alignment horizontal="center" vertical="center" wrapText="1"/>
      <protection locked="0"/>
    </xf>
    <xf numFmtId="0" fontId="14" fillId="0" borderId="0" xfId="3"/>
    <xf numFmtId="0" fontId="10" fillId="0" borderId="0" xfId="8" applyFont="1" applyAlignment="1">
      <alignment horizontal="center" vertical="center"/>
    </xf>
    <xf numFmtId="1" fontId="10" fillId="0" borderId="1" xfId="8" applyNumberFormat="1" applyFont="1" applyBorder="1" applyAlignment="1">
      <alignment horizontal="center" vertical="center"/>
    </xf>
    <xf numFmtId="172" fontId="10" fillId="0" borderId="0" xfId="8" applyNumberFormat="1" applyFont="1" applyAlignment="1">
      <alignment horizontal="center" vertical="center"/>
    </xf>
    <xf numFmtId="2" fontId="10" fillId="0" borderId="0" xfId="8" applyNumberFormat="1" applyFont="1" applyAlignment="1">
      <alignment horizontal="center" vertical="center"/>
    </xf>
    <xf numFmtId="1" fontId="10" fillId="0" borderId="1" xfId="8" applyNumberFormat="1" applyFont="1" applyBorder="1" applyAlignment="1" applyProtection="1">
      <alignment horizontal="center" vertical="top" wrapText="1"/>
      <protection locked="0"/>
    </xf>
    <xf numFmtId="0" fontId="10" fillId="0" borderId="0" xfId="8" applyFont="1" applyAlignment="1">
      <alignment horizontal="center" vertical="center"/>
    </xf>
    <xf numFmtId="1" fontId="9" fillId="0" borderId="4" xfId="8" applyNumberFormat="1" applyFont="1" applyBorder="1" applyAlignment="1" applyProtection="1">
      <alignment horizontal="center" vertical="center" wrapText="1"/>
      <protection locked="0"/>
    </xf>
    <xf numFmtId="1" fontId="9" fillId="0" borderId="6" xfId="8" applyNumberFormat="1" applyFont="1" applyBorder="1" applyAlignment="1" applyProtection="1">
      <alignment horizontal="center" vertical="center" wrapText="1"/>
      <protection locked="0"/>
    </xf>
    <xf numFmtId="1" fontId="9" fillId="0" borderId="7" xfId="8" applyNumberFormat="1" applyFont="1" applyBorder="1" applyAlignment="1" applyProtection="1">
      <alignment horizontal="center" vertical="center" wrapText="1"/>
      <protection locked="0"/>
    </xf>
    <xf numFmtId="1" fontId="9" fillId="0" borderId="11" xfId="8" applyNumberFormat="1" applyFont="1" applyBorder="1" applyAlignment="1" applyProtection="1">
      <alignment horizontal="center" vertical="center" wrapText="1"/>
      <protection locked="0"/>
    </xf>
    <xf numFmtId="1" fontId="9" fillId="0" borderId="8" xfId="8" applyNumberFormat="1" applyFont="1" applyBorder="1" applyAlignment="1" applyProtection="1">
      <alignment horizontal="center" vertical="center" wrapText="1"/>
      <protection locked="0"/>
    </xf>
    <xf numFmtId="1" fontId="9" fillId="0" borderId="3" xfId="8" applyNumberFormat="1" applyFont="1" applyBorder="1" applyAlignment="1" applyProtection="1">
      <alignment horizontal="center" vertical="center" wrapText="1"/>
      <protection locked="0"/>
    </xf>
    <xf numFmtId="1" fontId="9" fillId="0" borderId="0" xfId="8" applyNumberFormat="1" applyFont="1" applyBorder="1" applyAlignment="1" applyProtection="1">
      <alignment horizontal="center" vertical="center" wrapText="1"/>
      <protection locked="0"/>
    </xf>
    <xf numFmtId="1" fontId="9" fillId="0" borderId="22" xfId="8" applyNumberFormat="1" applyFont="1" applyBorder="1" applyAlignment="1" applyProtection="1">
      <alignment horizontal="center" vertical="center" wrapText="1"/>
      <protection locked="0"/>
    </xf>
    <xf numFmtId="1" fontId="12" fillId="0" borderId="4" xfId="8" applyNumberFormat="1" applyFont="1" applyBorder="1" applyAlignment="1" applyProtection="1">
      <alignment horizontal="center" vertical="center" wrapText="1"/>
      <protection locked="0"/>
    </xf>
    <xf numFmtId="1" fontId="12" fillId="0" borderId="5" xfId="8" applyNumberFormat="1" applyFont="1" applyBorder="1" applyAlignment="1" applyProtection="1">
      <alignment horizontal="center" vertical="center" wrapText="1"/>
      <protection locked="0"/>
    </xf>
    <xf numFmtId="1" fontId="12" fillId="0" borderId="6" xfId="8" applyNumberFormat="1" applyFont="1" applyBorder="1" applyAlignment="1" applyProtection="1">
      <alignment horizontal="center" vertical="center" wrapText="1"/>
      <protection locked="0"/>
    </xf>
    <xf numFmtId="1" fontId="9" fillId="0" borderId="9" xfId="8" applyNumberFormat="1" applyFont="1" applyBorder="1" applyAlignment="1" applyProtection="1">
      <alignment horizontal="center" vertical="center" wrapText="1"/>
      <protection locked="0"/>
    </xf>
    <xf numFmtId="1" fontId="9" fillId="0" borderId="2" xfId="8" applyNumberFormat="1" applyFont="1" applyBorder="1" applyAlignment="1" applyProtection="1">
      <alignment horizontal="center" vertical="center" wrapText="1"/>
      <protection locked="0"/>
    </xf>
    <xf numFmtId="1" fontId="9" fillId="0" borderId="10" xfId="8" applyNumberFormat="1" applyFont="1" applyBorder="1" applyAlignment="1" applyProtection="1">
      <alignment horizontal="center" vertical="center" wrapText="1"/>
      <protection locked="0"/>
    </xf>
    <xf numFmtId="0" fontId="13" fillId="0" borderId="4" xfId="8" applyFont="1" applyBorder="1" applyAlignment="1" applyProtection="1">
      <alignment horizontal="center" vertical="top"/>
      <protection locked="0"/>
    </xf>
    <xf numFmtId="0" fontId="13" fillId="0" borderId="5" xfId="8" applyFont="1" applyBorder="1" applyAlignment="1" applyProtection="1">
      <alignment horizontal="center" vertical="top"/>
      <protection locked="0"/>
    </xf>
    <xf numFmtId="0" fontId="13" fillId="0" borderId="6" xfId="8" applyFont="1" applyBorder="1" applyAlignment="1" applyProtection="1">
      <alignment horizontal="center" vertical="top"/>
      <protection locked="0"/>
    </xf>
    <xf numFmtId="0" fontId="7" fillId="0" borderId="4" xfId="8" applyFont="1" applyBorder="1" applyAlignment="1" applyProtection="1">
      <alignment horizontal="center" vertical="top"/>
      <protection locked="0"/>
    </xf>
    <xf numFmtId="0" fontId="7" fillId="0" borderId="5" xfId="8" applyFont="1" applyBorder="1" applyAlignment="1" applyProtection="1">
      <alignment horizontal="center" vertical="top"/>
      <protection locked="0"/>
    </xf>
    <xf numFmtId="0" fontId="7" fillId="0" borderId="6" xfId="8" applyFont="1" applyBorder="1" applyAlignment="1" applyProtection="1">
      <alignment horizontal="center" vertical="top"/>
      <protection locked="0"/>
    </xf>
    <xf numFmtId="0" fontId="13" fillId="0" borderId="1" xfId="8" applyFont="1" applyBorder="1" applyAlignment="1" applyProtection="1">
      <alignment horizontal="center" vertical="top" wrapText="1"/>
      <protection locked="0"/>
    </xf>
    <xf numFmtId="0" fontId="7" fillId="0" borderId="7" xfId="8" applyFont="1" applyBorder="1" applyAlignment="1" applyProtection="1">
      <alignment horizontal="left" vertical="top" wrapText="1"/>
      <protection locked="0"/>
    </xf>
    <xf numFmtId="0" fontId="7" fillId="0" borderId="8" xfId="8" applyFont="1" applyBorder="1" applyAlignment="1" applyProtection="1">
      <alignment horizontal="left" vertical="top" wrapText="1"/>
      <protection locked="0"/>
    </xf>
    <xf numFmtId="0" fontId="7" fillId="0" borderId="9" xfId="8" applyFont="1" applyBorder="1" applyAlignment="1" applyProtection="1">
      <alignment horizontal="left" vertical="top" wrapText="1"/>
      <protection locked="0"/>
    </xf>
    <xf numFmtId="0" fontId="7" fillId="0" borderId="10" xfId="8" applyFont="1" applyBorder="1" applyAlignment="1" applyProtection="1">
      <alignment horizontal="left" vertical="top" wrapText="1"/>
      <protection locked="0"/>
    </xf>
    <xf numFmtId="0" fontId="6" fillId="0" borderId="7" xfId="8" applyFont="1" applyBorder="1" applyAlignment="1" applyProtection="1">
      <alignment horizontal="left" vertical="top" wrapText="1"/>
      <protection locked="0"/>
    </xf>
    <xf numFmtId="0" fontId="6" fillId="0" borderId="8" xfId="8" applyFont="1" applyBorder="1" applyAlignment="1" applyProtection="1">
      <alignment horizontal="left" vertical="top" wrapText="1"/>
      <protection locked="0"/>
    </xf>
    <xf numFmtId="0" fontId="6" fillId="0" borderId="9" xfId="8" applyFont="1" applyBorder="1" applyAlignment="1" applyProtection="1">
      <alignment horizontal="left" vertical="top" wrapText="1"/>
      <protection locked="0"/>
    </xf>
    <xf numFmtId="0" fontId="6" fillId="0" borderId="10" xfId="8" applyFont="1" applyBorder="1" applyAlignment="1" applyProtection="1">
      <alignment horizontal="left" vertical="top" wrapText="1"/>
      <protection locked="0"/>
    </xf>
    <xf numFmtId="0" fontId="9" fillId="0" borderId="1" xfId="8" applyFont="1" applyBorder="1" applyAlignment="1" applyProtection="1">
      <alignment horizontal="left" vertical="top" wrapText="1"/>
      <protection locked="0"/>
    </xf>
    <xf numFmtId="0" fontId="7" fillId="0" borderId="1" xfId="8" applyFont="1" applyBorder="1" applyAlignment="1" applyProtection="1">
      <alignment horizontal="left" vertical="top"/>
      <protection locked="0"/>
    </xf>
    <xf numFmtId="0" fontId="9" fillId="0" borderId="7" xfId="8" applyFont="1" applyBorder="1" applyAlignment="1" applyProtection="1">
      <alignment horizontal="left" vertical="top" wrapText="1"/>
      <protection locked="0"/>
    </xf>
    <xf numFmtId="0" fontId="9" fillId="0" borderId="8" xfId="8" applyFont="1" applyBorder="1" applyAlignment="1" applyProtection="1">
      <alignment horizontal="left" vertical="top" wrapText="1"/>
      <protection locked="0"/>
    </xf>
    <xf numFmtId="0" fontId="9" fillId="0" borderId="9" xfId="8" applyFont="1" applyBorder="1" applyAlignment="1" applyProtection="1">
      <alignment horizontal="left" vertical="top" wrapText="1"/>
      <protection locked="0"/>
    </xf>
    <xf numFmtId="0" fontId="9" fillId="0" borderId="10" xfId="8" applyFont="1" applyBorder="1" applyAlignment="1" applyProtection="1">
      <alignment horizontal="left" vertical="top" wrapText="1"/>
      <protection locked="0"/>
    </xf>
    <xf numFmtId="0" fontId="7" fillId="0" borderId="11" xfId="8" applyFont="1" applyBorder="1" applyAlignment="1" applyProtection="1">
      <alignment horizontal="left" vertical="top" wrapText="1"/>
      <protection locked="0"/>
    </xf>
    <xf numFmtId="0" fontId="7" fillId="0" borderId="3" xfId="8" applyFont="1" applyBorder="1" applyAlignment="1" applyProtection="1">
      <alignment horizontal="left" vertical="top" wrapText="1"/>
      <protection locked="0"/>
    </xf>
    <xf numFmtId="0" fontId="7" fillId="0" borderId="0" xfId="8" applyFont="1" applyAlignment="1" applyProtection="1">
      <alignment horizontal="left" vertical="top" wrapText="1"/>
      <protection locked="0"/>
    </xf>
    <xf numFmtId="9" fontId="10" fillId="0" borderId="7" xfId="2" applyFont="1" applyFill="1" applyBorder="1" applyAlignment="1" applyProtection="1">
      <alignment horizontal="center" vertical="center" wrapText="1"/>
      <protection locked="0"/>
    </xf>
    <xf numFmtId="9" fontId="10" fillId="0" borderId="8" xfId="2" applyFont="1" applyFill="1" applyBorder="1" applyAlignment="1" applyProtection="1">
      <alignment horizontal="center" vertical="center" wrapText="1"/>
      <protection locked="0"/>
    </xf>
    <xf numFmtId="9" fontId="10" fillId="0" borderId="3" xfId="2" applyFont="1" applyFill="1" applyBorder="1" applyAlignment="1" applyProtection="1">
      <alignment horizontal="center" vertical="center" wrapText="1"/>
      <protection locked="0"/>
    </xf>
    <xf numFmtId="9" fontId="10" fillId="0" borderId="22" xfId="2" applyFont="1" applyFill="1" applyBorder="1" applyAlignment="1" applyProtection="1">
      <alignment horizontal="center" vertical="center" wrapText="1"/>
      <protection locked="0"/>
    </xf>
    <xf numFmtId="9" fontId="10" fillId="0" borderId="26" xfId="2" applyFont="1" applyFill="1" applyBorder="1" applyAlignment="1" applyProtection="1">
      <alignment horizontal="center" vertical="center" wrapText="1"/>
      <protection locked="0"/>
    </xf>
    <xf numFmtId="9" fontId="10" fillId="0" borderId="27" xfId="2" applyFont="1" applyFill="1" applyBorder="1" applyAlignment="1" applyProtection="1">
      <alignment horizontal="center" vertical="center" wrapText="1"/>
      <protection locked="0"/>
    </xf>
    <xf numFmtId="9" fontId="10" fillId="0" borderId="21" xfId="2" applyFont="1" applyFill="1" applyBorder="1" applyAlignment="1" applyProtection="1">
      <alignment horizontal="center" vertical="center" wrapText="1"/>
      <protection locked="0"/>
    </xf>
    <xf numFmtId="9" fontId="10" fillId="0" borderId="23" xfId="2" applyFont="1" applyFill="1" applyBorder="1" applyAlignment="1" applyProtection="1">
      <alignment horizontal="center" vertical="center" wrapText="1"/>
      <protection locked="0"/>
    </xf>
    <xf numFmtId="9" fontId="10" fillId="0" borderId="28" xfId="2" applyFont="1" applyFill="1" applyBorder="1" applyAlignment="1" applyProtection="1">
      <alignment horizontal="center" vertical="center" wrapText="1"/>
      <protection locked="0"/>
    </xf>
    <xf numFmtId="0" fontId="9" fillId="0" borderId="1" xfId="8" applyFont="1" applyBorder="1" applyAlignment="1" applyProtection="1">
      <alignment horizontal="left" vertical="top"/>
      <protection locked="0"/>
    </xf>
    <xf numFmtId="0" fontId="21" fillId="0" borderId="1" xfId="8" applyFont="1" applyBorder="1" applyAlignment="1" applyProtection="1">
      <alignment horizontal="center" vertical="top" wrapText="1"/>
      <protection locked="0"/>
    </xf>
    <xf numFmtId="1" fontId="13" fillId="0" borderId="12" xfId="8" applyNumberFormat="1" applyFont="1" applyBorder="1" applyAlignment="1" applyProtection="1">
      <alignment horizontal="center" vertical="top" wrapText="1"/>
      <protection locked="0"/>
    </xf>
    <xf numFmtId="1" fontId="13" fillId="0" borderId="13" xfId="8" applyNumberFormat="1" applyFont="1" applyBorder="1" applyAlignment="1" applyProtection="1">
      <alignment horizontal="center" vertical="top" wrapText="1"/>
      <protection locked="0"/>
    </xf>
    <xf numFmtId="1" fontId="13" fillId="0" borderId="7" xfId="8" applyNumberFormat="1" applyFont="1" applyBorder="1" applyAlignment="1" applyProtection="1">
      <alignment horizontal="center" vertical="top" wrapText="1"/>
      <protection locked="0"/>
    </xf>
    <xf numFmtId="1" fontId="13" fillId="0" borderId="9" xfId="8" applyNumberFormat="1" applyFont="1" applyBorder="1" applyAlignment="1" applyProtection="1">
      <alignment horizontal="center" vertical="top" wrapText="1"/>
      <protection locked="0"/>
    </xf>
    <xf numFmtId="0" fontId="9" fillId="0" borderId="1" xfId="8" applyFont="1" applyBorder="1" applyAlignment="1" applyProtection="1">
      <alignment vertical="top"/>
      <protection locked="0"/>
    </xf>
    <xf numFmtId="1" fontId="12" fillId="0" borderId="1" xfId="0" applyNumberFormat="1" applyFont="1" applyBorder="1" applyAlignment="1" applyProtection="1">
      <alignment horizontal="left" vertical="top" wrapText="1"/>
      <protection locked="0"/>
    </xf>
    <xf numFmtId="1" fontId="13" fillId="0" borderId="4" xfId="0" applyNumberFormat="1" applyFont="1" applyBorder="1" applyAlignment="1" applyProtection="1">
      <alignment vertical="top" wrapText="1"/>
      <protection locked="0"/>
    </xf>
    <xf numFmtId="1" fontId="13" fillId="0" borderId="5" xfId="0" applyNumberFormat="1" applyFont="1" applyBorder="1" applyAlignment="1" applyProtection="1">
      <alignment vertical="top" wrapText="1"/>
      <protection locked="0"/>
    </xf>
    <xf numFmtId="1" fontId="13" fillId="0" borderId="6" xfId="0" applyNumberFormat="1" applyFont="1" applyBorder="1" applyAlignment="1" applyProtection="1">
      <alignment vertical="top" wrapText="1"/>
      <protection locked="0"/>
    </xf>
    <xf numFmtId="1" fontId="12" fillId="0" borderId="4" xfId="0" applyNumberFormat="1" applyFont="1" applyBorder="1" applyAlignment="1" applyProtection="1">
      <alignment vertical="top" wrapText="1"/>
      <protection locked="0"/>
    </xf>
    <xf numFmtId="1" fontId="12" fillId="0" borderId="5" xfId="0" applyNumberFormat="1" applyFont="1" applyBorder="1" applyAlignment="1" applyProtection="1">
      <alignment vertical="top" wrapText="1"/>
      <protection locked="0"/>
    </xf>
    <xf numFmtId="1" fontId="12" fillId="0" borderId="6" xfId="0" applyNumberFormat="1" applyFont="1" applyBorder="1" applyAlignment="1" applyProtection="1">
      <alignment vertical="top" wrapText="1"/>
      <protection locked="0"/>
    </xf>
    <xf numFmtId="1" fontId="15" fillId="0" borderId="4" xfId="0" applyNumberFormat="1" applyFont="1" applyBorder="1" applyAlignment="1" applyProtection="1">
      <alignment vertical="top" wrapText="1"/>
      <protection locked="0"/>
    </xf>
    <xf numFmtId="1" fontId="15" fillId="0" borderId="5" xfId="0" applyNumberFormat="1" applyFont="1" applyBorder="1" applyAlignment="1" applyProtection="1">
      <alignment vertical="top" wrapText="1"/>
      <protection locked="0"/>
    </xf>
    <xf numFmtId="1" fontId="15" fillId="0" borderId="6" xfId="0" applyNumberFormat="1" applyFont="1" applyBorder="1" applyAlignment="1" applyProtection="1">
      <alignment vertical="top" wrapText="1"/>
      <protection locked="0"/>
    </xf>
    <xf numFmtId="0" fontId="12" fillId="0" borderId="1" xfId="8" applyFont="1" applyBorder="1" applyAlignment="1" applyProtection="1">
      <alignment vertical="top"/>
      <protection locked="0"/>
    </xf>
    <xf numFmtId="1" fontId="9" fillId="0" borderId="5" xfId="8" applyNumberFormat="1" applyFont="1" applyBorder="1" applyAlignment="1" applyProtection="1">
      <alignment horizontal="center" vertical="center" wrapText="1"/>
      <protection locked="0"/>
    </xf>
    <xf numFmtId="1" fontId="12" fillId="0" borderId="1" xfId="8" applyNumberFormat="1" applyFont="1" applyBorder="1" applyAlignment="1" applyProtection="1">
      <alignment horizontal="center" vertical="center" wrapText="1"/>
      <protection locked="0"/>
    </xf>
    <xf numFmtId="1" fontId="7" fillId="0" borderId="4" xfId="8" applyNumberFormat="1" applyFont="1" applyBorder="1" applyAlignment="1" applyProtection="1">
      <alignment horizontal="center" vertical="center" wrapText="1"/>
      <protection locked="0"/>
    </xf>
    <xf numFmtId="1" fontId="7" fillId="0" borderId="6" xfId="8" applyNumberFormat="1" applyFont="1" applyBorder="1" applyAlignment="1" applyProtection="1">
      <alignment horizontal="center" vertical="center" wrapText="1"/>
      <protection locked="0"/>
    </xf>
    <xf numFmtId="1" fontId="7" fillId="0" borderId="5" xfId="8" applyNumberFormat="1" applyFont="1" applyBorder="1" applyAlignment="1" applyProtection="1">
      <alignment horizontal="center" vertical="center" wrapText="1"/>
      <protection locked="0"/>
    </xf>
    <xf numFmtId="1" fontId="13" fillId="0" borderId="4" xfId="8" applyNumberFormat="1" applyFont="1" applyBorder="1" applyAlignment="1" applyProtection="1">
      <alignment horizontal="center" vertical="center" wrapText="1"/>
      <protection locked="0"/>
    </xf>
    <xf numFmtId="1" fontId="13" fillId="0" borderId="5" xfId="8" applyNumberFormat="1" applyFont="1" applyBorder="1" applyAlignment="1" applyProtection="1">
      <alignment horizontal="center" vertical="center" wrapText="1"/>
      <protection locked="0"/>
    </xf>
    <xf numFmtId="1" fontId="13" fillId="0" borderId="6" xfId="8" applyNumberFormat="1" applyFont="1" applyBorder="1" applyAlignment="1" applyProtection="1">
      <alignment horizontal="center" vertical="center" wrapText="1"/>
      <protection locked="0"/>
    </xf>
    <xf numFmtId="1" fontId="27" fillId="0" borderId="12" xfId="8" applyNumberFormat="1" applyFont="1" applyBorder="1" applyAlignment="1" applyProtection="1">
      <alignment horizontal="center" vertical="top" wrapText="1"/>
      <protection locked="0"/>
    </xf>
    <xf numFmtId="1" fontId="27" fillId="0" borderId="13" xfId="8" applyNumberFormat="1" applyFont="1" applyBorder="1" applyAlignment="1" applyProtection="1">
      <alignment horizontal="center" vertical="top" wrapText="1"/>
      <protection locked="0"/>
    </xf>
    <xf numFmtId="0" fontId="13" fillId="0" borderId="1" xfId="8" applyFont="1" applyBorder="1" applyAlignment="1" applyProtection="1">
      <alignment horizontal="center" vertical="top"/>
      <protection locked="0"/>
    </xf>
    <xf numFmtId="1" fontId="9" fillId="0" borderId="1" xfId="0" applyNumberFormat="1" applyFont="1" applyBorder="1" applyAlignment="1" applyProtection="1">
      <alignment horizontal="center" vertical="center" wrapText="1"/>
      <protection locked="0"/>
    </xf>
    <xf numFmtId="171" fontId="10"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1" fontId="12" fillId="0" borderId="12" xfId="0" applyNumberFormat="1" applyFont="1" applyBorder="1" applyAlignment="1" applyProtection="1">
      <alignment horizontal="center" vertical="center" wrapText="1"/>
      <protection locked="0"/>
    </xf>
    <xf numFmtId="171" fontId="16" fillId="0" borderId="12" xfId="0" applyNumberFormat="1" applyFont="1" applyBorder="1" applyAlignment="1" applyProtection="1">
      <alignment horizontal="center" vertical="center"/>
      <protection locked="0"/>
    </xf>
    <xf numFmtId="0" fontId="16" fillId="0" borderId="12" xfId="0" applyFont="1" applyBorder="1" applyAlignment="1" applyProtection="1">
      <alignment horizontal="center" vertical="center"/>
      <protection locked="0"/>
    </xf>
    <xf numFmtId="1" fontId="12" fillId="0" borderId="32" xfId="0" applyNumberFormat="1" applyFont="1" applyBorder="1" applyAlignment="1" applyProtection="1">
      <alignment horizontal="center" vertical="center" wrapText="1"/>
      <protection locked="0"/>
    </xf>
    <xf numFmtId="1" fontId="12" fillId="0" borderId="33" xfId="0" applyNumberFormat="1" applyFont="1" applyBorder="1" applyAlignment="1" applyProtection="1">
      <alignment horizontal="center" vertical="center" wrapText="1"/>
      <protection locked="0"/>
    </xf>
    <xf numFmtId="171" fontId="16" fillId="0" borderId="33" xfId="0" applyNumberFormat="1" applyFont="1" applyBorder="1" applyAlignment="1" applyProtection="1">
      <alignment horizontal="center" vertical="center"/>
      <protection locked="0"/>
    </xf>
    <xf numFmtId="171" fontId="16" fillId="0" borderId="33" xfId="0" applyNumberFormat="1" applyFont="1" applyBorder="1" applyAlignment="1" applyProtection="1">
      <alignment horizontal="center" vertical="top" wrapText="1"/>
      <protection locked="0"/>
    </xf>
    <xf numFmtId="1" fontId="12" fillId="0" borderId="33" xfId="0" applyNumberFormat="1" applyFont="1" applyBorder="1" applyAlignment="1" applyProtection="1">
      <alignment horizontal="center" vertical="top" wrapText="1"/>
      <protection locked="0"/>
    </xf>
    <xf numFmtId="1" fontId="12" fillId="0" borderId="34" xfId="0" applyNumberFormat="1" applyFont="1" applyBorder="1" applyAlignment="1" applyProtection="1">
      <alignment horizontal="center" vertical="top" wrapText="1"/>
      <protection locked="0"/>
    </xf>
    <xf numFmtId="1" fontId="12" fillId="0" borderId="1" xfId="0" applyNumberFormat="1" applyFont="1" applyBorder="1" applyAlignment="1" applyProtection="1">
      <alignment horizontal="center" vertical="center" wrapText="1"/>
      <protection locked="0"/>
    </xf>
    <xf numFmtId="1" fontId="12" fillId="0" borderId="1" xfId="0" applyNumberFormat="1" applyFont="1" applyBorder="1" applyAlignment="1" applyProtection="1">
      <alignment horizontal="center" vertical="top" wrapText="1"/>
      <protection locked="0"/>
    </xf>
    <xf numFmtId="0" fontId="16" fillId="0" borderId="1" xfId="0" applyFont="1" applyBorder="1" applyAlignment="1" applyProtection="1">
      <alignment horizontal="center" vertical="center"/>
      <protection locked="0"/>
    </xf>
    <xf numFmtId="0" fontId="16" fillId="0" borderId="1" xfId="0"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top" wrapText="1"/>
      <protection locked="0"/>
    </xf>
    <xf numFmtId="0" fontId="12" fillId="0" borderId="1" xfId="8" applyFont="1" applyBorder="1" applyAlignment="1" applyProtection="1">
      <alignment horizontal="left" vertical="top"/>
      <protection locked="0"/>
    </xf>
    <xf numFmtId="170" fontId="7" fillId="0" borderId="1" xfId="1" applyNumberFormat="1" applyFont="1" applyFill="1" applyBorder="1" applyAlignment="1" applyProtection="1">
      <alignment horizontal="left" vertical="top"/>
      <protection locked="0"/>
    </xf>
    <xf numFmtId="0" fontId="10" fillId="0" borderId="19" xfId="8" applyFont="1" applyBorder="1" applyAlignment="1" applyProtection="1">
      <alignment horizontal="center" vertical="top" wrapText="1"/>
      <protection locked="0"/>
    </xf>
    <xf numFmtId="0" fontId="10" fillId="0" borderId="1" xfId="8" applyFont="1" applyBorder="1" applyAlignment="1" applyProtection="1">
      <alignment horizontal="center" vertical="top" wrapText="1"/>
      <protection locked="0"/>
    </xf>
    <xf numFmtId="0" fontId="10" fillId="0" borderId="24" xfId="8" applyFont="1" applyBorder="1" applyAlignment="1" applyProtection="1">
      <alignment horizontal="center" vertical="top" wrapText="1"/>
      <protection locked="0"/>
    </xf>
    <xf numFmtId="0" fontId="10" fillId="0" borderId="25" xfId="8" applyFont="1" applyBorder="1" applyAlignment="1" applyProtection="1">
      <alignment horizontal="center" vertical="top" wrapText="1"/>
      <protection locked="0"/>
    </xf>
    <xf numFmtId="0" fontId="12" fillId="0" borderId="13" xfId="8" applyFont="1" applyBorder="1" applyAlignment="1" applyProtection="1">
      <alignment horizontal="left" vertical="top"/>
      <protection locked="0"/>
    </xf>
    <xf numFmtId="0" fontId="12" fillId="0" borderId="13" xfId="8" applyFont="1" applyBorder="1" applyAlignment="1" applyProtection="1">
      <alignment horizontal="center" vertical="top"/>
      <protection locked="0"/>
    </xf>
    <xf numFmtId="0" fontId="12" fillId="0" borderId="16" xfId="8" applyFont="1" applyBorder="1" applyAlignment="1" applyProtection="1">
      <alignment horizontal="left" vertical="top" wrapText="1"/>
      <protection locked="0"/>
    </xf>
    <xf numFmtId="0" fontId="12" fillId="0" borderId="17" xfId="8" applyFont="1" applyBorder="1" applyAlignment="1" applyProtection="1">
      <alignment horizontal="left" vertical="top" wrapText="1"/>
      <protection locked="0"/>
    </xf>
    <xf numFmtId="0" fontId="12" fillId="0" borderId="18" xfId="8" applyFont="1" applyBorder="1" applyAlignment="1" applyProtection="1">
      <alignment horizontal="left" vertical="top" wrapText="1"/>
      <protection locked="0"/>
    </xf>
    <xf numFmtId="0" fontId="13" fillId="0" borderId="19" xfId="8" applyFont="1" applyBorder="1" applyAlignment="1" applyProtection="1">
      <alignment horizontal="left" vertical="top"/>
      <protection locked="0"/>
    </xf>
    <xf numFmtId="0" fontId="13" fillId="0" borderId="1" xfId="8" applyFont="1" applyBorder="1" applyAlignment="1" applyProtection="1">
      <alignment horizontal="left" vertical="top"/>
      <protection locked="0"/>
    </xf>
    <xf numFmtId="0" fontId="13" fillId="0" borderId="1" xfId="8" applyFont="1" applyBorder="1" applyAlignment="1" applyProtection="1">
      <alignment horizontal="left" vertical="top" wrapText="1"/>
      <protection locked="0"/>
    </xf>
    <xf numFmtId="0" fontId="13" fillId="0" borderId="20" xfId="8" applyFont="1" applyBorder="1" applyAlignment="1" applyProtection="1">
      <alignment horizontal="left" vertical="top" wrapText="1"/>
      <protection locked="0"/>
    </xf>
    <xf numFmtId="0" fontId="10" fillId="0" borderId="20" xfId="8" applyFont="1" applyBorder="1" applyAlignment="1" applyProtection="1">
      <alignment horizontal="center" vertical="top" wrapText="1"/>
      <protection locked="0"/>
    </xf>
    <xf numFmtId="0" fontId="12" fillId="0" borderId="14" xfId="8" applyFont="1" applyBorder="1" applyAlignment="1" applyProtection="1">
      <alignment horizontal="left" vertical="top" wrapText="1"/>
      <protection locked="0"/>
    </xf>
    <xf numFmtId="0" fontId="12" fillId="0" borderId="15" xfId="8" applyFont="1" applyBorder="1" applyAlignment="1" applyProtection="1">
      <alignment horizontal="left" vertical="top" wrapText="1"/>
      <protection locked="0"/>
    </xf>
    <xf numFmtId="0" fontId="7" fillId="0" borderId="1" xfId="8" applyFont="1" applyBorder="1" applyAlignment="1" applyProtection="1">
      <alignment horizontal="left" vertical="top" wrapText="1"/>
      <protection locked="0"/>
    </xf>
    <xf numFmtId="0" fontId="9" fillId="0" borderId="12" xfId="8" applyFont="1" applyBorder="1" applyAlignment="1" applyProtection="1">
      <alignment horizontal="left" vertical="top"/>
      <protection locked="0"/>
    </xf>
    <xf numFmtId="0" fontId="7" fillId="0" borderId="12" xfId="8" applyFont="1" applyBorder="1" applyAlignment="1" applyProtection="1">
      <alignment horizontal="left" vertical="top" wrapText="1"/>
      <protection locked="0"/>
    </xf>
    <xf numFmtId="0" fontId="9" fillId="0" borderId="12" xfId="8" applyFont="1" applyBorder="1" applyAlignment="1" applyProtection="1">
      <alignment horizontal="left" vertical="top" wrapText="1"/>
      <protection locked="0"/>
    </xf>
    <xf numFmtId="0" fontId="7" fillId="0" borderId="1" xfId="8" applyFont="1" applyFill="1" applyBorder="1" applyAlignment="1" applyProtection="1">
      <alignment horizontal="left" vertical="top" wrapText="1"/>
      <protection locked="0"/>
    </xf>
    <xf numFmtId="0" fontId="7" fillId="0" borderId="1" xfId="8" applyFont="1" applyFill="1" applyBorder="1" applyAlignment="1" applyProtection="1">
      <alignment horizontal="left" vertical="top"/>
      <protection locked="0"/>
    </xf>
    <xf numFmtId="0" fontId="7" fillId="0" borderId="12" xfId="8" applyFont="1" applyBorder="1" applyAlignment="1" applyProtection="1">
      <alignment horizontal="left" vertical="top"/>
      <protection locked="0"/>
    </xf>
    <xf numFmtId="0" fontId="6" fillId="0" borderId="2" xfId="8" applyFont="1" applyBorder="1" applyAlignment="1" applyProtection="1">
      <alignment horizontal="left" vertical="top"/>
      <protection locked="0"/>
    </xf>
    <xf numFmtId="0" fontId="6" fillId="0" borderId="10" xfId="8" applyFont="1" applyBorder="1" applyAlignment="1" applyProtection="1">
      <alignment horizontal="left" vertical="top"/>
      <protection locked="0"/>
    </xf>
    <xf numFmtId="0" fontId="9" fillId="0" borderId="13" xfId="8" applyFont="1" applyBorder="1" applyAlignment="1" applyProtection="1">
      <alignment horizontal="left" vertical="top" wrapText="1"/>
      <protection locked="0"/>
    </xf>
    <xf numFmtId="1" fontId="9" fillId="0" borderId="1" xfId="8" applyNumberFormat="1" applyFont="1" applyBorder="1" applyAlignment="1" applyProtection="1">
      <alignment horizontal="left" vertical="top" wrapText="1"/>
      <protection locked="0"/>
    </xf>
    <xf numFmtId="0" fontId="9" fillId="0" borderId="4" xfId="8" applyFont="1" applyBorder="1" applyAlignment="1" applyProtection="1">
      <alignment horizontal="left" vertical="top" wrapText="1"/>
      <protection locked="0"/>
    </xf>
    <xf numFmtId="0" fontId="9" fillId="0" borderId="5" xfId="8" applyFont="1" applyBorder="1" applyAlignment="1" applyProtection="1">
      <alignment horizontal="left" vertical="top" wrapText="1"/>
      <protection locked="0"/>
    </xf>
    <xf numFmtId="0" fontId="9" fillId="0" borderId="6" xfId="8" applyFont="1" applyBorder="1" applyAlignment="1" applyProtection="1">
      <alignment horizontal="left" vertical="top" wrapText="1"/>
      <protection locked="0"/>
    </xf>
    <xf numFmtId="0" fontId="12" fillId="0" borderId="4" xfId="8" applyFont="1" applyBorder="1" applyAlignment="1" applyProtection="1">
      <alignment horizontal="left" vertical="top" wrapText="1"/>
      <protection locked="0"/>
    </xf>
    <xf numFmtId="0" fontId="12" fillId="0" borderId="6" xfId="8" applyFont="1" applyBorder="1" applyAlignment="1" applyProtection="1">
      <alignment horizontal="left" vertical="top" wrapText="1"/>
      <protection locked="0"/>
    </xf>
    <xf numFmtId="0" fontId="12" fillId="0" borderId="5" xfId="8" applyFont="1" applyBorder="1" applyAlignment="1" applyProtection="1">
      <alignment horizontal="left" vertical="top" wrapText="1"/>
      <protection locked="0"/>
    </xf>
    <xf numFmtId="14" fontId="12" fillId="0" borderId="4" xfId="8" applyNumberFormat="1" applyFont="1" applyBorder="1" applyAlignment="1" applyProtection="1">
      <alignment horizontal="left" vertical="top"/>
      <protection locked="0"/>
    </xf>
    <xf numFmtId="14" fontId="12" fillId="0" borderId="6" xfId="8" applyNumberFormat="1" applyFont="1" applyBorder="1" applyAlignment="1" applyProtection="1">
      <alignment horizontal="left" vertical="top"/>
      <protection locked="0"/>
    </xf>
    <xf numFmtId="14" fontId="9" fillId="0" borderId="4" xfId="8" applyNumberFormat="1" applyFont="1" applyBorder="1" applyAlignment="1" applyProtection="1">
      <alignment horizontal="left" vertical="top" wrapText="1"/>
      <protection locked="0"/>
    </xf>
    <xf numFmtId="14" fontId="9" fillId="0" borderId="6" xfId="8" applyNumberFormat="1" applyFont="1" applyBorder="1" applyAlignment="1" applyProtection="1">
      <alignment horizontal="left" vertical="top" wrapText="1"/>
      <protection locked="0"/>
    </xf>
    <xf numFmtId="0" fontId="9" fillId="0" borderId="4" xfId="8" applyFont="1" applyBorder="1" applyAlignment="1" applyProtection="1">
      <alignment vertical="top" wrapText="1"/>
      <protection locked="0"/>
    </xf>
    <xf numFmtId="0" fontId="9" fillId="0" borderId="5" xfId="8" applyFont="1" applyBorder="1" applyAlignment="1" applyProtection="1">
      <alignment vertical="top" wrapText="1"/>
      <protection locked="0"/>
    </xf>
    <xf numFmtId="0" fontId="9" fillId="0" borderId="6" xfId="8" applyFont="1" applyBorder="1" applyAlignment="1" applyProtection="1">
      <alignment vertical="top" wrapText="1"/>
      <protection locked="0"/>
    </xf>
    <xf numFmtId="0" fontId="7" fillId="0" borderId="4" xfId="8" applyFont="1" applyBorder="1" applyAlignment="1" applyProtection="1">
      <alignment horizontal="left" vertical="top" wrapText="1"/>
      <protection locked="0"/>
    </xf>
    <xf numFmtId="0" fontId="7" fillId="0" borderId="6" xfId="8" applyFont="1" applyBorder="1" applyAlignment="1" applyProtection="1">
      <alignment horizontal="left" vertical="top" wrapText="1"/>
      <protection locked="0"/>
    </xf>
    <xf numFmtId="0" fontId="13" fillId="0" borderId="4" xfId="8" applyFont="1" applyBorder="1" applyAlignment="1" applyProtection="1">
      <alignment horizontal="left" vertical="top"/>
      <protection locked="0"/>
    </xf>
    <xf numFmtId="0" fontId="13" fillId="0" borderId="5" xfId="8" applyFont="1" applyBorder="1" applyAlignment="1" applyProtection="1">
      <alignment horizontal="left" vertical="top"/>
      <protection locked="0"/>
    </xf>
    <xf numFmtId="0" fontId="13" fillId="0" borderId="6" xfId="8" applyFont="1" applyBorder="1" applyAlignment="1" applyProtection="1">
      <alignment horizontal="left" vertical="top"/>
      <protection locked="0"/>
    </xf>
    <xf numFmtId="2" fontId="9" fillId="0" borderId="1" xfId="8" applyNumberFormat="1" applyFont="1" applyBorder="1" applyAlignment="1" applyProtection="1">
      <alignment horizontal="left" vertical="top" wrapText="1"/>
      <protection locked="0"/>
    </xf>
    <xf numFmtId="168" fontId="9" fillId="0" borderId="1" xfId="8" applyNumberFormat="1" applyFont="1" applyBorder="1" applyAlignment="1" applyProtection="1">
      <alignment horizontal="left" vertical="top"/>
      <protection locked="0"/>
    </xf>
    <xf numFmtId="2" fontId="9" fillId="0" borderId="1" xfId="8" applyNumberFormat="1" applyFont="1" applyBorder="1" applyAlignment="1" applyProtection="1">
      <alignment horizontal="left" vertical="top"/>
      <protection locked="0"/>
    </xf>
    <xf numFmtId="0" fontId="7" fillId="0" borderId="1" xfId="8" applyFont="1" applyBorder="1" applyAlignment="1" applyProtection="1">
      <alignment horizontal="center"/>
      <protection locked="0"/>
    </xf>
    <xf numFmtId="0" fontId="14" fillId="0" borderId="1" xfId="3" applyFill="1" applyBorder="1" applyAlignment="1" applyProtection="1">
      <alignment horizontal="left" vertical="top" wrapText="1"/>
      <protection locked="0"/>
    </xf>
    <xf numFmtId="0" fontId="13" fillId="0" borderId="1" xfId="8" applyFont="1" applyBorder="1" applyAlignment="1" applyProtection="1">
      <alignment horizontal="center"/>
      <protection locked="0"/>
    </xf>
    <xf numFmtId="0" fontId="7" fillId="0" borderId="1" xfId="8" applyFont="1" applyBorder="1" applyAlignment="1" applyProtection="1">
      <alignment horizontal="left"/>
      <protection locked="0"/>
    </xf>
    <xf numFmtId="0" fontId="9" fillId="0" borderId="1" xfId="8" applyFont="1" applyFill="1" applyBorder="1" applyAlignment="1" applyProtection="1">
      <alignment horizontal="left" vertical="top"/>
      <protection locked="0"/>
    </xf>
    <xf numFmtId="0" fontId="10" fillId="0" borderId="3" xfId="8" applyFont="1" applyBorder="1" applyAlignment="1">
      <alignment horizontal="center"/>
    </xf>
    <xf numFmtId="0" fontId="10" fillId="0" borderId="0" xfId="8" applyFont="1" applyAlignment="1">
      <alignment horizontal="center"/>
    </xf>
    <xf numFmtId="167" fontId="7" fillId="0" borderId="1" xfId="8" applyNumberFormat="1" applyFont="1" applyBorder="1" applyAlignment="1" applyProtection="1">
      <alignment horizontal="left" vertical="top"/>
      <protection locked="0"/>
    </xf>
    <xf numFmtId="0" fontId="11" fillId="0" borderId="1" xfId="8" applyFont="1" applyBorder="1" applyAlignment="1" applyProtection="1">
      <alignment horizontal="center" vertical="top" wrapText="1"/>
      <protection locked="0"/>
    </xf>
    <xf numFmtId="0" fontId="12" fillId="0" borderId="1" xfId="8" applyFont="1" applyBorder="1" applyAlignment="1" applyProtection="1">
      <alignment horizontal="center" vertical="top"/>
      <protection locked="0"/>
    </xf>
    <xf numFmtId="166" fontId="7" fillId="0" borderId="1" xfId="8" applyNumberFormat="1" applyFont="1" applyBorder="1" applyAlignment="1" applyProtection="1">
      <alignment horizontal="left" vertical="top"/>
      <protection locked="0"/>
    </xf>
    <xf numFmtId="0" fontId="1" fillId="0" borderId="1" xfId="10" applyFont="1" applyBorder="1" applyAlignment="1">
      <alignment horizontal="left"/>
    </xf>
    <xf numFmtId="0" fontId="0" fillId="2" borderId="1" xfId="0" applyFill="1" applyBorder="1" applyAlignment="1">
      <alignment horizontal="center" vertical="center" wrapText="1"/>
    </xf>
    <xf numFmtId="0" fontId="1" fillId="3"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5" borderId="1" xfId="0" applyFont="1" applyFill="1" applyBorder="1" applyAlignment="1">
      <alignment horizontal="center" vertical="center"/>
    </xf>
  </cellXfs>
  <cellStyles count="11">
    <cellStyle name="Comma" xfId="1" builtinId="3"/>
    <cellStyle name="Comma 2" xfId="4"/>
    <cellStyle name="Excel Built-in Normal" xfId="5"/>
    <cellStyle name="Excel Built-in Normal 2" xfId="6"/>
    <cellStyle name="Hyperlink" xfId="3" builtinId="8"/>
    <cellStyle name="Normal" xfId="0" builtinId="0"/>
    <cellStyle name="Normal 2" xfId="7"/>
    <cellStyle name="Normal 3" xfId="8"/>
    <cellStyle name="Normal 3 3" xfId="9"/>
    <cellStyle name="Normal 4" xfId="10"/>
    <cellStyle name="Percent" xfId="2"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jpeg"/><Relationship Id="rId6" Type="http://schemas.openxmlformats.org/officeDocument/2006/relationships/image" Target="../media/image28.png"/><Relationship Id="rId5" Type="http://schemas.openxmlformats.org/officeDocument/2006/relationships/image" Target="../media/image27.png"/><Relationship Id="rId4" Type="http://schemas.openxmlformats.org/officeDocument/2006/relationships/image" Target="../media/image26.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9</xdr:col>
      <xdr:colOff>558613</xdr:colOff>
      <xdr:row>11</xdr:row>
      <xdr:rowOff>38585</xdr:rowOff>
    </xdr:from>
    <xdr:to>
      <xdr:col>14</xdr:col>
      <xdr:colOff>40341</xdr:colOff>
      <xdr:row>15</xdr:row>
      <xdr:rowOff>524995</xdr:rowOff>
    </xdr:to>
    <xdr:pic>
      <xdr:nvPicPr>
        <xdr:cNvPr id="2" name="Picture 1"/>
        <xdr:cNvPicPr>
          <a:picLocks noChangeAspect="1"/>
        </xdr:cNvPicPr>
      </xdr:nvPicPr>
      <xdr:blipFill>
        <a:blip xmlns:r="http://schemas.openxmlformats.org/officeDocument/2006/relationships" r:embed="rId1"/>
        <a:srcRect b="49802"/>
        <a:stretch>
          <a:fillRect/>
        </a:stretch>
      </xdr:blipFill>
      <xdr:spPr>
        <a:xfrm>
          <a:off x="8032937" y="2638350"/>
          <a:ext cx="4042522" cy="1293233"/>
        </a:xfrm>
        <a:prstGeom prst="rect">
          <a:avLst/>
        </a:prstGeom>
        <a:noFill/>
        <a:ln w="9525">
          <a:noFill/>
        </a:ln>
      </xdr:spPr>
    </xdr:pic>
    <xdr:clientData/>
  </xdr:twoCellAnchor>
  <xdr:twoCellAnchor editAs="oneCell">
    <xdr:from>
      <xdr:col>9</xdr:col>
      <xdr:colOff>663574</xdr:colOff>
      <xdr:row>43</xdr:row>
      <xdr:rowOff>73870</xdr:rowOff>
    </xdr:from>
    <xdr:to>
      <xdr:col>14</xdr:col>
      <xdr:colOff>409574</xdr:colOff>
      <xdr:row>52</xdr:row>
      <xdr:rowOff>181612</xdr:rowOff>
    </xdr:to>
    <xdr:pic>
      <xdr:nvPicPr>
        <xdr:cNvPr id="3" name="Picture 2"/>
        <xdr:cNvPicPr>
          <a:picLocks noChangeAspect="1"/>
        </xdr:cNvPicPr>
      </xdr:nvPicPr>
      <xdr:blipFill>
        <a:blip xmlns:r="http://schemas.openxmlformats.org/officeDocument/2006/relationships" r:embed="rId2"/>
        <a:stretch>
          <a:fillRect/>
        </a:stretch>
      </xdr:blipFill>
      <xdr:spPr>
        <a:xfrm>
          <a:off x="8140699" y="9684595"/>
          <a:ext cx="4308475" cy="2136566"/>
        </a:xfrm>
        <a:prstGeom prst="rect">
          <a:avLst/>
        </a:prstGeom>
        <a:noFill/>
        <a:ln w="9525">
          <a:noFill/>
        </a:ln>
      </xdr:spPr>
    </xdr:pic>
    <xdr:clientData/>
  </xdr:twoCellAnchor>
  <xdr:twoCellAnchor editAs="oneCell">
    <xdr:from>
      <xdr:col>8</xdr:col>
      <xdr:colOff>294117</xdr:colOff>
      <xdr:row>49</xdr:row>
      <xdr:rowOff>141754</xdr:rowOff>
    </xdr:from>
    <xdr:to>
      <xdr:col>13</xdr:col>
      <xdr:colOff>559547</xdr:colOff>
      <xdr:row>64</xdr:row>
      <xdr:rowOff>104672</xdr:rowOff>
    </xdr:to>
    <xdr:pic>
      <xdr:nvPicPr>
        <xdr:cNvPr id="4" name="Picture 3"/>
        <xdr:cNvPicPr>
          <a:picLocks noChangeAspect="1"/>
        </xdr:cNvPicPr>
      </xdr:nvPicPr>
      <xdr:blipFill>
        <a:blip xmlns:r="http://schemas.openxmlformats.org/officeDocument/2006/relationships" r:embed="rId3"/>
        <a:stretch>
          <a:fillRect/>
        </a:stretch>
      </xdr:blipFill>
      <xdr:spPr>
        <a:xfrm>
          <a:off x="6609192" y="10181104"/>
          <a:ext cx="5151755" cy="2161951"/>
        </a:xfrm>
        <a:prstGeom prst="rect">
          <a:avLst/>
        </a:prstGeom>
        <a:noFill/>
        <a:ln w="9525">
          <a:noFill/>
        </a:ln>
      </xdr:spPr>
    </xdr:pic>
    <xdr:clientData/>
  </xdr:twoCellAnchor>
  <xdr:twoCellAnchor editAs="oneCell">
    <xdr:from>
      <xdr:col>11</xdr:col>
      <xdr:colOff>33020</xdr:colOff>
      <xdr:row>69</xdr:row>
      <xdr:rowOff>618490</xdr:rowOff>
    </xdr:from>
    <xdr:to>
      <xdr:col>15</xdr:col>
      <xdr:colOff>137795</xdr:colOff>
      <xdr:row>75</xdr:row>
      <xdr:rowOff>415478</xdr:rowOff>
    </xdr:to>
    <xdr:pic>
      <xdr:nvPicPr>
        <xdr:cNvPr id="5" name="Picture 4"/>
        <xdr:cNvPicPr>
          <a:picLocks noChangeAspect="1"/>
        </xdr:cNvPicPr>
      </xdr:nvPicPr>
      <xdr:blipFill>
        <a:blip xmlns:r="http://schemas.openxmlformats.org/officeDocument/2006/relationships" r:embed="rId4"/>
        <a:stretch>
          <a:fillRect/>
        </a:stretch>
      </xdr:blipFill>
      <xdr:spPr>
        <a:xfrm>
          <a:off x="8976995" y="14324965"/>
          <a:ext cx="3467100" cy="1657350"/>
        </a:xfrm>
        <a:prstGeom prst="rect">
          <a:avLst/>
        </a:prstGeom>
        <a:noFill/>
        <a:ln w="9525">
          <a:noFill/>
        </a:ln>
      </xdr:spPr>
    </xdr:pic>
    <xdr:clientData/>
  </xdr:twoCellAnchor>
  <xdr:twoCellAnchor editAs="oneCell">
    <xdr:from>
      <xdr:col>9</xdr:col>
      <xdr:colOff>233044</xdr:colOff>
      <xdr:row>16</xdr:row>
      <xdr:rowOff>45867</xdr:rowOff>
    </xdr:from>
    <xdr:to>
      <xdr:col>15</xdr:col>
      <xdr:colOff>423358</xdr:colOff>
      <xdr:row>28</xdr:row>
      <xdr:rowOff>78663</xdr:rowOff>
    </xdr:to>
    <xdr:pic>
      <xdr:nvPicPr>
        <xdr:cNvPr id="6" name="Picture 5"/>
        <xdr:cNvPicPr>
          <a:picLocks noChangeAspect="1"/>
        </xdr:cNvPicPr>
      </xdr:nvPicPr>
      <xdr:blipFill>
        <a:blip xmlns:r="http://schemas.openxmlformats.org/officeDocument/2006/relationships" r:embed="rId4"/>
        <a:stretch>
          <a:fillRect/>
        </a:stretch>
      </xdr:blipFill>
      <xdr:spPr>
        <a:xfrm>
          <a:off x="7707368" y="4068779"/>
          <a:ext cx="5557931" cy="2666178"/>
        </a:xfrm>
        <a:prstGeom prst="rect">
          <a:avLst/>
        </a:prstGeom>
        <a:noFill/>
        <a:ln w="9525">
          <a:noFill/>
        </a:ln>
      </xdr:spPr>
    </xdr:pic>
    <xdr:clientData/>
  </xdr:twoCellAnchor>
  <xdr:twoCellAnchor>
    <xdr:from>
      <xdr:col>9</xdr:col>
      <xdr:colOff>442279</xdr:colOff>
      <xdr:row>102</xdr:row>
      <xdr:rowOff>190500</xdr:rowOff>
    </xdr:from>
    <xdr:to>
      <xdr:col>18</xdr:col>
      <xdr:colOff>219180</xdr:colOff>
      <xdr:row>135</xdr:row>
      <xdr:rowOff>461681</xdr:rowOff>
    </xdr:to>
    <xdr:grpSp>
      <xdr:nvGrpSpPr>
        <xdr:cNvPr id="39" name="Group 38"/>
        <xdr:cNvGrpSpPr/>
      </xdr:nvGrpSpPr>
      <xdr:grpSpPr>
        <a:xfrm>
          <a:off x="7916603" y="22053176"/>
          <a:ext cx="7139165" cy="2288240"/>
          <a:chOff x="10275" y="30795"/>
          <a:chExt cx="6674" cy="2804"/>
        </a:xfrm>
      </xdr:grpSpPr>
      <xdr:pic>
        <xdr:nvPicPr>
          <xdr:cNvPr id="37" name="Picture 36"/>
          <xdr:cNvPicPr>
            <a:picLocks noChangeAspect="1"/>
          </xdr:cNvPicPr>
        </xdr:nvPicPr>
        <xdr:blipFill>
          <a:blip xmlns:r="http://schemas.openxmlformats.org/officeDocument/2006/relationships" r:embed="rId5"/>
          <a:stretch>
            <a:fillRect/>
          </a:stretch>
        </xdr:blipFill>
        <xdr:spPr>
          <a:xfrm>
            <a:off x="10275" y="30795"/>
            <a:ext cx="6675" cy="2805"/>
          </a:xfrm>
          <a:prstGeom prst="rect">
            <a:avLst/>
          </a:prstGeom>
          <a:noFill/>
          <a:ln w="9525">
            <a:noFill/>
          </a:ln>
        </xdr:spPr>
      </xdr:pic>
      <xdr:sp macro="" textlink="">
        <xdr:nvSpPr>
          <xdr:cNvPr id="38" name="Rectangles 37"/>
          <xdr:cNvSpPr/>
        </xdr:nvSpPr>
        <xdr:spPr>
          <a:xfrm>
            <a:off x="16170" y="33270"/>
            <a:ext cx="735" cy="300"/>
          </a:xfrm>
          <a:prstGeom prst="rect">
            <a:avLst/>
          </a:prstGeom>
          <a:noFill/>
          <a:ln>
            <a:solidFill>
              <a:srgbClr val="FF0000"/>
            </a:solidFill>
          </a:ln>
          <a:extLst>
            <a:ext uri="{909E8E84-426E-40DD-AFC4-6F175D3DCCD1}">
              <a14:hiddenFill xmlns:a14="http://schemas.microsoft.com/office/drawing/2010/main">
                <a:solidFill>
                  <a:schemeClr val="accent1"/>
                </a:solidFill>
              </a14:hiddenFill>
            </a:ext>
          </a:extLst>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p>
            <a:pPr algn="l"/>
            <a:endParaRPr lang="en-US" sz="1100"/>
          </a:p>
        </xdr:txBody>
      </xdr:sp>
    </xdr:grpSp>
    <xdr:clientData/>
  </xdr:twoCellAnchor>
  <xdr:twoCellAnchor>
    <xdr:from>
      <xdr:col>13</xdr:col>
      <xdr:colOff>662668</xdr:colOff>
      <xdr:row>344</xdr:row>
      <xdr:rowOff>47624</xdr:rowOff>
    </xdr:from>
    <xdr:to>
      <xdr:col>18</xdr:col>
      <xdr:colOff>642937</xdr:colOff>
      <xdr:row>358</xdr:row>
      <xdr:rowOff>92529</xdr:rowOff>
    </xdr:to>
    <xdr:grpSp>
      <xdr:nvGrpSpPr>
        <xdr:cNvPr id="27" name="Group 26"/>
        <xdr:cNvGrpSpPr/>
      </xdr:nvGrpSpPr>
      <xdr:grpSpPr>
        <a:xfrm>
          <a:off x="11857344" y="65725300"/>
          <a:ext cx="3622181" cy="2868788"/>
          <a:chOff x="1950" y="85395"/>
          <a:chExt cx="6060" cy="5640"/>
        </a:xfrm>
      </xdr:grpSpPr>
      <xdr:pic>
        <xdr:nvPicPr>
          <xdr:cNvPr id="29" name="Picture 20"/>
          <xdr:cNvPicPr>
            <a:picLocks noChangeAspect="1" noChangeArrowheads="1"/>
          </xdr:cNvPicPr>
        </xdr:nvPicPr>
        <xdr:blipFill>
          <a:blip xmlns:r="http://schemas.openxmlformats.org/officeDocument/2006/relationships" r:embed="rId6"/>
          <a:srcRect t="5185" b="1975"/>
          <a:stretch>
            <a:fillRect/>
          </a:stretch>
        </xdr:blipFill>
        <xdr:spPr>
          <a:xfrm>
            <a:off x="1950" y="85395"/>
            <a:ext cx="6061" cy="5640"/>
          </a:xfrm>
          <a:prstGeom prst="rect">
            <a:avLst/>
          </a:prstGeom>
          <a:noFill/>
          <a:ln w="9525">
            <a:solidFill>
              <a:schemeClr val="tx1"/>
            </a:solidFill>
            <a:miter lim="800000"/>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pic>
      <xdr:sp macro="" textlink="">
        <xdr:nvSpPr>
          <xdr:cNvPr id="40" name="Rectangles 32"/>
          <xdr:cNvSpPr/>
        </xdr:nvSpPr>
        <xdr:spPr>
          <a:xfrm rot="18900000">
            <a:off x="3793" y="86700"/>
            <a:ext cx="1485" cy="1119"/>
          </a:xfrm>
          <a:prstGeom prst="rect">
            <a:avLst/>
          </a:prstGeom>
          <a:noFill/>
          <a:ln w="28575">
            <a:gradFill>
              <a:gsLst>
                <a:gs pos="0">
                  <a:srgbClr val="E30000"/>
                </a:gs>
                <a:gs pos="100000">
                  <a:srgbClr val="760303"/>
                </a:gs>
              </a:gsLst>
            </a:gradFill>
          </a:ln>
          <a:extLst>
            <a:ext uri="{909E8E84-426E-40DD-AFC4-6F175D3DCCD1}">
              <a14:hiddenFill xmlns:a14="http://schemas.microsoft.com/office/drawing/2010/main">
                <a:solidFill>
                  <a:schemeClr val="accent1"/>
                </a:solidFill>
              </a14:hiddenFill>
            </a:ext>
          </a:extLst>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p>
            <a:pPr algn="l"/>
            <a:endParaRPr lang="en-US" sz="1100"/>
          </a:p>
        </xdr:txBody>
      </xdr:sp>
    </xdr:grpSp>
    <xdr:clientData/>
  </xdr:twoCellAnchor>
  <xdr:twoCellAnchor editAs="oneCell">
    <xdr:from>
      <xdr:col>8</xdr:col>
      <xdr:colOff>888309</xdr:colOff>
      <xdr:row>350</xdr:row>
      <xdr:rowOff>113100</xdr:rowOff>
    </xdr:from>
    <xdr:to>
      <xdr:col>15</xdr:col>
      <xdr:colOff>203070</xdr:colOff>
      <xdr:row>378</xdr:row>
      <xdr:rowOff>160725</xdr:rowOff>
    </xdr:to>
    <xdr:pic>
      <xdr:nvPicPr>
        <xdr:cNvPr id="44" name="Picture 43"/>
        <xdr:cNvPicPr>
          <a:picLocks noChangeAspect="1"/>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t="1918"/>
        <a:stretch/>
      </xdr:blipFill>
      <xdr:spPr>
        <a:xfrm>
          <a:off x="7197221" y="31332688"/>
          <a:ext cx="5847790" cy="5695388"/>
        </a:xfrm>
        <a:prstGeom prst="rect">
          <a:avLst/>
        </a:prstGeom>
        <a:ln>
          <a:solidFill>
            <a:schemeClr val="tx1"/>
          </a:solidFill>
        </a:ln>
      </xdr:spPr>
    </xdr:pic>
    <xdr:clientData/>
  </xdr:twoCellAnchor>
  <xdr:twoCellAnchor>
    <xdr:from>
      <xdr:col>0</xdr:col>
      <xdr:colOff>300406</xdr:colOff>
      <xdr:row>360</xdr:row>
      <xdr:rowOff>173162</xdr:rowOff>
    </xdr:from>
    <xdr:to>
      <xdr:col>7</xdr:col>
      <xdr:colOff>512887</xdr:colOff>
      <xdr:row>385</xdr:row>
      <xdr:rowOff>65269</xdr:rowOff>
    </xdr:to>
    <xdr:grpSp>
      <xdr:nvGrpSpPr>
        <xdr:cNvPr id="9" name="Group 8"/>
        <xdr:cNvGrpSpPr/>
      </xdr:nvGrpSpPr>
      <xdr:grpSpPr>
        <a:xfrm>
          <a:off x="300406" y="69078133"/>
          <a:ext cx="5793010" cy="4934754"/>
          <a:chOff x="373675" y="43423989"/>
          <a:chExt cx="5795596" cy="4837780"/>
        </a:xfrm>
      </xdr:grpSpPr>
      <xdr:pic>
        <xdr:nvPicPr>
          <xdr:cNvPr id="8" name="Picture 7"/>
          <xdr:cNvPicPr>
            <a:picLocks noChangeAspect="1"/>
          </xdr:cNvPicPr>
        </xdr:nvPicPr>
        <xdr:blipFill>
          <a:blip xmlns:r="http://schemas.openxmlformats.org/officeDocument/2006/relationships" r:embed="rId8"/>
          <a:stretch>
            <a:fillRect/>
          </a:stretch>
        </xdr:blipFill>
        <xdr:spPr>
          <a:xfrm>
            <a:off x="373675" y="43423989"/>
            <a:ext cx="5795596" cy="4837780"/>
          </a:xfrm>
          <a:prstGeom prst="rect">
            <a:avLst/>
          </a:prstGeom>
          <a:ln>
            <a:solidFill>
              <a:sysClr val="windowText" lastClr="000000"/>
            </a:solidFill>
          </a:ln>
        </xdr:spPr>
      </xdr:pic>
      <xdr:sp macro="" textlink="">
        <xdr:nvSpPr>
          <xdr:cNvPr id="28" name="Freeform 27"/>
          <xdr:cNvSpPr/>
        </xdr:nvSpPr>
        <xdr:spPr>
          <a:xfrm rot="21412682">
            <a:off x="2417198" y="44489233"/>
            <a:ext cx="2087267" cy="2184203"/>
          </a:xfrm>
          <a:custGeom>
            <a:avLst/>
            <a:gdLst>
              <a:gd name="connsiteX0" fmla="*/ 2356833 w 3013656"/>
              <a:gd name="connsiteY0" fmla="*/ 1751527 h 3271234"/>
              <a:gd name="connsiteX1" fmla="*/ 1249250 w 3013656"/>
              <a:gd name="connsiteY1" fmla="*/ 837127 h 3271234"/>
              <a:gd name="connsiteX2" fmla="*/ 2125014 w 3013656"/>
              <a:gd name="connsiteY2" fmla="*/ 0 h 3271234"/>
              <a:gd name="connsiteX3" fmla="*/ 2215166 w 3013656"/>
              <a:gd name="connsiteY3" fmla="*/ 708338 h 3271234"/>
              <a:gd name="connsiteX4" fmla="*/ 2382591 w 3013656"/>
              <a:gd name="connsiteY4" fmla="*/ 1004552 h 3271234"/>
              <a:gd name="connsiteX5" fmla="*/ 3013656 w 3013656"/>
              <a:gd name="connsiteY5" fmla="*/ 3271234 h 3271234"/>
              <a:gd name="connsiteX6" fmla="*/ 669701 w 3013656"/>
              <a:gd name="connsiteY6" fmla="*/ 3142445 h 3271234"/>
              <a:gd name="connsiteX7" fmla="*/ 0 w 3013656"/>
              <a:gd name="connsiteY7" fmla="*/ 2369713 h 3271234"/>
              <a:gd name="connsiteX8" fmla="*/ 605307 w 3013656"/>
              <a:gd name="connsiteY8" fmla="*/ 1751527 h 3271234"/>
              <a:gd name="connsiteX9" fmla="*/ 785611 w 3013656"/>
              <a:gd name="connsiteY9" fmla="*/ 1906074 h 3271234"/>
              <a:gd name="connsiteX10" fmla="*/ 296214 w 3013656"/>
              <a:gd name="connsiteY10" fmla="*/ 2421228 h 3271234"/>
              <a:gd name="connsiteX11" fmla="*/ 888642 w 3013656"/>
              <a:gd name="connsiteY11" fmla="*/ 3000778 h 3271234"/>
              <a:gd name="connsiteX12" fmla="*/ 1468191 w 3013656"/>
              <a:gd name="connsiteY12" fmla="*/ 2318197 h 3271234"/>
              <a:gd name="connsiteX13" fmla="*/ 1931831 w 3013656"/>
              <a:gd name="connsiteY13" fmla="*/ 2537138 h 3271234"/>
              <a:gd name="connsiteX14" fmla="*/ 2356833 w 3013656"/>
              <a:gd name="connsiteY14" fmla="*/ 1751527 h 3271234"/>
              <a:gd name="connsiteX0" fmla="*/ 2356833 w 3013656"/>
              <a:gd name="connsiteY0" fmla="*/ 1751527 h 3271234"/>
              <a:gd name="connsiteX1" fmla="*/ 1249250 w 3013656"/>
              <a:gd name="connsiteY1" fmla="*/ 837127 h 3271234"/>
              <a:gd name="connsiteX2" fmla="*/ 2125014 w 3013656"/>
              <a:gd name="connsiteY2" fmla="*/ 0 h 3271234"/>
              <a:gd name="connsiteX3" fmla="*/ 2215166 w 3013656"/>
              <a:gd name="connsiteY3" fmla="*/ 708338 h 3271234"/>
              <a:gd name="connsiteX4" fmla="*/ 2382591 w 3013656"/>
              <a:gd name="connsiteY4" fmla="*/ 1004552 h 3271234"/>
              <a:gd name="connsiteX5" fmla="*/ 3013656 w 3013656"/>
              <a:gd name="connsiteY5" fmla="*/ 3271234 h 3271234"/>
              <a:gd name="connsiteX6" fmla="*/ 669701 w 3013656"/>
              <a:gd name="connsiteY6" fmla="*/ 3142445 h 3271234"/>
              <a:gd name="connsiteX7" fmla="*/ 0 w 3013656"/>
              <a:gd name="connsiteY7" fmla="*/ 2369713 h 3271234"/>
              <a:gd name="connsiteX8" fmla="*/ 605307 w 3013656"/>
              <a:gd name="connsiteY8" fmla="*/ 1751527 h 3271234"/>
              <a:gd name="connsiteX9" fmla="*/ 785611 w 3013656"/>
              <a:gd name="connsiteY9" fmla="*/ 1906074 h 3271234"/>
              <a:gd name="connsiteX10" fmla="*/ 1092774 w 3013656"/>
              <a:gd name="connsiteY10" fmla="*/ 2101374 h 3271234"/>
              <a:gd name="connsiteX11" fmla="*/ 888642 w 3013656"/>
              <a:gd name="connsiteY11" fmla="*/ 3000778 h 3271234"/>
              <a:gd name="connsiteX12" fmla="*/ 1468191 w 3013656"/>
              <a:gd name="connsiteY12" fmla="*/ 2318197 h 3271234"/>
              <a:gd name="connsiteX13" fmla="*/ 1931831 w 3013656"/>
              <a:gd name="connsiteY13" fmla="*/ 2537138 h 3271234"/>
              <a:gd name="connsiteX14" fmla="*/ 2356833 w 3013656"/>
              <a:gd name="connsiteY14" fmla="*/ 1751527 h 3271234"/>
              <a:gd name="connsiteX0" fmla="*/ 2356833 w 3013656"/>
              <a:gd name="connsiteY0" fmla="*/ 1751527 h 3271234"/>
              <a:gd name="connsiteX1" fmla="*/ 1249250 w 3013656"/>
              <a:gd name="connsiteY1" fmla="*/ 837127 h 3271234"/>
              <a:gd name="connsiteX2" fmla="*/ 2125014 w 3013656"/>
              <a:gd name="connsiteY2" fmla="*/ 0 h 3271234"/>
              <a:gd name="connsiteX3" fmla="*/ 2215166 w 3013656"/>
              <a:gd name="connsiteY3" fmla="*/ 708338 h 3271234"/>
              <a:gd name="connsiteX4" fmla="*/ 2382591 w 3013656"/>
              <a:gd name="connsiteY4" fmla="*/ 1004552 h 3271234"/>
              <a:gd name="connsiteX5" fmla="*/ 3013656 w 3013656"/>
              <a:gd name="connsiteY5" fmla="*/ 3271234 h 3271234"/>
              <a:gd name="connsiteX6" fmla="*/ 669701 w 3013656"/>
              <a:gd name="connsiteY6" fmla="*/ 3142445 h 3271234"/>
              <a:gd name="connsiteX7" fmla="*/ 0 w 3013656"/>
              <a:gd name="connsiteY7" fmla="*/ 2369713 h 3271234"/>
              <a:gd name="connsiteX8" fmla="*/ 605307 w 3013656"/>
              <a:gd name="connsiteY8" fmla="*/ 1751527 h 3271234"/>
              <a:gd name="connsiteX9" fmla="*/ 785611 w 3013656"/>
              <a:gd name="connsiteY9" fmla="*/ 1906074 h 3271234"/>
              <a:gd name="connsiteX10" fmla="*/ 1092774 w 3013656"/>
              <a:gd name="connsiteY10" fmla="*/ 2101374 h 3271234"/>
              <a:gd name="connsiteX11" fmla="*/ 1472786 w 3013656"/>
              <a:gd name="connsiteY11" fmla="*/ 2331993 h 3271234"/>
              <a:gd name="connsiteX12" fmla="*/ 1468191 w 3013656"/>
              <a:gd name="connsiteY12" fmla="*/ 2318197 h 3271234"/>
              <a:gd name="connsiteX13" fmla="*/ 1931831 w 3013656"/>
              <a:gd name="connsiteY13" fmla="*/ 2537138 h 3271234"/>
              <a:gd name="connsiteX14" fmla="*/ 2356833 w 3013656"/>
              <a:gd name="connsiteY14" fmla="*/ 1751527 h 3271234"/>
              <a:gd name="connsiteX0" fmla="*/ 2356833 w 3013656"/>
              <a:gd name="connsiteY0" fmla="*/ 1751527 h 3271234"/>
              <a:gd name="connsiteX1" fmla="*/ 1249250 w 3013656"/>
              <a:gd name="connsiteY1" fmla="*/ 837127 h 3271234"/>
              <a:gd name="connsiteX2" fmla="*/ 2125014 w 3013656"/>
              <a:gd name="connsiteY2" fmla="*/ 0 h 3271234"/>
              <a:gd name="connsiteX3" fmla="*/ 2215166 w 3013656"/>
              <a:gd name="connsiteY3" fmla="*/ 708338 h 3271234"/>
              <a:gd name="connsiteX4" fmla="*/ 2382591 w 3013656"/>
              <a:gd name="connsiteY4" fmla="*/ 1004552 h 3271234"/>
              <a:gd name="connsiteX5" fmla="*/ 3013656 w 3013656"/>
              <a:gd name="connsiteY5" fmla="*/ 3271234 h 3271234"/>
              <a:gd name="connsiteX6" fmla="*/ 669701 w 3013656"/>
              <a:gd name="connsiteY6" fmla="*/ 3142445 h 3271234"/>
              <a:gd name="connsiteX7" fmla="*/ 0 w 3013656"/>
              <a:gd name="connsiteY7" fmla="*/ 2369713 h 3271234"/>
              <a:gd name="connsiteX8" fmla="*/ 605307 w 3013656"/>
              <a:gd name="connsiteY8" fmla="*/ 1751527 h 3271234"/>
              <a:gd name="connsiteX9" fmla="*/ 785611 w 3013656"/>
              <a:gd name="connsiteY9" fmla="*/ 1906074 h 3271234"/>
              <a:gd name="connsiteX10" fmla="*/ 1092774 w 3013656"/>
              <a:gd name="connsiteY10" fmla="*/ 2101374 h 3271234"/>
              <a:gd name="connsiteX11" fmla="*/ 1472786 w 3013656"/>
              <a:gd name="connsiteY11" fmla="*/ 2331993 h 3271234"/>
              <a:gd name="connsiteX12" fmla="*/ 1468191 w 3013656"/>
              <a:gd name="connsiteY12" fmla="*/ 2318197 h 3271234"/>
              <a:gd name="connsiteX13" fmla="*/ 1880855 w 3013656"/>
              <a:gd name="connsiteY13" fmla="*/ 2457959 h 3271234"/>
              <a:gd name="connsiteX14" fmla="*/ 2356833 w 3013656"/>
              <a:gd name="connsiteY14" fmla="*/ 1751527 h 3271234"/>
              <a:gd name="connsiteX0" fmla="*/ 2224297 w 3013656"/>
              <a:gd name="connsiteY0" fmla="*/ 1740215 h 3271234"/>
              <a:gd name="connsiteX1" fmla="*/ 1249250 w 3013656"/>
              <a:gd name="connsiteY1" fmla="*/ 837127 h 3271234"/>
              <a:gd name="connsiteX2" fmla="*/ 2125014 w 3013656"/>
              <a:gd name="connsiteY2" fmla="*/ 0 h 3271234"/>
              <a:gd name="connsiteX3" fmla="*/ 2215166 w 3013656"/>
              <a:gd name="connsiteY3" fmla="*/ 708338 h 3271234"/>
              <a:gd name="connsiteX4" fmla="*/ 2382591 w 3013656"/>
              <a:gd name="connsiteY4" fmla="*/ 1004552 h 3271234"/>
              <a:gd name="connsiteX5" fmla="*/ 3013656 w 3013656"/>
              <a:gd name="connsiteY5" fmla="*/ 3271234 h 3271234"/>
              <a:gd name="connsiteX6" fmla="*/ 669701 w 3013656"/>
              <a:gd name="connsiteY6" fmla="*/ 3142445 h 3271234"/>
              <a:gd name="connsiteX7" fmla="*/ 0 w 3013656"/>
              <a:gd name="connsiteY7" fmla="*/ 2369713 h 3271234"/>
              <a:gd name="connsiteX8" fmla="*/ 605307 w 3013656"/>
              <a:gd name="connsiteY8" fmla="*/ 1751527 h 3271234"/>
              <a:gd name="connsiteX9" fmla="*/ 785611 w 3013656"/>
              <a:gd name="connsiteY9" fmla="*/ 1906074 h 3271234"/>
              <a:gd name="connsiteX10" fmla="*/ 1092774 w 3013656"/>
              <a:gd name="connsiteY10" fmla="*/ 2101374 h 3271234"/>
              <a:gd name="connsiteX11" fmla="*/ 1472786 w 3013656"/>
              <a:gd name="connsiteY11" fmla="*/ 2331993 h 3271234"/>
              <a:gd name="connsiteX12" fmla="*/ 1468191 w 3013656"/>
              <a:gd name="connsiteY12" fmla="*/ 2318197 h 3271234"/>
              <a:gd name="connsiteX13" fmla="*/ 1880855 w 3013656"/>
              <a:gd name="connsiteY13" fmla="*/ 2457959 h 3271234"/>
              <a:gd name="connsiteX14" fmla="*/ 2224297 w 3013656"/>
              <a:gd name="connsiteY14" fmla="*/ 1740215 h 32712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3013656" h="3271234">
                <a:moveTo>
                  <a:pt x="2224297" y="1740215"/>
                </a:moveTo>
                <a:lnTo>
                  <a:pt x="1249250" y="837127"/>
                </a:lnTo>
                <a:lnTo>
                  <a:pt x="2125014" y="0"/>
                </a:lnTo>
                <a:lnTo>
                  <a:pt x="2215166" y="708338"/>
                </a:lnTo>
                <a:lnTo>
                  <a:pt x="2382591" y="1004552"/>
                </a:lnTo>
                <a:lnTo>
                  <a:pt x="3013656" y="3271234"/>
                </a:lnTo>
                <a:lnTo>
                  <a:pt x="669701" y="3142445"/>
                </a:lnTo>
                <a:lnTo>
                  <a:pt x="0" y="2369713"/>
                </a:lnTo>
                <a:lnTo>
                  <a:pt x="605307" y="1751527"/>
                </a:lnTo>
                <a:lnTo>
                  <a:pt x="785611" y="1906074"/>
                </a:lnTo>
                <a:lnTo>
                  <a:pt x="1092774" y="2101374"/>
                </a:lnTo>
                <a:lnTo>
                  <a:pt x="1472786" y="2331993"/>
                </a:lnTo>
                <a:lnTo>
                  <a:pt x="1468191" y="2318197"/>
                </a:lnTo>
                <a:lnTo>
                  <a:pt x="1880855" y="2457959"/>
                </a:lnTo>
                <a:lnTo>
                  <a:pt x="2224297" y="1740215"/>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clientData/>
  </xdr:twoCellAnchor>
  <xdr:twoCellAnchor>
    <xdr:from>
      <xdr:col>13</xdr:col>
      <xdr:colOff>314325</xdr:colOff>
      <xdr:row>359</xdr:row>
      <xdr:rowOff>31297</xdr:rowOff>
    </xdr:from>
    <xdr:to>
      <xdr:col>19</xdr:col>
      <xdr:colOff>348978</xdr:colOff>
      <xdr:row>381</xdr:row>
      <xdr:rowOff>175441</xdr:rowOff>
    </xdr:to>
    <xdr:grpSp>
      <xdr:nvGrpSpPr>
        <xdr:cNvPr id="11" name="Group 10"/>
        <xdr:cNvGrpSpPr/>
      </xdr:nvGrpSpPr>
      <xdr:grpSpPr>
        <a:xfrm>
          <a:off x="11509001" y="68734562"/>
          <a:ext cx="4404948" cy="4581673"/>
          <a:chOff x="942975" y="52383773"/>
          <a:chExt cx="4398286" cy="4525645"/>
        </a:xfrm>
      </xdr:grpSpPr>
      <xdr:grpSp>
        <xdr:nvGrpSpPr>
          <xdr:cNvPr id="41" name="Group 40"/>
          <xdr:cNvGrpSpPr/>
        </xdr:nvGrpSpPr>
        <xdr:grpSpPr>
          <a:xfrm>
            <a:off x="942975" y="52383773"/>
            <a:ext cx="4398286" cy="4525645"/>
            <a:chOff x="1470" y="86565"/>
            <a:chExt cx="6931" cy="7172"/>
          </a:xfrm>
        </xdr:grpSpPr>
        <xdr:pic>
          <xdr:nvPicPr>
            <xdr:cNvPr id="42" name="Picture 19"/>
            <xdr:cNvPicPr>
              <a:picLocks noChangeAspect="1" noChangeArrowheads="1"/>
            </xdr:cNvPicPr>
          </xdr:nvPicPr>
          <xdr:blipFill>
            <a:blip xmlns:r="http://schemas.openxmlformats.org/officeDocument/2006/relationships" r:embed="rId9"/>
            <a:srcRect/>
            <a:stretch>
              <a:fillRect/>
            </a:stretch>
          </xdr:blipFill>
          <xdr:spPr>
            <a:xfrm>
              <a:off x="1470" y="86565"/>
              <a:ext cx="6931" cy="7172"/>
            </a:xfrm>
            <a:prstGeom prst="rect">
              <a:avLst/>
            </a:prstGeom>
            <a:noFill/>
            <a:ln w="9525">
              <a:solidFill>
                <a:schemeClr val="tx1"/>
              </a:solidFill>
              <a:miter lim="800000"/>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pic>
        <xdr:sp macro="" textlink="">
          <xdr:nvSpPr>
            <xdr:cNvPr id="43" name="Rectangles 34"/>
            <xdr:cNvSpPr/>
          </xdr:nvSpPr>
          <xdr:spPr>
            <a:xfrm rot="18177973">
              <a:off x="4437" y="90718"/>
              <a:ext cx="627" cy="1133"/>
            </a:xfrm>
            <a:prstGeom prst="rect">
              <a:avLst/>
            </a:prstGeom>
            <a:noFill/>
            <a:ln w="28575">
              <a:solidFill>
                <a:srgbClr val="FF0000"/>
              </a:solidFill>
            </a:ln>
            <a:extLst>
              <a:ext uri="{909E8E84-426E-40DD-AFC4-6F175D3DCCD1}">
                <a14:hiddenFill xmlns:a14="http://schemas.microsoft.com/office/drawing/2010/main">
                  <a:solidFill>
                    <a:schemeClr val="accent1"/>
                  </a:solidFill>
                </a14:hiddenFill>
              </a:ext>
            </a:extLst>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en-US" sz="1100"/>
            </a:p>
          </xdr:txBody>
        </xdr:sp>
        <xdr:sp macro="" textlink="">
          <xdr:nvSpPr>
            <xdr:cNvPr id="33" name="Rectangles 34"/>
            <xdr:cNvSpPr/>
          </xdr:nvSpPr>
          <xdr:spPr>
            <a:xfrm rot="12972545">
              <a:off x="3479" y="90379"/>
              <a:ext cx="589" cy="1488"/>
            </a:xfrm>
            <a:prstGeom prst="rect">
              <a:avLst/>
            </a:prstGeom>
            <a:noFill/>
            <a:ln w="28575">
              <a:solidFill>
                <a:srgbClr val="0000FF"/>
              </a:solidFill>
            </a:ln>
            <a:extLst>
              <a:ext uri="{909E8E84-426E-40DD-AFC4-6F175D3DCCD1}">
                <a14:hiddenFill xmlns:a14="http://schemas.microsoft.com/office/drawing/2010/main">
                  <a:solidFill>
                    <a:schemeClr val="accent1"/>
                  </a:solidFill>
                </a14:hiddenFill>
              </a:ext>
            </a:extLst>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en-US" sz="1100"/>
            </a:p>
          </xdr:txBody>
        </xdr:sp>
      </xdr:grpSp>
      <xdr:sp macro="" textlink="">
        <xdr:nvSpPr>
          <xdr:cNvPr id="34" name="TextBox 9"/>
          <xdr:cNvSpPr txBox="1"/>
        </xdr:nvSpPr>
        <xdr:spPr>
          <a:xfrm rot="1715826">
            <a:off x="2860742" y="54985374"/>
            <a:ext cx="887695" cy="358494"/>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latin typeface="Times New Roman" panose="02020603050405020304" pitchFamily="18" charset="0"/>
                <a:cs typeface="Times New Roman" panose="02020603050405020304" pitchFamily="18" charset="0"/>
              </a:rPr>
              <a:t>Wing</a:t>
            </a:r>
            <a:r>
              <a:rPr lang="en-US" sz="1400" b="1" baseline="0">
                <a:solidFill>
                  <a:srgbClr val="FF0000"/>
                </a:solidFill>
                <a:latin typeface="Times New Roman" panose="02020603050405020304" pitchFamily="18" charset="0"/>
                <a:cs typeface="Times New Roman" panose="02020603050405020304" pitchFamily="18" charset="0"/>
              </a:rPr>
              <a:t> B</a:t>
            </a:r>
            <a:endParaRPr lang="en-IN" sz="1400" b="1">
              <a:solidFill>
                <a:srgbClr val="FF0000"/>
              </a:solidFill>
              <a:latin typeface="Times New Roman" panose="02020603050405020304" pitchFamily="18" charset="0"/>
              <a:cs typeface="Times New Roman" panose="02020603050405020304" pitchFamily="18" charset="0"/>
            </a:endParaRPr>
          </a:p>
        </xdr:txBody>
      </xdr:sp>
      <xdr:sp macro="" textlink="">
        <xdr:nvSpPr>
          <xdr:cNvPr id="35" name="TextBox 9"/>
          <xdr:cNvSpPr txBox="1"/>
        </xdr:nvSpPr>
        <xdr:spPr>
          <a:xfrm rot="18638806">
            <a:off x="1777819" y="54815518"/>
            <a:ext cx="973783" cy="358494"/>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0000FF"/>
                </a:solidFill>
                <a:latin typeface="Times New Roman" panose="02020603050405020304" pitchFamily="18" charset="0"/>
                <a:cs typeface="Times New Roman" panose="02020603050405020304" pitchFamily="18" charset="0"/>
              </a:rPr>
              <a:t>Wing</a:t>
            </a:r>
            <a:r>
              <a:rPr lang="en-US" sz="1400" b="1" baseline="0">
                <a:solidFill>
                  <a:srgbClr val="0000FF"/>
                </a:solidFill>
                <a:latin typeface="Times New Roman" panose="02020603050405020304" pitchFamily="18" charset="0"/>
                <a:cs typeface="Times New Roman" panose="02020603050405020304" pitchFamily="18" charset="0"/>
              </a:rPr>
              <a:t> A</a:t>
            </a:r>
            <a:endParaRPr lang="en-IN" sz="1400" b="1">
              <a:solidFill>
                <a:srgbClr val="0000FF"/>
              </a:solidFill>
              <a:latin typeface="Times New Roman" panose="02020603050405020304" pitchFamily="18" charset="0"/>
              <a:cs typeface="Times New Roman" panose="02020603050405020304" pitchFamily="18" charset="0"/>
            </a:endParaRPr>
          </a:p>
        </xdr:txBody>
      </xdr:sp>
    </xdr:grpSp>
    <xdr:clientData/>
  </xdr:twoCellAnchor>
  <xdr:twoCellAnchor editAs="oneCell">
    <xdr:from>
      <xdr:col>1</xdr:col>
      <xdr:colOff>47244</xdr:colOff>
      <xdr:row>344</xdr:row>
      <xdr:rowOff>51288</xdr:rowOff>
    </xdr:from>
    <xdr:to>
      <xdr:col>6</xdr:col>
      <xdr:colOff>412902</xdr:colOff>
      <xdr:row>360</xdr:row>
      <xdr:rowOff>29307</xdr:rowOff>
    </xdr:to>
    <xdr:pic>
      <xdr:nvPicPr>
        <xdr:cNvPr id="10" name="Picture 9"/>
        <xdr:cNvPicPr>
          <a:picLocks noChangeAspect="1"/>
        </xdr:cNvPicPr>
      </xdr:nvPicPr>
      <xdr:blipFill rotWithShape="1">
        <a:blip xmlns:r="http://schemas.openxmlformats.org/officeDocument/2006/relationships" r:embed="rId10"/>
        <a:srcRect t="9877" r="14070"/>
        <a:stretch/>
      </xdr:blipFill>
      <xdr:spPr>
        <a:xfrm>
          <a:off x="809244" y="39821826"/>
          <a:ext cx="4454081" cy="3143250"/>
        </a:xfrm>
        <a:prstGeom prst="rect">
          <a:avLst/>
        </a:prstGeom>
        <a:ln>
          <a:solidFill>
            <a:sysClr val="windowText" lastClr="000000"/>
          </a:solidFill>
        </a:ln>
      </xdr:spPr>
    </xdr:pic>
    <xdr:clientData/>
  </xdr:twoCellAnchor>
  <xdr:twoCellAnchor editAs="oneCell">
    <xdr:from>
      <xdr:col>10</xdr:col>
      <xdr:colOff>353989</xdr:colOff>
      <xdr:row>140</xdr:row>
      <xdr:rowOff>27840</xdr:rowOff>
    </xdr:from>
    <xdr:to>
      <xdr:col>15</xdr:col>
      <xdr:colOff>460372</xdr:colOff>
      <xdr:row>147</xdr:row>
      <xdr:rowOff>11786</xdr:rowOff>
    </xdr:to>
    <xdr:pic>
      <xdr:nvPicPr>
        <xdr:cNvPr id="12" name="Picture 11"/>
        <xdr:cNvPicPr>
          <a:picLocks noChangeAspect="1"/>
        </xdr:cNvPicPr>
      </xdr:nvPicPr>
      <xdr:blipFill>
        <a:blip xmlns:r="http://schemas.openxmlformats.org/officeDocument/2006/relationships" r:embed="rId11"/>
        <a:stretch>
          <a:fillRect/>
        </a:stretch>
      </xdr:blipFill>
      <xdr:spPr>
        <a:xfrm rot="5229075">
          <a:off x="10259295" y="24460159"/>
          <a:ext cx="1384122" cy="4716483"/>
        </a:xfrm>
        <a:prstGeom prst="rect">
          <a:avLst/>
        </a:prstGeom>
      </xdr:spPr>
    </xdr:pic>
    <xdr:clientData/>
  </xdr:twoCellAnchor>
  <xdr:twoCellAnchor>
    <xdr:from>
      <xdr:col>13</xdr:col>
      <xdr:colOff>662668</xdr:colOff>
      <xdr:row>300</xdr:row>
      <xdr:rowOff>47624</xdr:rowOff>
    </xdr:from>
    <xdr:to>
      <xdr:col>18</xdr:col>
      <xdr:colOff>642937</xdr:colOff>
      <xdr:row>314</xdr:row>
      <xdr:rowOff>92529</xdr:rowOff>
    </xdr:to>
    <xdr:grpSp>
      <xdr:nvGrpSpPr>
        <xdr:cNvPr id="31" name="Group 30"/>
        <xdr:cNvGrpSpPr/>
      </xdr:nvGrpSpPr>
      <xdr:grpSpPr>
        <a:xfrm>
          <a:off x="11857344" y="56850242"/>
          <a:ext cx="3622181" cy="2868787"/>
          <a:chOff x="1950" y="85395"/>
          <a:chExt cx="6060" cy="5640"/>
        </a:xfrm>
      </xdr:grpSpPr>
      <xdr:pic>
        <xdr:nvPicPr>
          <xdr:cNvPr id="32" name="Picture 20"/>
          <xdr:cNvPicPr>
            <a:picLocks noChangeAspect="1" noChangeArrowheads="1"/>
          </xdr:cNvPicPr>
        </xdr:nvPicPr>
        <xdr:blipFill>
          <a:blip xmlns:r="http://schemas.openxmlformats.org/officeDocument/2006/relationships" r:embed="rId6"/>
          <a:srcRect t="5185" b="1975"/>
          <a:stretch>
            <a:fillRect/>
          </a:stretch>
        </xdr:blipFill>
        <xdr:spPr>
          <a:xfrm>
            <a:off x="1950" y="85395"/>
            <a:ext cx="6061" cy="5640"/>
          </a:xfrm>
          <a:prstGeom prst="rect">
            <a:avLst/>
          </a:prstGeom>
          <a:noFill/>
          <a:ln w="9525">
            <a:solidFill>
              <a:schemeClr val="tx1"/>
            </a:solidFill>
            <a:miter lim="800000"/>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pic>
      <xdr:sp macro="" textlink="">
        <xdr:nvSpPr>
          <xdr:cNvPr id="36" name="Rectangles 32"/>
          <xdr:cNvSpPr/>
        </xdr:nvSpPr>
        <xdr:spPr>
          <a:xfrm rot="18900000">
            <a:off x="3793" y="86700"/>
            <a:ext cx="1485" cy="1119"/>
          </a:xfrm>
          <a:prstGeom prst="rect">
            <a:avLst/>
          </a:prstGeom>
          <a:noFill/>
          <a:ln w="28575">
            <a:gradFill>
              <a:gsLst>
                <a:gs pos="0">
                  <a:srgbClr val="E30000"/>
                </a:gs>
                <a:gs pos="100000">
                  <a:srgbClr val="760303"/>
                </a:gs>
              </a:gsLst>
            </a:gradFill>
          </a:ln>
          <a:extLst>
            <a:ext uri="{909E8E84-426E-40DD-AFC4-6F175D3DCCD1}">
              <a14:hiddenFill xmlns:a14="http://schemas.microsoft.com/office/drawing/2010/main">
                <a:solidFill>
                  <a:schemeClr val="accent1"/>
                </a:solidFill>
              </a14:hiddenFill>
            </a:ext>
          </a:extLst>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p>
            <a:pPr algn="l"/>
            <a:endParaRPr lang="en-US" sz="1100"/>
          </a:p>
        </xdr:txBody>
      </xdr:sp>
    </xdr:grpSp>
    <xdr:clientData/>
  </xdr:twoCellAnchor>
  <xdr:oneCellAnchor>
    <xdr:from>
      <xdr:col>10</xdr:col>
      <xdr:colOff>25456</xdr:colOff>
      <xdr:row>302</xdr:row>
      <xdr:rowOff>135511</xdr:rowOff>
    </xdr:from>
    <xdr:ext cx="5848911" cy="5648324"/>
    <xdr:pic>
      <xdr:nvPicPr>
        <xdr:cNvPr id="45" name="Picture 44"/>
        <xdr:cNvPicPr>
          <a:picLocks noChangeAspect="1"/>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t="1918"/>
        <a:stretch/>
      </xdr:blipFill>
      <xdr:spPr>
        <a:xfrm>
          <a:off x="8261780" y="57117423"/>
          <a:ext cx="5848911" cy="5648324"/>
        </a:xfrm>
        <a:prstGeom prst="rect">
          <a:avLst/>
        </a:prstGeom>
        <a:ln>
          <a:solidFill>
            <a:schemeClr val="tx1"/>
          </a:solidFill>
        </a:ln>
      </xdr:spPr>
    </xdr:pic>
    <xdr:clientData/>
  </xdr:oneCellAnchor>
  <xdr:twoCellAnchor>
    <xdr:from>
      <xdr:col>16</xdr:col>
      <xdr:colOff>246290</xdr:colOff>
      <xdr:row>319</xdr:row>
      <xdr:rowOff>85726</xdr:rowOff>
    </xdr:from>
    <xdr:to>
      <xdr:col>23</xdr:col>
      <xdr:colOff>158479</xdr:colOff>
      <xdr:row>342</xdr:row>
      <xdr:rowOff>25763</xdr:rowOff>
    </xdr:to>
    <xdr:grpSp>
      <xdr:nvGrpSpPr>
        <xdr:cNvPr id="49" name="Group 48"/>
        <xdr:cNvGrpSpPr/>
      </xdr:nvGrpSpPr>
      <xdr:grpSpPr>
        <a:xfrm>
          <a:off x="13872643" y="60720755"/>
          <a:ext cx="4383336" cy="4579273"/>
          <a:chOff x="942975" y="52383773"/>
          <a:chExt cx="4398286" cy="4525645"/>
        </a:xfrm>
      </xdr:grpSpPr>
      <xdr:grpSp>
        <xdr:nvGrpSpPr>
          <xdr:cNvPr id="50" name="Group 49"/>
          <xdr:cNvGrpSpPr/>
        </xdr:nvGrpSpPr>
        <xdr:grpSpPr>
          <a:xfrm>
            <a:off x="942975" y="52383773"/>
            <a:ext cx="4398286" cy="4525645"/>
            <a:chOff x="1470" y="86565"/>
            <a:chExt cx="6931" cy="7172"/>
          </a:xfrm>
        </xdr:grpSpPr>
        <xdr:pic>
          <xdr:nvPicPr>
            <xdr:cNvPr id="53" name="Picture 19"/>
            <xdr:cNvPicPr>
              <a:picLocks noChangeAspect="1" noChangeArrowheads="1"/>
            </xdr:cNvPicPr>
          </xdr:nvPicPr>
          <xdr:blipFill>
            <a:blip xmlns:r="http://schemas.openxmlformats.org/officeDocument/2006/relationships" r:embed="rId9"/>
            <a:srcRect/>
            <a:stretch>
              <a:fillRect/>
            </a:stretch>
          </xdr:blipFill>
          <xdr:spPr>
            <a:xfrm>
              <a:off x="1470" y="86565"/>
              <a:ext cx="6931" cy="7172"/>
            </a:xfrm>
            <a:prstGeom prst="rect">
              <a:avLst/>
            </a:prstGeom>
            <a:noFill/>
            <a:ln w="9525">
              <a:solidFill>
                <a:schemeClr val="tx1"/>
              </a:solidFill>
              <a:miter lim="800000"/>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pic>
        <xdr:sp macro="" textlink="">
          <xdr:nvSpPr>
            <xdr:cNvPr id="54" name="Rectangles 34"/>
            <xdr:cNvSpPr/>
          </xdr:nvSpPr>
          <xdr:spPr>
            <a:xfrm rot="18177973">
              <a:off x="4437" y="90718"/>
              <a:ext cx="627" cy="1133"/>
            </a:xfrm>
            <a:prstGeom prst="rect">
              <a:avLst/>
            </a:prstGeom>
            <a:noFill/>
            <a:ln w="28575">
              <a:solidFill>
                <a:srgbClr val="FF0000"/>
              </a:solidFill>
            </a:ln>
            <a:extLst>
              <a:ext uri="{909E8E84-426E-40DD-AFC4-6F175D3DCCD1}">
                <a14:hiddenFill xmlns:a14="http://schemas.microsoft.com/office/drawing/2010/main">
                  <a:solidFill>
                    <a:schemeClr val="accent1"/>
                  </a:solidFill>
                </a14:hiddenFill>
              </a:ext>
            </a:extLst>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en-US" sz="1100"/>
            </a:p>
          </xdr:txBody>
        </xdr:sp>
        <xdr:sp macro="" textlink="">
          <xdr:nvSpPr>
            <xdr:cNvPr id="55" name="Rectangles 34"/>
            <xdr:cNvSpPr/>
          </xdr:nvSpPr>
          <xdr:spPr>
            <a:xfrm rot="12972545">
              <a:off x="3479" y="90379"/>
              <a:ext cx="589" cy="1488"/>
            </a:xfrm>
            <a:prstGeom prst="rect">
              <a:avLst/>
            </a:prstGeom>
            <a:noFill/>
            <a:ln w="28575">
              <a:solidFill>
                <a:srgbClr val="0000FF"/>
              </a:solidFill>
            </a:ln>
            <a:extLst>
              <a:ext uri="{909E8E84-426E-40DD-AFC4-6F175D3DCCD1}">
                <a14:hiddenFill xmlns:a14="http://schemas.microsoft.com/office/drawing/2010/main">
                  <a:solidFill>
                    <a:schemeClr val="accent1"/>
                  </a:solidFill>
                </a14:hiddenFill>
              </a:ext>
            </a:extLst>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en-US" sz="1100"/>
            </a:p>
          </xdr:txBody>
        </xdr:sp>
      </xdr:grpSp>
      <xdr:sp macro="" textlink="">
        <xdr:nvSpPr>
          <xdr:cNvPr id="51" name="TextBox 9"/>
          <xdr:cNvSpPr txBox="1"/>
        </xdr:nvSpPr>
        <xdr:spPr>
          <a:xfrm rot="1715826">
            <a:off x="2860742" y="54985374"/>
            <a:ext cx="887695" cy="358494"/>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latin typeface="Times New Roman" panose="02020603050405020304" pitchFamily="18" charset="0"/>
                <a:cs typeface="Times New Roman" panose="02020603050405020304" pitchFamily="18" charset="0"/>
              </a:rPr>
              <a:t>Wing</a:t>
            </a:r>
            <a:r>
              <a:rPr lang="en-US" sz="1400" b="1" baseline="0">
                <a:solidFill>
                  <a:srgbClr val="FF0000"/>
                </a:solidFill>
                <a:latin typeface="Times New Roman" panose="02020603050405020304" pitchFamily="18" charset="0"/>
                <a:cs typeface="Times New Roman" panose="02020603050405020304" pitchFamily="18" charset="0"/>
              </a:rPr>
              <a:t> B</a:t>
            </a:r>
            <a:endParaRPr lang="en-IN" sz="1400" b="1">
              <a:solidFill>
                <a:srgbClr val="FF0000"/>
              </a:solidFill>
              <a:latin typeface="Times New Roman" panose="02020603050405020304" pitchFamily="18" charset="0"/>
              <a:cs typeface="Times New Roman" panose="02020603050405020304" pitchFamily="18" charset="0"/>
            </a:endParaRPr>
          </a:p>
        </xdr:txBody>
      </xdr:sp>
      <xdr:sp macro="" textlink="">
        <xdr:nvSpPr>
          <xdr:cNvPr id="52" name="TextBox 9"/>
          <xdr:cNvSpPr txBox="1"/>
        </xdr:nvSpPr>
        <xdr:spPr>
          <a:xfrm rot="18638806">
            <a:off x="1777819" y="54815518"/>
            <a:ext cx="973783" cy="358494"/>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0000FF"/>
                </a:solidFill>
                <a:latin typeface="Times New Roman" panose="02020603050405020304" pitchFamily="18" charset="0"/>
                <a:cs typeface="Times New Roman" panose="02020603050405020304" pitchFamily="18" charset="0"/>
              </a:rPr>
              <a:t>Wing</a:t>
            </a:r>
            <a:r>
              <a:rPr lang="en-US" sz="1400" b="1" baseline="0">
                <a:solidFill>
                  <a:srgbClr val="0000FF"/>
                </a:solidFill>
                <a:latin typeface="Times New Roman" panose="02020603050405020304" pitchFamily="18" charset="0"/>
                <a:cs typeface="Times New Roman" panose="02020603050405020304" pitchFamily="18" charset="0"/>
              </a:rPr>
              <a:t> A</a:t>
            </a:r>
            <a:endParaRPr lang="en-IN" sz="1400" b="1">
              <a:solidFill>
                <a:srgbClr val="0000FF"/>
              </a:solidFill>
              <a:latin typeface="Times New Roman" panose="02020603050405020304" pitchFamily="18" charset="0"/>
              <a:cs typeface="Times New Roman" panose="02020603050405020304" pitchFamily="18" charset="0"/>
            </a:endParaRPr>
          </a:p>
        </xdr:txBody>
      </xdr:sp>
    </xdr:grpSp>
    <xdr:clientData/>
  </xdr:twoCellAnchor>
  <xdr:twoCellAnchor>
    <xdr:from>
      <xdr:col>0</xdr:col>
      <xdr:colOff>503465</xdr:colOff>
      <xdr:row>300</xdr:row>
      <xdr:rowOff>40821</xdr:rowOff>
    </xdr:from>
    <xdr:to>
      <xdr:col>7</xdr:col>
      <xdr:colOff>396216</xdr:colOff>
      <xdr:row>341</xdr:row>
      <xdr:rowOff>136071</xdr:rowOff>
    </xdr:to>
    <xdr:grpSp>
      <xdr:nvGrpSpPr>
        <xdr:cNvPr id="57" name="Group 56"/>
        <xdr:cNvGrpSpPr/>
      </xdr:nvGrpSpPr>
      <xdr:grpSpPr>
        <a:xfrm>
          <a:off x="503465" y="56843439"/>
          <a:ext cx="5473280" cy="8365191"/>
          <a:chOff x="369000" y="17585"/>
          <a:chExt cx="6120000" cy="11470556"/>
        </a:xfrm>
      </xdr:grpSpPr>
      <xdr:grpSp>
        <xdr:nvGrpSpPr>
          <xdr:cNvPr id="58" name="Group 57"/>
          <xdr:cNvGrpSpPr/>
        </xdr:nvGrpSpPr>
        <xdr:grpSpPr>
          <a:xfrm>
            <a:off x="369000" y="17585"/>
            <a:ext cx="6120000" cy="7200000"/>
            <a:chOff x="0" y="615583"/>
            <a:chExt cx="6858000" cy="7912833"/>
          </a:xfrm>
        </xdr:grpSpPr>
        <xdr:pic>
          <xdr:nvPicPr>
            <xdr:cNvPr id="60" name="Picture 59"/>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0" y="615583"/>
              <a:ext cx="6858000" cy="7912833"/>
            </a:xfrm>
            <a:prstGeom prst="rect">
              <a:avLst/>
            </a:prstGeom>
            <a:ln>
              <a:solidFill>
                <a:schemeClr val="tx1"/>
              </a:solidFill>
            </a:ln>
          </xdr:spPr>
        </xdr:pic>
        <xdr:sp macro="" textlink="">
          <xdr:nvSpPr>
            <xdr:cNvPr id="61" name="Rectangle 4"/>
            <xdr:cNvSpPr/>
          </xdr:nvSpPr>
          <xdr:spPr>
            <a:xfrm rot="2321989">
              <a:off x="1556943" y="4816013"/>
              <a:ext cx="696536" cy="1680196"/>
            </a:xfrm>
            <a:custGeom>
              <a:avLst/>
              <a:gdLst>
                <a:gd name="connsiteX0" fmla="*/ 0 w 614403"/>
                <a:gd name="connsiteY0" fmla="*/ 0 h 1550553"/>
                <a:gd name="connsiteX1" fmla="*/ 614403 w 614403"/>
                <a:gd name="connsiteY1" fmla="*/ 0 h 1550553"/>
                <a:gd name="connsiteX2" fmla="*/ 614403 w 614403"/>
                <a:gd name="connsiteY2" fmla="*/ 1550553 h 1550553"/>
                <a:gd name="connsiteX3" fmla="*/ 0 w 614403"/>
                <a:gd name="connsiteY3" fmla="*/ 1550553 h 1550553"/>
                <a:gd name="connsiteX4" fmla="*/ 0 w 614403"/>
                <a:gd name="connsiteY4" fmla="*/ 0 h 1550553"/>
                <a:gd name="connsiteX0" fmla="*/ 0 w 614403"/>
                <a:gd name="connsiteY0" fmla="*/ 0 h 1618498"/>
                <a:gd name="connsiteX1" fmla="*/ 614403 w 614403"/>
                <a:gd name="connsiteY1" fmla="*/ 0 h 1618498"/>
                <a:gd name="connsiteX2" fmla="*/ 595608 w 614403"/>
                <a:gd name="connsiteY2" fmla="*/ 1618498 h 1618498"/>
                <a:gd name="connsiteX3" fmla="*/ 0 w 614403"/>
                <a:gd name="connsiteY3" fmla="*/ 1550553 h 1618498"/>
                <a:gd name="connsiteX4" fmla="*/ 0 w 614403"/>
                <a:gd name="connsiteY4" fmla="*/ 0 h 1618498"/>
                <a:gd name="connsiteX0" fmla="*/ 43 w 614403"/>
                <a:gd name="connsiteY0" fmla="*/ 60989 h 1618498"/>
                <a:gd name="connsiteX1" fmla="*/ 614403 w 614403"/>
                <a:gd name="connsiteY1" fmla="*/ 0 h 1618498"/>
                <a:gd name="connsiteX2" fmla="*/ 595608 w 614403"/>
                <a:gd name="connsiteY2" fmla="*/ 1618498 h 1618498"/>
                <a:gd name="connsiteX3" fmla="*/ 0 w 614403"/>
                <a:gd name="connsiteY3" fmla="*/ 1550553 h 1618498"/>
                <a:gd name="connsiteX4" fmla="*/ 43 w 614403"/>
                <a:gd name="connsiteY4" fmla="*/ 60989 h 1618498"/>
                <a:gd name="connsiteX0" fmla="*/ 43 w 608448"/>
                <a:gd name="connsiteY0" fmla="*/ 68423 h 1625932"/>
                <a:gd name="connsiteX1" fmla="*/ 608448 w 608448"/>
                <a:gd name="connsiteY1" fmla="*/ 0 h 1625932"/>
                <a:gd name="connsiteX2" fmla="*/ 595608 w 608448"/>
                <a:gd name="connsiteY2" fmla="*/ 1625932 h 1625932"/>
                <a:gd name="connsiteX3" fmla="*/ 0 w 608448"/>
                <a:gd name="connsiteY3" fmla="*/ 1557987 h 1625932"/>
                <a:gd name="connsiteX4" fmla="*/ 43 w 608448"/>
                <a:gd name="connsiteY4" fmla="*/ 68423 h 1625932"/>
                <a:gd name="connsiteX0" fmla="*/ 0 w 628242"/>
                <a:gd name="connsiteY0" fmla="*/ 63974 h 1625932"/>
                <a:gd name="connsiteX1" fmla="*/ 628242 w 628242"/>
                <a:gd name="connsiteY1" fmla="*/ 0 h 1625932"/>
                <a:gd name="connsiteX2" fmla="*/ 615402 w 628242"/>
                <a:gd name="connsiteY2" fmla="*/ 1625932 h 1625932"/>
                <a:gd name="connsiteX3" fmla="*/ 19794 w 628242"/>
                <a:gd name="connsiteY3" fmla="*/ 1557987 h 1625932"/>
                <a:gd name="connsiteX4" fmla="*/ 0 w 628242"/>
                <a:gd name="connsiteY4" fmla="*/ 63974 h 162593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28242" h="1625932">
                  <a:moveTo>
                    <a:pt x="0" y="63974"/>
                  </a:moveTo>
                  <a:lnTo>
                    <a:pt x="628242" y="0"/>
                  </a:lnTo>
                  <a:lnTo>
                    <a:pt x="615402" y="1625932"/>
                  </a:lnTo>
                  <a:lnTo>
                    <a:pt x="19794" y="1557987"/>
                  </a:lnTo>
                  <a:cubicBezTo>
                    <a:pt x="19808" y="1061466"/>
                    <a:pt x="-14" y="560495"/>
                    <a:pt x="0" y="63974"/>
                  </a:cubicBezTo>
                  <a:close/>
                </a:path>
              </a:pathLst>
            </a:cu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62" name="Rectangle 4"/>
            <xdr:cNvSpPr/>
          </xdr:nvSpPr>
          <xdr:spPr>
            <a:xfrm rot="1941981">
              <a:off x="2424431" y="5459257"/>
              <a:ext cx="1204146" cy="688485"/>
            </a:xfrm>
            <a:custGeom>
              <a:avLst/>
              <a:gdLst>
                <a:gd name="connsiteX0" fmla="*/ 0 w 614403"/>
                <a:gd name="connsiteY0" fmla="*/ 0 h 1550553"/>
                <a:gd name="connsiteX1" fmla="*/ 614403 w 614403"/>
                <a:gd name="connsiteY1" fmla="*/ 0 h 1550553"/>
                <a:gd name="connsiteX2" fmla="*/ 614403 w 614403"/>
                <a:gd name="connsiteY2" fmla="*/ 1550553 h 1550553"/>
                <a:gd name="connsiteX3" fmla="*/ 0 w 614403"/>
                <a:gd name="connsiteY3" fmla="*/ 1550553 h 1550553"/>
                <a:gd name="connsiteX4" fmla="*/ 0 w 614403"/>
                <a:gd name="connsiteY4" fmla="*/ 0 h 1550553"/>
                <a:gd name="connsiteX0" fmla="*/ 0 w 614403"/>
                <a:gd name="connsiteY0" fmla="*/ 0 h 1618498"/>
                <a:gd name="connsiteX1" fmla="*/ 614403 w 614403"/>
                <a:gd name="connsiteY1" fmla="*/ 0 h 1618498"/>
                <a:gd name="connsiteX2" fmla="*/ 595608 w 614403"/>
                <a:gd name="connsiteY2" fmla="*/ 1618498 h 1618498"/>
                <a:gd name="connsiteX3" fmla="*/ 0 w 614403"/>
                <a:gd name="connsiteY3" fmla="*/ 1550553 h 1618498"/>
                <a:gd name="connsiteX4" fmla="*/ 0 w 614403"/>
                <a:gd name="connsiteY4" fmla="*/ 0 h 1618498"/>
                <a:gd name="connsiteX0" fmla="*/ 43 w 614403"/>
                <a:gd name="connsiteY0" fmla="*/ 60989 h 1618498"/>
                <a:gd name="connsiteX1" fmla="*/ 614403 w 614403"/>
                <a:gd name="connsiteY1" fmla="*/ 0 h 1618498"/>
                <a:gd name="connsiteX2" fmla="*/ 595608 w 614403"/>
                <a:gd name="connsiteY2" fmla="*/ 1618498 h 1618498"/>
                <a:gd name="connsiteX3" fmla="*/ 0 w 614403"/>
                <a:gd name="connsiteY3" fmla="*/ 1550553 h 1618498"/>
                <a:gd name="connsiteX4" fmla="*/ 43 w 614403"/>
                <a:gd name="connsiteY4" fmla="*/ 60989 h 1618498"/>
                <a:gd name="connsiteX0" fmla="*/ 43 w 608448"/>
                <a:gd name="connsiteY0" fmla="*/ 68423 h 1625932"/>
                <a:gd name="connsiteX1" fmla="*/ 608448 w 608448"/>
                <a:gd name="connsiteY1" fmla="*/ 0 h 1625932"/>
                <a:gd name="connsiteX2" fmla="*/ 595608 w 608448"/>
                <a:gd name="connsiteY2" fmla="*/ 1625932 h 1625932"/>
                <a:gd name="connsiteX3" fmla="*/ 0 w 608448"/>
                <a:gd name="connsiteY3" fmla="*/ 1557987 h 1625932"/>
                <a:gd name="connsiteX4" fmla="*/ 43 w 608448"/>
                <a:gd name="connsiteY4" fmla="*/ 68423 h 1625932"/>
                <a:gd name="connsiteX0" fmla="*/ 0 w 628242"/>
                <a:gd name="connsiteY0" fmla="*/ 63974 h 1625932"/>
                <a:gd name="connsiteX1" fmla="*/ 628242 w 628242"/>
                <a:gd name="connsiteY1" fmla="*/ 0 h 1625932"/>
                <a:gd name="connsiteX2" fmla="*/ 615402 w 628242"/>
                <a:gd name="connsiteY2" fmla="*/ 1625932 h 1625932"/>
                <a:gd name="connsiteX3" fmla="*/ 19794 w 628242"/>
                <a:gd name="connsiteY3" fmla="*/ 1557987 h 1625932"/>
                <a:gd name="connsiteX4" fmla="*/ 0 w 628242"/>
                <a:gd name="connsiteY4" fmla="*/ 63974 h 1625932"/>
                <a:gd name="connsiteX0" fmla="*/ 1978 w 608448"/>
                <a:gd name="connsiteY0" fmla="*/ 16617 h 1625932"/>
                <a:gd name="connsiteX1" fmla="*/ 608448 w 608448"/>
                <a:gd name="connsiteY1" fmla="*/ 0 h 1625932"/>
                <a:gd name="connsiteX2" fmla="*/ 595608 w 608448"/>
                <a:gd name="connsiteY2" fmla="*/ 1625932 h 1625932"/>
                <a:gd name="connsiteX3" fmla="*/ 0 w 608448"/>
                <a:gd name="connsiteY3" fmla="*/ 1557987 h 1625932"/>
                <a:gd name="connsiteX4" fmla="*/ 1978 w 608448"/>
                <a:gd name="connsiteY4" fmla="*/ 16617 h 1625932"/>
                <a:gd name="connsiteX0" fmla="*/ 2699 w 608448"/>
                <a:gd name="connsiteY0" fmla="*/ 70595 h 1625932"/>
                <a:gd name="connsiteX1" fmla="*/ 608448 w 608448"/>
                <a:gd name="connsiteY1" fmla="*/ 0 h 1625932"/>
                <a:gd name="connsiteX2" fmla="*/ 595608 w 608448"/>
                <a:gd name="connsiteY2" fmla="*/ 1625932 h 1625932"/>
                <a:gd name="connsiteX3" fmla="*/ 0 w 608448"/>
                <a:gd name="connsiteY3" fmla="*/ 1557987 h 1625932"/>
                <a:gd name="connsiteX4" fmla="*/ 2699 w 608448"/>
                <a:gd name="connsiteY4" fmla="*/ 70595 h 1625932"/>
                <a:gd name="connsiteX0" fmla="*/ 7140 w 612889"/>
                <a:gd name="connsiteY0" fmla="*/ 70595 h 1625932"/>
                <a:gd name="connsiteX1" fmla="*/ 612889 w 612889"/>
                <a:gd name="connsiteY1" fmla="*/ 0 h 1625932"/>
                <a:gd name="connsiteX2" fmla="*/ 600049 w 612889"/>
                <a:gd name="connsiteY2" fmla="*/ 1625932 h 1625932"/>
                <a:gd name="connsiteX3" fmla="*/ 0 w 612889"/>
                <a:gd name="connsiteY3" fmla="*/ 1508005 h 1625932"/>
                <a:gd name="connsiteX4" fmla="*/ 7140 w 612889"/>
                <a:gd name="connsiteY4" fmla="*/ 70595 h 1625932"/>
                <a:gd name="connsiteX0" fmla="*/ 7140 w 612889"/>
                <a:gd name="connsiteY0" fmla="*/ 70595 h 1518408"/>
                <a:gd name="connsiteX1" fmla="*/ 612889 w 612889"/>
                <a:gd name="connsiteY1" fmla="*/ 0 h 1518408"/>
                <a:gd name="connsiteX2" fmla="*/ 602976 w 612889"/>
                <a:gd name="connsiteY2" fmla="*/ 1518409 h 1518408"/>
                <a:gd name="connsiteX3" fmla="*/ 0 w 612889"/>
                <a:gd name="connsiteY3" fmla="*/ 1508005 h 1518408"/>
                <a:gd name="connsiteX4" fmla="*/ 7140 w 612889"/>
                <a:gd name="connsiteY4" fmla="*/ 70595 h 151840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12889" h="1518408">
                  <a:moveTo>
                    <a:pt x="7140" y="70595"/>
                  </a:moveTo>
                  <a:lnTo>
                    <a:pt x="612889" y="0"/>
                  </a:lnTo>
                  <a:cubicBezTo>
                    <a:pt x="609585" y="506136"/>
                    <a:pt x="606280" y="1012273"/>
                    <a:pt x="602976" y="1518409"/>
                  </a:cubicBezTo>
                  <a:lnTo>
                    <a:pt x="0" y="1508005"/>
                  </a:lnTo>
                  <a:cubicBezTo>
                    <a:pt x="14" y="1011484"/>
                    <a:pt x="7126" y="567116"/>
                    <a:pt x="7140" y="70595"/>
                  </a:cubicBezTo>
                  <a:close/>
                </a:path>
              </a:pathLst>
            </a:cu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63" name="TextBox 5"/>
            <xdr:cNvSpPr txBox="1"/>
          </xdr:nvSpPr>
          <xdr:spPr>
            <a:xfrm rot="18529917">
              <a:off x="649010" y="4897743"/>
              <a:ext cx="1653284" cy="46858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A</a:t>
              </a:r>
              <a:endParaRPr lang="en-IN" b="1">
                <a:solidFill>
                  <a:srgbClr val="FF0000"/>
                </a:solidFill>
              </a:endParaRPr>
            </a:p>
          </xdr:txBody>
        </xdr:sp>
        <xdr:sp macro="" textlink="">
          <xdr:nvSpPr>
            <xdr:cNvPr id="64" name="TextBox 13"/>
            <xdr:cNvSpPr txBox="1"/>
          </xdr:nvSpPr>
          <xdr:spPr>
            <a:xfrm rot="1852122">
              <a:off x="2743666" y="5162343"/>
              <a:ext cx="1406035" cy="5572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00B0F0"/>
                  </a:solidFill>
                </a:rPr>
                <a:t>Wing B</a:t>
              </a:r>
              <a:endParaRPr lang="en-IN" b="1">
                <a:solidFill>
                  <a:srgbClr val="00B0F0"/>
                </a:solidFill>
              </a:endParaRPr>
            </a:p>
          </xdr:txBody>
        </xdr:sp>
      </xdr:grpSp>
      <xdr:pic>
        <xdr:nvPicPr>
          <xdr:cNvPr id="59" name="Picture 58"/>
          <xdr:cNvPicPr>
            <a:picLocks noChangeAspect="1"/>
          </xdr:cNvPicPr>
        </xdr:nvPicPr>
        <xdr:blipFill>
          <a:blip xmlns:r="http://schemas.openxmlformats.org/officeDocument/2006/relationships" r:embed="rId13"/>
          <a:stretch>
            <a:fillRect/>
          </a:stretch>
        </xdr:blipFill>
        <xdr:spPr>
          <a:xfrm>
            <a:off x="1238608" y="7373678"/>
            <a:ext cx="4312955" cy="4114463"/>
          </a:xfrm>
          <a:prstGeom prst="rect">
            <a:avLst/>
          </a:prstGeom>
          <a:ln>
            <a:solidFill>
              <a:schemeClr val="tx1"/>
            </a:solidFill>
          </a:ln>
        </xdr:spPr>
      </xdr:pic>
    </xdr:grpSp>
    <xdr:clientData/>
  </xdr:twoCellAnchor>
  <xdr:twoCellAnchor editAs="oneCell">
    <xdr:from>
      <xdr:col>11</xdr:col>
      <xdr:colOff>149599</xdr:colOff>
      <xdr:row>100</xdr:row>
      <xdr:rowOff>1680</xdr:rowOff>
    </xdr:from>
    <xdr:to>
      <xdr:col>12</xdr:col>
      <xdr:colOff>731555</xdr:colOff>
      <xdr:row>135</xdr:row>
      <xdr:rowOff>499980</xdr:rowOff>
    </xdr:to>
    <xdr:pic>
      <xdr:nvPicPr>
        <xdr:cNvPr id="7" name="Picture 6"/>
        <xdr:cNvPicPr>
          <a:picLocks noChangeAspect="1"/>
        </xdr:cNvPicPr>
      </xdr:nvPicPr>
      <xdr:blipFill>
        <a:blip xmlns:r="http://schemas.openxmlformats.org/officeDocument/2006/relationships" r:embed="rId14"/>
        <a:stretch>
          <a:fillRect/>
        </a:stretch>
      </xdr:blipFill>
      <xdr:spPr>
        <a:xfrm>
          <a:off x="9629775" y="21225621"/>
          <a:ext cx="1500839" cy="2929976"/>
        </a:xfrm>
        <a:prstGeom prst="rect">
          <a:avLst/>
        </a:prstGeom>
      </xdr:spPr>
    </xdr:pic>
    <xdr:clientData/>
  </xdr:twoCellAnchor>
  <xdr:twoCellAnchor>
    <xdr:from>
      <xdr:col>0</xdr:col>
      <xdr:colOff>414069</xdr:colOff>
      <xdr:row>256</xdr:row>
      <xdr:rowOff>72536</xdr:rowOff>
    </xdr:from>
    <xdr:to>
      <xdr:col>7</xdr:col>
      <xdr:colOff>465388</xdr:colOff>
      <xdr:row>298</xdr:row>
      <xdr:rowOff>47965</xdr:rowOff>
    </xdr:to>
    <xdr:grpSp>
      <xdr:nvGrpSpPr>
        <xdr:cNvPr id="16" name="Group 15"/>
        <xdr:cNvGrpSpPr/>
      </xdr:nvGrpSpPr>
      <xdr:grpSpPr>
        <a:xfrm>
          <a:off x="414069" y="48011301"/>
          <a:ext cx="5631848" cy="8435870"/>
          <a:chOff x="404544" y="47402261"/>
          <a:chExt cx="5632969" cy="8366954"/>
        </a:xfrm>
      </xdr:grpSpPr>
      <xdr:grpSp>
        <xdr:nvGrpSpPr>
          <xdr:cNvPr id="14" name="Group 13"/>
          <xdr:cNvGrpSpPr/>
        </xdr:nvGrpSpPr>
        <xdr:grpSpPr>
          <a:xfrm>
            <a:off x="404544" y="47402261"/>
            <a:ext cx="5632969" cy="8366954"/>
            <a:chOff x="404544" y="46947132"/>
            <a:chExt cx="5633797" cy="8316016"/>
          </a:xfrm>
        </xdr:grpSpPr>
        <xdr:pic>
          <xdr:nvPicPr>
            <xdr:cNvPr id="56" name="Picture 55" descr="https://vsjcllp.vsjadon.com/upload/insp-249621-1525.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4572318" y="53345543"/>
              <a:ext cx="1449139" cy="191298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5" name="Picture 64" descr="https://vsjcllp.vsjadon.com/upload/insp-249621-843.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a:ext>
              </a:extLst>
            </a:blip>
            <a:srcRect/>
            <a:stretch>
              <a:fillRect/>
            </a:stretch>
          </xdr:blipFill>
          <xdr:spPr bwMode="auto">
            <a:xfrm>
              <a:off x="484851" y="50695495"/>
              <a:ext cx="3444332" cy="257130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6" name="Picture 65" descr="https://vsjcllp.vsjadon.com/upload/insp-249621-845.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a:ext>
              </a:extLst>
            </a:blip>
            <a:srcRect/>
            <a:stretch>
              <a:fillRect/>
            </a:stretch>
          </xdr:blipFill>
          <xdr:spPr bwMode="auto">
            <a:xfrm>
              <a:off x="404544" y="53344224"/>
              <a:ext cx="2563190" cy="191102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7" name="Picture 66" descr="https://vsjcllp.vsjadon.com/upload/insp-249621-849.jp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a:ext>
              </a:extLst>
            </a:blip>
            <a:srcRect/>
            <a:stretch>
              <a:fillRect/>
            </a:stretch>
          </xdr:blipFill>
          <xdr:spPr bwMode="auto">
            <a:xfrm>
              <a:off x="4013369" y="50694153"/>
              <a:ext cx="1939529" cy="257130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8" name="Picture 67" descr="https://vsjcllp.vsjadon.com/upload/insp-249621-861.jpg"/>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a:ext>
              </a:extLst>
            </a:blip>
            <a:srcRect/>
            <a:stretch>
              <a:fillRect/>
            </a:stretch>
          </xdr:blipFill>
          <xdr:spPr bwMode="auto">
            <a:xfrm>
              <a:off x="447836" y="46951528"/>
              <a:ext cx="2756195" cy="365259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9" name="Picture 68" descr="https://vsjcllp.vsjadon.com/upload/insp-249621-1512.jpg"/>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a:ext>
              </a:extLst>
            </a:blip>
            <a:srcRect/>
            <a:stretch>
              <a:fillRect/>
            </a:stretch>
          </xdr:blipFill>
          <xdr:spPr bwMode="auto">
            <a:xfrm>
              <a:off x="3059213" y="53352119"/>
              <a:ext cx="1432389" cy="191102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0" name="Picture 69" descr="https://vsjcllp.vsjadon.com/upload/insp-249621-851.jpg"/>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a:ext>
              </a:extLst>
            </a:blip>
            <a:srcRect/>
            <a:stretch>
              <a:fillRect/>
            </a:stretch>
          </xdr:blipFill>
          <xdr:spPr bwMode="auto">
            <a:xfrm>
              <a:off x="3289631" y="46947132"/>
              <a:ext cx="2748710" cy="365259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15" name="TextBox 14"/>
          <xdr:cNvSpPr txBox="1"/>
        </xdr:nvSpPr>
        <xdr:spPr>
          <a:xfrm>
            <a:off x="1638299" y="47586900"/>
            <a:ext cx="723901" cy="247650"/>
          </a:xfrm>
          <a:prstGeom prst="rect">
            <a:avLst/>
          </a:prstGeom>
          <a:solidFill>
            <a:schemeClr val="tx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solidFill>
                  <a:srgbClr val="FF0000"/>
                </a:solidFill>
              </a:rPr>
              <a:t>Wing</a:t>
            </a:r>
            <a:r>
              <a:rPr lang="en-IN" sz="1200" b="1" baseline="0">
                <a:solidFill>
                  <a:srgbClr val="FF0000"/>
                </a:solidFill>
              </a:rPr>
              <a:t> A</a:t>
            </a:r>
            <a:endParaRPr lang="en-IN" sz="1200" b="1">
              <a:solidFill>
                <a:srgbClr val="FF0000"/>
              </a:solidFill>
            </a:endParaRPr>
          </a:p>
        </xdr:txBody>
      </xdr:sp>
      <xdr:sp macro="" textlink="">
        <xdr:nvSpPr>
          <xdr:cNvPr id="79" name="TextBox 78"/>
          <xdr:cNvSpPr txBox="1"/>
        </xdr:nvSpPr>
        <xdr:spPr>
          <a:xfrm>
            <a:off x="585519" y="47916611"/>
            <a:ext cx="723901" cy="247650"/>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solidFill>
                  <a:srgbClr val="FF0000"/>
                </a:solidFill>
              </a:rPr>
              <a:t>Wing</a:t>
            </a:r>
            <a:r>
              <a:rPr lang="en-IN" sz="1200" b="1" baseline="0">
                <a:solidFill>
                  <a:srgbClr val="FF0000"/>
                </a:solidFill>
              </a:rPr>
              <a:t> B</a:t>
            </a:r>
            <a:endParaRPr lang="en-IN" sz="1200" b="1">
              <a:solidFill>
                <a:srgbClr val="FF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36269"/>
        <a:stretch>
          <a:fillRect/>
        </a:stretch>
      </xdr:blipFill>
      <xdr:spPr>
        <a:xfrm>
          <a:off x="9903460" y="358140"/>
          <a:ext cx="3246755" cy="4318635"/>
        </a:xfrm>
        <a:prstGeom prst="rect">
          <a:avLst/>
        </a:prstGeom>
      </xdr:spPr>
    </xdr:pic>
    <xdr:clientData/>
  </xdr:twoCellAnchor>
  <xdr:twoCellAnchor editAs="oneCell">
    <xdr:from>
      <xdr:col>1</xdr:col>
      <xdr:colOff>1109381</xdr:colOff>
      <xdr:row>9</xdr:row>
      <xdr:rowOff>56030</xdr:rowOff>
    </xdr:from>
    <xdr:to>
      <xdr:col>5</xdr:col>
      <xdr:colOff>928024</xdr:colOff>
      <xdr:row>27</xdr:row>
      <xdr:rowOff>8877</xdr:rowOff>
    </xdr:to>
    <xdr:pic>
      <xdr:nvPicPr>
        <xdr:cNvPr id="3" name="Picture 2"/>
        <xdr:cNvPicPr>
          <a:picLocks noChangeAspect="1"/>
        </xdr:cNvPicPr>
      </xdr:nvPicPr>
      <xdr:blipFill>
        <a:blip xmlns:r="http://schemas.openxmlformats.org/officeDocument/2006/relationships" r:embed="rId2"/>
        <a:stretch>
          <a:fillRect/>
        </a:stretch>
      </xdr:blipFill>
      <xdr:spPr>
        <a:xfrm>
          <a:off x="1692087" y="1781736"/>
          <a:ext cx="5287113" cy="3381847"/>
        </a:xfrm>
        <a:prstGeom prst="rect">
          <a:avLst/>
        </a:prstGeom>
      </xdr:spPr>
    </xdr:pic>
    <xdr:clientData/>
  </xdr:twoCellAnchor>
  <xdr:twoCellAnchor editAs="oneCell">
    <xdr:from>
      <xdr:col>11</xdr:col>
      <xdr:colOff>527476</xdr:colOff>
      <xdr:row>22</xdr:row>
      <xdr:rowOff>135272</xdr:rowOff>
    </xdr:from>
    <xdr:to>
      <xdr:col>19</xdr:col>
      <xdr:colOff>82791</xdr:colOff>
      <xdr:row>40</xdr:row>
      <xdr:rowOff>164330</xdr:rowOff>
    </xdr:to>
    <xdr:pic>
      <xdr:nvPicPr>
        <xdr:cNvPr id="4" name="Picture 3"/>
        <xdr:cNvPicPr>
          <a:picLocks noChangeAspect="1"/>
        </xdr:cNvPicPr>
      </xdr:nvPicPr>
      <xdr:blipFill>
        <a:blip xmlns:r="http://schemas.openxmlformats.org/officeDocument/2006/relationships" r:embed="rId3"/>
        <a:stretch>
          <a:fillRect/>
        </a:stretch>
      </xdr:blipFill>
      <xdr:spPr>
        <a:xfrm>
          <a:off x="11712547" y="4339879"/>
          <a:ext cx="4236173" cy="3458058"/>
        </a:xfrm>
        <a:prstGeom prst="rect">
          <a:avLst/>
        </a:prstGeom>
      </xdr:spPr>
    </xdr:pic>
    <xdr:clientData/>
  </xdr:twoCellAnchor>
  <xdr:twoCellAnchor editAs="oneCell">
    <xdr:from>
      <xdr:col>7</xdr:col>
      <xdr:colOff>580304</xdr:colOff>
      <xdr:row>4</xdr:row>
      <xdr:rowOff>163286</xdr:rowOff>
    </xdr:from>
    <xdr:to>
      <xdr:col>23</xdr:col>
      <xdr:colOff>420932</xdr:colOff>
      <xdr:row>19</xdr:row>
      <xdr:rowOff>70823</xdr:rowOff>
    </xdr:to>
    <xdr:pic>
      <xdr:nvPicPr>
        <xdr:cNvPr id="5" name="Picture 4"/>
        <xdr:cNvPicPr>
          <a:picLocks noChangeAspect="1"/>
        </xdr:cNvPicPr>
      </xdr:nvPicPr>
      <xdr:blipFill>
        <a:blip xmlns:r="http://schemas.openxmlformats.org/officeDocument/2006/relationships" r:embed="rId4"/>
        <a:stretch>
          <a:fillRect/>
        </a:stretch>
      </xdr:blipFill>
      <xdr:spPr>
        <a:xfrm>
          <a:off x="8907875" y="938893"/>
          <a:ext cx="9719414" cy="2765037"/>
        </a:xfrm>
        <a:prstGeom prst="rect">
          <a:avLst/>
        </a:prstGeom>
      </xdr:spPr>
    </xdr:pic>
    <xdr:clientData/>
  </xdr:twoCellAnchor>
  <xdr:twoCellAnchor editAs="oneCell">
    <xdr:from>
      <xdr:col>1</xdr:col>
      <xdr:colOff>1266265</xdr:colOff>
      <xdr:row>29</xdr:row>
      <xdr:rowOff>82915</xdr:rowOff>
    </xdr:from>
    <xdr:to>
      <xdr:col>9</xdr:col>
      <xdr:colOff>78441</xdr:colOff>
      <xdr:row>52</xdr:row>
      <xdr:rowOff>31814</xdr:rowOff>
    </xdr:to>
    <xdr:pic>
      <xdr:nvPicPr>
        <xdr:cNvPr id="6" name="Picture 5"/>
        <xdr:cNvPicPr>
          <a:picLocks noChangeAspect="1"/>
        </xdr:cNvPicPr>
      </xdr:nvPicPr>
      <xdr:blipFill>
        <a:blip xmlns:r="http://schemas.openxmlformats.org/officeDocument/2006/relationships" r:embed="rId5"/>
        <a:stretch>
          <a:fillRect/>
        </a:stretch>
      </xdr:blipFill>
      <xdr:spPr>
        <a:xfrm>
          <a:off x="1848971" y="5618621"/>
          <a:ext cx="8225117" cy="4330399"/>
        </a:xfrm>
        <a:prstGeom prst="rect">
          <a:avLst/>
        </a:prstGeom>
      </xdr:spPr>
    </xdr:pic>
    <xdr:clientData/>
  </xdr:twoCellAnchor>
  <xdr:twoCellAnchor editAs="oneCell">
    <xdr:from>
      <xdr:col>14</xdr:col>
      <xdr:colOff>0</xdr:colOff>
      <xdr:row>42</xdr:row>
      <xdr:rowOff>0</xdr:rowOff>
    </xdr:from>
    <xdr:to>
      <xdr:col>21</xdr:col>
      <xdr:colOff>513774</xdr:colOff>
      <xdr:row>61</xdr:row>
      <xdr:rowOff>28119</xdr:rowOff>
    </xdr:to>
    <xdr:pic>
      <xdr:nvPicPr>
        <xdr:cNvPr id="7" name="Picture 6"/>
        <xdr:cNvPicPr>
          <a:picLocks noChangeAspect="1"/>
        </xdr:cNvPicPr>
      </xdr:nvPicPr>
      <xdr:blipFill>
        <a:blip xmlns:r="http://schemas.openxmlformats.org/officeDocument/2006/relationships" r:embed="rId6"/>
        <a:stretch>
          <a:fillRect/>
        </a:stretch>
      </xdr:blipFill>
      <xdr:spPr>
        <a:xfrm>
          <a:off x="12940393" y="8014607"/>
          <a:ext cx="4609524" cy="36476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maps.app.goo.gl/VR44dJ4adGyBASDB8" TargetMode="External"/><Relationship Id="rId1" Type="http://schemas.openxmlformats.org/officeDocument/2006/relationships/hyperlink" Target="https://www.kohinoor-group.in/project-kohinoor-garden.html"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44"/>
  <sheetViews>
    <sheetView tabSelected="1" showWhiteSpace="0" view="pageBreakPreview" zoomScale="85" zoomScaleNormal="100" zoomScaleSheetLayoutView="85" zoomScalePageLayoutView="85" workbookViewId="0">
      <selection activeCell="J7" sqref="J7"/>
    </sheetView>
  </sheetViews>
  <sheetFormatPr defaultColWidth="9.140625" defaultRowHeight="15.75"/>
  <cols>
    <col min="1" max="1" width="11.42578125" style="43" customWidth="1"/>
    <col min="2" max="2" width="12" style="43" customWidth="1"/>
    <col min="3" max="3" width="12.7109375" style="43" customWidth="1"/>
    <col min="4" max="4" width="13.7109375" style="43" customWidth="1"/>
    <col min="5" max="5" width="11.7109375" style="43" customWidth="1"/>
    <col min="6" max="6" width="11.140625" style="43" customWidth="1"/>
    <col min="7" max="8" width="11" style="43" customWidth="1"/>
    <col min="9" max="9" width="17.42578125" style="44" customWidth="1"/>
    <col min="10" max="10" width="11.42578125" style="44" customWidth="1"/>
    <col min="11" max="11" width="18.7109375" style="44" customWidth="1"/>
    <col min="12" max="12" width="13.85546875" style="44" customWidth="1"/>
    <col min="13" max="13" width="11.85546875" style="44" customWidth="1"/>
    <col min="14" max="14" width="12.5703125" style="44" customWidth="1"/>
    <col min="15" max="15" width="12.140625" style="44" customWidth="1"/>
    <col min="16" max="16" width="11.7109375" style="44" customWidth="1"/>
    <col min="17" max="18" width="9.140625" style="44"/>
    <col min="19" max="19" width="10.85546875" style="44" customWidth="1"/>
    <col min="20" max="20" width="10.7109375" style="44" customWidth="1"/>
    <col min="21" max="247" width="9.140625" style="44"/>
    <col min="248" max="248" width="8.7109375" style="44" customWidth="1"/>
    <col min="249" max="249" width="9.85546875" style="44" customWidth="1"/>
    <col min="250" max="250" width="14.42578125" style="44" customWidth="1"/>
    <col min="251" max="251" width="7.28515625" style="44" customWidth="1"/>
    <col min="252" max="252" width="5.5703125" style="44" customWidth="1"/>
    <col min="253" max="253" width="9" style="44" customWidth="1"/>
    <col min="254" max="255" width="9.85546875" style="44" customWidth="1"/>
    <col min="256" max="256" width="11.140625" style="44" customWidth="1"/>
    <col min="257" max="257" width="2.85546875" style="44" customWidth="1"/>
    <col min="258" max="258" width="3.5703125" style="44" customWidth="1"/>
    <col min="259" max="503" width="9.140625" style="44"/>
    <col min="504" max="504" width="8.7109375" style="44" customWidth="1"/>
    <col min="505" max="505" width="9.85546875" style="44" customWidth="1"/>
    <col min="506" max="506" width="14.42578125" style="44" customWidth="1"/>
    <col min="507" max="507" width="7.28515625" style="44" customWidth="1"/>
    <col min="508" max="508" width="5.5703125" style="44" customWidth="1"/>
    <col min="509" max="509" width="9" style="44" customWidth="1"/>
    <col min="510" max="511" width="9.85546875" style="44" customWidth="1"/>
    <col min="512" max="512" width="11.140625" style="44" customWidth="1"/>
    <col min="513" max="513" width="2.85546875" style="44" customWidth="1"/>
    <col min="514" max="514" width="3.5703125" style="44" customWidth="1"/>
    <col min="515" max="759" width="9.140625" style="44"/>
    <col min="760" max="760" width="8.7109375" style="44" customWidth="1"/>
    <col min="761" max="761" width="9.85546875" style="44" customWidth="1"/>
    <col min="762" max="762" width="14.42578125" style="44" customWidth="1"/>
    <col min="763" max="763" width="7.28515625" style="44" customWidth="1"/>
    <col min="764" max="764" width="5.5703125" style="44" customWidth="1"/>
    <col min="765" max="765" width="9" style="44" customWidth="1"/>
    <col min="766" max="767" width="9.85546875" style="44" customWidth="1"/>
    <col min="768" max="768" width="11.140625" style="44" customWidth="1"/>
    <col min="769" max="769" width="2.85546875" style="44" customWidth="1"/>
    <col min="770" max="770" width="3.5703125" style="44" customWidth="1"/>
    <col min="771" max="1015" width="9.140625" style="44"/>
    <col min="1016" max="1016" width="8.7109375" style="44" customWidth="1"/>
    <col min="1017" max="1017" width="9.85546875" style="44" customWidth="1"/>
    <col min="1018" max="1018" width="14.42578125" style="44" customWidth="1"/>
    <col min="1019" max="1019" width="7.28515625" style="44" customWidth="1"/>
    <col min="1020" max="1020" width="5.5703125" style="44" customWidth="1"/>
    <col min="1021" max="1021" width="9" style="44" customWidth="1"/>
    <col min="1022" max="1023" width="9.85546875" style="44" customWidth="1"/>
    <col min="1024" max="1024" width="11.140625" style="44" customWidth="1"/>
    <col min="1025" max="1025" width="2.85546875" style="44" customWidth="1"/>
    <col min="1026" max="1026" width="3.5703125" style="44" customWidth="1"/>
    <col min="1027" max="1271" width="9.140625" style="44"/>
    <col min="1272" max="1272" width="8.7109375" style="44" customWidth="1"/>
    <col min="1273" max="1273" width="9.85546875" style="44" customWidth="1"/>
    <col min="1274" max="1274" width="14.42578125" style="44" customWidth="1"/>
    <col min="1275" max="1275" width="7.28515625" style="44" customWidth="1"/>
    <col min="1276" max="1276" width="5.5703125" style="44" customWidth="1"/>
    <col min="1277" max="1277" width="9" style="44" customWidth="1"/>
    <col min="1278" max="1279" width="9.85546875" style="44" customWidth="1"/>
    <col min="1280" max="1280" width="11.140625" style="44" customWidth="1"/>
    <col min="1281" max="1281" width="2.85546875" style="44" customWidth="1"/>
    <col min="1282" max="1282" width="3.5703125" style="44" customWidth="1"/>
    <col min="1283" max="1527" width="9.140625" style="44"/>
    <col min="1528" max="1528" width="8.7109375" style="44" customWidth="1"/>
    <col min="1529" max="1529" width="9.85546875" style="44" customWidth="1"/>
    <col min="1530" max="1530" width="14.42578125" style="44" customWidth="1"/>
    <col min="1531" max="1531" width="7.28515625" style="44" customWidth="1"/>
    <col min="1532" max="1532" width="5.5703125" style="44" customWidth="1"/>
    <col min="1533" max="1533" width="9" style="44" customWidth="1"/>
    <col min="1534" max="1535" width="9.85546875" style="44" customWidth="1"/>
    <col min="1536" max="1536" width="11.140625" style="44" customWidth="1"/>
    <col min="1537" max="1537" width="2.85546875" style="44" customWidth="1"/>
    <col min="1538" max="1538" width="3.5703125" style="44" customWidth="1"/>
    <col min="1539" max="1783" width="9.140625" style="44"/>
    <col min="1784" max="1784" width="8.7109375" style="44" customWidth="1"/>
    <col min="1785" max="1785" width="9.85546875" style="44" customWidth="1"/>
    <col min="1786" max="1786" width="14.42578125" style="44" customWidth="1"/>
    <col min="1787" max="1787" width="7.28515625" style="44" customWidth="1"/>
    <col min="1788" max="1788" width="5.5703125" style="44" customWidth="1"/>
    <col min="1789" max="1789" width="9" style="44" customWidth="1"/>
    <col min="1790" max="1791" width="9.85546875" style="44" customWidth="1"/>
    <col min="1792" max="1792" width="11.140625" style="44" customWidth="1"/>
    <col min="1793" max="1793" width="2.85546875" style="44" customWidth="1"/>
    <col min="1794" max="1794" width="3.5703125" style="44" customWidth="1"/>
    <col min="1795" max="2039" width="9.140625" style="44"/>
    <col min="2040" max="2040" width="8.7109375" style="44" customWidth="1"/>
    <col min="2041" max="2041" width="9.85546875" style="44" customWidth="1"/>
    <col min="2042" max="2042" width="14.42578125" style="44" customWidth="1"/>
    <col min="2043" max="2043" width="7.28515625" style="44" customWidth="1"/>
    <col min="2044" max="2044" width="5.5703125" style="44" customWidth="1"/>
    <col min="2045" max="2045" width="9" style="44" customWidth="1"/>
    <col min="2046" max="2047" width="9.85546875" style="44" customWidth="1"/>
    <col min="2048" max="2048" width="11.140625" style="44" customWidth="1"/>
    <col min="2049" max="2049" width="2.85546875" style="44" customWidth="1"/>
    <col min="2050" max="2050" width="3.5703125" style="44" customWidth="1"/>
    <col min="2051" max="2295" width="9.140625" style="44"/>
    <col min="2296" max="2296" width="8.7109375" style="44" customWidth="1"/>
    <col min="2297" max="2297" width="9.85546875" style="44" customWidth="1"/>
    <col min="2298" max="2298" width="14.42578125" style="44" customWidth="1"/>
    <col min="2299" max="2299" width="7.28515625" style="44" customWidth="1"/>
    <col min="2300" max="2300" width="5.5703125" style="44" customWidth="1"/>
    <col min="2301" max="2301" width="9" style="44" customWidth="1"/>
    <col min="2302" max="2303" width="9.85546875" style="44" customWidth="1"/>
    <col min="2304" max="2304" width="11.140625" style="44" customWidth="1"/>
    <col min="2305" max="2305" width="2.85546875" style="44" customWidth="1"/>
    <col min="2306" max="2306" width="3.5703125" style="44" customWidth="1"/>
    <col min="2307" max="2551" width="9.140625" style="44"/>
    <col min="2552" max="2552" width="8.7109375" style="44" customWidth="1"/>
    <col min="2553" max="2553" width="9.85546875" style="44" customWidth="1"/>
    <col min="2554" max="2554" width="14.42578125" style="44" customWidth="1"/>
    <col min="2555" max="2555" width="7.28515625" style="44" customWidth="1"/>
    <col min="2556" max="2556" width="5.5703125" style="44" customWidth="1"/>
    <col min="2557" max="2557" width="9" style="44" customWidth="1"/>
    <col min="2558" max="2559" width="9.85546875" style="44" customWidth="1"/>
    <col min="2560" max="2560" width="11.140625" style="44" customWidth="1"/>
    <col min="2561" max="2561" width="2.85546875" style="44" customWidth="1"/>
    <col min="2562" max="2562" width="3.5703125" style="44" customWidth="1"/>
    <col min="2563" max="2807" width="9.140625" style="44"/>
    <col min="2808" max="2808" width="8.7109375" style="44" customWidth="1"/>
    <col min="2809" max="2809" width="9.85546875" style="44" customWidth="1"/>
    <col min="2810" max="2810" width="14.42578125" style="44" customWidth="1"/>
    <col min="2811" max="2811" width="7.28515625" style="44" customWidth="1"/>
    <col min="2812" max="2812" width="5.5703125" style="44" customWidth="1"/>
    <col min="2813" max="2813" width="9" style="44" customWidth="1"/>
    <col min="2814" max="2815" width="9.85546875" style="44" customWidth="1"/>
    <col min="2816" max="2816" width="11.140625" style="44" customWidth="1"/>
    <col min="2817" max="2817" width="2.85546875" style="44" customWidth="1"/>
    <col min="2818" max="2818" width="3.5703125" style="44" customWidth="1"/>
    <col min="2819" max="3063" width="9.140625" style="44"/>
    <col min="3064" max="3064" width="8.7109375" style="44" customWidth="1"/>
    <col min="3065" max="3065" width="9.85546875" style="44" customWidth="1"/>
    <col min="3066" max="3066" width="14.42578125" style="44" customWidth="1"/>
    <col min="3067" max="3067" width="7.28515625" style="44" customWidth="1"/>
    <col min="3068" max="3068" width="5.5703125" style="44" customWidth="1"/>
    <col min="3069" max="3069" width="9" style="44" customWidth="1"/>
    <col min="3070" max="3071" width="9.85546875" style="44" customWidth="1"/>
    <col min="3072" max="3072" width="11.140625" style="44" customWidth="1"/>
    <col min="3073" max="3073" width="2.85546875" style="44" customWidth="1"/>
    <col min="3074" max="3074" width="3.5703125" style="44" customWidth="1"/>
    <col min="3075" max="3319" width="9.140625" style="44"/>
    <col min="3320" max="3320" width="8.7109375" style="44" customWidth="1"/>
    <col min="3321" max="3321" width="9.85546875" style="44" customWidth="1"/>
    <col min="3322" max="3322" width="14.42578125" style="44" customWidth="1"/>
    <col min="3323" max="3323" width="7.28515625" style="44" customWidth="1"/>
    <col min="3324" max="3324" width="5.5703125" style="44" customWidth="1"/>
    <col min="3325" max="3325" width="9" style="44" customWidth="1"/>
    <col min="3326" max="3327" width="9.85546875" style="44" customWidth="1"/>
    <col min="3328" max="3328" width="11.140625" style="44" customWidth="1"/>
    <col min="3329" max="3329" width="2.85546875" style="44" customWidth="1"/>
    <col min="3330" max="3330" width="3.5703125" style="44" customWidth="1"/>
    <col min="3331" max="3575" width="9.140625" style="44"/>
    <col min="3576" max="3576" width="8.7109375" style="44" customWidth="1"/>
    <col min="3577" max="3577" width="9.85546875" style="44" customWidth="1"/>
    <col min="3578" max="3578" width="14.42578125" style="44" customWidth="1"/>
    <col min="3579" max="3579" width="7.28515625" style="44" customWidth="1"/>
    <col min="3580" max="3580" width="5.5703125" style="44" customWidth="1"/>
    <col min="3581" max="3581" width="9" style="44" customWidth="1"/>
    <col min="3582" max="3583" width="9.85546875" style="44" customWidth="1"/>
    <col min="3584" max="3584" width="11.140625" style="44" customWidth="1"/>
    <col min="3585" max="3585" width="2.85546875" style="44" customWidth="1"/>
    <col min="3586" max="3586" width="3.5703125" style="44" customWidth="1"/>
    <col min="3587" max="3831" width="9.140625" style="44"/>
    <col min="3832" max="3832" width="8.7109375" style="44" customWidth="1"/>
    <col min="3833" max="3833" width="9.85546875" style="44" customWidth="1"/>
    <col min="3834" max="3834" width="14.42578125" style="44" customWidth="1"/>
    <col min="3835" max="3835" width="7.28515625" style="44" customWidth="1"/>
    <col min="3836" max="3836" width="5.5703125" style="44" customWidth="1"/>
    <col min="3837" max="3837" width="9" style="44" customWidth="1"/>
    <col min="3838" max="3839" width="9.85546875" style="44" customWidth="1"/>
    <col min="3840" max="3840" width="11.140625" style="44" customWidth="1"/>
    <col min="3841" max="3841" width="2.85546875" style="44" customWidth="1"/>
    <col min="3842" max="3842" width="3.5703125" style="44" customWidth="1"/>
    <col min="3843" max="4087" width="9.140625" style="44"/>
    <col min="4088" max="4088" width="8.7109375" style="44" customWidth="1"/>
    <col min="4089" max="4089" width="9.85546875" style="44" customWidth="1"/>
    <col min="4090" max="4090" width="14.42578125" style="44" customWidth="1"/>
    <col min="4091" max="4091" width="7.28515625" style="44" customWidth="1"/>
    <col min="4092" max="4092" width="5.5703125" style="44" customWidth="1"/>
    <col min="4093" max="4093" width="9" style="44" customWidth="1"/>
    <col min="4094" max="4095" width="9.85546875" style="44" customWidth="1"/>
    <col min="4096" max="4096" width="11.140625" style="44" customWidth="1"/>
    <col min="4097" max="4097" width="2.85546875" style="44" customWidth="1"/>
    <col min="4098" max="4098" width="3.5703125" style="44" customWidth="1"/>
    <col min="4099" max="4343" width="9.140625" style="44"/>
    <col min="4344" max="4344" width="8.7109375" style="44" customWidth="1"/>
    <col min="4345" max="4345" width="9.85546875" style="44" customWidth="1"/>
    <col min="4346" max="4346" width="14.42578125" style="44" customWidth="1"/>
    <col min="4347" max="4347" width="7.28515625" style="44" customWidth="1"/>
    <col min="4348" max="4348" width="5.5703125" style="44" customWidth="1"/>
    <col min="4349" max="4349" width="9" style="44" customWidth="1"/>
    <col min="4350" max="4351" width="9.85546875" style="44" customWidth="1"/>
    <col min="4352" max="4352" width="11.140625" style="44" customWidth="1"/>
    <col min="4353" max="4353" width="2.85546875" style="44" customWidth="1"/>
    <col min="4354" max="4354" width="3.5703125" style="44" customWidth="1"/>
    <col min="4355" max="4599" width="9.140625" style="44"/>
    <col min="4600" max="4600" width="8.7109375" style="44" customWidth="1"/>
    <col min="4601" max="4601" width="9.85546875" style="44" customWidth="1"/>
    <col min="4602" max="4602" width="14.42578125" style="44" customWidth="1"/>
    <col min="4603" max="4603" width="7.28515625" style="44" customWidth="1"/>
    <col min="4604" max="4604" width="5.5703125" style="44" customWidth="1"/>
    <col min="4605" max="4605" width="9" style="44" customWidth="1"/>
    <col min="4606" max="4607" width="9.85546875" style="44" customWidth="1"/>
    <col min="4608" max="4608" width="11.140625" style="44" customWidth="1"/>
    <col min="4609" max="4609" width="2.85546875" style="44" customWidth="1"/>
    <col min="4610" max="4610" width="3.5703125" style="44" customWidth="1"/>
    <col min="4611" max="4855" width="9.140625" style="44"/>
    <col min="4856" max="4856" width="8.7109375" style="44" customWidth="1"/>
    <col min="4857" max="4857" width="9.85546875" style="44" customWidth="1"/>
    <col min="4858" max="4858" width="14.42578125" style="44" customWidth="1"/>
    <col min="4859" max="4859" width="7.28515625" style="44" customWidth="1"/>
    <col min="4860" max="4860" width="5.5703125" style="44" customWidth="1"/>
    <col min="4861" max="4861" width="9" style="44" customWidth="1"/>
    <col min="4862" max="4863" width="9.85546875" style="44" customWidth="1"/>
    <col min="4864" max="4864" width="11.140625" style="44" customWidth="1"/>
    <col min="4865" max="4865" width="2.85546875" style="44" customWidth="1"/>
    <col min="4866" max="4866" width="3.5703125" style="44" customWidth="1"/>
    <col min="4867" max="5111" width="9.140625" style="44"/>
    <col min="5112" max="5112" width="8.7109375" style="44" customWidth="1"/>
    <col min="5113" max="5113" width="9.85546875" style="44" customWidth="1"/>
    <col min="5114" max="5114" width="14.42578125" style="44" customWidth="1"/>
    <col min="5115" max="5115" width="7.28515625" style="44" customWidth="1"/>
    <col min="5116" max="5116" width="5.5703125" style="44" customWidth="1"/>
    <col min="5117" max="5117" width="9" style="44" customWidth="1"/>
    <col min="5118" max="5119" width="9.85546875" style="44" customWidth="1"/>
    <col min="5120" max="5120" width="11.140625" style="44" customWidth="1"/>
    <col min="5121" max="5121" width="2.85546875" style="44" customWidth="1"/>
    <col min="5122" max="5122" width="3.5703125" style="44" customWidth="1"/>
    <col min="5123" max="5367" width="9.140625" style="44"/>
    <col min="5368" max="5368" width="8.7109375" style="44" customWidth="1"/>
    <col min="5369" max="5369" width="9.85546875" style="44" customWidth="1"/>
    <col min="5370" max="5370" width="14.42578125" style="44" customWidth="1"/>
    <col min="5371" max="5371" width="7.28515625" style="44" customWidth="1"/>
    <col min="5372" max="5372" width="5.5703125" style="44" customWidth="1"/>
    <col min="5373" max="5373" width="9" style="44" customWidth="1"/>
    <col min="5374" max="5375" width="9.85546875" style="44" customWidth="1"/>
    <col min="5376" max="5376" width="11.140625" style="44" customWidth="1"/>
    <col min="5377" max="5377" width="2.85546875" style="44" customWidth="1"/>
    <col min="5378" max="5378" width="3.5703125" style="44" customWidth="1"/>
    <col min="5379" max="5623" width="9.140625" style="44"/>
    <col min="5624" max="5624" width="8.7109375" style="44" customWidth="1"/>
    <col min="5625" max="5625" width="9.85546875" style="44" customWidth="1"/>
    <col min="5626" max="5626" width="14.42578125" style="44" customWidth="1"/>
    <col min="5627" max="5627" width="7.28515625" style="44" customWidth="1"/>
    <col min="5628" max="5628" width="5.5703125" style="44" customWidth="1"/>
    <col min="5629" max="5629" width="9" style="44" customWidth="1"/>
    <col min="5630" max="5631" width="9.85546875" style="44" customWidth="1"/>
    <col min="5632" max="5632" width="11.140625" style="44" customWidth="1"/>
    <col min="5633" max="5633" width="2.85546875" style="44" customWidth="1"/>
    <col min="5634" max="5634" width="3.5703125" style="44" customWidth="1"/>
    <col min="5635" max="5879" width="9.140625" style="44"/>
    <col min="5880" max="5880" width="8.7109375" style="44" customWidth="1"/>
    <col min="5881" max="5881" width="9.85546875" style="44" customWidth="1"/>
    <col min="5882" max="5882" width="14.42578125" style="44" customWidth="1"/>
    <col min="5883" max="5883" width="7.28515625" style="44" customWidth="1"/>
    <col min="5884" max="5884" width="5.5703125" style="44" customWidth="1"/>
    <col min="5885" max="5885" width="9" style="44" customWidth="1"/>
    <col min="5886" max="5887" width="9.85546875" style="44" customWidth="1"/>
    <col min="5888" max="5888" width="11.140625" style="44" customWidth="1"/>
    <col min="5889" max="5889" width="2.85546875" style="44" customWidth="1"/>
    <col min="5890" max="5890" width="3.5703125" style="44" customWidth="1"/>
    <col min="5891" max="6135" width="9.140625" style="44"/>
    <col min="6136" max="6136" width="8.7109375" style="44" customWidth="1"/>
    <col min="6137" max="6137" width="9.85546875" style="44" customWidth="1"/>
    <col min="6138" max="6138" width="14.42578125" style="44" customWidth="1"/>
    <col min="6139" max="6139" width="7.28515625" style="44" customWidth="1"/>
    <col min="6140" max="6140" width="5.5703125" style="44" customWidth="1"/>
    <col min="6141" max="6141" width="9" style="44" customWidth="1"/>
    <col min="6142" max="6143" width="9.85546875" style="44" customWidth="1"/>
    <col min="6144" max="6144" width="11.140625" style="44" customWidth="1"/>
    <col min="6145" max="6145" width="2.85546875" style="44" customWidth="1"/>
    <col min="6146" max="6146" width="3.5703125" style="44" customWidth="1"/>
    <col min="6147" max="6391" width="9.140625" style="44"/>
    <col min="6392" max="6392" width="8.7109375" style="44" customWidth="1"/>
    <col min="6393" max="6393" width="9.85546875" style="44" customWidth="1"/>
    <col min="6394" max="6394" width="14.42578125" style="44" customWidth="1"/>
    <col min="6395" max="6395" width="7.28515625" style="44" customWidth="1"/>
    <col min="6396" max="6396" width="5.5703125" style="44" customWidth="1"/>
    <col min="6397" max="6397" width="9" style="44" customWidth="1"/>
    <col min="6398" max="6399" width="9.85546875" style="44" customWidth="1"/>
    <col min="6400" max="6400" width="11.140625" style="44" customWidth="1"/>
    <col min="6401" max="6401" width="2.85546875" style="44" customWidth="1"/>
    <col min="6402" max="6402" width="3.5703125" style="44" customWidth="1"/>
    <col min="6403" max="6647" width="9.140625" style="44"/>
    <col min="6648" max="6648" width="8.7109375" style="44" customWidth="1"/>
    <col min="6649" max="6649" width="9.85546875" style="44" customWidth="1"/>
    <col min="6650" max="6650" width="14.42578125" style="44" customWidth="1"/>
    <col min="6651" max="6651" width="7.28515625" style="44" customWidth="1"/>
    <col min="6652" max="6652" width="5.5703125" style="44" customWidth="1"/>
    <col min="6653" max="6653" width="9" style="44" customWidth="1"/>
    <col min="6654" max="6655" width="9.85546875" style="44" customWidth="1"/>
    <col min="6656" max="6656" width="11.140625" style="44" customWidth="1"/>
    <col min="6657" max="6657" width="2.85546875" style="44" customWidth="1"/>
    <col min="6658" max="6658" width="3.5703125" style="44" customWidth="1"/>
    <col min="6659" max="6903" width="9.140625" style="44"/>
    <col min="6904" max="6904" width="8.7109375" style="44" customWidth="1"/>
    <col min="6905" max="6905" width="9.85546875" style="44" customWidth="1"/>
    <col min="6906" max="6906" width="14.42578125" style="44" customWidth="1"/>
    <col min="6907" max="6907" width="7.28515625" style="44" customWidth="1"/>
    <col min="6908" max="6908" width="5.5703125" style="44" customWidth="1"/>
    <col min="6909" max="6909" width="9" style="44" customWidth="1"/>
    <col min="6910" max="6911" width="9.85546875" style="44" customWidth="1"/>
    <col min="6912" max="6912" width="11.140625" style="44" customWidth="1"/>
    <col min="6913" max="6913" width="2.85546875" style="44" customWidth="1"/>
    <col min="6914" max="6914" width="3.5703125" style="44" customWidth="1"/>
    <col min="6915" max="7159" width="9.140625" style="44"/>
    <col min="7160" max="7160" width="8.7109375" style="44" customWidth="1"/>
    <col min="7161" max="7161" width="9.85546875" style="44" customWidth="1"/>
    <col min="7162" max="7162" width="14.42578125" style="44" customWidth="1"/>
    <col min="7163" max="7163" width="7.28515625" style="44" customWidth="1"/>
    <col min="7164" max="7164" width="5.5703125" style="44" customWidth="1"/>
    <col min="7165" max="7165" width="9" style="44" customWidth="1"/>
    <col min="7166" max="7167" width="9.85546875" style="44" customWidth="1"/>
    <col min="7168" max="7168" width="11.140625" style="44" customWidth="1"/>
    <col min="7169" max="7169" width="2.85546875" style="44" customWidth="1"/>
    <col min="7170" max="7170" width="3.5703125" style="44" customWidth="1"/>
    <col min="7171" max="7415" width="9.140625" style="44"/>
    <col min="7416" max="7416" width="8.7109375" style="44" customWidth="1"/>
    <col min="7417" max="7417" width="9.85546875" style="44" customWidth="1"/>
    <col min="7418" max="7418" width="14.42578125" style="44" customWidth="1"/>
    <col min="7419" max="7419" width="7.28515625" style="44" customWidth="1"/>
    <col min="7420" max="7420" width="5.5703125" style="44" customWidth="1"/>
    <col min="7421" max="7421" width="9" style="44" customWidth="1"/>
    <col min="7422" max="7423" width="9.85546875" style="44" customWidth="1"/>
    <col min="7424" max="7424" width="11.140625" style="44" customWidth="1"/>
    <col min="7425" max="7425" width="2.85546875" style="44" customWidth="1"/>
    <col min="7426" max="7426" width="3.5703125" style="44" customWidth="1"/>
    <col min="7427" max="7671" width="9.140625" style="44"/>
    <col min="7672" max="7672" width="8.7109375" style="44" customWidth="1"/>
    <col min="7673" max="7673" width="9.85546875" style="44" customWidth="1"/>
    <col min="7674" max="7674" width="14.42578125" style="44" customWidth="1"/>
    <col min="7675" max="7675" width="7.28515625" style="44" customWidth="1"/>
    <col min="7676" max="7676" width="5.5703125" style="44" customWidth="1"/>
    <col min="7677" max="7677" width="9" style="44" customWidth="1"/>
    <col min="7678" max="7679" width="9.85546875" style="44" customWidth="1"/>
    <col min="7680" max="7680" width="11.140625" style="44" customWidth="1"/>
    <col min="7681" max="7681" width="2.85546875" style="44" customWidth="1"/>
    <col min="7682" max="7682" width="3.5703125" style="44" customWidth="1"/>
    <col min="7683" max="7927" width="9.140625" style="44"/>
    <col min="7928" max="7928" width="8.7109375" style="44" customWidth="1"/>
    <col min="7929" max="7929" width="9.85546875" style="44" customWidth="1"/>
    <col min="7930" max="7930" width="14.42578125" style="44" customWidth="1"/>
    <col min="7931" max="7931" width="7.28515625" style="44" customWidth="1"/>
    <col min="7932" max="7932" width="5.5703125" style="44" customWidth="1"/>
    <col min="7933" max="7933" width="9" style="44" customWidth="1"/>
    <col min="7934" max="7935" width="9.85546875" style="44" customWidth="1"/>
    <col min="7936" max="7936" width="11.140625" style="44" customWidth="1"/>
    <col min="7937" max="7937" width="2.85546875" style="44" customWidth="1"/>
    <col min="7938" max="7938" width="3.5703125" style="44" customWidth="1"/>
    <col min="7939" max="8183" width="9.140625" style="44"/>
    <col min="8184" max="8184" width="8.7109375" style="44" customWidth="1"/>
    <col min="8185" max="8185" width="9.85546875" style="44" customWidth="1"/>
    <col min="8186" max="8186" width="14.42578125" style="44" customWidth="1"/>
    <col min="8187" max="8187" width="7.28515625" style="44" customWidth="1"/>
    <col min="8188" max="8188" width="5.5703125" style="44" customWidth="1"/>
    <col min="8189" max="8189" width="9" style="44" customWidth="1"/>
    <col min="8190" max="8191" width="9.85546875" style="44" customWidth="1"/>
    <col min="8192" max="8192" width="11.140625" style="44" customWidth="1"/>
    <col min="8193" max="8193" width="2.85546875" style="44" customWidth="1"/>
    <col min="8194" max="8194" width="3.5703125" style="44" customWidth="1"/>
    <col min="8195" max="8439" width="9.140625" style="44"/>
    <col min="8440" max="8440" width="8.7109375" style="44" customWidth="1"/>
    <col min="8441" max="8441" width="9.85546875" style="44" customWidth="1"/>
    <col min="8442" max="8442" width="14.42578125" style="44" customWidth="1"/>
    <col min="8443" max="8443" width="7.28515625" style="44" customWidth="1"/>
    <col min="8444" max="8444" width="5.5703125" style="44" customWidth="1"/>
    <col min="8445" max="8445" width="9" style="44" customWidth="1"/>
    <col min="8446" max="8447" width="9.85546875" style="44" customWidth="1"/>
    <col min="8448" max="8448" width="11.140625" style="44" customWidth="1"/>
    <col min="8449" max="8449" width="2.85546875" style="44" customWidth="1"/>
    <col min="8450" max="8450" width="3.5703125" style="44" customWidth="1"/>
    <col min="8451" max="8695" width="9.140625" style="44"/>
    <col min="8696" max="8696" width="8.7109375" style="44" customWidth="1"/>
    <col min="8697" max="8697" width="9.85546875" style="44" customWidth="1"/>
    <col min="8698" max="8698" width="14.42578125" style="44" customWidth="1"/>
    <col min="8699" max="8699" width="7.28515625" style="44" customWidth="1"/>
    <col min="8700" max="8700" width="5.5703125" style="44" customWidth="1"/>
    <col min="8701" max="8701" width="9" style="44" customWidth="1"/>
    <col min="8702" max="8703" width="9.85546875" style="44" customWidth="1"/>
    <col min="8704" max="8704" width="11.140625" style="44" customWidth="1"/>
    <col min="8705" max="8705" width="2.85546875" style="44" customWidth="1"/>
    <col min="8706" max="8706" width="3.5703125" style="44" customWidth="1"/>
    <col min="8707" max="8951" width="9.140625" style="44"/>
    <col min="8952" max="8952" width="8.7109375" style="44" customWidth="1"/>
    <col min="8953" max="8953" width="9.85546875" style="44" customWidth="1"/>
    <col min="8954" max="8954" width="14.42578125" style="44" customWidth="1"/>
    <col min="8955" max="8955" width="7.28515625" style="44" customWidth="1"/>
    <col min="8956" max="8956" width="5.5703125" style="44" customWidth="1"/>
    <col min="8957" max="8957" width="9" style="44" customWidth="1"/>
    <col min="8958" max="8959" width="9.85546875" style="44" customWidth="1"/>
    <col min="8960" max="8960" width="11.140625" style="44" customWidth="1"/>
    <col min="8961" max="8961" width="2.85546875" style="44" customWidth="1"/>
    <col min="8962" max="8962" width="3.5703125" style="44" customWidth="1"/>
    <col min="8963" max="9207" width="9.140625" style="44"/>
    <col min="9208" max="9208" width="8.7109375" style="44" customWidth="1"/>
    <col min="9209" max="9209" width="9.85546875" style="44" customWidth="1"/>
    <col min="9210" max="9210" width="14.42578125" style="44" customWidth="1"/>
    <col min="9211" max="9211" width="7.28515625" style="44" customWidth="1"/>
    <col min="9212" max="9212" width="5.5703125" style="44" customWidth="1"/>
    <col min="9213" max="9213" width="9" style="44" customWidth="1"/>
    <col min="9214" max="9215" width="9.85546875" style="44" customWidth="1"/>
    <col min="9216" max="9216" width="11.140625" style="44" customWidth="1"/>
    <col min="9217" max="9217" width="2.85546875" style="44" customWidth="1"/>
    <col min="9218" max="9218" width="3.5703125" style="44" customWidth="1"/>
    <col min="9219" max="9463" width="9.140625" style="44"/>
    <col min="9464" max="9464" width="8.7109375" style="44" customWidth="1"/>
    <col min="9465" max="9465" width="9.85546875" style="44" customWidth="1"/>
    <col min="9466" max="9466" width="14.42578125" style="44" customWidth="1"/>
    <col min="9467" max="9467" width="7.28515625" style="44" customWidth="1"/>
    <col min="9468" max="9468" width="5.5703125" style="44" customWidth="1"/>
    <col min="9469" max="9469" width="9" style="44" customWidth="1"/>
    <col min="9470" max="9471" width="9.85546875" style="44" customWidth="1"/>
    <col min="9472" max="9472" width="11.140625" style="44" customWidth="1"/>
    <col min="9473" max="9473" width="2.85546875" style="44" customWidth="1"/>
    <col min="9474" max="9474" width="3.5703125" style="44" customWidth="1"/>
    <col min="9475" max="9719" width="9.140625" style="44"/>
    <col min="9720" max="9720" width="8.7109375" style="44" customWidth="1"/>
    <col min="9721" max="9721" width="9.85546875" style="44" customWidth="1"/>
    <col min="9722" max="9722" width="14.42578125" style="44" customWidth="1"/>
    <col min="9723" max="9723" width="7.28515625" style="44" customWidth="1"/>
    <col min="9724" max="9724" width="5.5703125" style="44" customWidth="1"/>
    <col min="9725" max="9725" width="9" style="44" customWidth="1"/>
    <col min="9726" max="9727" width="9.85546875" style="44" customWidth="1"/>
    <col min="9728" max="9728" width="11.140625" style="44" customWidth="1"/>
    <col min="9729" max="9729" width="2.85546875" style="44" customWidth="1"/>
    <col min="9730" max="9730" width="3.5703125" style="44" customWidth="1"/>
    <col min="9731" max="9975" width="9.140625" style="44"/>
    <col min="9976" max="9976" width="8.7109375" style="44" customWidth="1"/>
    <col min="9977" max="9977" width="9.85546875" style="44" customWidth="1"/>
    <col min="9978" max="9978" width="14.42578125" style="44" customWidth="1"/>
    <col min="9979" max="9979" width="7.28515625" style="44" customWidth="1"/>
    <col min="9980" max="9980" width="5.5703125" style="44" customWidth="1"/>
    <col min="9981" max="9981" width="9" style="44" customWidth="1"/>
    <col min="9982" max="9983" width="9.85546875" style="44" customWidth="1"/>
    <col min="9984" max="9984" width="11.140625" style="44" customWidth="1"/>
    <col min="9985" max="9985" width="2.85546875" style="44" customWidth="1"/>
    <col min="9986" max="9986" width="3.5703125" style="44" customWidth="1"/>
    <col min="9987" max="10231" width="9.140625" style="44"/>
    <col min="10232" max="10232" width="8.7109375" style="44" customWidth="1"/>
    <col min="10233" max="10233" width="9.85546875" style="44" customWidth="1"/>
    <col min="10234" max="10234" width="14.42578125" style="44" customWidth="1"/>
    <col min="10235" max="10235" width="7.28515625" style="44" customWidth="1"/>
    <col min="10236" max="10236" width="5.5703125" style="44" customWidth="1"/>
    <col min="10237" max="10237" width="9" style="44" customWidth="1"/>
    <col min="10238" max="10239" width="9.85546875" style="44" customWidth="1"/>
    <col min="10240" max="10240" width="11.140625" style="44" customWidth="1"/>
    <col min="10241" max="10241" width="2.85546875" style="44" customWidth="1"/>
    <col min="10242" max="10242" width="3.5703125" style="44" customWidth="1"/>
    <col min="10243" max="10487" width="9.140625" style="44"/>
    <col min="10488" max="10488" width="8.7109375" style="44" customWidth="1"/>
    <col min="10489" max="10489" width="9.85546875" style="44" customWidth="1"/>
    <col min="10490" max="10490" width="14.42578125" style="44" customWidth="1"/>
    <col min="10491" max="10491" width="7.28515625" style="44" customWidth="1"/>
    <col min="10492" max="10492" width="5.5703125" style="44" customWidth="1"/>
    <col min="10493" max="10493" width="9" style="44" customWidth="1"/>
    <col min="10494" max="10495" width="9.85546875" style="44" customWidth="1"/>
    <col min="10496" max="10496" width="11.140625" style="44" customWidth="1"/>
    <col min="10497" max="10497" width="2.85546875" style="44" customWidth="1"/>
    <col min="10498" max="10498" width="3.5703125" style="44" customWidth="1"/>
    <col min="10499" max="10743" width="9.140625" style="44"/>
    <col min="10744" max="10744" width="8.7109375" style="44" customWidth="1"/>
    <col min="10745" max="10745" width="9.85546875" style="44" customWidth="1"/>
    <col min="10746" max="10746" width="14.42578125" style="44" customWidth="1"/>
    <col min="10747" max="10747" width="7.28515625" style="44" customWidth="1"/>
    <col min="10748" max="10748" width="5.5703125" style="44" customWidth="1"/>
    <col min="10749" max="10749" width="9" style="44" customWidth="1"/>
    <col min="10750" max="10751" width="9.85546875" style="44" customWidth="1"/>
    <col min="10752" max="10752" width="11.140625" style="44" customWidth="1"/>
    <col min="10753" max="10753" width="2.85546875" style="44" customWidth="1"/>
    <col min="10754" max="10754" width="3.5703125" style="44" customWidth="1"/>
    <col min="10755" max="10999" width="9.140625" style="44"/>
    <col min="11000" max="11000" width="8.7109375" style="44" customWidth="1"/>
    <col min="11001" max="11001" width="9.85546875" style="44" customWidth="1"/>
    <col min="11002" max="11002" width="14.42578125" style="44" customWidth="1"/>
    <col min="11003" max="11003" width="7.28515625" style="44" customWidth="1"/>
    <col min="11004" max="11004" width="5.5703125" style="44" customWidth="1"/>
    <col min="11005" max="11005" width="9" style="44" customWidth="1"/>
    <col min="11006" max="11007" width="9.85546875" style="44" customWidth="1"/>
    <col min="11008" max="11008" width="11.140625" style="44" customWidth="1"/>
    <col min="11009" max="11009" width="2.85546875" style="44" customWidth="1"/>
    <col min="11010" max="11010" width="3.5703125" style="44" customWidth="1"/>
    <col min="11011" max="11255" width="9.140625" style="44"/>
    <col min="11256" max="11256" width="8.7109375" style="44" customWidth="1"/>
    <col min="11257" max="11257" width="9.85546875" style="44" customWidth="1"/>
    <col min="11258" max="11258" width="14.42578125" style="44" customWidth="1"/>
    <col min="11259" max="11259" width="7.28515625" style="44" customWidth="1"/>
    <col min="11260" max="11260" width="5.5703125" style="44" customWidth="1"/>
    <col min="11261" max="11261" width="9" style="44" customWidth="1"/>
    <col min="11262" max="11263" width="9.85546875" style="44" customWidth="1"/>
    <col min="11264" max="11264" width="11.140625" style="44" customWidth="1"/>
    <col min="11265" max="11265" width="2.85546875" style="44" customWidth="1"/>
    <col min="11266" max="11266" width="3.5703125" style="44" customWidth="1"/>
    <col min="11267" max="11511" width="9.140625" style="44"/>
    <col min="11512" max="11512" width="8.7109375" style="44" customWidth="1"/>
    <col min="11513" max="11513" width="9.85546875" style="44" customWidth="1"/>
    <col min="11514" max="11514" width="14.42578125" style="44" customWidth="1"/>
    <col min="11515" max="11515" width="7.28515625" style="44" customWidth="1"/>
    <col min="11516" max="11516" width="5.5703125" style="44" customWidth="1"/>
    <col min="11517" max="11517" width="9" style="44" customWidth="1"/>
    <col min="11518" max="11519" width="9.85546875" style="44" customWidth="1"/>
    <col min="11520" max="11520" width="11.140625" style="44" customWidth="1"/>
    <col min="11521" max="11521" width="2.85546875" style="44" customWidth="1"/>
    <col min="11522" max="11522" width="3.5703125" style="44" customWidth="1"/>
    <col min="11523" max="11767" width="9.140625" style="44"/>
    <col min="11768" max="11768" width="8.7109375" style="44" customWidth="1"/>
    <col min="11769" max="11769" width="9.85546875" style="44" customWidth="1"/>
    <col min="11770" max="11770" width="14.42578125" style="44" customWidth="1"/>
    <col min="11771" max="11771" width="7.28515625" style="44" customWidth="1"/>
    <col min="11772" max="11772" width="5.5703125" style="44" customWidth="1"/>
    <col min="11773" max="11773" width="9" style="44" customWidth="1"/>
    <col min="11774" max="11775" width="9.85546875" style="44" customWidth="1"/>
    <col min="11776" max="11776" width="11.140625" style="44" customWidth="1"/>
    <col min="11777" max="11777" width="2.85546875" style="44" customWidth="1"/>
    <col min="11778" max="11778" width="3.5703125" style="44" customWidth="1"/>
    <col min="11779" max="12023" width="9.140625" style="44"/>
    <col min="12024" max="12024" width="8.7109375" style="44" customWidth="1"/>
    <col min="12025" max="12025" width="9.85546875" style="44" customWidth="1"/>
    <col min="12026" max="12026" width="14.42578125" style="44" customWidth="1"/>
    <col min="12027" max="12027" width="7.28515625" style="44" customWidth="1"/>
    <col min="12028" max="12028" width="5.5703125" style="44" customWidth="1"/>
    <col min="12029" max="12029" width="9" style="44" customWidth="1"/>
    <col min="12030" max="12031" width="9.85546875" style="44" customWidth="1"/>
    <col min="12032" max="12032" width="11.140625" style="44" customWidth="1"/>
    <col min="12033" max="12033" width="2.85546875" style="44" customWidth="1"/>
    <col min="12034" max="12034" width="3.5703125" style="44" customWidth="1"/>
    <col min="12035" max="12279" width="9.140625" style="44"/>
    <col min="12280" max="12280" width="8.7109375" style="44" customWidth="1"/>
    <col min="12281" max="12281" width="9.85546875" style="44" customWidth="1"/>
    <col min="12282" max="12282" width="14.42578125" style="44" customWidth="1"/>
    <col min="12283" max="12283" width="7.28515625" style="44" customWidth="1"/>
    <col min="12284" max="12284" width="5.5703125" style="44" customWidth="1"/>
    <col min="12285" max="12285" width="9" style="44" customWidth="1"/>
    <col min="12286" max="12287" width="9.85546875" style="44" customWidth="1"/>
    <col min="12288" max="12288" width="11.140625" style="44" customWidth="1"/>
    <col min="12289" max="12289" width="2.85546875" style="44" customWidth="1"/>
    <col min="12290" max="12290" width="3.5703125" style="44" customWidth="1"/>
    <col min="12291" max="12535" width="9.140625" style="44"/>
    <col min="12536" max="12536" width="8.7109375" style="44" customWidth="1"/>
    <col min="12537" max="12537" width="9.85546875" style="44" customWidth="1"/>
    <col min="12538" max="12538" width="14.42578125" style="44" customWidth="1"/>
    <col min="12539" max="12539" width="7.28515625" style="44" customWidth="1"/>
    <col min="12540" max="12540" width="5.5703125" style="44" customWidth="1"/>
    <col min="12541" max="12541" width="9" style="44" customWidth="1"/>
    <col min="12542" max="12543" width="9.85546875" style="44" customWidth="1"/>
    <col min="12544" max="12544" width="11.140625" style="44" customWidth="1"/>
    <col min="12545" max="12545" width="2.85546875" style="44" customWidth="1"/>
    <col min="12546" max="12546" width="3.5703125" style="44" customWidth="1"/>
    <col min="12547" max="12791" width="9.140625" style="44"/>
    <col min="12792" max="12792" width="8.7109375" style="44" customWidth="1"/>
    <col min="12793" max="12793" width="9.85546875" style="44" customWidth="1"/>
    <col min="12794" max="12794" width="14.42578125" style="44" customWidth="1"/>
    <col min="12795" max="12795" width="7.28515625" style="44" customWidth="1"/>
    <col min="12796" max="12796" width="5.5703125" style="44" customWidth="1"/>
    <col min="12797" max="12797" width="9" style="44" customWidth="1"/>
    <col min="12798" max="12799" width="9.85546875" style="44" customWidth="1"/>
    <col min="12800" max="12800" width="11.140625" style="44" customWidth="1"/>
    <col min="12801" max="12801" width="2.85546875" style="44" customWidth="1"/>
    <col min="12802" max="12802" width="3.5703125" style="44" customWidth="1"/>
    <col min="12803" max="13047" width="9.140625" style="44"/>
    <col min="13048" max="13048" width="8.7109375" style="44" customWidth="1"/>
    <col min="13049" max="13049" width="9.85546875" style="44" customWidth="1"/>
    <col min="13050" max="13050" width="14.42578125" style="44" customWidth="1"/>
    <col min="13051" max="13051" width="7.28515625" style="44" customWidth="1"/>
    <col min="13052" max="13052" width="5.5703125" style="44" customWidth="1"/>
    <col min="13053" max="13053" width="9" style="44" customWidth="1"/>
    <col min="13054" max="13055" width="9.85546875" style="44" customWidth="1"/>
    <col min="13056" max="13056" width="11.140625" style="44" customWidth="1"/>
    <col min="13057" max="13057" width="2.85546875" style="44" customWidth="1"/>
    <col min="13058" max="13058" width="3.5703125" style="44" customWidth="1"/>
    <col min="13059" max="13303" width="9.140625" style="44"/>
    <col min="13304" max="13304" width="8.7109375" style="44" customWidth="1"/>
    <col min="13305" max="13305" width="9.85546875" style="44" customWidth="1"/>
    <col min="13306" max="13306" width="14.42578125" style="44" customWidth="1"/>
    <col min="13307" max="13307" width="7.28515625" style="44" customWidth="1"/>
    <col min="13308" max="13308" width="5.5703125" style="44" customWidth="1"/>
    <col min="13309" max="13309" width="9" style="44" customWidth="1"/>
    <col min="13310" max="13311" width="9.85546875" style="44" customWidth="1"/>
    <col min="13312" max="13312" width="11.140625" style="44" customWidth="1"/>
    <col min="13313" max="13313" width="2.85546875" style="44" customWidth="1"/>
    <col min="13314" max="13314" width="3.5703125" style="44" customWidth="1"/>
    <col min="13315" max="13559" width="9.140625" style="44"/>
    <col min="13560" max="13560" width="8.7109375" style="44" customWidth="1"/>
    <col min="13561" max="13561" width="9.85546875" style="44" customWidth="1"/>
    <col min="13562" max="13562" width="14.42578125" style="44" customWidth="1"/>
    <col min="13563" max="13563" width="7.28515625" style="44" customWidth="1"/>
    <col min="13564" max="13564" width="5.5703125" style="44" customWidth="1"/>
    <col min="13565" max="13565" width="9" style="44" customWidth="1"/>
    <col min="13566" max="13567" width="9.85546875" style="44" customWidth="1"/>
    <col min="13568" max="13568" width="11.140625" style="44" customWidth="1"/>
    <col min="13569" max="13569" width="2.85546875" style="44" customWidth="1"/>
    <col min="13570" max="13570" width="3.5703125" style="44" customWidth="1"/>
    <col min="13571" max="13815" width="9.140625" style="44"/>
    <col min="13816" max="13816" width="8.7109375" style="44" customWidth="1"/>
    <col min="13817" max="13817" width="9.85546875" style="44" customWidth="1"/>
    <col min="13818" max="13818" width="14.42578125" style="44" customWidth="1"/>
    <col min="13819" max="13819" width="7.28515625" style="44" customWidth="1"/>
    <col min="13820" max="13820" width="5.5703125" style="44" customWidth="1"/>
    <col min="13821" max="13821" width="9" style="44" customWidth="1"/>
    <col min="13822" max="13823" width="9.85546875" style="44" customWidth="1"/>
    <col min="13824" max="13824" width="11.140625" style="44" customWidth="1"/>
    <col min="13825" max="13825" width="2.85546875" style="44" customWidth="1"/>
    <col min="13826" max="13826" width="3.5703125" style="44" customWidth="1"/>
    <col min="13827" max="14071" width="9.140625" style="44"/>
    <col min="14072" max="14072" width="8.7109375" style="44" customWidth="1"/>
    <col min="14073" max="14073" width="9.85546875" style="44" customWidth="1"/>
    <col min="14074" max="14074" width="14.42578125" style="44" customWidth="1"/>
    <col min="14075" max="14075" width="7.28515625" style="44" customWidth="1"/>
    <col min="14076" max="14076" width="5.5703125" style="44" customWidth="1"/>
    <col min="14077" max="14077" width="9" style="44" customWidth="1"/>
    <col min="14078" max="14079" width="9.85546875" style="44" customWidth="1"/>
    <col min="14080" max="14080" width="11.140625" style="44" customWidth="1"/>
    <col min="14081" max="14081" width="2.85546875" style="44" customWidth="1"/>
    <col min="14082" max="14082" width="3.5703125" style="44" customWidth="1"/>
    <col min="14083" max="14327" width="9.140625" style="44"/>
    <col min="14328" max="14328" width="8.7109375" style="44" customWidth="1"/>
    <col min="14329" max="14329" width="9.85546875" style="44" customWidth="1"/>
    <col min="14330" max="14330" width="14.42578125" style="44" customWidth="1"/>
    <col min="14331" max="14331" width="7.28515625" style="44" customWidth="1"/>
    <col min="14332" max="14332" width="5.5703125" style="44" customWidth="1"/>
    <col min="14333" max="14333" width="9" style="44" customWidth="1"/>
    <col min="14334" max="14335" width="9.85546875" style="44" customWidth="1"/>
    <col min="14336" max="14336" width="11.140625" style="44" customWidth="1"/>
    <col min="14337" max="14337" width="2.85546875" style="44" customWidth="1"/>
    <col min="14338" max="14338" width="3.5703125" style="44" customWidth="1"/>
    <col min="14339" max="14583" width="9.140625" style="44"/>
    <col min="14584" max="14584" width="8.7109375" style="44" customWidth="1"/>
    <col min="14585" max="14585" width="9.85546875" style="44" customWidth="1"/>
    <col min="14586" max="14586" width="14.42578125" style="44" customWidth="1"/>
    <col min="14587" max="14587" width="7.28515625" style="44" customWidth="1"/>
    <col min="14588" max="14588" width="5.5703125" style="44" customWidth="1"/>
    <col min="14589" max="14589" width="9" style="44" customWidth="1"/>
    <col min="14590" max="14591" width="9.85546875" style="44" customWidth="1"/>
    <col min="14592" max="14592" width="11.140625" style="44" customWidth="1"/>
    <col min="14593" max="14593" width="2.85546875" style="44" customWidth="1"/>
    <col min="14594" max="14594" width="3.5703125" style="44" customWidth="1"/>
    <col min="14595" max="14839" width="9.140625" style="44"/>
    <col min="14840" max="14840" width="8.7109375" style="44" customWidth="1"/>
    <col min="14841" max="14841" width="9.85546875" style="44" customWidth="1"/>
    <col min="14842" max="14842" width="14.42578125" style="44" customWidth="1"/>
    <col min="14843" max="14843" width="7.28515625" style="44" customWidth="1"/>
    <col min="14844" max="14844" width="5.5703125" style="44" customWidth="1"/>
    <col min="14845" max="14845" width="9" style="44" customWidth="1"/>
    <col min="14846" max="14847" width="9.85546875" style="44" customWidth="1"/>
    <col min="14848" max="14848" width="11.140625" style="44" customWidth="1"/>
    <col min="14849" max="14849" width="2.85546875" style="44" customWidth="1"/>
    <col min="14850" max="14850" width="3.5703125" style="44" customWidth="1"/>
    <col min="14851" max="15095" width="9.140625" style="44"/>
    <col min="15096" max="15096" width="8.7109375" style="44" customWidth="1"/>
    <col min="15097" max="15097" width="9.85546875" style="44" customWidth="1"/>
    <col min="15098" max="15098" width="14.42578125" style="44" customWidth="1"/>
    <col min="15099" max="15099" width="7.28515625" style="44" customWidth="1"/>
    <col min="15100" max="15100" width="5.5703125" style="44" customWidth="1"/>
    <col min="15101" max="15101" width="9" style="44" customWidth="1"/>
    <col min="15102" max="15103" width="9.85546875" style="44" customWidth="1"/>
    <col min="15104" max="15104" width="11.140625" style="44" customWidth="1"/>
    <col min="15105" max="15105" width="2.85546875" style="44" customWidth="1"/>
    <col min="15106" max="15106" width="3.5703125" style="44" customWidth="1"/>
    <col min="15107" max="15351" width="9.140625" style="44"/>
    <col min="15352" max="15352" width="8.7109375" style="44" customWidth="1"/>
    <col min="15353" max="15353" width="9.85546875" style="44" customWidth="1"/>
    <col min="15354" max="15354" width="14.42578125" style="44" customWidth="1"/>
    <col min="15355" max="15355" width="7.28515625" style="44" customWidth="1"/>
    <col min="15356" max="15356" width="5.5703125" style="44" customWidth="1"/>
    <col min="15357" max="15357" width="9" style="44" customWidth="1"/>
    <col min="15358" max="15359" width="9.85546875" style="44" customWidth="1"/>
    <col min="15360" max="15360" width="11.140625" style="44" customWidth="1"/>
    <col min="15361" max="15361" width="2.85546875" style="44" customWidth="1"/>
    <col min="15362" max="15362" width="3.5703125" style="44" customWidth="1"/>
    <col min="15363" max="15607" width="9.140625" style="44"/>
    <col min="15608" max="15608" width="8.7109375" style="44" customWidth="1"/>
    <col min="15609" max="15609" width="9.85546875" style="44" customWidth="1"/>
    <col min="15610" max="15610" width="14.42578125" style="44" customWidth="1"/>
    <col min="15611" max="15611" width="7.28515625" style="44" customWidth="1"/>
    <col min="15612" max="15612" width="5.5703125" style="44" customWidth="1"/>
    <col min="15613" max="15613" width="9" style="44" customWidth="1"/>
    <col min="15614" max="15615" width="9.85546875" style="44" customWidth="1"/>
    <col min="15616" max="15616" width="11.140625" style="44" customWidth="1"/>
    <col min="15617" max="15617" width="2.85546875" style="44" customWidth="1"/>
    <col min="15618" max="15618" width="3.5703125" style="44" customWidth="1"/>
    <col min="15619" max="15863" width="9.140625" style="44"/>
    <col min="15864" max="15864" width="8.7109375" style="44" customWidth="1"/>
    <col min="15865" max="15865" width="9.85546875" style="44" customWidth="1"/>
    <col min="15866" max="15866" width="14.42578125" style="44" customWidth="1"/>
    <col min="15867" max="15867" width="7.28515625" style="44" customWidth="1"/>
    <col min="15868" max="15868" width="5.5703125" style="44" customWidth="1"/>
    <col min="15869" max="15869" width="9" style="44" customWidth="1"/>
    <col min="15870" max="15871" width="9.85546875" style="44" customWidth="1"/>
    <col min="15872" max="15872" width="11.140625" style="44" customWidth="1"/>
    <col min="15873" max="15873" width="2.85546875" style="44" customWidth="1"/>
    <col min="15874" max="15874" width="3.5703125" style="44" customWidth="1"/>
    <col min="15875" max="16119" width="9.140625" style="44"/>
    <col min="16120" max="16120" width="8.7109375" style="44" customWidth="1"/>
    <col min="16121" max="16121" width="9.85546875" style="44" customWidth="1"/>
    <col min="16122" max="16122" width="14.42578125" style="44" customWidth="1"/>
    <col min="16123" max="16123" width="7.28515625" style="44" customWidth="1"/>
    <col min="16124" max="16124" width="5.5703125" style="44" customWidth="1"/>
    <col min="16125" max="16125" width="9" style="44" customWidth="1"/>
    <col min="16126" max="16127" width="9.85546875" style="44" customWidth="1"/>
    <col min="16128" max="16128" width="11.140625" style="44" customWidth="1"/>
    <col min="16129" max="16129" width="2.85546875" style="44" customWidth="1"/>
    <col min="16130" max="16130" width="3.5703125" style="44" customWidth="1"/>
    <col min="16131" max="16384" width="9.140625" style="44"/>
  </cols>
  <sheetData>
    <row r="1" spans="1:26" ht="46.5" customHeight="1">
      <c r="A1" s="250" t="s">
        <v>0</v>
      </c>
      <c r="B1" s="250"/>
      <c r="C1" s="250"/>
      <c r="D1" s="250"/>
      <c r="E1" s="250"/>
      <c r="F1" s="250"/>
      <c r="G1" s="250"/>
      <c r="H1" s="250"/>
    </row>
    <row r="2" spans="1:26" ht="16.5" customHeight="1">
      <c r="A2" s="251" t="s">
        <v>1</v>
      </c>
      <c r="B2" s="251"/>
      <c r="C2" s="251"/>
      <c r="D2" s="251"/>
      <c r="E2" s="251"/>
      <c r="F2" s="251"/>
      <c r="G2" s="251"/>
      <c r="H2" s="251"/>
    </row>
    <row r="3" spans="1:26">
      <c r="A3" s="128" t="s">
        <v>2</v>
      </c>
      <c r="B3" s="128"/>
      <c r="C3" s="128"/>
      <c r="D3" s="128"/>
      <c r="E3" s="128" t="str">
        <f ca="1">TEXT(TODAY(),"DD/MM/YYYY")</f>
        <v>30/09/2025</v>
      </c>
      <c r="F3" s="128"/>
      <c r="G3" s="128"/>
      <c r="H3" s="128"/>
      <c r="K3" s="24" t="s">
        <v>3</v>
      </c>
      <c r="L3" s="5" t="s">
        <v>4</v>
      </c>
      <c r="M3" s="5" t="s">
        <v>5</v>
      </c>
      <c r="N3" s="5" t="s">
        <v>6</v>
      </c>
      <c r="O3" s="5" t="s">
        <v>7</v>
      </c>
      <c r="P3" s="5" t="s">
        <v>8</v>
      </c>
    </row>
    <row r="4" spans="1:26" ht="15" customHeight="1">
      <c r="A4" s="128" t="s">
        <v>9</v>
      </c>
      <c r="B4" s="128"/>
      <c r="C4" s="128"/>
      <c r="D4" s="128"/>
      <c r="E4" s="128" t="s">
        <v>4</v>
      </c>
      <c r="F4" s="128"/>
      <c r="G4" s="128"/>
      <c r="H4" s="128"/>
      <c r="K4" s="1" t="s">
        <v>10</v>
      </c>
      <c r="L4" s="5" t="s">
        <v>11</v>
      </c>
      <c r="M4" s="5" t="s">
        <v>12</v>
      </c>
      <c r="N4" s="5" t="s">
        <v>13</v>
      </c>
      <c r="O4" s="5" t="s">
        <v>14</v>
      </c>
      <c r="P4" s="5"/>
    </row>
    <row r="5" spans="1:26" ht="15" customHeight="1">
      <c r="A5" s="128" t="s">
        <v>15</v>
      </c>
      <c r="B5" s="128"/>
      <c r="C5" s="128"/>
      <c r="D5" s="128"/>
      <c r="E5" s="128" t="s">
        <v>16</v>
      </c>
      <c r="F5" s="128"/>
      <c r="G5" s="128"/>
      <c r="H5" s="128"/>
      <c r="K5" s="1"/>
      <c r="L5" s="5" t="s">
        <v>17</v>
      </c>
      <c r="M5" s="5" t="s">
        <v>18</v>
      </c>
      <c r="N5" s="5" t="s">
        <v>19</v>
      </c>
      <c r="O5" s="5" t="s">
        <v>20</v>
      </c>
      <c r="P5" s="5"/>
    </row>
    <row r="6" spans="1:26">
      <c r="A6" s="215" t="s">
        <v>21</v>
      </c>
      <c r="B6" s="215"/>
      <c r="C6" s="215"/>
      <c r="D6" s="215"/>
      <c r="E6" s="252">
        <v>45930</v>
      </c>
      <c r="F6" s="252"/>
      <c r="G6" s="252"/>
      <c r="H6" s="252"/>
      <c r="K6" s="1"/>
      <c r="L6" s="5" t="s">
        <v>22</v>
      </c>
      <c r="M6" s="5"/>
      <c r="N6" s="5"/>
      <c r="O6" s="5" t="s">
        <v>23</v>
      </c>
      <c r="P6" s="5"/>
    </row>
    <row r="7" spans="1:26" ht="16.5" customHeight="1">
      <c r="A7" s="128" t="s">
        <v>24</v>
      </c>
      <c r="B7" s="128"/>
      <c r="C7" s="128"/>
      <c r="D7" s="128"/>
      <c r="E7" s="249" t="s">
        <v>384</v>
      </c>
      <c r="F7" s="249"/>
      <c r="G7" s="249"/>
      <c r="H7" s="249"/>
      <c r="K7" s="1"/>
      <c r="L7" s="5" t="s">
        <v>16</v>
      </c>
      <c r="M7" s="5"/>
      <c r="N7" s="5"/>
      <c r="O7" s="5" t="s">
        <v>23</v>
      </c>
      <c r="P7" s="5"/>
    </row>
    <row r="8" spans="1:26" ht="15" customHeight="1">
      <c r="A8" s="128" t="s">
        <v>25</v>
      </c>
      <c r="B8" s="128"/>
      <c r="C8" s="128"/>
      <c r="D8" s="128"/>
      <c r="E8" s="249" t="s">
        <v>382</v>
      </c>
      <c r="F8" s="249"/>
      <c r="G8" s="249"/>
      <c r="H8" s="249"/>
      <c r="K8" s="1"/>
      <c r="L8" s="5"/>
      <c r="M8" s="5"/>
      <c r="N8" s="5"/>
      <c r="O8" s="5" t="s">
        <v>26</v>
      </c>
      <c r="P8" s="5"/>
    </row>
    <row r="9" spans="1:26">
      <c r="A9" s="128" t="s">
        <v>27</v>
      </c>
      <c r="B9" s="128"/>
      <c r="C9" s="128"/>
      <c r="D9" s="128"/>
      <c r="E9" s="204" t="s">
        <v>28</v>
      </c>
      <c r="F9" s="204"/>
      <c r="G9" s="204"/>
      <c r="H9" s="204"/>
      <c r="K9" s="1"/>
      <c r="L9" s="5"/>
      <c r="M9" s="5"/>
      <c r="N9" s="5"/>
      <c r="O9" s="5" t="s">
        <v>29</v>
      </c>
      <c r="P9" s="5"/>
    </row>
    <row r="10" spans="1:26">
      <c r="A10" s="128" t="s">
        <v>30</v>
      </c>
      <c r="B10" s="128"/>
      <c r="C10" s="128"/>
      <c r="D10" s="128"/>
      <c r="E10" s="210" t="s">
        <v>31</v>
      </c>
      <c r="F10" s="128"/>
      <c r="G10" s="128"/>
      <c r="H10" s="128"/>
      <c r="K10" s="1"/>
      <c r="L10" s="5"/>
      <c r="M10" s="5"/>
      <c r="N10" s="5"/>
      <c r="O10" s="5" t="s">
        <v>32</v>
      </c>
      <c r="P10" s="5"/>
    </row>
    <row r="11" spans="1:26">
      <c r="A11" s="215" t="s">
        <v>33</v>
      </c>
      <c r="B11" s="215"/>
      <c r="C11" s="215"/>
      <c r="D11" s="215"/>
      <c r="E11" s="128" t="s">
        <v>412</v>
      </c>
      <c r="F11" s="128"/>
      <c r="G11" s="128"/>
      <c r="H11" s="128"/>
      <c r="O11" s="5" t="s">
        <v>34</v>
      </c>
    </row>
    <row r="12" spans="1:26">
      <c r="A12" s="128" t="s">
        <v>35</v>
      </c>
      <c r="B12" s="128"/>
      <c r="C12" s="128"/>
      <c r="D12" s="128"/>
      <c r="E12" s="128" t="s">
        <v>36</v>
      </c>
      <c r="F12" s="128"/>
      <c r="G12" s="128"/>
      <c r="H12" s="128"/>
      <c r="K12" s="47"/>
    </row>
    <row r="13" spans="1:26">
      <c r="A13" s="128" t="s">
        <v>37</v>
      </c>
      <c r="B13" s="128"/>
      <c r="C13" s="128"/>
      <c r="D13" s="128"/>
      <c r="E13" s="215" t="s">
        <v>38</v>
      </c>
      <c r="F13" s="215"/>
      <c r="G13" s="215"/>
      <c r="H13" s="215"/>
      <c r="S13" s="5" t="s">
        <v>39</v>
      </c>
      <c r="T13" s="5" t="s">
        <v>40</v>
      </c>
      <c r="U13" s="5" t="s">
        <v>41</v>
      </c>
      <c r="V13" s="5" t="s">
        <v>42</v>
      </c>
      <c r="W13" s="5" t="s">
        <v>43</v>
      </c>
      <c r="X13"/>
      <c r="Y13" t="s">
        <v>42</v>
      </c>
      <c r="Z13" t="e">
        <f ca="1">OFFSET($S$13,1,MATCH($G20,$S$13:$W$13,0)-1,15,1)</f>
        <v>#VALUE!</v>
      </c>
    </row>
    <row r="14" spans="1:26">
      <c r="A14" s="246" t="s">
        <v>44</v>
      </c>
      <c r="B14" s="246"/>
      <c r="C14" s="246"/>
      <c r="D14" s="246"/>
      <c r="E14" s="210" t="s">
        <v>396</v>
      </c>
      <c r="F14" s="210"/>
      <c r="G14" s="210"/>
      <c r="H14" s="210"/>
      <c r="S14" s="5" t="s">
        <v>39</v>
      </c>
      <c r="T14" s="5" t="s">
        <v>45</v>
      </c>
      <c r="U14" s="5" t="s">
        <v>46</v>
      </c>
      <c r="V14" s="5" t="s">
        <v>47</v>
      </c>
      <c r="W14" s="5" t="s">
        <v>48</v>
      </c>
      <c r="X14"/>
      <c r="Y14"/>
      <c r="Z14"/>
    </row>
    <row r="15" spans="1:26">
      <c r="A15" s="145" t="s">
        <v>49</v>
      </c>
      <c r="B15" s="145"/>
      <c r="C15" s="145"/>
      <c r="D15" s="145"/>
      <c r="E15" s="210" t="s">
        <v>50</v>
      </c>
      <c r="F15" s="128"/>
      <c r="G15" s="128"/>
      <c r="H15" s="128"/>
      <c r="I15" s="247" t="e">
        <f ca="1">OFFSET($D$5,1,MATCH($J13,$D$5:$H$5,0)-1,15,1)</f>
        <v>#N/A</v>
      </c>
      <c r="J15" s="248"/>
      <c r="K15" s="248"/>
      <c r="L15" s="248"/>
      <c r="M15" s="248"/>
      <c r="N15" s="248"/>
      <c r="O15" s="248"/>
      <c r="P15" s="248"/>
      <c r="S15" s="5" t="s">
        <v>51</v>
      </c>
      <c r="T15" s="5" t="s">
        <v>52</v>
      </c>
      <c r="U15" s="5" t="s">
        <v>53</v>
      </c>
      <c r="V15" s="5" t="s">
        <v>54</v>
      </c>
      <c r="W15" s="5" t="s">
        <v>55</v>
      </c>
      <c r="X15"/>
      <c r="Y15"/>
      <c r="Z15"/>
    </row>
    <row r="16" spans="1:26" ht="48.75" customHeight="1">
      <c r="A16" s="127" t="s">
        <v>56</v>
      </c>
      <c r="B16" s="127"/>
      <c r="C16" s="127" t="str">
        <f>CONCATENATE((IF(OR(E9="",E9="NA"),"",E9)),", ",(IF(OR(A17="",A17="NA"),"",A17)),".",(IF(OR(C17="",C17="NA"),"",C17)),", near ",(IF(OR(C22="",C22="NA"),"",C22)),", ",(IF(OR(C19="",C19="NA"),"",C19)),", ",(IF(OR(C18="",C18="NA"),"",C18)),", ",(IF(OR(G19="",G19="NA"),"",G19)),", ",(IF(OR(C20="",C20="NA"),"",C20)),", ",(IF(OR(C21="",C21="NA"),"",C21)),", ",(IF(OR(G20="",G20="NA"),"",G20))," - ",(IF(OR(G21="",G21="NA"),"",G21)),".")</f>
        <v>Kohinoor Gardens, CTS No.2447(P), U.No. 198, Sheet No. 83A, Section - 7B, UNR-01, near Kohinoor Prime, Shivaji Road, Siddhivinayak Nagar, Ulhasnagar 01, Shahad East, Ulhasnagar, Thane - 421001.</v>
      </c>
      <c r="D16" s="127"/>
      <c r="E16" s="127"/>
      <c r="F16" s="127"/>
      <c r="G16" s="127"/>
      <c r="H16" s="127"/>
      <c r="S16" s="5" t="s">
        <v>57</v>
      </c>
      <c r="T16" s="5" t="s">
        <v>58</v>
      </c>
      <c r="U16" s="5" t="s">
        <v>59</v>
      </c>
      <c r="V16" s="5" t="s">
        <v>60</v>
      </c>
      <c r="W16" s="5" t="s">
        <v>61</v>
      </c>
      <c r="X16"/>
      <c r="Y16"/>
      <c r="Z16"/>
    </row>
    <row r="17" spans="1:26">
      <c r="A17" s="210" t="s">
        <v>413</v>
      </c>
      <c r="B17" s="210"/>
      <c r="C17" s="210" t="s">
        <v>390</v>
      </c>
      <c r="D17" s="210"/>
      <c r="E17" s="210"/>
      <c r="F17" s="210"/>
      <c r="G17" s="210"/>
      <c r="H17" s="210"/>
      <c r="S17" s="5" t="s">
        <v>62</v>
      </c>
      <c r="T17" s="5" t="s">
        <v>63</v>
      </c>
      <c r="U17" s="5" t="s">
        <v>41</v>
      </c>
      <c r="V17" s="5" t="s">
        <v>64</v>
      </c>
      <c r="W17" s="5" t="s">
        <v>65</v>
      </c>
      <c r="X17"/>
      <c r="Y17"/>
      <c r="Z17"/>
    </row>
    <row r="18" spans="1:26" ht="15.75" customHeight="1">
      <c r="A18" s="210" t="s">
        <v>66</v>
      </c>
      <c r="B18" s="210"/>
      <c r="C18" s="210" t="s">
        <v>67</v>
      </c>
      <c r="D18" s="210"/>
      <c r="E18" s="210"/>
      <c r="F18" s="210"/>
      <c r="G18" s="210"/>
      <c r="H18" s="210"/>
      <c r="S18" s="5" t="s">
        <v>68</v>
      </c>
      <c r="T18" s="5" t="s">
        <v>40</v>
      </c>
      <c r="U18" s="5"/>
      <c r="V18" s="5" t="s">
        <v>69</v>
      </c>
      <c r="W18" s="5" t="s">
        <v>70</v>
      </c>
      <c r="X18"/>
      <c r="Y18"/>
      <c r="Z18"/>
    </row>
    <row r="19" spans="1:26" ht="15.75" customHeight="1">
      <c r="A19" s="127" t="s">
        <v>71</v>
      </c>
      <c r="B19" s="127"/>
      <c r="C19" s="128" t="s">
        <v>72</v>
      </c>
      <c r="D19" s="128"/>
      <c r="E19" s="127" t="s">
        <v>73</v>
      </c>
      <c r="F19" s="127"/>
      <c r="G19" s="210" t="s">
        <v>74</v>
      </c>
      <c r="H19" s="210"/>
      <c r="S19" s="5" t="s">
        <v>75</v>
      </c>
      <c r="T19" s="5" t="s">
        <v>76</v>
      </c>
      <c r="U19" s="5"/>
      <c r="V19" s="5" t="s">
        <v>77</v>
      </c>
      <c r="W19" s="5" t="s">
        <v>78</v>
      </c>
      <c r="X19"/>
      <c r="Y19"/>
      <c r="Z19"/>
    </row>
    <row r="20" spans="1:26">
      <c r="A20" s="145" t="s">
        <v>79</v>
      </c>
      <c r="B20" s="145"/>
      <c r="C20" s="210" t="s">
        <v>80</v>
      </c>
      <c r="D20" s="210"/>
      <c r="E20" s="127" t="s">
        <v>81</v>
      </c>
      <c r="F20" s="127"/>
      <c r="G20" s="245" t="s">
        <v>39</v>
      </c>
      <c r="H20" s="245"/>
      <c r="S20" s="5" t="s">
        <v>82</v>
      </c>
      <c r="T20" s="5" t="s">
        <v>83</v>
      </c>
      <c r="U20" s="5"/>
      <c r="V20" s="5" t="s">
        <v>84</v>
      </c>
      <c r="W20" s="5" t="s">
        <v>85</v>
      </c>
      <c r="X20"/>
      <c r="Y20"/>
      <c r="Z20"/>
    </row>
    <row r="21" spans="1:26">
      <c r="A21" s="145" t="s">
        <v>86</v>
      </c>
      <c r="B21" s="145"/>
      <c r="C21" s="210" t="s">
        <v>68</v>
      </c>
      <c r="D21" s="210"/>
      <c r="E21" s="127" t="s">
        <v>87</v>
      </c>
      <c r="F21" s="127"/>
      <c r="G21" s="210">
        <v>421001</v>
      </c>
      <c r="H21" s="210"/>
      <c r="S21" s="5"/>
      <c r="T21" s="5"/>
      <c r="U21" s="5"/>
      <c r="V21" s="5" t="s">
        <v>88</v>
      </c>
      <c r="W21" s="5" t="s">
        <v>89</v>
      </c>
      <c r="X21"/>
      <c r="Y21"/>
      <c r="Z21"/>
    </row>
    <row r="22" spans="1:26" ht="32.25" customHeight="1">
      <c r="A22" s="145" t="s">
        <v>90</v>
      </c>
      <c r="B22" s="145"/>
      <c r="C22" s="210" t="s">
        <v>91</v>
      </c>
      <c r="D22" s="210"/>
      <c r="E22" s="127" t="s">
        <v>92</v>
      </c>
      <c r="F22" s="127"/>
      <c r="G22" s="210" t="s">
        <v>385</v>
      </c>
      <c r="H22" s="210"/>
      <c r="S22" s="5"/>
      <c r="T22" s="5"/>
      <c r="U22" s="5"/>
      <c r="V22" s="5" t="s">
        <v>93</v>
      </c>
      <c r="W22" s="5" t="s">
        <v>94</v>
      </c>
      <c r="X22"/>
      <c r="Y22"/>
      <c r="Z22"/>
    </row>
    <row r="23" spans="1:26" ht="15" customHeight="1">
      <c r="A23" s="127" t="s">
        <v>95</v>
      </c>
      <c r="B23" s="127"/>
      <c r="C23" s="127"/>
      <c r="D23" s="127"/>
      <c r="E23" s="128" t="s">
        <v>96</v>
      </c>
      <c r="F23" s="128"/>
      <c r="G23" s="128"/>
      <c r="H23" s="128"/>
      <c r="S23" s="5"/>
      <c r="T23" s="5"/>
      <c r="U23" s="5"/>
      <c r="V23" s="5" t="s">
        <v>97</v>
      </c>
      <c r="W23" s="5" t="s">
        <v>98</v>
      </c>
      <c r="X23"/>
      <c r="Y23"/>
      <c r="Z23"/>
    </row>
    <row r="24" spans="1:26" ht="18.75" customHeight="1">
      <c r="A24" s="127"/>
      <c r="B24" s="127"/>
      <c r="C24" s="127"/>
      <c r="D24" s="127"/>
      <c r="E24" s="128"/>
      <c r="F24" s="128"/>
      <c r="G24" s="128"/>
      <c r="H24" s="128"/>
      <c r="S24" s="5"/>
      <c r="T24" s="5"/>
      <c r="U24" s="5"/>
      <c r="V24" s="5" t="s">
        <v>99</v>
      </c>
      <c r="W24" s="5" t="s">
        <v>100</v>
      </c>
      <c r="X24"/>
      <c r="Y24"/>
      <c r="Z24"/>
    </row>
    <row r="25" spans="1:26" ht="15" customHeight="1">
      <c r="A25" s="127" t="s">
        <v>101</v>
      </c>
      <c r="B25" s="127"/>
      <c r="C25" s="127"/>
      <c r="D25" s="127"/>
      <c r="E25" s="210" t="s">
        <v>102</v>
      </c>
      <c r="F25" s="210"/>
      <c r="G25" s="210"/>
      <c r="H25" s="210"/>
      <c r="S25" s="5"/>
      <c r="T25" s="5"/>
      <c r="U25" s="5"/>
      <c r="V25" s="5" t="s">
        <v>103</v>
      </c>
      <c r="W25" s="5" t="s">
        <v>104</v>
      </c>
      <c r="X25"/>
      <c r="Y25"/>
      <c r="Z25"/>
    </row>
    <row r="26" spans="1:26" ht="15" customHeight="1">
      <c r="A26" s="145" t="s">
        <v>105</v>
      </c>
      <c r="B26" s="145"/>
      <c r="C26" s="145"/>
      <c r="D26" s="145"/>
      <c r="E26" s="210" t="str">
        <f>IF(AND(G20="Mumbai"),"Upper Class","Middle Class")</f>
        <v>Middle Class</v>
      </c>
      <c r="F26" s="210"/>
      <c r="G26" s="210"/>
      <c r="H26" s="210"/>
      <c r="S26" s="5"/>
      <c r="T26" s="5"/>
      <c r="U26" s="5"/>
      <c r="V26" s="5" t="s">
        <v>106</v>
      </c>
      <c r="W26" s="5" t="s">
        <v>107</v>
      </c>
      <c r="X26"/>
      <c r="Y26"/>
      <c r="Z26"/>
    </row>
    <row r="27" spans="1:26">
      <c r="A27" s="145" t="s">
        <v>108</v>
      </c>
      <c r="B27" s="145"/>
      <c r="C27" s="145"/>
      <c r="D27" s="145"/>
      <c r="E27" s="210" t="s">
        <v>109</v>
      </c>
      <c r="F27" s="210"/>
      <c r="G27" s="210"/>
      <c r="H27" s="210"/>
      <c r="S27" s="5"/>
      <c r="T27" s="5"/>
      <c r="U27" s="5"/>
      <c r="V27" s="5" t="s">
        <v>110</v>
      </c>
      <c r="W27" s="5" t="s">
        <v>111</v>
      </c>
      <c r="X27"/>
      <c r="Y27"/>
      <c r="Z27"/>
    </row>
    <row r="28" spans="1:26" ht="15.75" customHeight="1">
      <c r="A28" s="145" t="s">
        <v>112</v>
      </c>
      <c r="B28" s="145"/>
      <c r="C28" s="145"/>
      <c r="D28" s="145"/>
      <c r="E28" s="210" t="str">
        <f>IF(AND(G20="Mumbai"),"Developed","Developing")</f>
        <v>Developing</v>
      </c>
      <c r="F28" s="210"/>
      <c r="G28" s="210"/>
      <c r="H28" s="210"/>
    </row>
    <row r="29" spans="1:26">
      <c r="A29" s="145" t="s">
        <v>113</v>
      </c>
      <c r="B29" s="145"/>
      <c r="C29" s="145"/>
      <c r="D29" s="145"/>
      <c r="E29" s="210" t="s">
        <v>114</v>
      </c>
      <c r="F29" s="210"/>
      <c r="G29" s="210"/>
      <c r="H29" s="210"/>
    </row>
    <row r="30" spans="1:26" ht="15.75" customHeight="1">
      <c r="A30" s="145" t="s">
        <v>115</v>
      </c>
      <c r="B30" s="145"/>
      <c r="C30" s="145"/>
      <c r="D30" s="145"/>
      <c r="E30" s="210" t="s">
        <v>116</v>
      </c>
      <c r="F30" s="210"/>
      <c r="G30" s="210"/>
      <c r="H30" s="210"/>
    </row>
    <row r="31" spans="1:26" ht="15" customHeight="1">
      <c r="A31" s="145" t="s">
        <v>117</v>
      </c>
      <c r="B31" s="145"/>
      <c r="C31" s="145"/>
      <c r="D31" s="145"/>
      <c r="E31" s="210"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210"/>
      <c r="G31" s="210"/>
      <c r="H31" s="210"/>
    </row>
    <row r="32" spans="1:26" ht="15.75" customHeight="1">
      <c r="A32" s="145" t="s">
        <v>118</v>
      </c>
      <c r="B32" s="145"/>
      <c r="C32" s="145"/>
      <c r="D32" s="145"/>
      <c r="E32" s="210" t="s">
        <v>119</v>
      </c>
      <c r="F32" s="210"/>
      <c r="G32" s="210"/>
      <c r="H32" s="210"/>
    </row>
    <row r="33" spans="1:19" s="37" customFormat="1">
      <c r="A33" s="244" t="s">
        <v>120</v>
      </c>
      <c r="B33" s="244"/>
      <c r="C33" s="112" t="s">
        <v>121</v>
      </c>
      <c r="D33" s="113"/>
      <c r="E33" s="114"/>
      <c r="F33" s="112" t="s">
        <v>122</v>
      </c>
      <c r="G33" s="113"/>
      <c r="H33" s="114"/>
      <c r="I33" s="112" t="s">
        <v>121</v>
      </c>
      <c r="J33" s="113"/>
      <c r="K33" s="114"/>
      <c r="S33" s="37" t="e">
        <f ca="1">OFFSET($S$13,1,MATCH($G20,$S$13:$W$13,0)-1,15,1)</f>
        <v>#VALUE!</v>
      </c>
    </row>
    <row r="34" spans="1:19" s="37" customFormat="1">
      <c r="A34" s="242" t="s">
        <v>123</v>
      </c>
      <c r="B34" s="242" t="s">
        <v>38</v>
      </c>
      <c r="C34" s="115" t="s">
        <v>129</v>
      </c>
      <c r="D34" s="116"/>
      <c r="E34" s="117"/>
      <c r="F34" s="115" t="s">
        <v>91</v>
      </c>
      <c r="G34" s="116"/>
      <c r="H34" s="117"/>
      <c r="I34" s="115" t="s">
        <v>124</v>
      </c>
      <c r="J34" s="116"/>
      <c r="K34" s="117"/>
    </row>
    <row r="35" spans="1:19">
      <c r="A35" s="242" t="s">
        <v>125</v>
      </c>
      <c r="B35" s="242" t="s">
        <v>38</v>
      </c>
      <c r="C35" s="115" t="s">
        <v>391</v>
      </c>
      <c r="D35" s="116"/>
      <c r="E35" s="117"/>
      <c r="F35" s="115" t="s">
        <v>71</v>
      </c>
      <c r="G35" s="116"/>
      <c r="H35" s="117"/>
      <c r="I35" s="115" t="s">
        <v>126</v>
      </c>
      <c r="J35" s="116"/>
      <c r="K35" s="117"/>
    </row>
    <row r="36" spans="1:19" s="37" customFormat="1">
      <c r="A36" s="242" t="s">
        <v>127</v>
      </c>
      <c r="B36" s="242" t="s">
        <v>38</v>
      </c>
      <c r="C36" s="115" t="s">
        <v>126</v>
      </c>
      <c r="D36" s="116"/>
      <c r="E36" s="117"/>
      <c r="F36" s="115" t="s">
        <v>71</v>
      </c>
      <c r="G36" s="116"/>
      <c r="H36" s="117"/>
      <c r="I36" s="115" t="s">
        <v>124</v>
      </c>
      <c r="J36" s="116"/>
      <c r="K36" s="117"/>
    </row>
    <row r="37" spans="1:19">
      <c r="A37" s="242" t="s">
        <v>128</v>
      </c>
      <c r="B37" s="242" t="s">
        <v>38</v>
      </c>
      <c r="C37" s="115" t="s">
        <v>129</v>
      </c>
      <c r="D37" s="116"/>
      <c r="E37" s="117"/>
      <c r="F37" s="115" t="s">
        <v>130</v>
      </c>
      <c r="G37" s="116"/>
      <c r="H37" s="117"/>
      <c r="I37" s="115" t="s">
        <v>129</v>
      </c>
      <c r="J37" s="116"/>
      <c r="K37" s="117"/>
    </row>
    <row r="38" spans="1:19">
      <c r="A38" s="145" t="s">
        <v>131</v>
      </c>
      <c r="B38" s="145"/>
      <c r="C38" s="145"/>
      <c r="D38" s="145"/>
      <c r="E38" s="145"/>
      <c r="F38" s="145"/>
      <c r="G38" s="145"/>
      <c r="H38" s="145"/>
    </row>
    <row r="39" spans="1:19" ht="15.75" customHeight="1">
      <c r="A39" s="145" t="s">
        <v>132</v>
      </c>
      <c r="B39" s="145"/>
      <c r="C39" s="192" t="s">
        <v>383</v>
      </c>
      <c r="D39" s="192"/>
      <c r="E39" s="192"/>
      <c r="F39" s="192"/>
      <c r="G39" s="192"/>
      <c r="H39" s="192"/>
    </row>
    <row r="40" spans="1:19">
      <c r="A40" s="145" t="s">
        <v>133</v>
      </c>
      <c r="B40" s="145"/>
      <c r="C40" s="243" t="s">
        <v>392</v>
      </c>
      <c r="D40" s="210"/>
      <c r="E40" s="210"/>
      <c r="F40" s="210"/>
      <c r="G40" s="210"/>
      <c r="H40" s="210"/>
    </row>
    <row r="41" spans="1:19">
      <c r="A41" s="192" t="s">
        <v>134</v>
      </c>
      <c r="B41" s="192"/>
      <c r="C41" s="192"/>
      <c r="D41" s="192"/>
      <c r="E41" s="192"/>
      <c r="F41" s="192"/>
      <c r="G41" s="192"/>
      <c r="H41" s="192"/>
    </row>
    <row r="42" spans="1:19">
      <c r="A42" s="145" t="s">
        <v>135</v>
      </c>
      <c r="B42" s="145"/>
      <c r="C42" s="145"/>
      <c r="D42" s="145"/>
      <c r="E42" s="239">
        <v>5943.0910000000003</v>
      </c>
      <c r="F42" s="239"/>
      <c r="G42" s="239"/>
      <c r="H42" s="239"/>
    </row>
    <row r="43" spans="1:19">
      <c r="A43" s="145" t="s">
        <v>136</v>
      </c>
      <c r="B43" s="145"/>
      <c r="C43" s="145"/>
      <c r="D43" s="145"/>
      <c r="E43" s="240">
        <f>6537.4/E42</f>
        <v>1.099999983173739</v>
      </c>
      <c r="F43" s="240"/>
      <c r="G43" s="240"/>
      <c r="H43" s="240"/>
    </row>
    <row r="44" spans="1:19">
      <c r="A44" s="145" t="s">
        <v>137</v>
      </c>
      <c r="B44" s="145"/>
      <c r="C44" s="145"/>
      <c r="D44" s="145"/>
      <c r="E44" s="240">
        <f>E46/E42-E43</f>
        <v>2.0491414316220293</v>
      </c>
      <c r="F44" s="240"/>
      <c r="G44" s="240"/>
      <c r="H44" s="240"/>
    </row>
    <row r="45" spans="1:19">
      <c r="A45" s="145" t="s">
        <v>138</v>
      </c>
      <c r="B45" s="145"/>
      <c r="C45" s="145"/>
      <c r="D45" s="145"/>
      <c r="E45" s="240">
        <f>E43+E44</f>
        <v>3.1491414147957686</v>
      </c>
      <c r="F45" s="240"/>
      <c r="G45" s="240"/>
      <c r="H45" s="240"/>
    </row>
    <row r="46" spans="1:19">
      <c r="A46" s="145" t="s">
        <v>139</v>
      </c>
      <c r="B46" s="145"/>
      <c r="C46" s="145"/>
      <c r="D46" s="145"/>
      <c r="E46" s="241">
        <v>18715.633999999998</v>
      </c>
      <c r="F46" s="241"/>
      <c r="G46" s="241"/>
      <c r="H46" s="241"/>
    </row>
    <row r="47" spans="1:19">
      <c r="A47" s="128" t="s">
        <v>140</v>
      </c>
      <c r="B47" s="128"/>
      <c r="C47" s="128"/>
      <c r="D47" s="128"/>
      <c r="E47" s="128" t="s">
        <v>141</v>
      </c>
      <c r="F47" s="128"/>
      <c r="G47" s="128"/>
      <c r="H47" s="128"/>
    </row>
    <row r="48" spans="1:19">
      <c r="A48" s="204" t="s">
        <v>142</v>
      </c>
      <c r="B48" s="204"/>
      <c r="C48" s="204"/>
      <c r="D48" s="204"/>
      <c r="E48" s="204"/>
      <c r="F48" s="204"/>
      <c r="G48" s="204"/>
      <c r="H48" s="204"/>
    </row>
    <row r="49" spans="1:24" ht="33.75" customHeight="1">
      <c r="A49" s="234" t="s">
        <v>143</v>
      </c>
      <c r="B49" s="235"/>
      <c r="C49" s="236" t="s">
        <v>144</v>
      </c>
      <c r="D49" s="237"/>
      <c r="E49" s="237"/>
      <c r="F49" s="237"/>
      <c r="G49" s="237"/>
      <c r="H49" s="238"/>
      <c r="R49" t="s">
        <v>145</v>
      </c>
      <c r="S49" s="10" t="s">
        <v>41</v>
      </c>
      <c r="T49" s="10" t="s">
        <v>39</v>
      </c>
      <c r="U49" s="10" t="s">
        <v>42</v>
      </c>
      <c r="V49" s="10" t="s">
        <v>40</v>
      </c>
    </row>
    <row r="50" spans="1:24" ht="15.75" customHeight="1">
      <c r="A50" s="221" t="s">
        <v>146</v>
      </c>
      <c r="B50" s="223"/>
      <c r="C50" s="221" t="s">
        <v>393</v>
      </c>
      <c r="D50" s="222"/>
      <c r="E50" s="223"/>
      <c r="F50" s="45" t="s">
        <v>148</v>
      </c>
      <c r="G50" s="229">
        <v>45820</v>
      </c>
      <c r="H50" s="223"/>
      <c r="I50" s="44" t="s">
        <v>147</v>
      </c>
      <c r="K50" s="60">
        <v>45379</v>
      </c>
      <c r="R50"/>
      <c r="S50" s="10" t="s">
        <v>149</v>
      </c>
      <c r="T50" s="10" t="s">
        <v>150</v>
      </c>
      <c r="U50" s="10" t="s">
        <v>151</v>
      </c>
      <c r="V50" s="10" t="s">
        <v>152</v>
      </c>
    </row>
    <row r="51" spans="1:24">
      <c r="A51" s="221" t="s">
        <v>153</v>
      </c>
      <c r="B51" s="223"/>
      <c r="C51" s="221" t="str">
        <f>C50</f>
        <v xml:space="preserve">DDUMC/AR/2025/APL/00002 </v>
      </c>
      <c r="D51" s="222"/>
      <c r="E51" s="223"/>
      <c r="F51" s="45" t="s">
        <v>148</v>
      </c>
      <c r="G51" s="229">
        <f>G50</f>
        <v>45820</v>
      </c>
      <c r="H51" s="230"/>
      <c r="R51"/>
      <c r="S51" s="10" t="s">
        <v>154</v>
      </c>
      <c r="T51" s="10" t="s">
        <v>155</v>
      </c>
      <c r="U51" s="10" t="s">
        <v>156</v>
      </c>
      <c r="V51" s="10" t="s">
        <v>157</v>
      </c>
    </row>
    <row r="52" spans="1:24" s="38" customFormat="1" ht="15.75" customHeight="1">
      <c r="A52" s="129" t="s">
        <v>158</v>
      </c>
      <c r="B52" s="130"/>
      <c r="C52" s="221" t="s">
        <v>393</v>
      </c>
      <c r="D52" s="222"/>
      <c r="E52" s="223"/>
      <c r="F52" s="45" t="s">
        <v>148</v>
      </c>
      <c r="G52" s="229">
        <v>45820</v>
      </c>
      <c r="H52" s="230"/>
      <c r="R52"/>
      <c r="S52" s="10" t="s">
        <v>159</v>
      </c>
      <c r="T52" s="10" t="s">
        <v>160</v>
      </c>
      <c r="U52" s="10" t="s">
        <v>161</v>
      </c>
      <c r="V52" s="10" t="s">
        <v>162</v>
      </c>
    </row>
    <row r="53" spans="1:24" s="38" customFormat="1">
      <c r="A53" s="131"/>
      <c r="B53" s="132"/>
      <c r="C53" s="221" t="s">
        <v>394</v>
      </c>
      <c r="D53" s="222"/>
      <c r="E53" s="222"/>
      <c r="F53" s="222"/>
      <c r="G53" s="222"/>
      <c r="H53" s="223"/>
      <c r="R53"/>
      <c r="S53" s="10" t="s">
        <v>163</v>
      </c>
      <c r="T53" s="10" t="s">
        <v>164</v>
      </c>
      <c r="U53" s="10" t="s">
        <v>165</v>
      </c>
      <c r="V53" s="49"/>
    </row>
    <row r="54" spans="1:24" s="38" customFormat="1">
      <c r="A54" s="119" t="s">
        <v>166</v>
      </c>
      <c r="B54" s="120"/>
      <c r="C54" s="221" t="s">
        <v>397</v>
      </c>
      <c r="D54" s="222"/>
      <c r="E54" s="223"/>
      <c r="F54" s="45" t="s">
        <v>148</v>
      </c>
      <c r="G54" s="229">
        <v>45322</v>
      </c>
      <c r="H54" s="223"/>
      <c r="R54"/>
      <c r="S54" s="10" t="s">
        <v>159</v>
      </c>
      <c r="T54" s="10" t="s">
        <v>160</v>
      </c>
      <c r="U54" s="10" t="s">
        <v>161</v>
      </c>
      <c r="V54" s="10" t="s">
        <v>162</v>
      </c>
    </row>
    <row r="55" spans="1:24" s="38" customFormat="1">
      <c r="A55" s="121"/>
      <c r="B55" s="122"/>
      <c r="C55" s="231" t="s">
        <v>398</v>
      </c>
      <c r="D55" s="232"/>
      <c r="E55" s="232"/>
      <c r="F55" s="232"/>
      <c r="G55" s="232"/>
      <c r="H55" s="233"/>
      <c r="R55"/>
      <c r="S55" s="10" t="s">
        <v>161</v>
      </c>
      <c r="T55" s="10" t="s">
        <v>167</v>
      </c>
      <c r="U55" s="10" t="s">
        <v>168</v>
      </c>
      <c r="V55" s="50"/>
      <c r="W55" s="44"/>
      <c r="X55" s="44"/>
    </row>
    <row r="56" spans="1:24" s="38" customFormat="1" ht="34.5" hidden="1" customHeight="1">
      <c r="A56" s="123" t="s">
        <v>169</v>
      </c>
      <c r="B56" s="124"/>
      <c r="C56" s="221" t="str">
        <f>C55</f>
        <v>Gr. + 1st to 14th Floor (Total Height = 44.40Mtrs.)</v>
      </c>
      <c r="D56" s="222"/>
      <c r="E56" s="223"/>
      <c r="F56" s="45" t="s">
        <v>148</v>
      </c>
      <c r="G56" s="221">
        <f>G55</f>
        <v>0</v>
      </c>
      <c r="H56" s="223"/>
      <c r="R56"/>
      <c r="S56" s="50"/>
      <c r="T56" s="10" t="s">
        <v>170</v>
      </c>
      <c r="U56" s="10" t="s">
        <v>171</v>
      </c>
      <c r="V56" s="50"/>
      <c r="W56" s="44"/>
      <c r="X56" s="44"/>
    </row>
    <row r="57" spans="1:24" s="38" customFormat="1" ht="41.25" hidden="1" customHeight="1">
      <c r="A57" s="125"/>
      <c r="B57" s="126"/>
      <c r="C57" s="221"/>
      <c r="D57" s="222"/>
      <c r="E57" s="222"/>
      <c r="F57" s="222"/>
      <c r="G57" s="222"/>
      <c r="H57" s="223"/>
      <c r="R57"/>
      <c r="S57" s="50"/>
      <c r="T57" s="10" t="s">
        <v>144</v>
      </c>
      <c r="U57" s="10" t="s">
        <v>172</v>
      </c>
      <c r="V57" s="50"/>
      <c r="W57" s="44"/>
      <c r="X57" s="44"/>
    </row>
    <row r="58" spans="1:24" s="38" customFormat="1" ht="15.75" hidden="1" customHeight="1">
      <c r="A58" s="123" t="s">
        <v>173</v>
      </c>
      <c r="B58" s="124"/>
      <c r="C58" s="221">
        <f>C57</f>
        <v>0</v>
      </c>
      <c r="D58" s="222"/>
      <c r="E58" s="223"/>
      <c r="F58" s="45" t="s">
        <v>148</v>
      </c>
      <c r="G58" s="221">
        <f>G57</f>
        <v>0</v>
      </c>
      <c r="H58" s="223"/>
      <c r="R58"/>
      <c r="S58" s="50"/>
      <c r="T58" s="10" t="s">
        <v>174</v>
      </c>
      <c r="U58" s="50" t="s">
        <v>175</v>
      </c>
      <c r="V58" s="50"/>
      <c r="W58" s="44"/>
      <c r="X58" s="44"/>
    </row>
    <row r="59" spans="1:24" s="38" customFormat="1" ht="33.75" hidden="1" customHeight="1">
      <c r="A59" s="125"/>
      <c r="B59" s="126"/>
      <c r="C59" s="221"/>
      <c r="D59" s="222"/>
      <c r="E59" s="222"/>
      <c r="F59" s="222"/>
      <c r="G59" s="222"/>
      <c r="H59" s="223"/>
      <c r="R59"/>
      <c r="S59" s="50"/>
      <c r="T59" s="10" t="s">
        <v>176</v>
      </c>
      <c r="U59" s="50"/>
      <c r="V59" s="50"/>
      <c r="W59" s="44"/>
      <c r="X59" s="44"/>
    </row>
    <row r="60" spans="1:24">
      <c r="A60" s="224" t="s">
        <v>177</v>
      </c>
      <c r="B60" s="225"/>
      <c r="C60" s="224" t="s">
        <v>178</v>
      </c>
      <c r="D60" s="226"/>
      <c r="E60" s="225"/>
      <c r="F60" s="46" t="s">
        <v>148</v>
      </c>
      <c r="G60" s="227" t="s">
        <v>38</v>
      </c>
      <c r="H60" s="228"/>
      <c r="R60"/>
      <c r="S60" s="50"/>
      <c r="T60" s="10" t="s">
        <v>179</v>
      </c>
      <c r="U60" s="50"/>
      <c r="V60" s="50"/>
    </row>
    <row r="61" spans="1:24">
      <c r="A61" s="162" t="s">
        <v>180</v>
      </c>
      <c r="B61" s="162"/>
      <c r="C61" s="162"/>
      <c r="D61" s="162"/>
      <c r="E61" s="162"/>
      <c r="F61" s="162"/>
      <c r="G61" s="162"/>
      <c r="H61" s="162"/>
      <c r="S61" s="50"/>
      <c r="T61" s="10" t="s">
        <v>181</v>
      </c>
      <c r="U61" s="50"/>
      <c r="V61" s="50"/>
    </row>
    <row r="62" spans="1:24">
      <c r="A62" s="127" t="s">
        <v>182</v>
      </c>
      <c r="B62" s="127"/>
      <c r="C62" s="127"/>
      <c r="D62" s="145">
        <f>E46</f>
        <v>18715.633999999998</v>
      </c>
      <c r="E62" s="145"/>
      <c r="F62" s="145"/>
      <c r="G62" s="145"/>
      <c r="H62" s="145"/>
      <c r="R62"/>
    </row>
    <row r="63" spans="1:24">
      <c r="A63" s="214" t="s">
        <v>183</v>
      </c>
      <c r="B63" s="215"/>
      <c r="C63" s="215"/>
      <c r="D63" s="128" t="s">
        <v>411</v>
      </c>
      <c r="E63" s="128"/>
      <c r="F63" s="128"/>
      <c r="G63" s="128"/>
      <c r="H63" s="128"/>
      <c r="I63" s="48"/>
      <c r="R63"/>
    </row>
    <row r="64" spans="1:24">
      <c r="A64" s="119" t="s">
        <v>184</v>
      </c>
      <c r="B64" s="133"/>
      <c r="C64" s="120"/>
      <c r="D64" s="212" t="s">
        <v>395</v>
      </c>
      <c r="E64" s="216"/>
      <c r="F64" s="216"/>
      <c r="G64" s="216"/>
      <c r="H64" s="216"/>
      <c r="R64"/>
    </row>
    <row r="65" spans="1:19" ht="15.75" customHeight="1">
      <c r="A65" s="119" t="s">
        <v>185</v>
      </c>
      <c r="B65" s="133"/>
      <c r="C65" s="133"/>
      <c r="D65" s="210" t="s">
        <v>395</v>
      </c>
      <c r="E65" s="128"/>
      <c r="F65" s="128"/>
      <c r="G65" s="128"/>
      <c r="H65" s="128"/>
      <c r="R65"/>
    </row>
    <row r="66" spans="1:19" ht="15.75" hidden="1" customHeight="1">
      <c r="A66" s="134"/>
      <c r="B66" s="135"/>
      <c r="C66" s="135"/>
      <c r="D66" s="125" t="s">
        <v>186</v>
      </c>
      <c r="E66" s="217"/>
      <c r="F66" s="217"/>
      <c r="G66" s="217"/>
      <c r="H66" s="218"/>
      <c r="R66"/>
    </row>
    <row r="67" spans="1:19" ht="15.75" customHeight="1">
      <c r="A67" s="145" t="s">
        <v>187</v>
      </c>
      <c r="B67" s="145"/>
      <c r="C67" s="145"/>
      <c r="D67" s="219" t="s">
        <v>188</v>
      </c>
      <c r="E67" s="219"/>
      <c r="F67" s="219"/>
      <c r="G67" s="219"/>
      <c r="H67" s="219"/>
      <c r="J67" s="60"/>
      <c r="K67" s="48"/>
      <c r="N67" s="48"/>
      <c r="S67"/>
    </row>
    <row r="68" spans="1:19" ht="15.75" customHeight="1">
      <c r="A68" s="145" t="s">
        <v>189</v>
      </c>
      <c r="B68" s="145"/>
      <c r="C68" s="145"/>
      <c r="D68" s="220" t="str">
        <f>(IF(G60="NA","60 Years After Completion",IF(G60&lt;&gt;"NA",""&amp;60-ROUNDDOWN((E3-G60)/360,0)&amp;" Years"," ")))</f>
        <v>60 Years After Completion</v>
      </c>
      <c r="E68" s="220"/>
      <c r="F68" s="220"/>
      <c r="G68" s="220"/>
      <c r="H68" s="220"/>
      <c r="N68" s="48"/>
      <c r="S68"/>
    </row>
    <row r="69" spans="1:19" ht="15.75" customHeight="1">
      <c r="A69" s="145" t="s">
        <v>190</v>
      </c>
      <c r="B69" s="145"/>
      <c r="C69" s="145"/>
      <c r="D69" s="127" t="s">
        <v>114</v>
      </c>
      <c r="E69" s="127"/>
      <c r="F69" s="127"/>
      <c r="G69" s="127"/>
      <c r="H69" s="127"/>
      <c r="J69" s="61"/>
      <c r="K69" s="61"/>
      <c r="S69"/>
    </row>
    <row r="70" spans="1:19" ht="50.1" customHeight="1">
      <c r="A70" s="128" t="s">
        <v>376</v>
      </c>
      <c r="B70" s="128"/>
      <c r="C70" s="128"/>
      <c r="D70" s="210" t="s">
        <v>191</v>
      </c>
      <c r="E70" s="127"/>
      <c r="F70" s="127"/>
      <c r="G70" s="127"/>
      <c r="H70" s="127"/>
      <c r="I70" s="91" t="s">
        <v>192</v>
      </c>
      <c r="S70"/>
    </row>
    <row r="71" spans="1:19">
      <c r="A71" s="127" t="s">
        <v>193</v>
      </c>
      <c r="B71" s="127"/>
      <c r="C71" s="127"/>
      <c r="D71" s="127" t="s">
        <v>38</v>
      </c>
      <c r="E71" s="127"/>
      <c r="F71" s="127"/>
      <c r="G71" s="127"/>
      <c r="H71" s="127"/>
      <c r="I71" s="62"/>
      <c r="J71" s="62"/>
      <c r="K71" s="62"/>
      <c r="L71" s="62"/>
      <c r="M71" s="62"/>
      <c r="N71" s="62"/>
    </row>
    <row r="72" spans="1:19" ht="15.75" customHeight="1">
      <c r="A72" s="211" t="s">
        <v>194</v>
      </c>
      <c r="B72" s="211"/>
      <c r="C72" s="211"/>
      <c r="D72" s="212" t="str">
        <f ca="1">(IF(G78&gt;95%,"Nothing",IF(G78&gt;0%,"Cement, Aggregate, Steel, etc",IF(G78=0%,"Work not yet Started"))))</f>
        <v>Cement, Aggregate, Steel, etc</v>
      </c>
      <c r="E72" s="212"/>
      <c r="F72" s="212"/>
      <c r="G72" s="212"/>
      <c r="H72" s="212"/>
      <c r="J72" s="61"/>
      <c r="S72"/>
    </row>
    <row r="73" spans="1:19" ht="33.75" customHeight="1">
      <c r="A73" s="213" t="s">
        <v>195</v>
      </c>
      <c r="B73" s="213"/>
      <c r="C73" s="213"/>
      <c r="D73" s="212" t="str">
        <f ca="1">(IF(D72="Nothing","Yes",IF(D72="Cement, Aggregate, Steel, etc","Under Construction",IF(D72="Work not yet Started","Work not yet Started"))))</f>
        <v>Under Construction</v>
      </c>
      <c r="E73" s="212"/>
      <c r="F73" s="212" t="str">
        <f ca="1">(IF(D72="Nothing","Yes",IF(D72="Cement, Aggregate, Steel, etc","Under Construction",IF(D72="Work not yet Started","Work not yet Started"))))</f>
        <v>Under Construction</v>
      </c>
      <c r="G73" s="212"/>
      <c r="H73" s="212"/>
      <c r="S73"/>
    </row>
    <row r="74" spans="1:19" ht="15.75" customHeight="1">
      <c r="A74" s="208" t="s">
        <v>196</v>
      </c>
      <c r="B74" s="209"/>
      <c r="C74" s="200" t="s">
        <v>410</v>
      </c>
      <c r="D74" s="201"/>
      <c r="E74" s="201"/>
      <c r="F74" s="201"/>
      <c r="G74" s="201"/>
      <c r="H74" s="202"/>
      <c r="I74" s="63" t="str">
        <f ca="1">IF(D87=100%,"All work Completed. Possession granted to the Building.",IF(D86=100%,"All work Completed, Waiting for OC",I75&amp;""&amp;I76&amp;""&amp;J75&amp;""&amp;J74&amp;" "&amp;J76))</f>
        <v>Excavation, Plinth Completed, RCC upto 8 Slab, Brickwork upto 5 Floor, Internal Plaster upto 2 Floor Completed</v>
      </c>
      <c r="J74" s="64" t="str">
        <f ca="1">(IF(C80=(D75+F75+H75),"",IF(C80&gt;0,", RCC upto "&amp;C80&amp;" Slab","")))&amp;(IF(C81=H75,"",IF(C81&gt;0,", Brickwork upto "&amp;C81&amp;" Floor","")))&amp;(IF(C82=H75,"",IF(C82&gt;0,", Internal Plaster upto "&amp;C82&amp;" Floor","")))&amp;(IF(C83=H75,"",IF(C83&gt;0,", External Plaster upto "&amp;C83&amp;" Floor","")))&amp;(IF(C84=H75,"",IF(C84&gt;0,", Flooring upto "&amp;C84&amp;" Floor","")))&amp;(IF(C85=H75,"",IF(C85&gt;0,", Painting upto "&amp;C85&amp;" Floor","")))&amp;(IF(C86=H75,"",IF(C86&gt;0,", Finishing upto "&amp;C86&amp;" Floor","")))&amp;(IF(C87=H75,"",IF(C87&gt;0,", Possession upto "&amp;C87&amp;" Floor","")))</f>
        <v>, RCC upto 8 Slab, Brickwork upto 5 Floor, Internal Plaster upto 2 Floor</v>
      </c>
      <c r="S74"/>
    </row>
    <row r="75" spans="1:19">
      <c r="A75" s="51" t="s">
        <v>197</v>
      </c>
      <c r="B75" s="52">
        <f>IF(AND(ISNUMBER(SEARCH("1B",C74))),1,IF(AND(ISNUMBER(SEARCH("2B",C74))),2,IF(AND(ISNUMBER(SEARCH("3B",C74))),3,IF(AND(ISNUMBER(SEARCH("4B",C74))),4,IF(ISNUMBER(SEARCH("5B",C74)),5,0)))))</f>
        <v>0</v>
      </c>
      <c r="C75" s="52" t="s">
        <v>198</v>
      </c>
      <c r="D75" s="52">
        <v>1</v>
      </c>
      <c r="E75" s="52" t="s">
        <v>199</v>
      </c>
      <c r="F75" s="52">
        <v>0</v>
      </c>
      <c r="G75" s="53" t="s">
        <v>200</v>
      </c>
      <c r="H75" s="54">
        <f ca="1">--TRIM(RIGHT(SUBSTITUTE(LEFT(C74,_xlfn.AGGREGATE(16,6,FIND({0,1,2,3,4,5,6,7,8,9},C74,ROW(INDIRECT("1:"&amp;LEN(C74)))),1))," ",REPT(" ",LEN(C74))),LEN(C74)))</f>
        <v>19</v>
      </c>
      <c r="I75" s="65" t="str">
        <f ca="1">IF(D78=100%,"Excavation","")&amp;IF(D79=100%,", Plinth","")&amp;IF(D80=100%,", RCC Slab","")&amp;IF(D81=100%,", Brickwork","")&amp;IF(D82=100%,", Internal Plaster","")&amp;IF(D83=100%,", External Plaster","")&amp;IF(D84=100%,", Flooring","")&amp;IF(D85=100%,", Painting","")&amp;IF(D86=100%,", Building common Amenities","")</f>
        <v>Excavation, Plinth</v>
      </c>
      <c r="J75" s="66" t="str">
        <f ca="1">(IF(C78=0,"Work not yet Started.",IF(D78=25%,"Piling work in process",IF(D78=50%,"Excavation work in process",IF(D78=100%,"","0")))))&amp;(IF(C79=0%,"",IF(C79=J80,", Footing work is process",IF(C79=J81,", Footing work Completed",IF(C79=J82,", 1st Basement Completed",IF(C79=J83,", 1st &amp; 2nd Basement Completed",IF(C79=J84,", 1st to 3rd Basement Completed",IF(C79=J85,", 1st to 4th Basement Completed",IF(C79=J86,", Plinth work is process",IF(C79=J87,"","0"))))))))))</f>
        <v/>
      </c>
      <c r="S75"/>
    </row>
    <row r="76" spans="1:19" ht="33.75" customHeight="1">
      <c r="A76" s="203" t="s">
        <v>201</v>
      </c>
      <c r="B76" s="204"/>
      <c r="C76" s="205" t="str">
        <f ca="1">I74</f>
        <v>Excavation, Plinth Completed, RCC upto 8 Slab, Brickwork upto 5 Floor, Internal Plaster upto 2 Floor Completed</v>
      </c>
      <c r="D76" s="205"/>
      <c r="E76" s="205"/>
      <c r="F76" s="205"/>
      <c r="G76" s="205"/>
      <c r="H76" s="206"/>
      <c r="I76" s="65" t="str">
        <f ca="1">IF(I75&lt;&gt;""," Completed","")</f>
        <v xml:space="preserve"> Completed</v>
      </c>
      <c r="J76" s="66" t="str">
        <f ca="1">IF(J74&lt;&gt;"","Completed","")</f>
        <v>Completed</v>
      </c>
      <c r="S76"/>
    </row>
    <row r="77" spans="1:19" ht="15.75" customHeight="1">
      <c r="A77" s="194" t="s">
        <v>202</v>
      </c>
      <c r="B77" s="195"/>
      <c r="C77" s="55" t="s">
        <v>203</v>
      </c>
      <c r="D77" s="55" t="s">
        <v>204</v>
      </c>
      <c r="E77" s="195" t="s">
        <v>205</v>
      </c>
      <c r="F77" s="195"/>
      <c r="G77" s="195" t="s">
        <v>206</v>
      </c>
      <c r="H77" s="207"/>
      <c r="I77" s="67" t="s">
        <v>207</v>
      </c>
      <c r="J77" s="68">
        <f ca="1">H75*25%</f>
        <v>4.75</v>
      </c>
      <c r="S77"/>
    </row>
    <row r="78" spans="1:19">
      <c r="A78" s="194" t="s">
        <v>208</v>
      </c>
      <c r="B78" s="195"/>
      <c r="C78" s="86">
        <f ca="1">J79</f>
        <v>19</v>
      </c>
      <c r="D78" s="56">
        <f ca="1">((100/H75)*C78)/100</f>
        <v>1</v>
      </c>
      <c r="E78" s="136">
        <f ca="1">(((C79/H75*10)+(40/(D75+F75+H75)*C80)+(7.5/(H75)*C81)+(7.5/(H75)*C82)+(10/H75*C83)+(10/H75*C84)+(5/H75*C85)+(5/H75*C86)+(5/H75*C87))/100)</f>
        <v>0.2876315789473684</v>
      </c>
      <c r="F78" s="137"/>
      <c r="G78" s="136">
        <f ca="1">((((C78/H75)*20)+((C79/H75)*25)+(30/(H75+F75+D75)*C80)+(5/H75*C81)+(5/H75*C82)+(5/H75*C83)+(5/H75*C84)+(0/H75*C85)+(0/H75*C86)+(5/H75*C87))/100)</f>
        <v>0.58842105263157896</v>
      </c>
      <c r="H78" s="142"/>
      <c r="I78" s="67" t="s">
        <v>209</v>
      </c>
      <c r="J78" s="69">
        <f ca="1">H75*50%</f>
        <v>9.5</v>
      </c>
    </row>
    <row r="79" spans="1:19">
      <c r="A79" s="194" t="s">
        <v>210</v>
      </c>
      <c r="B79" s="195"/>
      <c r="C79" s="96">
        <f ca="1">J87</f>
        <v>19</v>
      </c>
      <c r="D79" s="56">
        <f ca="1">((100/H75)*C79)/100</f>
        <v>1</v>
      </c>
      <c r="E79" s="138"/>
      <c r="F79" s="139"/>
      <c r="G79" s="138"/>
      <c r="H79" s="143"/>
      <c r="I79" s="67" t="s">
        <v>211</v>
      </c>
      <c r="J79" s="69">
        <f ca="1">H75</f>
        <v>19</v>
      </c>
      <c r="S79"/>
    </row>
    <row r="80" spans="1:19" ht="15.75" customHeight="1">
      <c r="A80" s="194" t="s">
        <v>212</v>
      </c>
      <c r="B80" s="195"/>
      <c r="C80" s="55">
        <v>8</v>
      </c>
      <c r="D80" s="56">
        <f ca="1">((100/(D75+F75+H75))*C80)/100</f>
        <v>0.4</v>
      </c>
      <c r="E80" s="138"/>
      <c r="F80" s="139"/>
      <c r="G80" s="138"/>
      <c r="H80" s="143"/>
      <c r="I80" s="67" t="s">
        <v>213</v>
      </c>
      <c r="J80" s="70">
        <f ca="1">(IF(B75&gt;1,(H75/(B75+2)),H75/4))</f>
        <v>4.75</v>
      </c>
      <c r="S80"/>
    </row>
    <row r="81" spans="1:19" ht="15.75" customHeight="1">
      <c r="A81" s="194" t="s">
        <v>214</v>
      </c>
      <c r="B81" s="195" t="s">
        <v>215</v>
      </c>
      <c r="C81" s="55">
        <v>5</v>
      </c>
      <c r="D81" s="56">
        <f ca="1">((100/H75)*C81)/100</f>
        <v>0.26315789473684215</v>
      </c>
      <c r="E81" s="138"/>
      <c r="F81" s="139"/>
      <c r="G81" s="138"/>
      <c r="H81" s="143"/>
      <c r="I81" s="67" t="s">
        <v>216</v>
      </c>
      <c r="J81" s="70">
        <f ca="1">(IF(B75&gt;1,(H75/(B75+2)+J80),H75/4+J80))</f>
        <v>9.5</v>
      </c>
    </row>
    <row r="82" spans="1:19" ht="15.75" customHeight="1">
      <c r="A82" s="194" t="s">
        <v>217</v>
      </c>
      <c r="B82" s="195" t="s">
        <v>215</v>
      </c>
      <c r="C82" s="55">
        <v>2</v>
      </c>
      <c r="D82" s="56">
        <f ca="1">((100/H75)*C82)/100</f>
        <v>0.10526315789473685</v>
      </c>
      <c r="E82" s="138"/>
      <c r="F82" s="139"/>
      <c r="G82" s="138"/>
      <c r="H82" s="143"/>
      <c r="I82" s="67" t="s">
        <v>218</v>
      </c>
      <c r="J82" s="70">
        <f>(IF(B75&gt;1,(H75/(B75+2)+J81),0))</f>
        <v>0</v>
      </c>
    </row>
    <row r="83" spans="1:19" ht="15" customHeight="1">
      <c r="A83" s="194" t="s">
        <v>219</v>
      </c>
      <c r="B83" s="195" t="s">
        <v>220</v>
      </c>
      <c r="C83" s="55">
        <v>0</v>
      </c>
      <c r="D83" s="56">
        <f ca="1">((100/(H75))*C83)/100</f>
        <v>0</v>
      </c>
      <c r="E83" s="138"/>
      <c r="F83" s="139"/>
      <c r="G83" s="138"/>
      <c r="H83" s="143"/>
      <c r="I83" s="67" t="s">
        <v>221</v>
      </c>
      <c r="J83" s="70">
        <f>(IF(B75&gt;2,(H75/(B75+2)+J82),0))</f>
        <v>0</v>
      </c>
    </row>
    <row r="84" spans="1:19" ht="15.75" customHeight="1">
      <c r="A84" s="194" t="s">
        <v>222</v>
      </c>
      <c r="B84" s="195" t="s">
        <v>222</v>
      </c>
      <c r="C84" s="55">
        <v>0</v>
      </c>
      <c r="D84" s="56">
        <f ca="1">((100/H75)*C84)/100</f>
        <v>0</v>
      </c>
      <c r="E84" s="138"/>
      <c r="F84" s="139"/>
      <c r="G84" s="138"/>
      <c r="H84" s="143"/>
      <c r="I84" s="67" t="s">
        <v>223</v>
      </c>
      <c r="J84" s="71">
        <f>(IF(B75&gt;3,(H75/(B75+2)+J83),0))</f>
        <v>0</v>
      </c>
    </row>
    <row r="85" spans="1:19" ht="15.75" customHeight="1">
      <c r="A85" s="194" t="s">
        <v>224</v>
      </c>
      <c r="B85" s="195"/>
      <c r="C85" s="55">
        <v>0</v>
      </c>
      <c r="D85" s="56">
        <f ca="1">((100/H75)*C85)/100</f>
        <v>0</v>
      </c>
      <c r="E85" s="138"/>
      <c r="F85" s="139"/>
      <c r="G85" s="138"/>
      <c r="H85" s="143"/>
      <c r="I85" s="67" t="s">
        <v>225</v>
      </c>
      <c r="J85" s="70">
        <f>(IF(B75&gt;4,(H75/(B75+2)+J84),0))</f>
        <v>0</v>
      </c>
    </row>
    <row r="86" spans="1:19" ht="15.75" customHeight="1">
      <c r="A86" s="194" t="s">
        <v>226</v>
      </c>
      <c r="B86" s="195" t="s">
        <v>226</v>
      </c>
      <c r="C86" s="55">
        <v>0</v>
      </c>
      <c r="D86" s="56">
        <f ca="1">((100/(H75))*C86)/100</f>
        <v>0</v>
      </c>
      <c r="E86" s="138"/>
      <c r="F86" s="139"/>
      <c r="G86" s="138"/>
      <c r="H86" s="143"/>
      <c r="I86" s="67" t="s">
        <v>227</v>
      </c>
      <c r="J86" s="70">
        <f ca="1">(IF(B75=1,(H75/(B75+3)+J81),IF(B75=0,(H75/4+J81),IF(B75&gt;1,0))))</f>
        <v>14.25</v>
      </c>
    </row>
    <row r="87" spans="1:19" ht="16.5" thickBot="1">
      <c r="A87" s="196" t="s">
        <v>228</v>
      </c>
      <c r="B87" s="197"/>
      <c r="C87" s="57">
        <v>0</v>
      </c>
      <c r="D87" s="58">
        <f ca="1">((100/(H75))*C87)/100</f>
        <v>0</v>
      </c>
      <c r="E87" s="140"/>
      <c r="F87" s="141"/>
      <c r="G87" s="140"/>
      <c r="H87" s="144"/>
      <c r="I87" s="72" t="s">
        <v>229</v>
      </c>
      <c r="J87" s="73">
        <f ca="1">(IF(B75&gt;1.5,(H75/(B75+2)+J81+MAX(0,J82-J81)+MAX(0,J83-J82)+MAX(0,J84-J83)+MAX(0,J85-J84)+MAX(0,J86-J85)),IF(B75=1,(H75/(B75+3)+J86),IF(B75=0,H75/4+J86))))</f>
        <v>19</v>
      </c>
    </row>
    <row r="88" spans="1:19" ht="15.75" customHeight="1">
      <c r="A88" s="208" t="s">
        <v>196</v>
      </c>
      <c r="B88" s="209"/>
      <c r="C88" s="200" t="s">
        <v>409</v>
      </c>
      <c r="D88" s="201"/>
      <c r="E88" s="201"/>
      <c r="F88" s="201"/>
      <c r="G88" s="201"/>
      <c r="H88" s="202"/>
      <c r="I88" s="63" t="str">
        <f ca="1">IF(D101=100%,"All work Completed. Possession granted to the Building.",IF(D100=100%,"All work Completed, Waiting for OC",I89&amp;""&amp;I90&amp;""&amp;J89&amp;""&amp;J88&amp;" "&amp;J90))</f>
        <v>Excavation, Plinth Completed, RCC upto 8 Slab, Brickwork upto 4 Floor Completed</v>
      </c>
      <c r="J88" s="64" t="str">
        <f ca="1">(IF(C94=(D89+F89+H89),"",IF(C94&gt;0,", RCC upto "&amp;C94&amp;" Slab","")))&amp;(IF(C95=H89,"",IF(C95&gt;0,", Brickwork upto "&amp;C95&amp;" Floor","")))&amp;(IF(C96=H89,"",IF(C96&gt;0,", Internal Plaster upto "&amp;C96&amp;" Floor","")))&amp;(IF(C97=H89,"",IF(C97&gt;0,", External Plaster upto "&amp;C97&amp;" Floor","")))&amp;(IF(C98=H89,"",IF(C98&gt;0,", Flooring upto "&amp;C98&amp;" Floor","")))&amp;(IF(C99=H89,"",IF(C99&gt;0,", Painting upto "&amp;C99&amp;" Floor","")))&amp;(IF(C100=H89,"",IF(C100&gt;0,", Finishing upto "&amp;C100&amp;" Floor","")))&amp;(IF(C101=H89,"",IF(C101&gt;0,", Possession upto "&amp;C101&amp;" Floor","")))</f>
        <v>, RCC upto 8 Slab, Brickwork upto 4 Floor</v>
      </c>
      <c r="S88"/>
    </row>
    <row r="89" spans="1:19">
      <c r="A89" s="51" t="s">
        <v>197</v>
      </c>
      <c r="B89" s="52">
        <f>IF(AND(ISNUMBER(SEARCH("1B",C88))),1,IF(AND(ISNUMBER(SEARCH("2B",C88))),2,IF(AND(ISNUMBER(SEARCH("3B",C88))),3,IF(AND(ISNUMBER(SEARCH("4B",C88))),4,IF(ISNUMBER(SEARCH("5B",C88)),5,0)))))</f>
        <v>0</v>
      </c>
      <c r="C89" s="52" t="s">
        <v>198</v>
      </c>
      <c r="D89" s="52">
        <v>1</v>
      </c>
      <c r="E89" s="52" t="s">
        <v>199</v>
      </c>
      <c r="F89" s="52">
        <v>0</v>
      </c>
      <c r="G89" s="53" t="s">
        <v>200</v>
      </c>
      <c r="H89" s="54">
        <f ca="1">--TRIM(RIGHT(SUBSTITUTE(LEFT(C88,_xlfn.AGGREGATE(16,6,FIND({0,1,2,3,4,5,6,7,8,9},C88,ROW(INDIRECT("1:"&amp;LEN(C88)))),1))," ",REPT(" ",LEN(C88))),LEN(C88)))</f>
        <v>19</v>
      </c>
      <c r="I89" s="65" t="str">
        <f ca="1">IF(D92=100%,"Excavation","")&amp;IF(D93=100%,", Plinth","")&amp;IF(D94=100%,", RCC Slab","")&amp;IF(D95=100%,", Brickwork","")&amp;IF(D96=100%,", Internal Plaster","")&amp;IF(D97=100%,", External Plaster","")&amp;IF(D98=100%,", Flooring","")&amp;IF(D99=100%,", Painting","")&amp;IF(D100=100%,", Building common Amenities","")</f>
        <v>Excavation, Plinth</v>
      </c>
      <c r="J89" s="66" t="str">
        <f ca="1">(IF(C92=0,"Work not yet Started.",IF(D92=25%,"Piling work in process",IF(D92=50%,"Excavation work in process",IF(D92=100%,"","0")))))&amp;(IF(C93=0%,"",IF(C93=J94,", Footing work is process",IF(C93=J95,", Footing work Completed",IF(C93=J96,", 1st Basement Completed",IF(C93=J97,", 1st &amp; 2nd Basement Completed",IF(C93=J98,", 1st to 3rd Basement Completed",IF(C93=J99,", 1st to 4th Basement Completed",IF(C93=J100,", Plinth work is process",IF(C93=J101,"","0"))))))))))</f>
        <v/>
      </c>
      <c r="S89"/>
    </row>
    <row r="90" spans="1:19" ht="31.5" customHeight="1">
      <c r="A90" s="203" t="s">
        <v>201</v>
      </c>
      <c r="B90" s="204"/>
      <c r="C90" s="205" t="str">
        <f ca="1">I88</f>
        <v>Excavation, Plinth Completed, RCC upto 8 Slab, Brickwork upto 4 Floor Completed</v>
      </c>
      <c r="D90" s="205"/>
      <c r="E90" s="205"/>
      <c r="F90" s="205"/>
      <c r="G90" s="205"/>
      <c r="H90" s="206"/>
      <c r="I90" s="65" t="str">
        <f ca="1">IF(I89&lt;&gt;""," Completed","")</f>
        <v xml:space="preserve"> Completed</v>
      </c>
      <c r="J90" s="66" t="str">
        <f ca="1">IF(J88&lt;&gt;"","Completed","")</f>
        <v>Completed</v>
      </c>
      <c r="S90"/>
    </row>
    <row r="91" spans="1:19" ht="15.75" customHeight="1">
      <c r="A91" s="194" t="s">
        <v>202</v>
      </c>
      <c r="B91" s="195"/>
      <c r="C91" s="55" t="s">
        <v>203</v>
      </c>
      <c r="D91" s="55" t="s">
        <v>204</v>
      </c>
      <c r="E91" s="195" t="s">
        <v>205</v>
      </c>
      <c r="F91" s="195"/>
      <c r="G91" s="195" t="s">
        <v>206</v>
      </c>
      <c r="H91" s="207"/>
      <c r="I91" s="67" t="s">
        <v>207</v>
      </c>
      <c r="J91" s="68">
        <f ca="1">H89*25%</f>
        <v>4.75</v>
      </c>
      <c r="S91"/>
    </row>
    <row r="92" spans="1:19">
      <c r="A92" s="194" t="s">
        <v>208</v>
      </c>
      <c r="B92" s="195"/>
      <c r="C92" s="86">
        <f ca="1">J93</f>
        <v>19</v>
      </c>
      <c r="D92" s="56">
        <f ca="1">((100/H89)*C92)/100</f>
        <v>1</v>
      </c>
      <c r="E92" s="136">
        <f ca="1">(((C93/H89*10)+(40/(D89+F89+H89)*C94)+(7.5/(H89)*C95)+(7.5/(H89)*C96)+(10/H89*C97)+(10/H89*C98)+(5/H89*C99)+(5/H89*C100)+(5/H89*C101))/100)</f>
        <v>0.27578947368421053</v>
      </c>
      <c r="F92" s="137"/>
      <c r="G92" s="136">
        <f ca="1">((((C92/H89)*20)+((C93/H89)*25)+(30/(H89+F89+D89)*C94)+(5/H89*C95)+(5/H89*C96)+(5/H89*C97)+(5/H89*C98)+(0/H89*C99)+(0/H89*C100)+(5/H89*C101))/100)</f>
        <v>0.58052631578947367</v>
      </c>
      <c r="H92" s="142"/>
      <c r="I92" s="67" t="s">
        <v>209</v>
      </c>
      <c r="J92" s="69">
        <f ca="1">H89*50%</f>
        <v>9.5</v>
      </c>
    </row>
    <row r="93" spans="1:19">
      <c r="A93" s="194" t="s">
        <v>210</v>
      </c>
      <c r="B93" s="195"/>
      <c r="C93" s="55">
        <f ca="1">J101</f>
        <v>19</v>
      </c>
      <c r="D93" s="56">
        <f ca="1">((100/H89)*C93)/100</f>
        <v>1</v>
      </c>
      <c r="E93" s="138"/>
      <c r="F93" s="139"/>
      <c r="G93" s="138"/>
      <c r="H93" s="143"/>
      <c r="I93" s="67" t="s">
        <v>211</v>
      </c>
      <c r="J93" s="69">
        <f ca="1">H89</f>
        <v>19</v>
      </c>
      <c r="S93"/>
    </row>
    <row r="94" spans="1:19" ht="15.75" customHeight="1">
      <c r="A94" s="194" t="s">
        <v>212</v>
      </c>
      <c r="B94" s="195"/>
      <c r="C94" s="55">
        <v>8</v>
      </c>
      <c r="D94" s="56">
        <f ca="1">((100/(D89+F89+H89))*C94)/100</f>
        <v>0.4</v>
      </c>
      <c r="E94" s="138"/>
      <c r="F94" s="139"/>
      <c r="G94" s="138"/>
      <c r="H94" s="143"/>
      <c r="I94" s="67" t="s">
        <v>213</v>
      </c>
      <c r="J94" s="70">
        <f ca="1">(IF(B89&gt;1,(H89/(B89+2)),H89/4))</f>
        <v>4.75</v>
      </c>
      <c r="S94"/>
    </row>
    <row r="95" spans="1:19" ht="15.75" customHeight="1">
      <c r="A95" s="194" t="s">
        <v>214</v>
      </c>
      <c r="B95" s="195" t="s">
        <v>215</v>
      </c>
      <c r="C95" s="55">
        <v>4</v>
      </c>
      <c r="D95" s="56">
        <f ca="1">((100/H89)*C95)/100</f>
        <v>0.2105263157894737</v>
      </c>
      <c r="E95" s="138"/>
      <c r="F95" s="139"/>
      <c r="G95" s="138"/>
      <c r="H95" s="143"/>
      <c r="I95" s="67" t="s">
        <v>216</v>
      </c>
      <c r="J95" s="70">
        <f ca="1">(IF(B89&gt;1,(H89/(B89+2)+J94),H89/4+J94))</f>
        <v>9.5</v>
      </c>
    </row>
    <row r="96" spans="1:19" ht="15.75" customHeight="1">
      <c r="A96" s="194" t="s">
        <v>217</v>
      </c>
      <c r="B96" s="195" t="s">
        <v>215</v>
      </c>
      <c r="C96" s="55">
        <v>0</v>
      </c>
      <c r="D96" s="56">
        <f ca="1">((100/H89)*C96)/100</f>
        <v>0</v>
      </c>
      <c r="E96" s="138"/>
      <c r="F96" s="139"/>
      <c r="G96" s="138"/>
      <c r="H96" s="143"/>
      <c r="I96" s="67" t="s">
        <v>218</v>
      </c>
      <c r="J96" s="70">
        <f>(IF(B89&gt;1,(H89/(B89+2)+J95),0))</f>
        <v>0</v>
      </c>
    </row>
    <row r="97" spans="1:22" ht="15" customHeight="1">
      <c r="A97" s="194" t="s">
        <v>219</v>
      </c>
      <c r="B97" s="195" t="s">
        <v>220</v>
      </c>
      <c r="C97" s="55">
        <v>0</v>
      </c>
      <c r="D97" s="56">
        <f ca="1">((100/(H89))*C97)/100</f>
        <v>0</v>
      </c>
      <c r="E97" s="138"/>
      <c r="F97" s="139"/>
      <c r="G97" s="138"/>
      <c r="H97" s="143"/>
      <c r="I97" s="67" t="s">
        <v>221</v>
      </c>
      <c r="J97" s="70">
        <f>(IF(B89&gt;2,(H89/(B89+2)+J96),0))</f>
        <v>0</v>
      </c>
    </row>
    <row r="98" spans="1:22" ht="15.75" customHeight="1">
      <c r="A98" s="194" t="s">
        <v>222</v>
      </c>
      <c r="B98" s="195" t="s">
        <v>222</v>
      </c>
      <c r="C98" s="55">
        <v>0</v>
      </c>
      <c r="D98" s="56">
        <f ca="1">((100/H89)*C98)/100</f>
        <v>0</v>
      </c>
      <c r="E98" s="138"/>
      <c r="F98" s="139"/>
      <c r="G98" s="138"/>
      <c r="H98" s="143"/>
      <c r="I98" s="67" t="s">
        <v>223</v>
      </c>
      <c r="J98" s="71">
        <f>(IF(B89&gt;3,(H89/(B89+2)+J97),0))</f>
        <v>0</v>
      </c>
    </row>
    <row r="99" spans="1:22" ht="15.75" customHeight="1">
      <c r="A99" s="194" t="s">
        <v>224</v>
      </c>
      <c r="B99" s="195"/>
      <c r="C99" s="55">
        <v>0</v>
      </c>
      <c r="D99" s="56">
        <f ca="1">((100/H89)*C99)/100</f>
        <v>0</v>
      </c>
      <c r="E99" s="138"/>
      <c r="F99" s="139"/>
      <c r="G99" s="138"/>
      <c r="H99" s="143"/>
      <c r="I99" s="67" t="s">
        <v>225</v>
      </c>
      <c r="J99" s="70">
        <f>(IF(B89&gt;4,(H89/(B89+2)+J98),0))</f>
        <v>0</v>
      </c>
    </row>
    <row r="100" spans="1:22" ht="15.75" customHeight="1">
      <c r="A100" s="194" t="s">
        <v>226</v>
      </c>
      <c r="B100" s="195" t="s">
        <v>226</v>
      </c>
      <c r="C100" s="55">
        <v>0</v>
      </c>
      <c r="D100" s="56">
        <f ca="1">((100/(H89))*C100)/100</f>
        <v>0</v>
      </c>
      <c r="E100" s="138"/>
      <c r="F100" s="139"/>
      <c r="G100" s="138"/>
      <c r="H100" s="143"/>
      <c r="I100" s="67" t="s">
        <v>227</v>
      </c>
      <c r="J100" s="70">
        <f ca="1">(IF(B89=1,(H89/(B89+3)+J95),IF(B89=0,(H89/4+J95),IF(B89&gt;1,0))))</f>
        <v>14.25</v>
      </c>
    </row>
    <row r="101" spans="1:22" ht="16.5" thickBot="1">
      <c r="A101" s="196" t="s">
        <v>228</v>
      </c>
      <c r="B101" s="197"/>
      <c r="C101" s="57">
        <v>0</v>
      </c>
      <c r="D101" s="58">
        <f ca="1">((100/(H89))*C101)/100</f>
        <v>0</v>
      </c>
      <c r="E101" s="140"/>
      <c r="F101" s="141"/>
      <c r="G101" s="140"/>
      <c r="H101" s="144"/>
      <c r="I101" s="72" t="s">
        <v>229</v>
      </c>
      <c r="J101" s="73">
        <f ca="1">(IF(B89&gt;1.5,(H89/(B89+2)+J95+MAX(0,J96-J95)+MAX(0,J97-J96)+MAX(0,J98-J97)+MAX(0,J99-J98)+MAX(0,J100-J99)),IF(B89=1,(H89/(B89+3)+J100),IF(B89=0,H89/4+J100))))</f>
        <v>19</v>
      </c>
    </row>
    <row r="102" spans="1:22">
      <c r="A102" s="198" t="s">
        <v>230</v>
      </c>
      <c r="B102" s="198"/>
      <c r="C102" s="198"/>
      <c r="D102" s="198"/>
      <c r="E102" s="198"/>
      <c r="F102" s="199" t="s">
        <v>231</v>
      </c>
      <c r="G102" s="199"/>
      <c r="H102" s="199"/>
      <c r="R102" t="s">
        <v>145</v>
      </c>
      <c r="S102" t="s">
        <v>41</v>
      </c>
      <c r="T102" t="s">
        <v>39</v>
      </c>
      <c r="U102" t="s">
        <v>42</v>
      </c>
      <c r="V102" t="s">
        <v>40</v>
      </c>
    </row>
    <row r="103" spans="1:22">
      <c r="A103" s="145" t="s">
        <v>232</v>
      </c>
      <c r="B103" s="145"/>
      <c r="C103" s="145"/>
      <c r="D103" s="145"/>
      <c r="E103" s="145"/>
      <c r="F103" s="193">
        <v>6200</v>
      </c>
      <c r="G103" s="193"/>
      <c r="H103" s="193"/>
      <c r="R103"/>
      <c r="S103">
        <v>800000</v>
      </c>
      <c r="T103">
        <v>150000</v>
      </c>
      <c r="U103">
        <v>100000</v>
      </c>
      <c r="V103">
        <v>100000</v>
      </c>
    </row>
    <row r="104" spans="1:22" hidden="1">
      <c r="A104" s="145" t="s">
        <v>232</v>
      </c>
      <c r="B104" s="145"/>
      <c r="C104" s="145"/>
      <c r="D104" s="145"/>
      <c r="E104" s="145"/>
      <c r="F104" s="193"/>
      <c r="G104" s="193"/>
      <c r="H104" s="193"/>
      <c r="R104"/>
      <c r="S104">
        <v>900000</v>
      </c>
      <c r="T104">
        <v>200000</v>
      </c>
      <c r="U104">
        <v>150000</v>
      </c>
      <c r="V104">
        <v>150000</v>
      </c>
    </row>
    <row r="105" spans="1:22" hidden="1">
      <c r="A105" s="145" t="s">
        <v>233</v>
      </c>
      <c r="B105" s="145"/>
      <c r="C105" s="145"/>
      <c r="D105" s="145"/>
      <c r="E105" s="145"/>
      <c r="F105" s="193"/>
      <c r="G105" s="193"/>
      <c r="H105" s="193"/>
      <c r="R105"/>
      <c r="S105">
        <v>1000000</v>
      </c>
      <c r="T105">
        <v>250000</v>
      </c>
      <c r="U105">
        <v>200000</v>
      </c>
      <c r="V105">
        <v>200000</v>
      </c>
    </row>
    <row r="106" spans="1:22" s="39" customFormat="1" hidden="1">
      <c r="A106" s="145" t="s">
        <v>234</v>
      </c>
      <c r="B106" s="145"/>
      <c r="C106" s="145"/>
      <c r="D106" s="145"/>
      <c r="E106" s="145"/>
      <c r="F106" s="193"/>
      <c r="G106" s="193"/>
      <c r="H106" s="193"/>
      <c r="R106"/>
      <c r="S106">
        <v>1100000</v>
      </c>
      <c r="T106">
        <v>300000</v>
      </c>
      <c r="U106">
        <v>250000</v>
      </c>
      <c r="V106" s="38">
        <v>250000</v>
      </c>
    </row>
    <row r="107" spans="1:22" s="39" customFormat="1" hidden="1">
      <c r="A107" s="145" t="s">
        <v>235</v>
      </c>
      <c r="B107" s="145"/>
      <c r="C107" s="145"/>
      <c r="D107" s="145"/>
      <c r="E107" s="145"/>
      <c r="F107" s="193"/>
      <c r="G107" s="193"/>
      <c r="H107" s="193"/>
      <c r="R107"/>
      <c r="S107">
        <v>1200000</v>
      </c>
      <c r="T107">
        <v>350000</v>
      </c>
      <c r="U107">
        <v>300000</v>
      </c>
      <c r="V107">
        <v>300000</v>
      </c>
    </row>
    <row r="108" spans="1:22" s="39" customFormat="1" hidden="1">
      <c r="A108" s="145" t="s">
        <v>236</v>
      </c>
      <c r="B108" s="145"/>
      <c r="C108" s="145"/>
      <c r="D108" s="145"/>
      <c r="E108" s="145"/>
      <c r="F108" s="193"/>
      <c r="G108" s="193"/>
      <c r="H108" s="193"/>
      <c r="R108"/>
      <c r="S108">
        <v>1300000</v>
      </c>
      <c r="T108">
        <v>400000</v>
      </c>
      <c r="U108">
        <v>350000</v>
      </c>
      <c r="V108" s="38">
        <v>400000</v>
      </c>
    </row>
    <row r="109" spans="1:22" s="39" customFormat="1" hidden="1">
      <c r="A109" s="145" t="s">
        <v>237</v>
      </c>
      <c r="B109" s="145"/>
      <c r="C109" s="145"/>
      <c r="D109" s="145"/>
      <c r="E109" s="145"/>
      <c r="F109" s="193"/>
      <c r="G109" s="193"/>
      <c r="H109" s="193"/>
      <c r="R109"/>
      <c r="S109">
        <v>1400000</v>
      </c>
      <c r="T109">
        <v>500000</v>
      </c>
      <c r="U109">
        <v>400000</v>
      </c>
      <c r="V109"/>
    </row>
    <row r="110" spans="1:22" s="39" customFormat="1" hidden="1">
      <c r="A110" s="145" t="s">
        <v>238</v>
      </c>
      <c r="B110" s="145"/>
      <c r="C110" s="145"/>
      <c r="D110" s="145"/>
      <c r="E110" s="145"/>
      <c r="F110" s="193"/>
      <c r="G110" s="193"/>
      <c r="H110" s="193"/>
      <c r="R110"/>
      <c r="S110">
        <v>1500000</v>
      </c>
      <c r="T110">
        <v>600000</v>
      </c>
      <c r="U110">
        <v>500000</v>
      </c>
      <c r="V110" s="38"/>
    </row>
    <row r="111" spans="1:22" s="39" customFormat="1" hidden="1">
      <c r="A111" s="145" t="s">
        <v>239</v>
      </c>
      <c r="B111" s="145"/>
      <c r="C111" s="145"/>
      <c r="D111" s="145"/>
      <c r="E111" s="145"/>
      <c r="F111" s="193"/>
      <c r="G111" s="193"/>
      <c r="H111" s="193"/>
      <c r="R111"/>
      <c r="S111">
        <v>1600000</v>
      </c>
      <c r="T111">
        <v>700000</v>
      </c>
      <c r="U111">
        <v>600000</v>
      </c>
      <c r="V111"/>
    </row>
    <row r="112" spans="1:22" s="39" customFormat="1" hidden="1">
      <c r="A112" s="145" t="s">
        <v>240</v>
      </c>
      <c r="B112" s="145"/>
      <c r="C112" s="145"/>
      <c r="D112" s="145"/>
      <c r="E112" s="145"/>
      <c r="F112" s="193"/>
      <c r="G112" s="193"/>
      <c r="H112" s="193"/>
      <c r="R112"/>
      <c r="S112">
        <v>1700000</v>
      </c>
      <c r="T112">
        <v>800000</v>
      </c>
      <c r="U112"/>
      <c r="V112" s="38"/>
    </row>
    <row r="113" spans="1:22">
      <c r="A113" s="145" t="s">
        <v>241</v>
      </c>
      <c r="B113" s="145"/>
      <c r="C113" s="145"/>
      <c r="D113" s="145"/>
      <c r="E113" s="145"/>
      <c r="F113" s="193">
        <v>350000</v>
      </c>
      <c r="G113" s="193"/>
      <c r="H113" s="193"/>
      <c r="R113"/>
      <c r="S113">
        <v>1800000</v>
      </c>
      <c r="T113">
        <v>900000</v>
      </c>
      <c r="U113"/>
    </row>
    <row r="114" spans="1:22" s="40" customFormat="1">
      <c r="A114" s="192" t="s">
        <v>242</v>
      </c>
      <c r="B114" s="192"/>
      <c r="C114" s="192"/>
      <c r="D114" s="192"/>
      <c r="E114" s="192"/>
      <c r="F114" s="193">
        <f>F103*0.8</f>
        <v>4960</v>
      </c>
      <c r="G114" s="193"/>
      <c r="H114" s="193"/>
      <c r="R114" s="44"/>
      <c r="S114" s="44"/>
      <c r="T114">
        <v>1000000</v>
      </c>
      <c r="U114"/>
      <c r="V114" s="44"/>
    </row>
    <row r="115" spans="1:22" s="41" customFormat="1" ht="15.75" hidden="1" customHeight="1">
      <c r="A115" s="186" t="s">
        <v>243</v>
      </c>
      <c r="B115" s="186"/>
      <c r="C115" s="186"/>
      <c r="D115" s="186"/>
      <c r="E115" s="186"/>
      <c r="F115" s="186"/>
      <c r="G115" s="186"/>
      <c r="H115" s="186"/>
      <c r="R115"/>
      <c r="S115" s="44"/>
      <c r="T115"/>
      <c r="U115"/>
      <c r="V115" s="44"/>
    </row>
    <row r="116" spans="1:22" s="41" customFormat="1" ht="15.75" hidden="1" customHeight="1">
      <c r="A116" s="187" t="s">
        <v>244</v>
      </c>
      <c r="B116" s="187"/>
      <c r="C116" s="188" t="s">
        <v>245</v>
      </c>
      <c r="D116" s="188"/>
      <c r="E116" s="189" t="s">
        <v>246</v>
      </c>
      <c r="F116" s="189"/>
      <c r="G116" s="187" t="s">
        <v>247</v>
      </c>
      <c r="H116" s="187"/>
      <c r="R116"/>
      <c r="S116" s="44"/>
      <c r="T116"/>
      <c r="U116" s="44"/>
      <c r="V116" s="44"/>
    </row>
    <row r="117" spans="1:22" s="41" customFormat="1" hidden="1">
      <c r="A117" s="174"/>
      <c r="B117" s="174"/>
      <c r="C117" s="176"/>
      <c r="D117" s="176"/>
      <c r="E117" s="190"/>
      <c r="F117" s="190"/>
      <c r="G117" s="191"/>
      <c r="H117" s="191"/>
      <c r="R117"/>
      <c r="S117" s="44"/>
      <c r="T117"/>
      <c r="U117" s="44"/>
      <c r="V117" s="44"/>
    </row>
    <row r="118" spans="1:22" s="41" customFormat="1" hidden="1">
      <c r="A118" s="174"/>
      <c r="B118" s="174"/>
      <c r="C118" s="176"/>
      <c r="D118" s="176"/>
      <c r="E118" s="190"/>
      <c r="F118" s="190"/>
      <c r="G118" s="191"/>
      <c r="H118" s="191"/>
      <c r="R118"/>
      <c r="S118" s="44"/>
      <c r="T118"/>
      <c r="U118" s="44"/>
      <c r="V118" s="44"/>
    </row>
    <row r="119" spans="1:22" s="41" customFormat="1" hidden="1">
      <c r="A119" s="186" t="s">
        <v>248</v>
      </c>
      <c r="B119" s="186"/>
      <c r="C119" s="188"/>
      <c r="D119" s="188"/>
      <c r="E119" s="189"/>
      <c r="F119" s="189"/>
      <c r="G119" s="187"/>
      <c r="H119" s="187"/>
      <c r="R119"/>
      <c r="S119" s="44"/>
      <c r="T119"/>
      <c r="U119" s="44"/>
      <c r="V119" s="44"/>
    </row>
    <row r="120" spans="1:22" s="41" customFormat="1">
      <c r="A120" s="186" t="s">
        <v>249</v>
      </c>
      <c r="B120" s="186"/>
      <c r="C120" s="186"/>
      <c r="D120" s="186"/>
      <c r="E120" s="186"/>
      <c r="F120" s="186"/>
      <c r="G120" s="186"/>
      <c r="H120" s="186"/>
      <c r="T120"/>
    </row>
    <row r="121" spans="1:22" s="41" customFormat="1" ht="15.75" customHeight="1">
      <c r="A121" s="187" t="s">
        <v>244</v>
      </c>
      <c r="B121" s="187"/>
      <c r="C121" s="188" t="s">
        <v>245</v>
      </c>
      <c r="D121" s="188"/>
      <c r="E121" s="189" t="s">
        <v>246</v>
      </c>
      <c r="F121" s="189"/>
      <c r="G121" s="187" t="s">
        <v>247</v>
      </c>
      <c r="H121" s="187"/>
      <c r="T121"/>
    </row>
    <row r="122" spans="1:22" s="41" customFormat="1">
      <c r="A122" s="174" t="s">
        <v>250</v>
      </c>
      <c r="B122" s="174"/>
      <c r="C122" s="175">
        <f>COUNT(D141:D150)*15+COUNT(D152:D157,D159:D161)*2+COUNT(D163:D172)+COUNT(D174:D183)</f>
        <v>188</v>
      </c>
      <c r="D122" s="176"/>
      <c r="E122" s="175">
        <f t="shared" ref="E122" si="0">SUM(F141:F150)*15+SUM(F152:F157,F159:F161)*2+SUM(F163:F172)+SUM(F174:F183)</f>
        <v>85470.790672799994</v>
      </c>
      <c r="F122" s="176"/>
      <c r="G122" s="175">
        <f t="shared" ref="G122" si="1">SUM(H141:H150)*15+SUM(H152:H157,H159:H161)*2+SUM(H163:H172)+SUM(H174:H183)</f>
        <v>128206.18600920001</v>
      </c>
      <c r="H122" s="176"/>
      <c r="K122" s="74">
        <f>10.764</f>
        <v>10.763999999999999</v>
      </c>
      <c r="T122"/>
    </row>
    <row r="123" spans="1:22" s="41" customFormat="1">
      <c r="A123" s="174" t="s">
        <v>251</v>
      </c>
      <c r="B123" s="174"/>
      <c r="C123" s="175">
        <f>COUNT(D187:D196)*15+COUNT(D198:D207)*2+COUNT(D209:D215,D217:D218)+COUNT(D222)</f>
        <v>180</v>
      </c>
      <c r="D123" s="176"/>
      <c r="E123" s="175">
        <f t="shared" ref="E123" si="2">SUM(F187:F196)*15+SUM(F198:F207)*2+SUM(F209:F215,F217:F218)+SUM(F222)</f>
        <v>79754.940907199983</v>
      </c>
      <c r="F123" s="176"/>
      <c r="G123" s="175">
        <f t="shared" ref="G123" si="3">SUM(H187:H196)*15+SUM(H198:H207)*2+SUM(H209:H215,H217:H218)+SUM(H222)</f>
        <v>119632.4113608</v>
      </c>
      <c r="H123" s="176"/>
      <c r="T123"/>
    </row>
    <row r="124" spans="1:22" s="41" customFormat="1">
      <c r="A124" s="177" t="s">
        <v>248</v>
      </c>
      <c r="B124" s="177"/>
      <c r="C124" s="178">
        <f>SUM(C122:D123)</f>
        <v>368</v>
      </c>
      <c r="D124" s="179"/>
      <c r="E124" s="178">
        <f>SUM(E122:F123)</f>
        <v>165225.73157999996</v>
      </c>
      <c r="F124" s="179"/>
      <c r="G124" s="178">
        <f>SUM(G122:H123)</f>
        <v>247838.59737000003</v>
      </c>
      <c r="H124" s="179"/>
      <c r="T124"/>
    </row>
    <row r="125" spans="1:22" s="41" customFormat="1" hidden="1">
      <c r="A125" s="180" t="s">
        <v>252</v>
      </c>
      <c r="B125" s="181"/>
      <c r="C125" s="182">
        <f>C119+C124</f>
        <v>368</v>
      </c>
      <c r="D125" s="182"/>
      <c r="E125" s="183">
        <f>E119+E124</f>
        <v>165225.73157999996</v>
      </c>
      <c r="F125" s="183"/>
      <c r="G125" s="184">
        <f>G119+G124</f>
        <v>247838.59737000003</v>
      </c>
      <c r="H125" s="185"/>
      <c r="T125"/>
    </row>
    <row r="126" spans="1:22" s="40" customFormat="1">
      <c r="A126" s="173" t="s">
        <v>253</v>
      </c>
      <c r="B126" s="173"/>
      <c r="C126" s="173"/>
      <c r="D126" s="173"/>
      <c r="E126" s="173"/>
      <c r="F126" s="173"/>
      <c r="G126" s="173"/>
      <c r="H126" s="173"/>
      <c r="T126" s="41"/>
    </row>
    <row r="127" spans="1:22">
      <c r="A127" s="173" t="s">
        <v>254</v>
      </c>
      <c r="B127" s="173"/>
      <c r="C127" s="173"/>
      <c r="D127" s="173"/>
      <c r="E127" s="173"/>
      <c r="F127" s="173"/>
      <c r="G127" s="173"/>
      <c r="H127" s="173"/>
      <c r="T127" s="41"/>
    </row>
    <row r="128" spans="1:22" ht="47.25" hidden="1" customHeight="1">
      <c r="A128" s="147" t="s">
        <v>377</v>
      </c>
      <c r="B128" s="147" t="s">
        <v>255</v>
      </c>
      <c r="C128" s="147" t="s">
        <v>256</v>
      </c>
      <c r="D128" s="147" t="s">
        <v>257</v>
      </c>
      <c r="E128" s="171" t="s">
        <v>258</v>
      </c>
      <c r="F128" s="147" t="s">
        <v>259</v>
      </c>
      <c r="G128" s="171" t="s">
        <v>260</v>
      </c>
      <c r="H128" s="89" t="s">
        <v>261</v>
      </c>
      <c r="T128" s="41"/>
    </row>
    <row r="129" spans="1:20" s="42" customFormat="1" hidden="1">
      <c r="A129" s="148"/>
      <c r="B129" s="148"/>
      <c r="C129" s="148"/>
      <c r="D129" s="148"/>
      <c r="E129" s="172"/>
      <c r="F129" s="148"/>
      <c r="G129" s="172"/>
      <c r="H129" s="82">
        <v>0.45</v>
      </c>
      <c r="T129" s="41"/>
    </row>
    <row r="130" spans="1:20" s="42" customFormat="1" hidden="1">
      <c r="A130" s="168" t="s">
        <v>262</v>
      </c>
      <c r="B130" s="169"/>
      <c r="C130" s="169"/>
      <c r="D130" s="169"/>
      <c r="E130" s="169"/>
      <c r="F130" s="169"/>
      <c r="G130" s="169"/>
      <c r="H130" s="170"/>
      <c r="J130" s="76"/>
      <c r="T130" s="41"/>
    </row>
    <row r="131" spans="1:20" s="42" customFormat="1" ht="15.75" hidden="1" customHeight="1">
      <c r="A131" s="165">
        <v>1</v>
      </c>
      <c r="B131" s="166"/>
      <c r="C131" s="83"/>
      <c r="D131" s="83">
        <v>0</v>
      </c>
      <c r="E131" s="83">
        <v>0</v>
      </c>
      <c r="F131" s="83">
        <f>D131+(IF(E131&lt;201,E131,IF(E131&lt;301,E131/2,E131/3)))</f>
        <v>0</v>
      </c>
      <c r="G131" s="84">
        <v>0</v>
      </c>
      <c r="H131" s="83">
        <f>(F131+(IF(G131&lt;101,G131,IF(G131&lt;201,G131/2,IF(G131&lt;=301,G131/3,G131/4)))))*(($H$129)+1)</f>
        <v>0</v>
      </c>
      <c r="I131" s="76"/>
      <c r="L131" s="97"/>
      <c r="M131" s="97"/>
      <c r="N131" s="76"/>
      <c r="T131" s="41"/>
    </row>
    <row r="132" spans="1:20" s="42" customFormat="1" ht="15.75" hidden="1" customHeight="1">
      <c r="A132" s="165">
        <f>A131+1</f>
        <v>2</v>
      </c>
      <c r="B132" s="166"/>
      <c r="C132" s="83"/>
      <c r="D132" s="83"/>
      <c r="E132" s="83">
        <v>0</v>
      </c>
      <c r="F132" s="83">
        <f t="shared" ref="F132:F134" si="4">D132+(IF(E132&lt;201,E132,IF(E132&lt;301,E132/2,E132/3)))</f>
        <v>0</v>
      </c>
      <c r="G132" s="83">
        <v>0</v>
      </c>
      <c r="H132" s="83">
        <f t="shared" ref="H132:H134" si="5">(F132+(IF(G132&lt;101,G132,IF(G132&lt;201,G132/2,IF(G132&lt;=301,G132/3,G132/4)))))*(($H$129)+1)</f>
        <v>0</v>
      </c>
      <c r="I132" s="76"/>
      <c r="L132" s="97"/>
      <c r="M132" s="97"/>
      <c r="N132" s="76"/>
      <c r="T132" s="40"/>
    </row>
    <row r="133" spans="1:20" s="42" customFormat="1" ht="15.75" hidden="1" customHeight="1">
      <c r="A133" s="165">
        <f>A132+1</f>
        <v>3</v>
      </c>
      <c r="B133" s="166"/>
      <c r="C133" s="83"/>
      <c r="D133" s="83"/>
      <c r="E133" s="83">
        <v>0</v>
      </c>
      <c r="F133" s="83">
        <f t="shared" si="4"/>
        <v>0</v>
      </c>
      <c r="G133" s="83">
        <v>0</v>
      </c>
      <c r="H133" s="83">
        <f t="shared" si="5"/>
        <v>0</v>
      </c>
      <c r="I133" s="76"/>
      <c r="L133" s="97"/>
      <c r="M133" s="97"/>
      <c r="N133" s="76"/>
      <c r="T133" s="44"/>
    </row>
    <row r="134" spans="1:20" s="42" customFormat="1" ht="15.75" hidden="1" customHeight="1">
      <c r="A134" s="165">
        <f>A133+1</f>
        <v>4</v>
      </c>
      <c r="B134" s="166"/>
      <c r="C134" s="83"/>
      <c r="D134" s="83"/>
      <c r="E134" s="83">
        <v>0</v>
      </c>
      <c r="F134" s="83">
        <f t="shared" si="4"/>
        <v>0</v>
      </c>
      <c r="G134" s="83">
        <v>0</v>
      </c>
      <c r="H134" s="83">
        <f t="shared" si="5"/>
        <v>0</v>
      </c>
      <c r="I134" s="76"/>
      <c r="L134" s="97"/>
      <c r="M134" s="97"/>
      <c r="N134" s="76"/>
      <c r="T134" s="44"/>
    </row>
    <row r="135" spans="1:20" s="42" customFormat="1" hidden="1">
      <c r="A135" s="165"/>
      <c r="B135" s="167"/>
      <c r="C135" s="167"/>
      <c r="D135" s="167"/>
      <c r="E135" s="167"/>
      <c r="F135" s="167"/>
      <c r="G135" s="167"/>
      <c r="H135" s="166"/>
      <c r="I135" s="76"/>
      <c r="N135" s="76"/>
    </row>
    <row r="136" spans="1:20" ht="47.25" customHeight="1">
      <c r="A136" s="149" t="s">
        <v>378</v>
      </c>
      <c r="B136" s="147" t="s">
        <v>263</v>
      </c>
      <c r="C136" s="147" t="s">
        <v>256</v>
      </c>
      <c r="D136" s="147" t="s">
        <v>257</v>
      </c>
      <c r="E136" s="147" t="s">
        <v>387</v>
      </c>
      <c r="F136" s="147" t="s">
        <v>259</v>
      </c>
      <c r="G136" s="171" t="s">
        <v>260</v>
      </c>
      <c r="H136" s="89" t="s">
        <v>261</v>
      </c>
      <c r="I136" s="76"/>
      <c r="T136" s="42"/>
    </row>
    <row r="137" spans="1:20" s="42" customFormat="1">
      <c r="A137" s="150"/>
      <c r="B137" s="148"/>
      <c r="C137" s="148"/>
      <c r="D137" s="148"/>
      <c r="E137" s="148"/>
      <c r="F137" s="148"/>
      <c r="G137" s="172"/>
      <c r="H137" s="82">
        <v>0.5</v>
      </c>
      <c r="I137" s="76"/>
    </row>
    <row r="138" spans="1:20" s="42" customFormat="1">
      <c r="A138" s="168" t="s">
        <v>250</v>
      </c>
      <c r="B138" s="169"/>
      <c r="C138" s="169"/>
      <c r="D138" s="169"/>
      <c r="E138" s="169"/>
      <c r="F138" s="169"/>
      <c r="G138" s="169"/>
      <c r="H138" s="170"/>
      <c r="J138" s="76"/>
    </row>
    <row r="139" spans="1:20" s="42" customFormat="1">
      <c r="A139" s="168" t="s">
        <v>399</v>
      </c>
      <c r="B139" s="169"/>
      <c r="C139" s="169"/>
      <c r="D139" s="169"/>
      <c r="E139" s="169"/>
      <c r="F139" s="169"/>
      <c r="G139" s="169"/>
      <c r="H139" s="170"/>
      <c r="J139" s="76"/>
    </row>
    <row r="140" spans="1:20" s="42" customFormat="1" ht="15.75" customHeight="1">
      <c r="A140" s="106" t="s">
        <v>400</v>
      </c>
      <c r="B140" s="107"/>
      <c r="C140" s="107"/>
      <c r="D140" s="107"/>
      <c r="E140" s="107"/>
      <c r="F140" s="107"/>
      <c r="G140" s="107"/>
      <c r="H140" s="108"/>
      <c r="I140" s="76"/>
    </row>
    <row r="141" spans="1:20" s="42" customFormat="1" ht="15.75" customHeight="1">
      <c r="A141" s="98">
        <v>1</v>
      </c>
      <c r="B141" s="99"/>
      <c r="C141" s="90" t="s">
        <v>264</v>
      </c>
      <c r="D141" s="93">
        <f>(48.146)*(10.764)</f>
        <v>518.24354399999993</v>
      </c>
      <c r="E141" s="93">
        <f>(2.9*0.8+2.9*0.9)*(10.764)</f>
        <v>53.066519999999997</v>
      </c>
      <c r="F141" s="75">
        <f t="shared" ref="F141:F150" si="6">D141+E141</f>
        <v>571.3100639999999</v>
      </c>
      <c r="G141" s="75">
        <v>0</v>
      </c>
      <c r="H141" s="75">
        <f t="shared" ref="H141:H150" si="7">F141*(($H$137)+1)+(IF(G141&lt;101,G141,IF(G141&lt;201,G141/2,IF(G141&lt;=301,G141/3,G141/4))))</f>
        <v>856.9650959999999</v>
      </c>
      <c r="I141" s="76"/>
    </row>
    <row r="142" spans="1:20" s="42" customFormat="1" ht="15.75" customHeight="1">
      <c r="A142" s="98">
        <f t="shared" ref="A142:A150" si="8">A141+1</f>
        <v>2</v>
      </c>
      <c r="B142" s="99"/>
      <c r="C142" s="90" t="s">
        <v>264</v>
      </c>
      <c r="D142" s="93">
        <f>(44.204)*(10.764)</f>
        <v>475.81185599999998</v>
      </c>
      <c r="E142" s="93">
        <f>(2.05*0.9+2.17*1.07)*(10.764)</f>
        <v>44.8525116</v>
      </c>
      <c r="F142" s="75">
        <f t="shared" si="6"/>
        <v>520.66436759999999</v>
      </c>
      <c r="G142" s="75">
        <v>0</v>
      </c>
      <c r="H142" s="75">
        <f t="shared" si="7"/>
        <v>780.99655140000004</v>
      </c>
      <c r="I142" s="76"/>
    </row>
    <row r="143" spans="1:20" s="42" customFormat="1" ht="15.75" customHeight="1">
      <c r="A143" s="98">
        <f t="shared" si="8"/>
        <v>3</v>
      </c>
      <c r="B143" s="99"/>
      <c r="C143" s="90" t="s">
        <v>264</v>
      </c>
      <c r="D143" s="93">
        <f>(44.204)*(10.764)</f>
        <v>475.81185599999998</v>
      </c>
      <c r="E143" s="93">
        <f>(2.05*0.9+2.17*1.07)*(10.764)</f>
        <v>44.8525116</v>
      </c>
      <c r="F143" s="75">
        <f t="shared" si="6"/>
        <v>520.66436759999999</v>
      </c>
      <c r="G143" s="75">
        <v>0</v>
      </c>
      <c r="H143" s="75">
        <f t="shared" si="7"/>
        <v>780.99655140000004</v>
      </c>
      <c r="I143" s="76">
        <f>4700000/H142</f>
        <v>6017.9523092321806</v>
      </c>
      <c r="J143" s="42">
        <f>4950000/H143</f>
        <v>6338.0561554679352</v>
      </c>
      <c r="L143" s="77"/>
    </row>
    <row r="144" spans="1:20" s="42" customFormat="1" ht="15.75" customHeight="1">
      <c r="A144" s="98">
        <f t="shared" si="8"/>
        <v>4</v>
      </c>
      <c r="B144" s="99"/>
      <c r="C144" s="90" t="s">
        <v>265</v>
      </c>
      <c r="D144" s="93">
        <f>(34.193)*(10.764)</f>
        <v>368.05345199999994</v>
      </c>
      <c r="E144" s="93">
        <f t="shared" ref="E144:E150" si="9">(2.75*1)*(10.764)</f>
        <v>29.600999999999999</v>
      </c>
      <c r="F144" s="75">
        <f t="shared" si="6"/>
        <v>397.65445199999994</v>
      </c>
      <c r="G144" s="75">
        <v>0</v>
      </c>
      <c r="H144" s="75">
        <f t="shared" si="7"/>
        <v>596.48167799999987</v>
      </c>
      <c r="I144" s="76"/>
    </row>
    <row r="145" spans="1:10" s="42" customFormat="1" ht="15.75" customHeight="1">
      <c r="A145" s="98">
        <f t="shared" si="8"/>
        <v>5</v>
      </c>
      <c r="B145" s="99"/>
      <c r="C145" s="90" t="s">
        <v>265</v>
      </c>
      <c r="D145" s="93">
        <f>(34.193)*(10.764)</f>
        <v>368.05345199999994</v>
      </c>
      <c r="E145" s="93">
        <f t="shared" si="9"/>
        <v>29.600999999999999</v>
      </c>
      <c r="F145" s="75">
        <f t="shared" si="6"/>
        <v>397.65445199999994</v>
      </c>
      <c r="G145" s="75">
        <v>0</v>
      </c>
      <c r="H145" s="75">
        <f t="shared" si="7"/>
        <v>596.48167799999987</v>
      </c>
      <c r="I145" s="76">
        <f>3700000/H145</f>
        <v>6203.040489703023</v>
      </c>
    </row>
    <row r="146" spans="1:10" s="42" customFormat="1" ht="15.75" customHeight="1">
      <c r="A146" s="98">
        <f t="shared" si="8"/>
        <v>6</v>
      </c>
      <c r="B146" s="99"/>
      <c r="C146" s="90" t="s">
        <v>265</v>
      </c>
      <c r="D146" s="93">
        <f>(34.193)*(10.764)</f>
        <v>368.05345199999994</v>
      </c>
      <c r="E146" s="93">
        <f t="shared" si="9"/>
        <v>29.600999999999999</v>
      </c>
      <c r="F146" s="75">
        <f t="shared" si="6"/>
        <v>397.65445199999994</v>
      </c>
      <c r="G146" s="75">
        <v>0</v>
      </c>
      <c r="H146" s="75">
        <f t="shared" si="7"/>
        <v>596.48167799999987</v>
      </c>
      <c r="I146" s="76"/>
    </row>
    <row r="147" spans="1:10" s="42" customFormat="1" ht="15.75" customHeight="1">
      <c r="A147" s="98">
        <f t="shared" si="8"/>
        <v>7</v>
      </c>
      <c r="B147" s="99"/>
      <c r="C147" s="90" t="s">
        <v>264</v>
      </c>
      <c r="D147" s="93">
        <f>(49.048)*(10.764)</f>
        <v>527.95267200000001</v>
      </c>
      <c r="E147" s="93">
        <f t="shared" si="9"/>
        <v>29.600999999999999</v>
      </c>
      <c r="F147" s="75">
        <f t="shared" si="6"/>
        <v>557.55367200000001</v>
      </c>
      <c r="G147" s="75">
        <v>0</v>
      </c>
      <c r="H147" s="75">
        <f t="shared" si="7"/>
        <v>836.33050800000001</v>
      </c>
      <c r="I147" s="76">
        <f>3726000/H146</f>
        <v>6246.6294228739089</v>
      </c>
    </row>
    <row r="148" spans="1:10" s="42" customFormat="1" ht="15.75" customHeight="1">
      <c r="A148" s="98">
        <f t="shared" si="8"/>
        <v>8</v>
      </c>
      <c r="B148" s="99"/>
      <c r="C148" s="90" t="s">
        <v>265</v>
      </c>
      <c r="D148" s="93">
        <f>(34.19)*(10.764)</f>
        <v>368.02115999999995</v>
      </c>
      <c r="E148" s="93">
        <f t="shared" si="9"/>
        <v>29.600999999999999</v>
      </c>
      <c r="F148" s="75">
        <f t="shared" si="6"/>
        <v>397.62215999999995</v>
      </c>
      <c r="G148" s="75">
        <v>0</v>
      </c>
      <c r="H148" s="75">
        <f t="shared" si="7"/>
        <v>596.43323999999996</v>
      </c>
      <c r="I148" s="76"/>
    </row>
    <row r="149" spans="1:10" s="42" customFormat="1" ht="15.75" customHeight="1">
      <c r="A149" s="98">
        <f t="shared" si="8"/>
        <v>9</v>
      </c>
      <c r="B149" s="99"/>
      <c r="C149" s="90" t="s">
        <v>265</v>
      </c>
      <c r="D149" s="93">
        <f>(34.193)*(10.764)</f>
        <v>368.05345199999994</v>
      </c>
      <c r="E149" s="93">
        <f t="shared" si="9"/>
        <v>29.600999999999999</v>
      </c>
      <c r="F149" s="75">
        <f t="shared" si="6"/>
        <v>397.65445199999994</v>
      </c>
      <c r="G149" s="75">
        <v>0</v>
      </c>
      <c r="H149" s="75">
        <f t="shared" si="7"/>
        <v>596.48167799999987</v>
      </c>
      <c r="I149" s="76"/>
    </row>
    <row r="150" spans="1:10" s="42" customFormat="1" ht="15.75" customHeight="1">
      <c r="A150" s="98">
        <f t="shared" si="8"/>
        <v>10</v>
      </c>
      <c r="B150" s="99"/>
      <c r="C150" s="90" t="s">
        <v>265</v>
      </c>
      <c r="D150" s="93">
        <f>(34.292)*(10.764)</f>
        <v>369.11908799999998</v>
      </c>
      <c r="E150" s="93">
        <f t="shared" si="9"/>
        <v>29.600999999999999</v>
      </c>
      <c r="F150" s="75">
        <f t="shared" si="6"/>
        <v>398.72008799999998</v>
      </c>
      <c r="G150" s="75">
        <v>0</v>
      </c>
      <c r="H150" s="75">
        <f t="shared" si="7"/>
        <v>598.08013199999994</v>
      </c>
      <c r="I150" s="76"/>
    </row>
    <row r="151" spans="1:10" s="42" customFormat="1" ht="15.75" customHeight="1">
      <c r="A151" s="106" t="s">
        <v>266</v>
      </c>
      <c r="B151" s="107"/>
      <c r="C151" s="107"/>
      <c r="D151" s="107"/>
      <c r="E151" s="107"/>
      <c r="F151" s="107"/>
      <c r="G151" s="107"/>
      <c r="H151" s="108"/>
      <c r="I151" s="76"/>
    </row>
    <row r="152" spans="1:10" s="42" customFormat="1" ht="15.75" customHeight="1">
      <c r="A152" s="98">
        <v>1</v>
      </c>
      <c r="B152" s="99"/>
      <c r="C152" s="90" t="s">
        <v>264</v>
      </c>
      <c r="D152" s="93">
        <f>(48.146)*(10.764)</f>
        <v>518.24354399999993</v>
      </c>
      <c r="E152" s="93">
        <f>(2.9*0.8+2.9*0.9)*(10.764)</f>
        <v>53.066519999999997</v>
      </c>
      <c r="F152" s="75">
        <f t="shared" ref="F152:F161" si="10">D152+E152</f>
        <v>571.3100639999999</v>
      </c>
      <c r="G152" s="75">
        <v>0</v>
      </c>
      <c r="H152" s="75">
        <f t="shared" ref="H152:H161" si="11">F152*(($H$137)+1)+(IF(G152&lt;101,G152,IF(G152&lt;201,G152/2,IF(G152&lt;=301,G152/3,G152/4))))</f>
        <v>856.9650959999999</v>
      </c>
      <c r="I152" s="76"/>
    </row>
    <row r="153" spans="1:10" s="42" customFormat="1" ht="15.75" customHeight="1">
      <c r="A153" s="98">
        <f t="shared" ref="A153:A161" si="12">A152+1</f>
        <v>2</v>
      </c>
      <c r="B153" s="99"/>
      <c r="C153" s="90" t="s">
        <v>264</v>
      </c>
      <c r="D153" s="93">
        <f>(44.204)*(10.764)</f>
        <v>475.81185599999998</v>
      </c>
      <c r="E153" s="93">
        <f>(2.05*0.9+2.17*1.07)*(10.764)</f>
        <v>44.8525116</v>
      </c>
      <c r="F153" s="75">
        <f t="shared" si="10"/>
        <v>520.66436759999999</v>
      </c>
      <c r="G153" s="75">
        <v>0</v>
      </c>
      <c r="H153" s="75">
        <f t="shared" si="11"/>
        <v>780.99655140000004</v>
      </c>
      <c r="I153" s="76"/>
    </row>
    <row r="154" spans="1:10" s="42" customFormat="1" ht="15.75" customHeight="1">
      <c r="A154" s="98">
        <f t="shared" si="12"/>
        <v>3</v>
      </c>
      <c r="B154" s="99"/>
      <c r="C154" s="90" t="s">
        <v>264</v>
      </c>
      <c r="D154" s="93">
        <f>(44.204)*(10.764)</f>
        <v>475.81185599999998</v>
      </c>
      <c r="E154" s="93">
        <f>(2.05*0.9+2.17*1.07)*(10.764)</f>
        <v>44.8525116</v>
      </c>
      <c r="F154" s="75">
        <f t="shared" si="10"/>
        <v>520.66436759999999</v>
      </c>
      <c r="G154" s="75">
        <v>0</v>
      </c>
      <c r="H154" s="75">
        <f t="shared" si="11"/>
        <v>780.99655140000004</v>
      </c>
      <c r="I154" s="76"/>
    </row>
    <row r="155" spans="1:10" s="42" customFormat="1" ht="15.75" customHeight="1">
      <c r="A155" s="98">
        <f t="shared" si="12"/>
        <v>4</v>
      </c>
      <c r="B155" s="99"/>
      <c r="C155" s="90" t="s">
        <v>265</v>
      </c>
      <c r="D155" s="93">
        <f>(34.193)*(10.764)</f>
        <v>368.05345199999994</v>
      </c>
      <c r="E155" s="93">
        <f>(2.75*1)*(10.764)</f>
        <v>29.600999999999999</v>
      </c>
      <c r="F155" s="75">
        <f t="shared" si="10"/>
        <v>397.65445199999994</v>
      </c>
      <c r="G155" s="75">
        <v>0</v>
      </c>
      <c r="H155" s="75">
        <f t="shared" si="11"/>
        <v>596.48167799999987</v>
      </c>
      <c r="I155" s="76"/>
      <c r="J155" s="42">
        <f>2.53*0.93</f>
        <v>2.3529</v>
      </c>
    </row>
    <row r="156" spans="1:10" s="42" customFormat="1" ht="15.75" customHeight="1">
      <c r="A156" s="98">
        <f t="shared" si="12"/>
        <v>5</v>
      </c>
      <c r="B156" s="99"/>
      <c r="C156" s="90" t="s">
        <v>265</v>
      </c>
      <c r="D156" s="93">
        <f>(34.193)*(10.764)</f>
        <v>368.05345199999994</v>
      </c>
      <c r="E156" s="93">
        <f>(2.75*1)*(10.764)</f>
        <v>29.600999999999999</v>
      </c>
      <c r="F156" s="75">
        <f t="shared" si="10"/>
        <v>397.65445199999994</v>
      </c>
      <c r="G156" s="75">
        <v>0</v>
      </c>
      <c r="H156" s="75">
        <f t="shared" si="11"/>
        <v>596.48167799999987</v>
      </c>
      <c r="I156" s="76"/>
    </row>
    <row r="157" spans="1:10" s="42" customFormat="1" ht="15.75" customHeight="1">
      <c r="A157" s="98">
        <f t="shared" si="12"/>
        <v>6</v>
      </c>
      <c r="B157" s="99"/>
      <c r="C157" s="90" t="s">
        <v>265</v>
      </c>
      <c r="D157" s="93">
        <f>(34.193)*(10.764)</f>
        <v>368.05345199999994</v>
      </c>
      <c r="E157" s="93">
        <f>(2.75*1)*(10.764)</f>
        <v>29.600999999999999</v>
      </c>
      <c r="F157" s="75">
        <f t="shared" si="10"/>
        <v>397.65445199999994</v>
      </c>
      <c r="G157" s="75">
        <v>0</v>
      </c>
      <c r="H157" s="75">
        <f t="shared" si="11"/>
        <v>596.48167799999987</v>
      </c>
      <c r="I157" s="76"/>
    </row>
    <row r="158" spans="1:10" s="42" customFormat="1" ht="15.75" customHeight="1">
      <c r="A158" s="98">
        <f t="shared" si="12"/>
        <v>7</v>
      </c>
      <c r="B158" s="99"/>
      <c r="C158" s="98" t="s">
        <v>267</v>
      </c>
      <c r="D158" s="163"/>
      <c r="E158" s="163"/>
      <c r="F158" s="163"/>
      <c r="G158" s="163"/>
      <c r="H158" s="99"/>
      <c r="I158" s="76"/>
    </row>
    <row r="159" spans="1:10" s="42" customFormat="1" ht="15.75" customHeight="1">
      <c r="A159" s="98">
        <f t="shared" si="12"/>
        <v>8</v>
      </c>
      <c r="B159" s="99"/>
      <c r="C159" s="90" t="s">
        <v>265</v>
      </c>
      <c r="D159" s="93">
        <f>(34.19)*(10.764)</f>
        <v>368.02115999999995</v>
      </c>
      <c r="E159" s="93">
        <f>(2.75*1)*(10.764)</f>
        <v>29.600999999999999</v>
      </c>
      <c r="F159" s="75">
        <f t="shared" si="10"/>
        <v>397.62215999999995</v>
      </c>
      <c r="G159" s="75">
        <v>0</v>
      </c>
      <c r="H159" s="75">
        <f t="shared" si="11"/>
        <v>596.43323999999996</v>
      </c>
      <c r="I159" s="76"/>
    </row>
    <row r="160" spans="1:10" s="42" customFormat="1" ht="15.75" customHeight="1">
      <c r="A160" s="98">
        <f t="shared" si="12"/>
        <v>9</v>
      </c>
      <c r="B160" s="99"/>
      <c r="C160" s="90" t="s">
        <v>265</v>
      </c>
      <c r="D160" s="93">
        <f>(34.193)*(10.764)</f>
        <v>368.05345199999994</v>
      </c>
      <c r="E160" s="93">
        <f>(2.75*1)*(10.764)</f>
        <v>29.600999999999999</v>
      </c>
      <c r="F160" s="75">
        <f t="shared" si="10"/>
        <v>397.65445199999994</v>
      </c>
      <c r="G160" s="75">
        <v>0</v>
      </c>
      <c r="H160" s="75">
        <f t="shared" si="11"/>
        <v>596.48167799999987</v>
      </c>
      <c r="I160" s="76"/>
    </row>
    <row r="161" spans="1:14" s="42" customFormat="1" ht="15.75" customHeight="1">
      <c r="A161" s="98">
        <f t="shared" si="12"/>
        <v>10</v>
      </c>
      <c r="B161" s="99"/>
      <c r="C161" s="90" t="s">
        <v>265</v>
      </c>
      <c r="D161" s="93">
        <f>(34.292)*(10.764)</f>
        <v>369.11908799999998</v>
      </c>
      <c r="E161" s="93">
        <f>(2.75*1)*(10.764)</f>
        <v>29.600999999999999</v>
      </c>
      <c r="F161" s="75">
        <f t="shared" si="10"/>
        <v>398.72008799999998</v>
      </c>
      <c r="G161" s="75">
        <v>0</v>
      </c>
      <c r="H161" s="75">
        <f t="shared" si="11"/>
        <v>598.08013199999994</v>
      </c>
      <c r="I161" s="76"/>
    </row>
    <row r="162" spans="1:14" s="42" customFormat="1">
      <c r="A162" s="164" t="s">
        <v>268</v>
      </c>
      <c r="B162" s="164"/>
      <c r="C162" s="164"/>
      <c r="D162" s="164"/>
      <c r="E162" s="164"/>
      <c r="F162" s="164"/>
      <c r="G162" s="164"/>
      <c r="H162" s="164"/>
      <c r="I162" s="76"/>
      <c r="L162" s="97"/>
      <c r="M162" s="97"/>
    </row>
    <row r="163" spans="1:14" s="42" customFormat="1">
      <c r="A163" s="98">
        <v>1</v>
      </c>
      <c r="B163" s="99"/>
      <c r="C163" s="90" t="s">
        <v>264</v>
      </c>
      <c r="D163" s="93">
        <f>(48.146)*(10.764)</f>
        <v>518.24354399999993</v>
      </c>
      <c r="E163" s="93">
        <f>(2.9*0.8+2.9*0.9)*(10.764)</f>
        <v>53.066519999999997</v>
      </c>
      <c r="F163" s="75">
        <f t="shared" ref="F163:F172" si="13">D163+E163</f>
        <v>571.3100639999999</v>
      </c>
      <c r="G163" s="75">
        <v>0</v>
      </c>
      <c r="H163" s="75">
        <f t="shared" ref="H163:H172" si="14">F163*(($H$137)+1)+(IF(G163&lt;101,G163,IF(G163&lt;201,G163/2,IF(G163&lt;=301,G163/3,G163/4))))</f>
        <v>856.9650959999999</v>
      </c>
      <c r="I163" s="76"/>
      <c r="K163" s="42">
        <f>6300*H163</f>
        <v>5398880.1047999989</v>
      </c>
      <c r="N163" s="76"/>
    </row>
    <row r="164" spans="1:14" s="42" customFormat="1">
      <c r="A164" s="98">
        <f t="shared" ref="A164:A172" si="15">A163+1</f>
        <v>2</v>
      </c>
      <c r="B164" s="99"/>
      <c r="C164" s="90" t="s">
        <v>264</v>
      </c>
      <c r="D164" s="93">
        <f>(44.204)*(10.764)</f>
        <v>475.81185599999998</v>
      </c>
      <c r="E164" s="93">
        <f>(2.05*0.9+2.17*1.07)*(10.764)</f>
        <v>44.8525116</v>
      </c>
      <c r="F164" s="75">
        <f t="shared" si="13"/>
        <v>520.66436759999999</v>
      </c>
      <c r="G164" s="75">
        <v>0</v>
      </c>
      <c r="H164" s="75">
        <f t="shared" si="14"/>
        <v>780.99655140000004</v>
      </c>
      <c r="I164" s="76"/>
      <c r="K164" s="92">
        <f t="shared" ref="K164:K172" si="16">6300*H164</f>
        <v>4920278.2738200007</v>
      </c>
      <c r="N164" s="76"/>
    </row>
    <row r="165" spans="1:14" s="42" customFormat="1">
      <c r="A165" s="98">
        <f t="shared" si="15"/>
        <v>3</v>
      </c>
      <c r="B165" s="99"/>
      <c r="C165" s="90" t="s">
        <v>264</v>
      </c>
      <c r="D165" s="93">
        <f>(44.204)*(10.764)</f>
        <v>475.81185599999998</v>
      </c>
      <c r="E165" s="93">
        <f>(2.05*0.9+2.17*1.07)*(10.764)</f>
        <v>44.8525116</v>
      </c>
      <c r="F165" s="75">
        <f t="shared" si="13"/>
        <v>520.66436759999999</v>
      </c>
      <c r="G165" s="75">
        <v>0</v>
      </c>
      <c r="H165" s="75">
        <f t="shared" si="14"/>
        <v>780.99655140000004</v>
      </c>
      <c r="I165" s="76"/>
      <c r="K165" s="92">
        <f t="shared" si="16"/>
        <v>4920278.2738200007</v>
      </c>
      <c r="N165" s="76"/>
    </row>
    <row r="166" spans="1:14" s="42" customFormat="1">
      <c r="A166" s="98">
        <f t="shared" si="15"/>
        <v>4</v>
      </c>
      <c r="B166" s="99"/>
      <c r="C166" s="90" t="s">
        <v>265</v>
      </c>
      <c r="D166" s="93">
        <f>(34.193)*(10.764)</f>
        <v>368.05345199999994</v>
      </c>
      <c r="E166" s="93">
        <f t="shared" ref="E166:E172" si="17">(2.75*1)*(10.764)</f>
        <v>29.600999999999999</v>
      </c>
      <c r="F166" s="75">
        <f t="shared" si="13"/>
        <v>397.65445199999994</v>
      </c>
      <c r="G166" s="75">
        <v>0</v>
      </c>
      <c r="H166" s="75">
        <f t="shared" si="14"/>
        <v>596.48167799999987</v>
      </c>
      <c r="I166" s="76"/>
      <c r="K166" s="92">
        <f t="shared" si="16"/>
        <v>3757834.5713999993</v>
      </c>
      <c r="N166" s="76"/>
    </row>
    <row r="167" spans="1:14" s="42" customFormat="1">
      <c r="A167" s="98">
        <f t="shared" si="15"/>
        <v>5</v>
      </c>
      <c r="B167" s="99"/>
      <c r="C167" s="90" t="s">
        <v>265</v>
      </c>
      <c r="D167" s="93">
        <f>(34.193)*(10.764)</f>
        <v>368.05345199999994</v>
      </c>
      <c r="E167" s="93">
        <f t="shared" si="17"/>
        <v>29.600999999999999</v>
      </c>
      <c r="F167" s="75">
        <f t="shared" si="13"/>
        <v>397.65445199999994</v>
      </c>
      <c r="G167" s="75">
        <v>0</v>
      </c>
      <c r="H167" s="75">
        <f t="shared" si="14"/>
        <v>596.48167799999987</v>
      </c>
      <c r="I167" s="76"/>
      <c r="K167" s="92">
        <f t="shared" si="16"/>
        <v>3757834.5713999993</v>
      </c>
      <c r="N167" s="76"/>
    </row>
    <row r="168" spans="1:14" s="42" customFormat="1">
      <c r="A168" s="98">
        <f t="shared" si="15"/>
        <v>6</v>
      </c>
      <c r="B168" s="99"/>
      <c r="C168" s="90" t="s">
        <v>265</v>
      </c>
      <c r="D168" s="93">
        <f>(34.193)*(10.764)</f>
        <v>368.05345199999994</v>
      </c>
      <c r="E168" s="93">
        <f t="shared" si="17"/>
        <v>29.600999999999999</v>
      </c>
      <c r="F168" s="75">
        <f t="shared" si="13"/>
        <v>397.65445199999994</v>
      </c>
      <c r="G168" s="75">
        <v>0</v>
      </c>
      <c r="H168" s="75">
        <f t="shared" si="14"/>
        <v>596.48167799999987</v>
      </c>
      <c r="I168" s="76"/>
      <c r="K168" s="92">
        <f t="shared" si="16"/>
        <v>3757834.5713999993</v>
      </c>
      <c r="N168" s="76"/>
    </row>
    <row r="169" spans="1:14" s="42" customFormat="1">
      <c r="A169" s="98">
        <f t="shared" si="15"/>
        <v>7</v>
      </c>
      <c r="B169" s="99"/>
      <c r="C169" s="90" t="s">
        <v>264</v>
      </c>
      <c r="D169" s="93">
        <f>(49.048)*(10.764)</f>
        <v>527.95267200000001</v>
      </c>
      <c r="E169" s="93">
        <f t="shared" si="17"/>
        <v>29.600999999999999</v>
      </c>
      <c r="F169" s="75">
        <f t="shared" si="13"/>
        <v>557.55367200000001</v>
      </c>
      <c r="G169" s="75">
        <v>0</v>
      </c>
      <c r="H169" s="75">
        <f t="shared" si="14"/>
        <v>836.33050800000001</v>
      </c>
      <c r="I169" s="76"/>
      <c r="K169" s="92">
        <f t="shared" si="16"/>
        <v>5268882.2004000004</v>
      </c>
      <c r="N169" s="76"/>
    </row>
    <row r="170" spans="1:14" s="42" customFormat="1">
      <c r="A170" s="98">
        <f t="shared" si="15"/>
        <v>8</v>
      </c>
      <c r="B170" s="99"/>
      <c r="C170" s="90" t="s">
        <v>265</v>
      </c>
      <c r="D170" s="93">
        <f>(34.19)*(10.764)</f>
        <v>368.02115999999995</v>
      </c>
      <c r="E170" s="93">
        <f t="shared" si="17"/>
        <v>29.600999999999999</v>
      </c>
      <c r="F170" s="75">
        <f t="shared" si="13"/>
        <v>397.62215999999995</v>
      </c>
      <c r="G170" s="75">
        <v>0</v>
      </c>
      <c r="H170" s="75">
        <f t="shared" si="14"/>
        <v>596.43323999999996</v>
      </c>
      <c r="I170" s="76"/>
      <c r="K170" s="92">
        <f t="shared" si="16"/>
        <v>3757529.4119999995</v>
      </c>
      <c r="N170" s="76"/>
    </row>
    <row r="171" spans="1:14" s="42" customFormat="1">
      <c r="A171" s="98">
        <f t="shared" si="15"/>
        <v>9</v>
      </c>
      <c r="B171" s="99"/>
      <c r="C171" s="90" t="s">
        <v>265</v>
      </c>
      <c r="D171" s="93">
        <f>(34.193)*(10.764)</f>
        <v>368.05345199999994</v>
      </c>
      <c r="E171" s="93">
        <f t="shared" si="17"/>
        <v>29.600999999999999</v>
      </c>
      <c r="F171" s="75">
        <f t="shared" si="13"/>
        <v>397.65445199999994</v>
      </c>
      <c r="G171" s="75">
        <v>0</v>
      </c>
      <c r="H171" s="75">
        <f t="shared" si="14"/>
        <v>596.48167799999987</v>
      </c>
      <c r="I171" s="76"/>
      <c r="K171" s="92">
        <f t="shared" si="16"/>
        <v>3757834.5713999993</v>
      </c>
      <c r="N171" s="76"/>
    </row>
    <row r="172" spans="1:14" s="42" customFormat="1">
      <c r="A172" s="98">
        <f t="shared" si="15"/>
        <v>10</v>
      </c>
      <c r="B172" s="99"/>
      <c r="C172" s="90" t="s">
        <v>265</v>
      </c>
      <c r="D172" s="93">
        <f>(34.292)*(10.764)</f>
        <v>369.11908799999998</v>
      </c>
      <c r="E172" s="93">
        <f t="shared" si="17"/>
        <v>29.600999999999999</v>
      </c>
      <c r="F172" s="75">
        <f t="shared" si="13"/>
        <v>398.72008799999998</v>
      </c>
      <c r="G172" s="75">
        <v>0</v>
      </c>
      <c r="H172" s="75">
        <f t="shared" si="14"/>
        <v>598.08013199999994</v>
      </c>
      <c r="I172" s="76"/>
      <c r="K172" s="92">
        <f t="shared" si="16"/>
        <v>3767904.8315999997</v>
      </c>
      <c r="N172" s="76"/>
    </row>
    <row r="173" spans="1:14" s="92" customFormat="1">
      <c r="A173" s="106" t="s">
        <v>401</v>
      </c>
      <c r="B173" s="107"/>
      <c r="C173" s="107"/>
      <c r="D173" s="107"/>
      <c r="E173" s="107"/>
      <c r="F173" s="107"/>
      <c r="G173" s="107"/>
      <c r="H173" s="108"/>
      <c r="I173" s="92">
        <f>1</f>
        <v>1</v>
      </c>
      <c r="J173" s="76"/>
    </row>
    <row r="174" spans="1:14" s="92" customFormat="1" ht="15.75" customHeight="1">
      <c r="A174" s="98">
        <v>1</v>
      </c>
      <c r="B174" s="99"/>
      <c r="C174" s="90" t="s">
        <v>264</v>
      </c>
      <c r="D174" s="93">
        <f>(48.146)*(10.764)</f>
        <v>518.24354399999993</v>
      </c>
      <c r="E174" s="93">
        <f>(2.9*0.8+2.9*0.9)*(10.764)</f>
        <v>53.066519999999997</v>
      </c>
      <c r="F174" s="90">
        <f t="shared" ref="F174:F183" si="18">D174+E174</f>
        <v>571.3100639999999</v>
      </c>
      <c r="G174" s="90">
        <v>0</v>
      </c>
      <c r="H174" s="90">
        <f>F174*(($H$137)+1)+(IF(G174&lt;101,G174,IF(G174&lt;201,G174/2,IF(G174&lt;=301,G174/3,G174/4))))</f>
        <v>856.9650959999999</v>
      </c>
      <c r="I174" s="94"/>
      <c r="L174" s="97"/>
      <c r="M174" s="97"/>
      <c r="N174" s="76"/>
    </row>
    <row r="175" spans="1:14" s="92" customFormat="1" ht="15.75" customHeight="1">
      <c r="A175" s="98">
        <f>A174+1</f>
        <v>2</v>
      </c>
      <c r="B175" s="99"/>
      <c r="C175" s="90" t="s">
        <v>264</v>
      </c>
      <c r="D175" s="93">
        <f>(44.204)*(10.764)</f>
        <v>475.81185599999998</v>
      </c>
      <c r="E175" s="93">
        <f>(2.05*0.9+2.17*1.07)*(10.764)</f>
        <v>44.8525116</v>
      </c>
      <c r="F175" s="90">
        <f t="shared" si="18"/>
        <v>520.66436759999999</v>
      </c>
      <c r="G175" s="90">
        <v>0</v>
      </c>
      <c r="H175" s="90">
        <f t="shared" ref="H175:H183" si="19">F175*(($H$137)+1)+(IF(G175&lt;101,G175,IF(G175&lt;201,G175/2,IF(G175&lt;=301,G175/3,G175/4))))</f>
        <v>780.99655140000004</v>
      </c>
      <c r="I175" s="76"/>
      <c r="L175" s="97"/>
      <c r="M175" s="97"/>
      <c r="N175" s="76"/>
    </row>
    <row r="176" spans="1:14" s="92" customFormat="1" ht="15.75" customHeight="1">
      <c r="A176" s="98">
        <f t="shared" ref="A176:A183" si="20">A175+1</f>
        <v>3</v>
      </c>
      <c r="B176" s="99"/>
      <c r="C176" s="90" t="s">
        <v>264</v>
      </c>
      <c r="D176" s="93">
        <f>(44.204)*(10.764)</f>
        <v>475.81185599999998</v>
      </c>
      <c r="E176" s="93">
        <f>(2.05*0.9+2.17*1.07)*(10.764)</f>
        <v>44.8525116</v>
      </c>
      <c r="F176" s="90">
        <f t="shared" si="18"/>
        <v>520.66436759999999</v>
      </c>
      <c r="G176" s="90">
        <v>0</v>
      </c>
      <c r="H176" s="90">
        <f t="shared" si="19"/>
        <v>780.99655140000004</v>
      </c>
      <c r="I176" s="76"/>
      <c r="L176" s="97"/>
      <c r="M176" s="97"/>
      <c r="N176" s="76"/>
    </row>
    <row r="177" spans="1:20" s="92" customFormat="1" ht="15.75" customHeight="1">
      <c r="A177" s="98">
        <f t="shared" si="20"/>
        <v>4</v>
      </c>
      <c r="B177" s="99"/>
      <c r="C177" s="90" t="s">
        <v>265</v>
      </c>
      <c r="D177" s="93">
        <f>(34.193)*(10.764)</f>
        <v>368.05345199999994</v>
      </c>
      <c r="E177" s="93">
        <f t="shared" ref="E177:E183" si="21">(2.75*1)*(10.764)</f>
        <v>29.600999999999999</v>
      </c>
      <c r="F177" s="90">
        <f t="shared" si="18"/>
        <v>397.65445199999994</v>
      </c>
      <c r="G177" s="90">
        <v>0</v>
      </c>
      <c r="H177" s="90">
        <f t="shared" si="19"/>
        <v>596.48167799999987</v>
      </c>
      <c r="I177" s="95"/>
      <c r="L177" s="97"/>
      <c r="M177" s="97"/>
      <c r="N177" s="76"/>
      <c r="T177" s="44"/>
    </row>
    <row r="178" spans="1:20" s="92" customFormat="1" ht="15.75" customHeight="1">
      <c r="A178" s="98">
        <f t="shared" si="20"/>
        <v>5</v>
      </c>
      <c r="B178" s="99"/>
      <c r="C178" s="90" t="s">
        <v>265</v>
      </c>
      <c r="D178" s="93">
        <f>(34.193)*(10.764)</f>
        <v>368.05345199999994</v>
      </c>
      <c r="E178" s="93">
        <f t="shared" si="21"/>
        <v>29.600999999999999</v>
      </c>
      <c r="F178" s="90">
        <f t="shared" si="18"/>
        <v>397.65445199999994</v>
      </c>
      <c r="G178" s="90">
        <v>0</v>
      </c>
      <c r="H178" s="90">
        <f t="shared" si="19"/>
        <v>596.48167799999987</v>
      </c>
      <c r="I178" s="76"/>
      <c r="L178" s="97"/>
      <c r="M178" s="97"/>
      <c r="N178" s="76"/>
    </row>
    <row r="179" spans="1:20" s="92" customFormat="1" ht="15.75" customHeight="1">
      <c r="A179" s="98">
        <f t="shared" si="20"/>
        <v>6</v>
      </c>
      <c r="B179" s="99"/>
      <c r="C179" s="90" t="s">
        <v>265</v>
      </c>
      <c r="D179" s="93">
        <f>(34.193)*(10.764)</f>
        <v>368.05345199999994</v>
      </c>
      <c r="E179" s="93">
        <f t="shared" si="21"/>
        <v>29.600999999999999</v>
      </c>
      <c r="F179" s="90">
        <f t="shared" si="18"/>
        <v>397.65445199999994</v>
      </c>
      <c r="G179" s="90">
        <v>0</v>
      </c>
      <c r="H179" s="90">
        <f t="shared" si="19"/>
        <v>596.48167799999987</v>
      </c>
      <c r="I179" s="76"/>
      <c r="L179" s="97"/>
      <c r="M179" s="97"/>
      <c r="N179" s="76"/>
    </row>
    <row r="180" spans="1:20" s="92" customFormat="1" ht="15.75" customHeight="1">
      <c r="A180" s="98">
        <f t="shared" si="20"/>
        <v>7</v>
      </c>
      <c r="B180" s="99"/>
      <c r="C180" s="90" t="s">
        <v>264</v>
      </c>
      <c r="D180" s="93">
        <f>(49.048)*(10.764)</f>
        <v>527.95267200000001</v>
      </c>
      <c r="E180" s="93">
        <f t="shared" si="21"/>
        <v>29.600999999999999</v>
      </c>
      <c r="F180" s="90">
        <f t="shared" si="18"/>
        <v>557.55367200000001</v>
      </c>
      <c r="G180" s="90">
        <v>0</v>
      </c>
      <c r="H180" s="90">
        <f t="shared" si="19"/>
        <v>836.33050800000001</v>
      </c>
      <c r="I180" s="76"/>
      <c r="L180" s="97"/>
      <c r="M180" s="97"/>
      <c r="N180" s="76"/>
    </row>
    <row r="181" spans="1:20" s="92" customFormat="1" ht="15.75" customHeight="1">
      <c r="A181" s="98">
        <f t="shared" si="20"/>
        <v>8</v>
      </c>
      <c r="B181" s="99"/>
      <c r="C181" s="90" t="s">
        <v>265</v>
      </c>
      <c r="D181" s="93">
        <f>(34.19)*(10.764)</f>
        <v>368.02115999999995</v>
      </c>
      <c r="E181" s="93">
        <f t="shared" si="21"/>
        <v>29.600999999999999</v>
      </c>
      <c r="F181" s="90">
        <f t="shared" si="18"/>
        <v>397.62215999999995</v>
      </c>
      <c r="G181" s="90">
        <v>0</v>
      </c>
      <c r="H181" s="90">
        <f t="shared" si="19"/>
        <v>596.43323999999996</v>
      </c>
      <c r="I181" s="76"/>
      <c r="L181" s="97"/>
      <c r="M181" s="97"/>
      <c r="N181" s="76"/>
      <c r="T181" s="44"/>
    </row>
    <row r="182" spans="1:20" s="92" customFormat="1" ht="15.75" customHeight="1">
      <c r="A182" s="98">
        <f t="shared" si="20"/>
        <v>9</v>
      </c>
      <c r="B182" s="99"/>
      <c r="C182" s="90" t="s">
        <v>265</v>
      </c>
      <c r="D182" s="93">
        <f>(34.193)*(10.764)</f>
        <v>368.05345199999994</v>
      </c>
      <c r="E182" s="93">
        <f t="shared" si="21"/>
        <v>29.600999999999999</v>
      </c>
      <c r="F182" s="90">
        <f t="shared" si="18"/>
        <v>397.65445199999994</v>
      </c>
      <c r="G182" s="90">
        <v>0</v>
      </c>
      <c r="H182" s="90">
        <f t="shared" si="19"/>
        <v>596.48167799999987</v>
      </c>
      <c r="I182" s="76"/>
      <c r="L182" s="97"/>
      <c r="M182" s="97"/>
      <c r="N182" s="76"/>
    </row>
    <row r="183" spans="1:20" s="92" customFormat="1" ht="15.75" customHeight="1">
      <c r="A183" s="98">
        <f t="shared" si="20"/>
        <v>10</v>
      </c>
      <c r="B183" s="99"/>
      <c r="C183" s="90" t="s">
        <v>265</v>
      </c>
      <c r="D183" s="93">
        <f>(34.292)*(10.764)</f>
        <v>369.11908799999998</v>
      </c>
      <c r="E183" s="93">
        <f t="shared" si="21"/>
        <v>29.600999999999999</v>
      </c>
      <c r="F183" s="90">
        <f t="shared" si="18"/>
        <v>398.72008799999998</v>
      </c>
      <c r="G183" s="90">
        <v>0</v>
      </c>
      <c r="H183" s="90">
        <f t="shared" si="19"/>
        <v>598.08013199999994</v>
      </c>
      <c r="I183" s="76"/>
      <c r="L183" s="97"/>
      <c r="M183" s="97"/>
      <c r="N183" s="76"/>
      <c r="T183" s="44"/>
    </row>
    <row r="184" spans="1:20" s="42" customFormat="1">
      <c r="A184" s="106" t="s">
        <v>251</v>
      </c>
      <c r="B184" s="107"/>
      <c r="C184" s="107"/>
      <c r="D184" s="107"/>
      <c r="E184" s="107"/>
      <c r="F184" s="107"/>
      <c r="G184" s="107"/>
      <c r="H184" s="108"/>
      <c r="J184" s="76"/>
      <c r="K184" s="42">
        <f>4096000*0.07-(4096000)</f>
        <v>-3809280</v>
      </c>
    </row>
    <row r="185" spans="1:20" s="42" customFormat="1">
      <c r="A185" s="106" t="s">
        <v>399</v>
      </c>
      <c r="B185" s="107"/>
      <c r="C185" s="107"/>
      <c r="D185" s="107"/>
      <c r="E185" s="107"/>
      <c r="F185" s="107"/>
      <c r="G185" s="107"/>
      <c r="H185" s="108"/>
      <c r="J185" s="76"/>
    </row>
    <row r="186" spans="1:20" s="42" customFormat="1" ht="15.75" customHeight="1">
      <c r="A186" s="106" t="s">
        <v>400</v>
      </c>
      <c r="B186" s="107"/>
      <c r="C186" s="107"/>
      <c r="D186" s="107"/>
      <c r="E186" s="107"/>
      <c r="F186" s="107"/>
      <c r="G186" s="107"/>
      <c r="H186" s="108"/>
      <c r="I186" s="76"/>
    </row>
    <row r="187" spans="1:20" s="42" customFormat="1" ht="15.75" customHeight="1">
      <c r="A187" s="98">
        <v>1</v>
      </c>
      <c r="B187" s="99"/>
      <c r="C187" s="90" t="s">
        <v>265</v>
      </c>
      <c r="D187" s="93">
        <f>(34.19)*(10.764)</f>
        <v>368.02115999999995</v>
      </c>
      <c r="E187" s="93">
        <f t="shared" ref="E187:E193" si="22">(2.75*1)*(10.764)</f>
        <v>29.600999999999999</v>
      </c>
      <c r="F187" s="75">
        <f t="shared" ref="F187:F196" si="23">D187+E187</f>
        <v>397.62215999999995</v>
      </c>
      <c r="G187" s="75">
        <v>0</v>
      </c>
      <c r="H187" s="75">
        <f t="shared" ref="H187:H196" si="24">F187*(($H$137)+1)+(IF(G187&lt;101,G187,IF(G187&lt;201,G187/2,IF(G187&lt;=301,G187/3,G187/4))))</f>
        <v>596.43323999999996</v>
      </c>
      <c r="I187" s="76"/>
    </row>
    <row r="188" spans="1:20" s="42" customFormat="1" ht="15.75" customHeight="1">
      <c r="A188" s="98">
        <f t="shared" ref="A188:A196" si="25">A187+1</f>
        <v>2</v>
      </c>
      <c r="B188" s="99"/>
      <c r="C188" s="90" t="s">
        <v>265</v>
      </c>
      <c r="D188" s="93">
        <f>(34.19)*(10.764)</f>
        <v>368.02115999999995</v>
      </c>
      <c r="E188" s="93">
        <f t="shared" si="22"/>
        <v>29.600999999999999</v>
      </c>
      <c r="F188" s="75">
        <f t="shared" si="23"/>
        <v>397.62215999999995</v>
      </c>
      <c r="G188" s="75">
        <v>0</v>
      </c>
      <c r="H188" s="90">
        <f t="shared" si="24"/>
        <v>596.43323999999996</v>
      </c>
      <c r="I188" s="76"/>
    </row>
    <row r="189" spans="1:20" s="42" customFormat="1" ht="15.75" customHeight="1">
      <c r="A189" s="98">
        <f t="shared" si="25"/>
        <v>3</v>
      </c>
      <c r="B189" s="99"/>
      <c r="C189" s="90" t="s">
        <v>265</v>
      </c>
      <c r="D189" s="93">
        <f>(34.195)*(10.764)</f>
        <v>368.07497999999998</v>
      </c>
      <c r="E189" s="93">
        <f t="shared" si="22"/>
        <v>29.600999999999999</v>
      </c>
      <c r="F189" s="75">
        <f t="shared" si="23"/>
        <v>397.67597999999998</v>
      </c>
      <c r="G189" s="75">
        <v>0</v>
      </c>
      <c r="H189" s="90">
        <f t="shared" si="24"/>
        <v>596.51396999999997</v>
      </c>
      <c r="I189" s="76"/>
      <c r="L189" s="77"/>
    </row>
    <row r="190" spans="1:20" s="42" customFormat="1" ht="15.75" customHeight="1">
      <c r="A190" s="98">
        <f t="shared" si="25"/>
        <v>4</v>
      </c>
      <c r="B190" s="99"/>
      <c r="C190" s="90" t="s">
        <v>265</v>
      </c>
      <c r="D190" s="93">
        <f>(34.192)*(10.764)</f>
        <v>368.042688</v>
      </c>
      <c r="E190" s="93">
        <f t="shared" si="22"/>
        <v>29.600999999999999</v>
      </c>
      <c r="F190" s="75">
        <f t="shared" si="23"/>
        <v>397.643688</v>
      </c>
      <c r="G190" s="75">
        <v>0</v>
      </c>
      <c r="H190" s="90">
        <f t="shared" si="24"/>
        <v>596.46553199999994</v>
      </c>
      <c r="I190" s="76"/>
    </row>
    <row r="191" spans="1:20" s="42" customFormat="1" ht="15.75" customHeight="1">
      <c r="A191" s="98">
        <f t="shared" si="25"/>
        <v>5</v>
      </c>
      <c r="B191" s="99"/>
      <c r="C191" s="90" t="s">
        <v>265</v>
      </c>
      <c r="D191" s="93">
        <f>(34.19)*(10.764)</f>
        <v>368.02115999999995</v>
      </c>
      <c r="E191" s="93">
        <f t="shared" si="22"/>
        <v>29.600999999999999</v>
      </c>
      <c r="F191" s="75">
        <f t="shared" si="23"/>
        <v>397.62215999999995</v>
      </c>
      <c r="G191" s="75">
        <v>0</v>
      </c>
      <c r="H191" s="90">
        <f t="shared" si="24"/>
        <v>596.43323999999996</v>
      </c>
      <c r="I191" s="76"/>
    </row>
    <row r="192" spans="1:20" s="42" customFormat="1" ht="15.75" customHeight="1">
      <c r="A192" s="98">
        <f t="shared" si="25"/>
        <v>6</v>
      </c>
      <c r="B192" s="99"/>
      <c r="C192" s="90" t="s">
        <v>265</v>
      </c>
      <c r="D192" s="93">
        <f>(34.19)*(10.764)</f>
        <v>368.02115999999995</v>
      </c>
      <c r="E192" s="93">
        <f t="shared" si="22"/>
        <v>29.600999999999999</v>
      </c>
      <c r="F192" s="75">
        <f t="shared" si="23"/>
        <v>397.62215999999995</v>
      </c>
      <c r="G192" s="75">
        <v>0</v>
      </c>
      <c r="H192" s="90">
        <f t="shared" si="24"/>
        <v>596.43323999999996</v>
      </c>
      <c r="I192" s="76"/>
    </row>
    <row r="193" spans="1:14" s="42" customFormat="1" ht="15.75" customHeight="1">
      <c r="A193" s="98">
        <f t="shared" si="25"/>
        <v>7</v>
      </c>
      <c r="B193" s="99"/>
      <c r="C193" s="90" t="s">
        <v>265</v>
      </c>
      <c r="D193" s="93">
        <f>(34.192)*(10.764)</f>
        <v>368.042688</v>
      </c>
      <c r="E193" s="93">
        <f t="shared" si="22"/>
        <v>29.600999999999999</v>
      </c>
      <c r="F193" s="75">
        <f t="shared" si="23"/>
        <v>397.643688</v>
      </c>
      <c r="G193" s="75">
        <v>0</v>
      </c>
      <c r="H193" s="90">
        <f t="shared" si="24"/>
        <v>596.46553199999994</v>
      </c>
      <c r="I193" s="76"/>
    </row>
    <row r="194" spans="1:14" s="42" customFormat="1" ht="15.75" customHeight="1">
      <c r="A194" s="98">
        <f t="shared" si="25"/>
        <v>8</v>
      </c>
      <c r="B194" s="99"/>
      <c r="C194" s="90" t="s">
        <v>264</v>
      </c>
      <c r="D194" s="93">
        <f>(43.966)*(10.764)</f>
        <v>473.250024</v>
      </c>
      <c r="E194" s="93">
        <f>(2.05*0.95+2.17*1.07)*(10.764)</f>
        <v>45.955821599999986</v>
      </c>
      <c r="F194" s="75">
        <f t="shared" si="23"/>
        <v>519.20584559999998</v>
      </c>
      <c r="G194" s="75">
        <v>0</v>
      </c>
      <c r="H194" s="90">
        <f t="shared" si="24"/>
        <v>778.80876839999996</v>
      </c>
      <c r="I194" s="76"/>
    </row>
    <row r="195" spans="1:14" s="42" customFormat="1" ht="15.75" customHeight="1">
      <c r="A195" s="98">
        <f t="shared" si="25"/>
        <v>9</v>
      </c>
      <c r="B195" s="99"/>
      <c r="C195" s="90" t="s">
        <v>264</v>
      </c>
      <c r="D195" s="93">
        <f>(48.444)*(10.764)</f>
        <v>521.45121600000004</v>
      </c>
      <c r="E195" s="93">
        <f>(2.9*0.9)*(10.764)</f>
        <v>28.094039999999996</v>
      </c>
      <c r="F195" s="75">
        <f t="shared" si="23"/>
        <v>549.54525599999999</v>
      </c>
      <c r="G195" s="75">
        <v>0</v>
      </c>
      <c r="H195" s="90">
        <f t="shared" si="24"/>
        <v>824.31788400000005</v>
      </c>
      <c r="I195" s="76"/>
    </row>
    <row r="196" spans="1:14" s="42" customFormat="1" ht="15.75" customHeight="1">
      <c r="A196" s="98">
        <f t="shared" si="25"/>
        <v>10</v>
      </c>
      <c r="B196" s="99"/>
      <c r="C196" s="90" t="s">
        <v>264</v>
      </c>
      <c r="D196" s="93">
        <f>(51.773)*(10.764)</f>
        <v>557.28457200000003</v>
      </c>
      <c r="E196" s="93">
        <f>(2.9*0.9)*(10.764)</f>
        <v>28.094039999999996</v>
      </c>
      <c r="F196" s="75">
        <f t="shared" si="23"/>
        <v>585.37861199999998</v>
      </c>
      <c r="G196" s="75">
        <v>0</v>
      </c>
      <c r="H196" s="90">
        <f t="shared" si="24"/>
        <v>878.06791799999996</v>
      </c>
      <c r="I196" s="76">
        <f>5500000/H196</f>
        <v>6263.7523672741681</v>
      </c>
    </row>
    <row r="197" spans="1:14" s="42" customFormat="1" ht="15.75" customHeight="1">
      <c r="A197" s="106" t="s">
        <v>388</v>
      </c>
      <c r="B197" s="107"/>
      <c r="C197" s="107"/>
      <c r="D197" s="107"/>
      <c r="E197" s="107"/>
      <c r="F197" s="107"/>
      <c r="G197" s="107"/>
      <c r="H197" s="108"/>
      <c r="I197" s="76"/>
    </row>
    <row r="198" spans="1:14" s="42" customFormat="1" ht="15.75" customHeight="1">
      <c r="A198" s="98">
        <v>1</v>
      </c>
      <c r="B198" s="99"/>
      <c r="C198" s="90" t="s">
        <v>265</v>
      </c>
      <c r="D198" s="93">
        <f>(34.19)*(10.764)</f>
        <v>368.02115999999995</v>
      </c>
      <c r="E198" s="93">
        <f t="shared" ref="E198:E204" si="26">(2.75*1)*(10.764)</f>
        <v>29.600999999999999</v>
      </c>
      <c r="F198" s="75">
        <f t="shared" ref="F198:F204" si="27">D198+E198</f>
        <v>397.62215999999995</v>
      </c>
      <c r="G198" s="75">
        <v>0</v>
      </c>
      <c r="H198" s="75">
        <f t="shared" ref="H198:H207" si="28">F198*(($H$137)+1)+(IF(G198&lt;101,G198,IF(G198&lt;201,G198/2,IF(G198&lt;=301,G198/3,G198/4))))</f>
        <v>596.43323999999996</v>
      </c>
      <c r="I198" s="76"/>
    </row>
    <row r="199" spans="1:14" s="42" customFormat="1" ht="15.75" customHeight="1">
      <c r="A199" s="98">
        <f t="shared" ref="A199:A207" si="29">A198+1</f>
        <v>2</v>
      </c>
      <c r="B199" s="99"/>
      <c r="C199" s="90" t="s">
        <v>265</v>
      </c>
      <c r="D199" s="93">
        <f>(34.19)*(10.764)</f>
        <v>368.02115999999995</v>
      </c>
      <c r="E199" s="93">
        <f t="shared" si="26"/>
        <v>29.600999999999999</v>
      </c>
      <c r="F199" s="75">
        <f t="shared" si="27"/>
        <v>397.62215999999995</v>
      </c>
      <c r="G199" s="75">
        <v>0</v>
      </c>
      <c r="H199" s="90">
        <f t="shared" si="28"/>
        <v>596.43323999999996</v>
      </c>
      <c r="I199" s="76"/>
    </row>
    <row r="200" spans="1:14" s="42" customFormat="1" ht="15.75" customHeight="1">
      <c r="A200" s="98">
        <f t="shared" si="29"/>
        <v>3</v>
      </c>
      <c r="B200" s="99"/>
      <c r="C200" s="90" t="s">
        <v>265</v>
      </c>
      <c r="D200" s="93">
        <f>(34.195)*(10.764)</f>
        <v>368.07497999999998</v>
      </c>
      <c r="E200" s="93">
        <f t="shared" si="26"/>
        <v>29.600999999999999</v>
      </c>
      <c r="F200" s="75">
        <f t="shared" si="27"/>
        <v>397.67597999999998</v>
      </c>
      <c r="G200" s="75">
        <v>0</v>
      </c>
      <c r="H200" s="90">
        <f t="shared" si="28"/>
        <v>596.51396999999997</v>
      </c>
      <c r="I200" s="76"/>
    </row>
    <row r="201" spans="1:14" s="42" customFormat="1" ht="15.75" customHeight="1">
      <c r="A201" s="98">
        <f t="shared" si="29"/>
        <v>4</v>
      </c>
      <c r="B201" s="99"/>
      <c r="C201" s="90" t="s">
        <v>265</v>
      </c>
      <c r="D201" s="93">
        <f>(34.192)*(10.764)</f>
        <v>368.042688</v>
      </c>
      <c r="E201" s="93">
        <f t="shared" si="26"/>
        <v>29.600999999999999</v>
      </c>
      <c r="F201" s="75">
        <f t="shared" si="27"/>
        <v>397.643688</v>
      </c>
      <c r="G201" s="75">
        <v>0</v>
      </c>
      <c r="H201" s="90">
        <f t="shared" si="28"/>
        <v>596.46553199999994</v>
      </c>
      <c r="I201" s="76"/>
      <c r="J201" s="42" t="s">
        <v>269</v>
      </c>
    </row>
    <row r="202" spans="1:14" s="42" customFormat="1" ht="15.75" customHeight="1">
      <c r="A202" s="98">
        <f t="shared" si="29"/>
        <v>5</v>
      </c>
      <c r="B202" s="99"/>
      <c r="C202" s="90" t="s">
        <v>265</v>
      </c>
      <c r="D202" s="93">
        <f>(34.19)*(10.764)</f>
        <v>368.02115999999995</v>
      </c>
      <c r="E202" s="93">
        <f t="shared" si="26"/>
        <v>29.600999999999999</v>
      </c>
      <c r="F202" s="75">
        <f t="shared" si="27"/>
        <v>397.62215999999995</v>
      </c>
      <c r="G202" s="75">
        <v>0</v>
      </c>
      <c r="H202" s="90">
        <f t="shared" si="28"/>
        <v>596.43323999999996</v>
      </c>
      <c r="I202" s="76"/>
      <c r="J202" s="42" t="s">
        <v>270</v>
      </c>
    </row>
    <row r="203" spans="1:14" s="42" customFormat="1" ht="15.75" customHeight="1">
      <c r="A203" s="98">
        <f t="shared" si="29"/>
        <v>6</v>
      </c>
      <c r="B203" s="99"/>
      <c r="C203" s="90" t="s">
        <v>265</v>
      </c>
      <c r="D203" s="93">
        <f>(34.19)*(10.764)</f>
        <v>368.02115999999995</v>
      </c>
      <c r="E203" s="93">
        <f t="shared" si="26"/>
        <v>29.600999999999999</v>
      </c>
      <c r="F203" s="75">
        <f t="shared" si="27"/>
        <v>397.62215999999995</v>
      </c>
      <c r="G203" s="75">
        <v>0</v>
      </c>
      <c r="H203" s="90">
        <f t="shared" si="28"/>
        <v>596.43323999999996</v>
      </c>
      <c r="I203" s="76"/>
    </row>
    <row r="204" spans="1:14" s="42" customFormat="1" ht="15.75" customHeight="1">
      <c r="A204" s="98">
        <f t="shared" si="29"/>
        <v>7</v>
      </c>
      <c r="B204" s="99"/>
      <c r="C204" s="90" t="s">
        <v>265</v>
      </c>
      <c r="D204" s="93">
        <f>(34.192)*(10.764)</f>
        <v>368.042688</v>
      </c>
      <c r="E204" s="93">
        <f t="shared" si="26"/>
        <v>29.600999999999999</v>
      </c>
      <c r="F204" s="75">
        <f t="shared" si="27"/>
        <v>397.643688</v>
      </c>
      <c r="G204" s="75">
        <v>0</v>
      </c>
      <c r="H204" s="90">
        <f t="shared" si="28"/>
        <v>596.46553199999994</v>
      </c>
      <c r="I204" s="76"/>
    </row>
    <row r="205" spans="1:14" s="42" customFormat="1" ht="15.75" customHeight="1">
      <c r="A205" s="98">
        <f t="shared" si="29"/>
        <v>8</v>
      </c>
      <c r="B205" s="99"/>
      <c r="C205" s="90" t="s">
        <v>264</v>
      </c>
      <c r="D205" s="93">
        <f>(43.966)*(10.764)</f>
        <v>473.250024</v>
      </c>
      <c r="E205" s="93">
        <f>(2.05*0.95+2.17*1.07)*(10.764)</f>
        <v>45.955821599999986</v>
      </c>
      <c r="F205" s="75">
        <f t="shared" ref="F205:F207" si="30">D205+E205</f>
        <v>519.20584559999998</v>
      </c>
      <c r="G205" s="75">
        <v>0</v>
      </c>
      <c r="H205" s="90">
        <f t="shared" si="28"/>
        <v>778.80876839999996</v>
      </c>
      <c r="I205" s="76"/>
    </row>
    <row r="206" spans="1:14" s="42" customFormat="1" ht="15.75" customHeight="1">
      <c r="A206" s="98">
        <f t="shared" si="29"/>
        <v>9</v>
      </c>
      <c r="B206" s="99"/>
      <c r="C206" s="90" t="s">
        <v>264</v>
      </c>
      <c r="D206" s="93">
        <f>(48.444)*(10.764)</f>
        <v>521.45121600000004</v>
      </c>
      <c r="E206" s="93">
        <f>(2.9*0.9)*(10.764)</f>
        <v>28.094039999999996</v>
      </c>
      <c r="F206" s="75">
        <f t="shared" si="30"/>
        <v>549.54525599999999</v>
      </c>
      <c r="G206" s="75">
        <v>0</v>
      </c>
      <c r="H206" s="90">
        <f t="shared" si="28"/>
        <v>824.31788400000005</v>
      </c>
      <c r="I206" s="76"/>
    </row>
    <row r="207" spans="1:14" s="42" customFormat="1" ht="15.75" customHeight="1">
      <c r="A207" s="98">
        <f t="shared" si="29"/>
        <v>10</v>
      </c>
      <c r="B207" s="99"/>
      <c r="C207" s="90" t="s">
        <v>264</v>
      </c>
      <c r="D207" s="93">
        <f>(51.773)*(10.764)</f>
        <v>557.28457200000003</v>
      </c>
      <c r="E207" s="93">
        <f>(2.9*0.9)*(10.764)</f>
        <v>28.094039999999996</v>
      </c>
      <c r="F207" s="75">
        <f t="shared" si="30"/>
        <v>585.37861199999998</v>
      </c>
      <c r="G207" s="75">
        <v>0</v>
      </c>
      <c r="H207" s="90">
        <f t="shared" si="28"/>
        <v>878.06791799999996</v>
      </c>
      <c r="I207" s="76"/>
    </row>
    <row r="208" spans="1:14" s="92" customFormat="1" ht="15.75" customHeight="1">
      <c r="A208" s="106" t="s">
        <v>402</v>
      </c>
      <c r="B208" s="107"/>
      <c r="C208" s="107"/>
      <c r="D208" s="107"/>
      <c r="E208" s="107"/>
      <c r="F208" s="107"/>
      <c r="G208" s="107"/>
      <c r="H208" s="108"/>
      <c r="I208" s="76"/>
      <c r="L208" s="97"/>
      <c r="M208" s="97"/>
      <c r="N208" s="76"/>
    </row>
    <row r="209" spans="1:20" s="92" customFormat="1" ht="15.75" customHeight="1">
      <c r="A209" s="98">
        <v>1</v>
      </c>
      <c r="B209" s="99"/>
      <c r="C209" s="90" t="s">
        <v>265</v>
      </c>
      <c r="D209" s="93">
        <f>(34.19)*(10.764)</f>
        <v>368.02115999999995</v>
      </c>
      <c r="E209" s="93">
        <f t="shared" ref="E209:E215" si="31">(2.75*1)*(10.764)</f>
        <v>29.600999999999999</v>
      </c>
      <c r="F209" s="90">
        <f t="shared" ref="F209:F215" si="32">D209+E209</f>
        <v>397.62215999999995</v>
      </c>
      <c r="G209" s="90">
        <v>0</v>
      </c>
      <c r="H209" s="90">
        <f>F209*(($H$137)+1)+(IF(G209&lt;101,G209,IF(G209&lt;201,G209/2,IF(G209&lt;=301,G209/3,G209/4))))</f>
        <v>596.43323999999996</v>
      </c>
      <c r="I209" s="76"/>
      <c r="L209" s="97"/>
      <c r="M209" s="97"/>
      <c r="N209" s="76"/>
    </row>
    <row r="210" spans="1:20" s="92" customFormat="1" ht="15.75" customHeight="1">
      <c r="A210" s="98">
        <f>A209+1</f>
        <v>2</v>
      </c>
      <c r="B210" s="99"/>
      <c r="C210" s="90" t="s">
        <v>265</v>
      </c>
      <c r="D210" s="93">
        <f>(34.19)*(10.764)</f>
        <v>368.02115999999995</v>
      </c>
      <c r="E210" s="93">
        <f t="shared" si="31"/>
        <v>29.600999999999999</v>
      </c>
      <c r="F210" s="90">
        <f t="shared" si="32"/>
        <v>397.62215999999995</v>
      </c>
      <c r="G210" s="90">
        <v>0</v>
      </c>
      <c r="H210" s="90">
        <f t="shared" ref="H210:H215" si="33">F210*(($H$137)+1)+(IF(G210&lt;101,G210,IF(G210&lt;201,G210/2,IF(G210&lt;=301,G210/3,G210/4))))</f>
        <v>596.43323999999996</v>
      </c>
      <c r="I210" s="76"/>
      <c r="L210" s="97"/>
      <c r="M210" s="97"/>
      <c r="N210" s="76"/>
    </row>
    <row r="211" spans="1:20" s="92" customFormat="1" ht="15.75" customHeight="1">
      <c r="A211" s="98">
        <f t="shared" ref="A211:A218" si="34">A210+1</f>
        <v>3</v>
      </c>
      <c r="B211" s="99"/>
      <c r="C211" s="90" t="s">
        <v>265</v>
      </c>
      <c r="D211" s="93">
        <f>(34.195)*(10.764)</f>
        <v>368.07497999999998</v>
      </c>
      <c r="E211" s="93">
        <f t="shared" si="31"/>
        <v>29.600999999999999</v>
      </c>
      <c r="F211" s="90">
        <f t="shared" si="32"/>
        <v>397.67597999999998</v>
      </c>
      <c r="G211" s="90">
        <v>0</v>
      </c>
      <c r="H211" s="90">
        <f t="shared" si="33"/>
        <v>596.51396999999997</v>
      </c>
      <c r="I211" s="76"/>
      <c r="L211" s="97"/>
      <c r="M211" s="97"/>
      <c r="N211" s="76"/>
      <c r="T211" s="44"/>
    </row>
    <row r="212" spans="1:20" s="92" customFormat="1" ht="15.75" customHeight="1">
      <c r="A212" s="98">
        <f t="shared" si="34"/>
        <v>4</v>
      </c>
      <c r="B212" s="99"/>
      <c r="C212" s="90" t="s">
        <v>265</v>
      </c>
      <c r="D212" s="93">
        <f>(34.192)*(10.764)</f>
        <v>368.042688</v>
      </c>
      <c r="E212" s="93">
        <f t="shared" si="31"/>
        <v>29.600999999999999</v>
      </c>
      <c r="F212" s="90">
        <f t="shared" si="32"/>
        <v>397.643688</v>
      </c>
      <c r="G212" s="90">
        <v>0</v>
      </c>
      <c r="H212" s="90">
        <f t="shared" si="33"/>
        <v>596.46553199999994</v>
      </c>
      <c r="I212" s="76"/>
      <c r="L212" s="97"/>
      <c r="M212" s="97"/>
      <c r="N212" s="76"/>
    </row>
    <row r="213" spans="1:20" s="92" customFormat="1" ht="15.75" customHeight="1">
      <c r="A213" s="98">
        <f t="shared" si="34"/>
        <v>5</v>
      </c>
      <c r="B213" s="99"/>
      <c r="C213" s="90" t="s">
        <v>265</v>
      </c>
      <c r="D213" s="93">
        <f>(34.19)*(10.764)</f>
        <v>368.02115999999995</v>
      </c>
      <c r="E213" s="93">
        <f t="shared" si="31"/>
        <v>29.600999999999999</v>
      </c>
      <c r="F213" s="90">
        <f t="shared" si="32"/>
        <v>397.62215999999995</v>
      </c>
      <c r="G213" s="90">
        <v>0</v>
      </c>
      <c r="H213" s="90">
        <f t="shared" si="33"/>
        <v>596.43323999999996</v>
      </c>
      <c r="I213" s="76"/>
      <c r="L213" s="97"/>
      <c r="M213" s="97"/>
      <c r="N213" s="76"/>
    </row>
    <row r="214" spans="1:20" s="92" customFormat="1" ht="15.75" customHeight="1">
      <c r="A214" s="98">
        <f t="shared" si="34"/>
        <v>6</v>
      </c>
      <c r="B214" s="99"/>
      <c r="C214" s="90" t="s">
        <v>265</v>
      </c>
      <c r="D214" s="93">
        <f>(34.19)*(10.764)</f>
        <v>368.02115999999995</v>
      </c>
      <c r="E214" s="93">
        <f t="shared" si="31"/>
        <v>29.600999999999999</v>
      </c>
      <c r="F214" s="90">
        <f t="shared" si="32"/>
        <v>397.62215999999995</v>
      </c>
      <c r="G214" s="90">
        <v>0</v>
      </c>
      <c r="H214" s="90">
        <f t="shared" si="33"/>
        <v>596.43323999999996</v>
      </c>
      <c r="I214" s="76"/>
      <c r="L214" s="97"/>
      <c r="M214" s="97"/>
      <c r="N214" s="76"/>
    </row>
    <row r="215" spans="1:20" s="92" customFormat="1" ht="15.75" customHeight="1">
      <c r="A215" s="98">
        <f t="shared" si="34"/>
        <v>7</v>
      </c>
      <c r="B215" s="99"/>
      <c r="C215" s="90" t="s">
        <v>265</v>
      </c>
      <c r="D215" s="93">
        <f>(34.192)*(10.764)</f>
        <v>368.042688</v>
      </c>
      <c r="E215" s="93">
        <f t="shared" si="31"/>
        <v>29.600999999999999</v>
      </c>
      <c r="F215" s="90">
        <f t="shared" si="32"/>
        <v>397.643688</v>
      </c>
      <c r="G215" s="90">
        <v>0</v>
      </c>
      <c r="H215" s="90">
        <f t="shared" si="33"/>
        <v>596.46553199999994</v>
      </c>
      <c r="I215" s="76"/>
      <c r="L215" s="97"/>
      <c r="M215" s="97"/>
      <c r="N215" s="76"/>
      <c r="T215" s="44"/>
    </row>
    <row r="216" spans="1:20" s="92" customFormat="1" ht="15.75" customHeight="1">
      <c r="A216" s="98">
        <f t="shared" si="34"/>
        <v>8</v>
      </c>
      <c r="B216" s="99"/>
      <c r="C216" s="98" t="s">
        <v>267</v>
      </c>
      <c r="D216" s="163"/>
      <c r="E216" s="163"/>
      <c r="F216" s="163"/>
      <c r="G216" s="163"/>
      <c r="H216" s="99"/>
      <c r="I216" s="76"/>
      <c r="L216" s="97"/>
      <c r="M216" s="97"/>
      <c r="N216" s="76"/>
    </row>
    <row r="217" spans="1:20" s="92" customFormat="1" ht="15.75" customHeight="1">
      <c r="A217" s="98">
        <f t="shared" si="34"/>
        <v>9</v>
      </c>
      <c r="B217" s="99"/>
      <c r="C217" s="90" t="s">
        <v>264</v>
      </c>
      <c r="D217" s="93">
        <f>(48.444)*(10.764)</f>
        <v>521.45121600000004</v>
      </c>
      <c r="E217" s="93">
        <f>(2.9*0.9)*(10.764)</f>
        <v>28.094039999999996</v>
      </c>
      <c r="F217" s="90">
        <f>D217+E217</f>
        <v>549.54525599999999</v>
      </c>
      <c r="G217" s="90">
        <v>0</v>
      </c>
      <c r="H217" s="90">
        <f>F217*(($H$137)+1)+(IF(G217&lt;101,G217,IF(G217&lt;201,G217/2,IF(G217&lt;=301,G217/3,G217/4))))</f>
        <v>824.31788400000005</v>
      </c>
      <c r="I217" s="76"/>
      <c r="L217" s="97"/>
      <c r="M217" s="97"/>
      <c r="N217" s="76"/>
      <c r="T217" s="44"/>
    </row>
    <row r="218" spans="1:20" s="92" customFormat="1">
      <c r="A218" s="98">
        <f t="shared" si="34"/>
        <v>10</v>
      </c>
      <c r="B218" s="99"/>
      <c r="C218" s="90" t="s">
        <v>264</v>
      </c>
      <c r="D218" s="93">
        <f>(51.773)*(10.764)</f>
        <v>557.28457200000003</v>
      </c>
      <c r="E218" s="93">
        <f>(2.9*0.9)*(10.764)</f>
        <v>28.094039999999996</v>
      </c>
      <c r="F218" s="90">
        <f>D218+E218</f>
        <v>585.37861199999998</v>
      </c>
      <c r="G218" s="90">
        <v>0</v>
      </c>
      <c r="H218" s="90">
        <f>F218*(($H$137)+1)+(IF(G218&lt;101,G218,IF(G218&lt;201,G218/2,IF(G218&lt;=301,G218/3,G218/4))))</f>
        <v>878.06791799999996</v>
      </c>
      <c r="I218" s="92">
        <f>1</f>
        <v>1</v>
      </c>
      <c r="J218" s="76"/>
    </row>
    <row r="219" spans="1:20" s="92" customFormat="1" ht="15.75" customHeight="1">
      <c r="A219" s="106" t="s">
        <v>403</v>
      </c>
      <c r="B219" s="107"/>
      <c r="C219" s="107"/>
      <c r="D219" s="107"/>
      <c r="E219" s="107"/>
      <c r="F219" s="107"/>
      <c r="G219" s="107"/>
      <c r="H219" s="108"/>
      <c r="I219" s="76"/>
      <c r="L219" s="97"/>
      <c r="M219" s="97"/>
      <c r="N219" s="76"/>
    </row>
    <row r="220" spans="1:20" s="92" customFormat="1" ht="15.75" customHeight="1">
      <c r="A220" s="98">
        <v>1</v>
      </c>
      <c r="B220" s="99"/>
      <c r="C220" s="90" t="s">
        <v>404</v>
      </c>
      <c r="D220" s="100" t="s">
        <v>405</v>
      </c>
      <c r="E220" s="101"/>
      <c r="F220" s="101"/>
      <c r="G220" s="101"/>
      <c r="H220" s="102"/>
      <c r="I220" s="76"/>
      <c r="L220" s="97"/>
      <c r="M220" s="97"/>
      <c r="N220" s="76"/>
    </row>
    <row r="221" spans="1:20" s="92" customFormat="1" ht="15.75" customHeight="1">
      <c r="A221" s="98">
        <f>A220+1</f>
        <v>2</v>
      </c>
      <c r="B221" s="99"/>
      <c r="C221" s="90" t="s">
        <v>404</v>
      </c>
      <c r="D221" s="109"/>
      <c r="E221" s="110"/>
      <c r="F221" s="110"/>
      <c r="G221" s="110"/>
      <c r="H221" s="111"/>
      <c r="I221" s="76"/>
      <c r="L221" s="97"/>
      <c r="M221" s="97"/>
      <c r="N221" s="76"/>
    </row>
    <row r="222" spans="1:20" s="92" customFormat="1" ht="15.75" customHeight="1">
      <c r="A222" s="98">
        <f t="shared" ref="A222:A228" si="35">A221+1</f>
        <v>3</v>
      </c>
      <c r="B222" s="99"/>
      <c r="C222" s="90" t="s">
        <v>265</v>
      </c>
      <c r="D222" s="93">
        <f>(34.195)*(10.764)</f>
        <v>368.07497999999998</v>
      </c>
      <c r="E222" s="93">
        <f>(2.75*1)*(10.764)</f>
        <v>29.600999999999999</v>
      </c>
      <c r="F222" s="90">
        <f>D222+E222</f>
        <v>397.67597999999998</v>
      </c>
      <c r="G222" s="90">
        <v>0</v>
      </c>
      <c r="H222" s="90">
        <f>F222*(($H$137)+1)+(IF(G222&lt;101,G222,IF(G222&lt;201,G222/2,IF(G222&lt;=301,G222/3,G222/4))))</f>
        <v>596.51396999999997</v>
      </c>
      <c r="I222" s="76"/>
      <c r="L222" s="97"/>
      <c r="M222" s="97"/>
      <c r="N222" s="76"/>
      <c r="T222" s="44"/>
    </row>
    <row r="223" spans="1:20" s="92" customFormat="1" ht="15.75" customHeight="1">
      <c r="A223" s="98">
        <f t="shared" si="35"/>
        <v>4</v>
      </c>
      <c r="B223" s="99"/>
      <c r="C223" s="90" t="s">
        <v>404</v>
      </c>
      <c r="D223" s="100" t="s">
        <v>271</v>
      </c>
      <c r="E223" s="101"/>
      <c r="F223" s="101"/>
      <c r="G223" s="101"/>
      <c r="H223" s="102"/>
      <c r="I223" s="76"/>
      <c r="L223" s="97"/>
      <c r="M223" s="97"/>
      <c r="N223" s="76"/>
    </row>
    <row r="224" spans="1:20" s="92" customFormat="1" ht="15.75" customHeight="1">
      <c r="A224" s="98">
        <f t="shared" si="35"/>
        <v>5</v>
      </c>
      <c r="B224" s="99"/>
      <c r="C224" s="90" t="s">
        <v>404</v>
      </c>
      <c r="D224" s="103"/>
      <c r="E224" s="104"/>
      <c r="F224" s="104"/>
      <c r="G224" s="104"/>
      <c r="H224" s="105"/>
      <c r="I224" s="76"/>
      <c r="L224" s="97"/>
      <c r="M224" s="97"/>
      <c r="N224" s="76"/>
    </row>
    <row r="225" spans="1:20" s="92" customFormat="1" ht="15.75" customHeight="1">
      <c r="A225" s="98">
        <f t="shared" si="35"/>
        <v>6</v>
      </c>
      <c r="B225" s="99"/>
      <c r="C225" s="90" t="s">
        <v>404</v>
      </c>
      <c r="D225" s="103"/>
      <c r="E225" s="104"/>
      <c r="F225" s="104"/>
      <c r="G225" s="104"/>
      <c r="H225" s="105"/>
      <c r="I225" s="76"/>
      <c r="L225" s="97"/>
      <c r="M225" s="97"/>
      <c r="N225" s="76"/>
    </row>
    <row r="226" spans="1:20" s="92" customFormat="1" ht="15.75" customHeight="1">
      <c r="A226" s="98">
        <f t="shared" si="35"/>
        <v>7</v>
      </c>
      <c r="B226" s="99"/>
      <c r="C226" s="90" t="s">
        <v>404</v>
      </c>
      <c r="D226" s="103"/>
      <c r="E226" s="104"/>
      <c r="F226" s="104"/>
      <c r="G226" s="104"/>
      <c r="H226" s="105"/>
      <c r="I226" s="76"/>
      <c r="L226" s="97"/>
      <c r="M226" s="97"/>
      <c r="N226" s="76"/>
      <c r="T226" s="44"/>
    </row>
    <row r="227" spans="1:20" s="92" customFormat="1" ht="15.75" customHeight="1">
      <c r="A227" s="98">
        <v>9</v>
      </c>
      <c r="B227" s="99"/>
      <c r="C227" s="90" t="s">
        <v>404</v>
      </c>
      <c r="D227" s="100" t="s">
        <v>406</v>
      </c>
      <c r="E227" s="101"/>
      <c r="F227" s="101"/>
      <c r="G227" s="101"/>
      <c r="H227" s="102"/>
      <c r="I227" s="76"/>
      <c r="L227" s="97"/>
      <c r="M227" s="97"/>
      <c r="N227" s="76"/>
      <c r="T227" s="44"/>
    </row>
    <row r="228" spans="1:20" s="41" customFormat="1">
      <c r="A228" s="98">
        <f t="shared" si="35"/>
        <v>10</v>
      </c>
      <c r="B228" s="99"/>
      <c r="C228" s="90" t="s">
        <v>404</v>
      </c>
      <c r="D228" s="109"/>
      <c r="E228" s="110"/>
      <c r="F228" s="110"/>
      <c r="G228" s="110"/>
      <c r="H228" s="111"/>
      <c r="T228" s="92"/>
    </row>
    <row r="229" spans="1:20" s="41" customFormat="1">
      <c r="A229" s="152" t="s">
        <v>272</v>
      </c>
      <c r="B229" s="152"/>
      <c r="C229" s="152"/>
      <c r="D229" s="152"/>
      <c r="E229" s="152"/>
      <c r="F229" s="152"/>
      <c r="G229" s="152"/>
      <c r="H229" s="152"/>
      <c r="T229" s="42"/>
    </row>
    <row r="230" spans="1:20" s="41" customFormat="1">
      <c r="A230" s="59" t="s">
        <v>273</v>
      </c>
      <c r="B230" s="153" t="s">
        <v>407</v>
      </c>
      <c r="C230" s="154"/>
      <c r="D230" s="154"/>
      <c r="E230" s="154"/>
      <c r="F230" s="154"/>
      <c r="G230" s="154"/>
      <c r="H230" s="155"/>
      <c r="T230" s="42"/>
    </row>
    <row r="231" spans="1:20" s="41" customFormat="1" ht="67.5" hidden="1" customHeight="1">
      <c r="A231" s="88" t="s">
        <v>273</v>
      </c>
      <c r="B231" s="159" t="s">
        <v>389</v>
      </c>
      <c r="C231" s="160"/>
      <c r="D231" s="160"/>
      <c r="E231" s="160"/>
      <c r="F231" s="160"/>
      <c r="G231" s="160"/>
      <c r="H231" s="161"/>
      <c r="T231" s="87"/>
    </row>
    <row r="232" spans="1:20" s="41" customFormat="1">
      <c r="A232" s="59" t="s">
        <v>273</v>
      </c>
      <c r="B232" s="153" t="str">
        <f>(IF(H136="Saleable area Loading :","We have considered Saleable area of Flats as per our Calculation.","We considered Saleable area of Flat as per Builder area Sheet."))</f>
        <v>We have considered Saleable area of Flats as per our Calculation.</v>
      </c>
      <c r="C232" s="154"/>
      <c r="D232" s="154"/>
      <c r="E232" s="154"/>
      <c r="F232" s="154"/>
      <c r="G232" s="154"/>
      <c r="H232" s="155"/>
      <c r="T232" s="42"/>
    </row>
    <row r="233" spans="1:20" s="41" customFormat="1" hidden="1">
      <c r="A233" s="59" t="s">
        <v>273</v>
      </c>
      <c r="B233" s="153" t="str">
        <f>(IF(H128="Saleable area Loading :","We have considered Saleable area of Commercial as per our Calculation.","We considered Saleable area of Commercial as per Builder area Sheet."))</f>
        <v>We have considered Saleable area of Commercial as per our Calculation.</v>
      </c>
      <c r="C233" s="154"/>
      <c r="D233" s="154"/>
      <c r="E233" s="154"/>
      <c r="F233" s="154"/>
      <c r="G233" s="154"/>
      <c r="H233" s="155"/>
      <c r="T233" s="42"/>
    </row>
    <row r="234" spans="1:20" s="41" customFormat="1">
      <c r="A234" s="59" t="s">
        <v>273</v>
      </c>
      <c r="B234" s="156" t="s">
        <v>274</v>
      </c>
      <c r="C234" s="157"/>
      <c r="D234" s="157"/>
      <c r="E234" s="157"/>
      <c r="F234" s="157"/>
      <c r="G234" s="157"/>
      <c r="H234" s="158"/>
      <c r="T234" s="42"/>
    </row>
    <row r="235" spans="1:20" s="41" customFormat="1">
      <c r="A235" s="59" t="s">
        <v>273</v>
      </c>
      <c r="B235" s="156" t="s">
        <v>414</v>
      </c>
      <c r="C235" s="157"/>
      <c r="D235" s="157"/>
      <c r="E235" s="157"/>
      <c r="F235" s="157"/>
      <c r="G235" s="157"/>
      <c r="H235" s="158"/>
      <c r="T235" s="42"/>
    </row>
    <row r="236" spans="1:20" s="41" customFormat="1">
      <c r="A236" s="59" t="s">
        <v>273</v>
      </c>
      <c r="B236" s="156" t="s">
        <v>275</v>
      </c>
      <c r="C236" s="157"/>
      <c r="D236" s="157"/>
      <c r="E236" s="157"/>
      <c r="F236" s="157"/>
      <c r="G236" s="157"/>
      <c r="H236" s="158"/>
    </row>
    <row r="237" spans="1:20" s="41" customFormat="1">
      <c r="A237" s="59" t="s">
        <v>273</v>
      </c>
      <c r="B237" s="156" t="s">
        <v>276</v>
      </c>
      <c r="C237" s="157"/>
      <c r="D237" s="157"/>
      <c r="E237" s="157"/>
      <c r="F237" s="157"/>
      <c r="G237" s="157"/>
      <c r="H237" s="158"/>
      <c r="J237" s="85"/>
    </row>
    <row r="238" spans="1:20" s="41" customFormat="1" ht="34.5" customHeight="1">
      <c r="A238" s="59" t="s">
        <v>273</v>
      </c>
      <c r="B238" s="156" t="s">
        <v>277</v>
      </c>
      <c r="C238" s="157"/>
      <c r="D238" s="157"/>
      <c r="E238" s="157"/>
      <c r="F238" s="157"/>
      <c r="G238" s="157"/>
      <c r="H238" s="158"/>
    </row>
    <row r="239" spans="1:20" s="41" customFormat="1">
      <c r="A239" s="59" t="s">
        <v>273</v>
      </c>
      <c r="B239" s="156" t="s">
        <v>278</v>
      </c>
      <c r="C239" s="157"/>
      <c r="D239" s="157"/>
      <c r="E239" s="157"/>
      <c r="F239" s="157"/>
      <c r="G239" s="157"/>
      <c r="H239" s="158"/>
    </row>
    <row r="240" spans="1:20" s="41" customFormat="1" ht="32.25" hidden="1" customHeight="1">
      <c r="A240" s="59" t="s">
        <v>273</v>
      </c>
      <c r="B240" s="159" t="s">
        <v>279</v>
      </c>
      <c r="C240" s="160"/>
      <c r="D240" s="160"/>
      <c r="E240" s="160"/>
      <c r="F240" s="160"/>
      <c r="G240" s="160"/>
      <c r="H240" s="161"/>
      <c r="I240" s="41" t="s">
        <v>379</v>
      </c>
    </row>
    <row r="241" spans="1:20" s="41" customFormat="1" ht="32.25" hidden="1" customHeight="1">
      <c r="A241" s="81" t="s">
        <v>273</v>
      </c>
      <c r="B241" s="159" t="s">
        <v>380</v>
      </c>
      <c r="C241" s="160"/>
      <c r="D241" s="160"/>
      <c r="E241" s="160"/>
      <c r="F241" s="160"/>
      <c r="G241" s="160"/>
      <c r="H241" s="161"/>
      <c r="L241" s="85"/>
    </row>
    <row r="242" spans="1:20" s="41" customFormat="1" ht="32.25" hidden="1" customHeight="1">
      <c r="A242" s="59" t="s">
        <v>273</v>
      </c>
      <c r="B242" s="159" t="s">
        <v>381</v>
      </c>
      <c r="C242" s="160"/>
      <c r="D242" s="160"/>
      <c r="E242" s="160"/>
      <c r="F242" s="160"/>
      <c r="G242" s="160"/>
      <c r="H242" s="161"/>
      <c r="L242" s="85"/>
    </row>
    <row r="243" spans="1:20" s="41" customFormat="1" hidden="1">
      <c r="A243" s="59" t="s">
        <v>273</v>
      </c>
      <c r="B243" s="153" t="s">
        <v>280</v>
      </c>
      <c r="C243" s="154"/>
      <c r="D243" s="154"/>
      <c r="E243" s="154"/>
      <c r="F243" s="154"/>
      <c r="G243" s="154"/>
      <c r="H243" s="155"/>
    </row>
    <row r="244" spans="1:20">
      <c r="A244" s="162" t="s">
        <v>281</v>
      </c>
      <c r="B244" s="162"/>
      <c r="C244" s="162"/>
      <c r="D244" s="162"/>
      <c r="E244" s="162"/>
      <c r="F244" s="162"/>
      <c r="G244" s="162"/>
      <c r="H244" s="162"/>
      <c r="T244" s="41"/>
    </row>
    <row r="245" spans="1:20">
      <c r="A245" s="145" t="s">
        <v>282</v>
      </c>
      <c r="B245" s="145"/>
      <c r="C245" s="145"/>
      <c r="D245" s="145"/>
      <c r="E245" s="145"/>
      <c r="F245" s="145"/>
      <c r="G245" s="145"/>
      <c r="H245" s="145"/>
      <c r="T245" s="41"/>
    </row>
    <row r="246" spans="1:20" ht="15.75" customHeight="1">
      <c r="A246" s="151" t="s">
        <v>283</v>
      </c>
      <c r="B246" s="151"/>
      <c r="C246" s="151"/>
      <c r="D246" s="151"/>
      <c r="E246" s="151"/>
      <c r="F246" s="151"/>
      <c r="G246" s="151"/>
      <c r="H246" s="151"/>
      <c r="T246" s="41"/>
    </row>
    <row r="247" spans="1:20">
      <c r="A247" s="145" t="s">
        <v>284</v>
      </c>
      <c r="B247" s="145"/>
      <c r="C247" s="145"/>
      <c r="D247" s="145"/>
      <c r="E247" s="145"/>
      <c r="F247" s="145"/>
      <c r="G247" s="145"/>
      <c r="H247" s="145"/>
      <c r="T247" s="41"/>
    </row>
    <row r="248" spans="1:20">
      <c r="A248" s="145" t="s">
        <v>285</v>
      </c>
      <c r="B248" s="145"/>
      <c r="C248" s="145"/>
      <c r="D248" s="145"/>
      <c r="E248" s="145"/>
      <c r="F248" s="145"/>
      <c r="G248" s="145"/>
      <c r="H248" s="145"/>
      <c r="T248" s="41"/>
    </row>
    <row r="249" spans="1:20">
      <c r="A249" s="145" t="s">
        <v>286</v>
      </c>
      <c r="B249" s="145"/>
      <c r="C249" s="145"/>
      <c r="D249" s="145"/>
      <c r="E249" s="145"/>
      <c r="F249" s="145"/>
      <c r="G249" s="145"/>
      <c r="H249" s="145"/>
      <c r="T249" s="41"/>
    </row>
    <row r="250" spans="1:20" ht="33.950000000000003" customHeight="1">
      <c r="A250" s="127" t="s">
        <v>287</v>
      </c>
      <c r="B250" s="127"/>
      <c r="C250" s="127"/>
      <c r="D250" s="127"/>
      <c r="E250" s="127"/>
      <c r="F250" s="127"/>
      <c r="G250" s="127"/>
      <c r="H250" s="127"/>
    </row>
    <row r="251" spans="1:20">
      <c r="A251" s="146" t="s">
        <v>288</v>
      </c>
      <c r="B251" s="146"/>
      <c r="C251" s="146" t="s">
        <v>386</v>
      </c>
      <c r="D251" s="146"/>
      <c r="E251" s="146" t="s">
        <v>289</v>
      </c>
      <c r="F251" s="146"/>
      <c r="G251" s="146" t="s">
        <v>290</v>
      </c>
      <c r="H251" s="146"/>
    </row>
    <row r="252" spans="1:20">
      <c r="A252" s="118" t="s">
        <v>291</v>
      </c>
      <c r="B252" s="118"/>
      <c r="C252" s="118"/>
      <c r="D252" s="118"/>
      <c r="E252" s="118"/>
      <c r="F252" s="118"/>
      <c r="G252" s="118"/>
      <c r="H252" s="118"/>
    </row>
    <row r="253" spans="1:20">
      <c r="A253" s="118"/>
      <c r="B253" s="118"/>
      <c r="C253" s="118"/>
      <c r="D253" s="118"/>
      <c r="E253" s="118"/>
      <c r="F253" s="118"/>
      <c r="G253" s="118"/>
      <c r="H253" s="118"/>
    </row>
    <row r="254" spans="1:20">
      <c r="A254" s="118"/>
      <c r="B254" s="118"/>
      <c r="C254" s="118"/>
      <c r="D254" s="118"/>
      <c r="E254" s="118"/>
      <c r="F254" s="118"/>
      <c r="G254" s="118"/>
      <c r="H254" s="118"/>
    </row>
    <row r="255" spans="1:20">
      <c r="A255" s="118"/>
      <c r="B255" s="118"/>
      <c r="C255" s="118"/>
      <c r="D255" s="118"/>
      <c r="E255" s="118"/>
      <c r="F255" s="118"/>
      <c r="G255" s="118"/>
      <c r="H255" s="118"/>
    </row>
    <row r="256" spans="1:20">
      <c r="A256" s="78" t="s">
        <v>292</v>
      </c>
      <c r="B256" s="79"/>
      <c r="C256" s="79"/>
      <c r="D256" s="78" t="str">
        <f>E9</f>
        <v>Kohinoor Gardens</v>
      </c>
      <c r="F256" s="79"/>
      <c r="G256" s="79"/>
      <c r="H256" s="79"/>
    </row>
    <row r="257" spans="1:8">
      <c r="A257" s="79"/>
      <c r="B257" s="79"/>
      <c r="C257" s="79"/>
      <c r="D257" s="79"/>
      <c r="E257" s="79"/>
      <c r="F257" s="79"/>
      <c r="G257" s="79"/>
      <c r="H257" s="79"/>
    </row>
    <row r="258" spans="1:8">
      <c r="A258" s="79"/>
      <c r="B258" s="79"/>
      <c r="C258" s="79"/>
      <c r="D258" s="79"/>
      <c r="E258" s="79"/>
      <c r="F258" s="79"/>
      <c r="G258" s="79"/>
      <c r="H258" s="79"/>
    </row>
    <row r="259" spans="1:8" ht="15" customHeight="1"/>
    <row r="300" spans="1:1">
      <c r="A300" s="80" t="s">
        <v>408</v>
      </c>
    </row>
    <row r="344" spans="1:1">
      <c r="A344" s="80" t="s">
        <v>293</v>
      </c>
    </row>
  </sheetData>
  <mergeCells count="440">
    <mergeCell ref="A1:H1"/>
    <mergeCell ref="A2:H2"/>
    <mergeCell ref="A3:D3"/>
    <mergeCell ref="E3:H3"/>
    <mergeCell ref="A4:D4"/>
    <mergeCell ref="E4:H4"/>
    <mergeCell ref="A5:D5"/>
    <mergeCell ref="E5:H5"/>
    <mergeCell ref="A6:D6"/>
    <mergeCell ref="E6:H6"/>
    <mergeCell ref="A7:D7"/>
    <mergeCell ref="E7:H7"/>
    <mergeCell ref="A8:D8"/>
    <mergeCell ref="E8:H8"/>
    <mergeCell ref="A9:D9"/>
    <mergeCell ref="E9:H9"/>
    <mergeCell ref="A10:D10"/>
    <mergeCell ref="E10:H10"/>
    <mergeCell ref="A11:D11"/>
    <mergeCell ref="E11:H11"/>
    <mergeCell ref="A12:D12"/>
    <mergeCell ref="E12:H12"/>
    <mergeCell ref="A13:D13"/>
    <mergeCell ref="E13:H13"/>
    <mergeCell ref="A14:D14"/>
    <mergeCell ref="E14:H14"/>
    <mergeCell ref="A15:D15"/>
    <mergeCell ref="E15:H15"/>
    <mergeCell ref="I15:P15"/>
    <mergeCell ref="A16:B16"/>
    <mergeCell ref="C16:H16"/>
    <mergeCell ref="A17:B17"/>
    <mergeCell ref="C17:H17"/>
    <mergeCell ref="A18:B18"/>
    <mergeCell ref="C18:H18"/>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A25:D25"/>
    <mergeCell ref="E25:H25"/>
    <mergeCell ref="A26:D26"/>
    <mergeCell ref="E26:H26"/>
    <mergeCell ref="A27:D27"/>
    <mergeCell ref="E27:H27"/>
    <mergeCell ref="A28:D28"/>
    <mergeCell ref="E28:H28"/>
    <mergeCell ref="A29:D29"/>
    <mergeCell ref="E29:H29"/>
    <mergeCell ref="A30:D30"/>
    <mergeCell ref="E30:H30"/>
    <mergeCell ref="A31:D31"/>
    <mergeCell ref="E31:H31"/>
    <mergeCell ref="A32:D32"/>
    <mergeCell ref="E32:H32"/>
    <mergeCell ref="A33:B33"/>
    <mergeCell ref="C33:E33"/>
    <mergeCell ref="F33:H33"/>
    <mergeCell ref="A34:B34"/>
    <mergeCell ref="C34:E34"/>
    <mergeCell ref="F34:H34"/>
    <mergeCell ref="A35:B35"/>
    <mergeCell ref="C35:E35"/>
    <mergeCell ref="F35:H35"/>
    <mergeCell ref="A36:B36"/>
    <mergeCell ref="C36:E36"/>
    <mergeCell ref="F36:H36"/>
    <mergeCell ref="A37:B37"/>
    <mergeCell ref="C37:E37"/>
    <mergeCell ref="F37:H37"/>
    <mergeCell ref="A38:H38"/>
    <mergeCell ref="A39:B39"/>
    <mergeCell ref="C39:H39"/>
    <mergeCell ref="A40:B40"/>
    <mergeCell ref="C40:H40"/>
    <mergeCell ref="A41:H41"/>
    <mergeCell ref="A42:D42"/>
    <mergeCell ref="E42:H42"/>
    <mergeCell ref="A43:D43"/>
    <mergeCell ref="E43:H43"/>
    <mergeCell ref="A44:D44"/>
    <mergeCell ref="E44:H44"/>
    <mergeCell ref="A45:D45"/>
    <mergeCell ref="E45:H45"/>
    <mergeCell ref="A46:D46"/>
    <mergeCell ref="E46:H46"/>
    <mergeCell ref="A47:D47"/>
    <mergeCell ref="E47:H47"/>
    <mergeCell ref="A48:H48"/>
    <mergeCell ref="A49:B49"/>
    <mergeCell ref="C49:H49"/>
    <mergeCell ref="A50:B50"/>
    <mergeCell ref="C50:E50"/>
    <mergeCell ref="G50:H50"/>
    <mergeCell ref="A51:B51"/>
    <mergeCell ref="C51:E51"/>
    <mergeCell ref="G51:H51"/>
    <mergeCell ref="C52:E52"/>
    <mergeCell ref="G52:H52"/>
    <mergeCell ref="C53:H53"/>
    <mergeCell ref="C54:E54"/>
    <mergeCell ref="G54:H54"/>
    <mergeCell ref="C55:H55"/>
    <mergeCell ref="C56:E56"/>
    <mergeCell ref="G56:H56"/>
    <mergeCell ref="C57:H57"/>
    <mergeCell ref="C58:E58"/>
    <mergeCell ref="G58:H58"/>
    <mergeCell ref="C59:H59"/>
    <mergeCell ref="A60:B60"/>
    <mergeCell ref="C60:E60"/>
    <mergeCell ref="G60:H60"/>
    <mergeCell ref="A61:H61"/>
    <mergeCell ref="A62:C62"/>
    <mergeCell ref="D62:H62"/>
    <mergeCell ref="A63:C63"/>
    <mergeCell ref="D63:H63"/>
    <mergeCell ref="A64:C64"/>
    <mergeCell ref="D64:H64"/>
    <mergeCell ref="D65:H65"/>
    <mergeCell ref="D66:H66"/>
    <mergeCell ref="A67:C67"/>
    <mergeCell ref="D67:H67"/>
    <mergeCell ref="A68:C68"/>
    <mergeCell ref="D68:H68"/>
    <mergeCell ref="A69:C69"/>
    <mergeCell ref="D69:H69"/>
    <mergeCell ref="A70:C70"/>
    <mergeCell ref="D70:H70"/>
    <mergeCell ref="A71:C71"/>
    <mergeCell ref="D71:H71"/>
    <mergeCell ref="A72:C72"/>
    <mergeCell ref="D72:H72"/>
    <mergeCell ref="A73:C73"/>
    <mergeCell ref="D73:H73"/>
    <mergeCell ref="A74:B74"/>
    <mergeCell ref="C74:H74"/>
    <mergeCell ref="A76:B76"/>
    <mergeCell ref="C76:H76"/>
    <mergeCell ref="A77:B77"/>
    <mergeCell ref="E77:F77"/>
    <mergeCell ref="G77:H77"/>
    <mergeCell ref="A78:B78"/>
    <mergeCell ref="A79:B79"/>
    <mergeCell ref="A80:B80"/>
    <mergeCell ref="A81:B81"/>
    <mergeCell ref="A82:B82"/>
    <mergeCell ref="A83:B83"/>
    <mergeCell ref="A84:B84"/>
    <mergeCell ref="A85:B85"/>
    <mergeCell ref="A86:B86"/>
    <mergeCell ref="A87:B87"/>
    <mergeCell ref="A88:B88"/>
    <mergeCell ref="C88:H88"/>
    <mergeCell ref="A90:B90"/>
    <mergeCell ref="C90:H90"/>
    <mergeCell ref="A91:B91"/>
    <mergeCell ref="E91:F91"/>
    <mergeCell ref="G91:H91"/>
    <mergeCell ref="A92:B92"/>
    <mergeCell ref="A93:B93"/>
    <mergeCell ref="A94:B94"/>
    <mergeCell ref="A95:B95"/>
    <mergeCell ref="A96:B96"/>
    <mergeCell ref="A97:B97"/>
    <mergeCell ref="A98:B98"/>
    <mergeCell ref="A99:B99"/>
    <mergeCell ref="A100:B100"/>
    <mergeCell ref="A101:B101"/>
    <mergeCell ref="A102:E102"/>
    <mergeCell ref="F102:H102"/>
    <mergeCell ref="A103:E103"/>
    <mergeCell ref="F103:H103"/>
    <mergeCell ref="A104:E104"/>
    <mergeCell ref="F104:H104"/>
    <mergeCell ref="A105:E105"/>
    <mergeCell ref="F105:H105"/>
    <mergeCell ref="A106:E106"/>
    <mergeCell ref="F106:H106"/>
    <mergeCell ref="A107:E107"/>
    <mergeCell ref="F107:H107"/>
    <mergeCell ref="A108:E108"/>
    <mergeCell ref="F108:H108"/>
    <mergeCell ref="A109:E109"/>
    <mergeCell ref="F109:H109"/>
    <mergeCell ref="A110:E110"/>
    <mergeCell ref="F110:H110"/>
    <mergeCell ref="A111:E111"/>
    <mergeCell ref="F111:H111"/>
    <mergeCell ref="A112:E112"/>
    <mergeCell ref="F112:H112"/>
    <mergeCell ref="A113:E113"/>
    <mergeCell ref="F113:H113"/>
    <mergeCell ref="A114:E114"/>
    <mergeCell ref="F114:H114"/>
    <mergeCell ref="A115:H115"/>
    <mergeCell ref="A116:B116"/>
    <mergeCell ref="C116:D116"/>
    <mergeCell ref="E116:F116"/>
    <mergeCell ref="G116:H116"/>
    <mergeCell ref="A117:B117"/>
    <mergeCell ref="C117:D117"/>
    <mergeCell ref="E117:F117"/>
    <mergeCell ref="G117:H117"/>
    <mergeCell ref="A118:B118"/>
    <mergeCell ref="C118:D118"/>
    <mergeCell ref="E118:F118"/>
    <mergeCell ref="G118:H118"/>
    <mergeCell ref="A119:B119"/>
    <mergeCell ref="C119:D119"/>
    <mergeCell ref="E119:F119"/>
    <mergeCell ref="G119:H119"/>
    <mergeCell ref="A120:H120"/>
    <mergeCell ref="A121:B121"/>
    <mergeCell ref="C121:D121"/>
    <mergeCell ref="E121:F121"/>
    <mergeCell ref="G121:H121"/>
    <mergeCell ref="A122:B122"/>
    <mergeCell ref="C122:D122"/>
    <mergeCell ref="E122:F122"/>
    <mergeCell ref="G122:H122"/>
    <mergeCell ref="A123:B123"/>
    <mergeCell ref="C123:D123"/>
    <mergeCell ref="E123:F123"/>
    <mergeCell ref="G123:H123"/>
    <mergeCell ref="A124:B124"/>
    <mergeCell ref="C124:D124"/>
    <mergeCell ref="E124:F124"/>
    <mergeCell ref="G124:H124"/>
    <mergeCell ref="A125:B125"/>
    <mergeCell ref="C125:D125"/>
    <mergeCell ref="E125:F125"/>
    <mergeCell ref="G125:H125"/>
    <mergeCell ref="A126:H126"/>
    <mergeCell ref="A127:H127"/>
    <mergeCell ref="A130:H130"/>
    <mergeCell ref="A131:B131"/>
    <mergeCell ref="L131:M131"/>
    <mergeCell ref="A132:B132"/>
    <mergeCell ref="L132:M132"/>
    <mergeCell ref="A133:B133"/>
    <mergeCell ref="L133:M133"/>
    <mergeCell ref="C128:C129"/>
    <mergeCell ref="D128:D129"/>
    <mergeCell ref="E128:E129"/>
    <mergeCell ref="F128:F129"/>
    <mergeCell ref="G128:G129"/>
    <mergeCell ref="A134:B134"/>
    <mergeCell ref="L134:M134"/>
    <mergeCell ref="A135:H135"/>
    <mergeCell ref="A138:H138"/>
    <mergeCell ref="A139:H139"/>
    <mergeCell ref="A140:H140"/>
    <mergeCell ref="A141:B141"/>
    <mergeCell ref="A142:B142"/>
    <mergeCell ref="A143:B143"/>
    <mergeCell ref="C136:C137"/>
    <mergeCell ref="D136:D137"/>
    <mergeCell ref="E136:E137"/>
    <mergeCell ref="F136:F137"/>
    <mergeCell ref="G136:G137"/>
    <mergeCell ref="A144:B144"/>
    <mergeCell ref="A145:B145"/>
    <mergeCell ref="A146:B146"/>
    <mergeCell ref="A147:B147"/>
    <mergeCell ref="A148:B148"/>
    <mergeCell ref="A149:B149"/>
    <mergeCell ref="A150:B150"/>
    <mergeCell ref="A151:H151"/>
    <mergeCell ref="A152:B152"/>
    <mergeCell ref="A153:B153"/>
    <mergeCell ref="A154:B154"/>
    <mergeCell ref="A155:B155"/>
    <mergeCell ref="A156:B156"/>
    <mergeCell ref="A157:B157"/>
    <mergeCell ref="A158:B158"/>
    <mergeCell ref="C158:H158"/>
    <mergeCell ref="A159:B159"/>
    <mergeCell ref="A160:B160"/>
    <mergeCell ref="A161:B161"/>
    <mergeCell ref="A162:H162"/>
    <mergeCell ref="L162:M162"/>
    <mergeCell ref="A163:B163"/>
    <mergeCell ref="A164:B164"/>
    <mergeCell ref="A165:B165"/>
    <mergeCell ref="A166:B166"/>
    <mergeCell ref="A167:B167"/>
    <mergeCell ref="A168:B168"/>
    <mergeCell ref="A169:B169"/>
    <mergeCell ref="A170:B170"/>
    <mergeCell ref="A171:B171"/>
    <mergeCell ref="A172:B172"/>
    <mergeCell ref="A184:H184"/>
    <mergeCell ref="A185:H185"/>
    <mergeCell ref="A186:H186"/>
    <mergeCell ref="A187:B187"/>
    <mergeCell ref="A188:B188"/>
    <mergeCell ref="A173:H173"/>
    <mergeCell ref="A174:B174"/>
    <mergeCell ref="A179:B179"/>
    <mergeCell ref="A189:B189"/>
    <mergeCell ref="A190:B190"/>
    <mergeCell ref="A191:B191"/>
    <mergeCell ref="A192:B192"/>
    <mergeCell ref="A193:B193"/>
    <mergeCell ref="A194:B194"/>
    <mergeCell ref="A195:B195"/>
    <mergeCell ref="A196:B196"/>
    <mergeCell ref="A197:H197"/>
    <mergeCell ref="A198:B198"/>
    <mergeCell ref="A199:B199"/>
    <mergeCell ref="A200:B200"/>
    <mergeCell ref="A201:B201"/>
    <mergeCell ref="A202:B202"/>
    <mergeCell ref="A203:B203"/>
    <mergeCell ref="A204:B204"/>
    <mergeCell ref="A205:B205"/>
    <mergeCell ref="A206:B206"/>
    <mergeCell ref="A207:B207"/>
    <mergeCell ref="A209:B209"/>
    <mergeCell ref="A210:B210"/>
    <mergeCell ref="A211:B211"/>
    <mergeCell ref="A212:B212"/>
    <mergeCell ref="A208:H208"/>
    <mergeCell ref="A222:B222"/>
    <mergeCell ref="A227:B227"/>
    <mergeCell ref="D227:H228"/>
    <mergeCell ref="G251:H251"/>
    <mergeCell ref="A128:A129"/>
    <mergeCell ref="A136:A137"/>
    <mergeCell ref="B128:B129"/>
    <mergeCell ref="B136:B137"/>
    <mergeCell ref="A245:H245"/>
    <mergeCell ref="A246:H246"/>
    <mergeCell ref="A229:H229"/>
    <mergeCell ref="B230:H230"/>
    <mergeCell ref="B232:H232"/>
    <mergeCell ref="B233:H233"/>
    <mergeCell ref="B234:H234"/>
    <mergeCell ref="B235:H235"/>
    <mergeCell ref="B236:H236"/>
    <mergeCell ref="B237:H237"/>
    <mergeCell ref="B238:H238"/>
    <mergeCell ref="B239:H239"/>
    <mergeCell ref="B240:H240"/>
    <mergeCell ref="B242:H242"/>
    <mergeCell ref="B243:H243"/>
    <mergeCell ref="A244:H244"/>
    <mergeCell ref="B241:H241"/>
    <mergeCell ref="B231:H231"/>
    <mergeCell ref="A217:B217"/>
    <mergeCell ref="I33:K33"/>
    <mergeCell ref="I34:K34"/>
    <mergeCell ref="I35:K35"/>
    <mergeCell ref="I36:K36"/>
    <mergeCell ref="I37:K37"/>
    <mergeCell ref="A252:H255"/>
    <mergeCell ref="A54:B55"/>
    <mergeCell ref="A56:B57"/>
    <mergeCell ref="A23:D24"/>
    <mergeCell ref="E23:H24"/>
    <mergeCell ref="A58:B59"/>
    <mergeCell ref="A52:B53"/>
    <mergeCell ref="A65:C66"/>
    <mergeCell ref="E92:F101"/>
    <mergeCell ref="G92:H101"/>
    <mergeCell ref="E78:F87"/>
    <mergeCell ref="G78:H87"/>
    <mergeCell ref="A247:H247"/>
    <mergeCell ref="A248:H248"/>
    <mergeCell ref="A249:H249"/>
    <mergeCell ref="A250:H250"/>
    <mergeCell ref="A251:B251"/>
    <mergeCell ref="C251:D251"/>
    <mergeCell ref="E251:F251"/>
    <mergeCell ref="L174:M174"/>
    <mergeCell ref="A175:B175"/>
    <mergeCell ref="L175:M175"/>
    <mergeCell ref="A176:B176"/>
    <mergeCell ref="L176:M176"/>
    <mergeCell ref="A177:B177"/>
    <mergeCell ref="L177:M177"/>
    <mergeCell ref="A178:B178"/>
    <mergeCell ref="L178:M178"/>
    <mergeCell ref="L179:M179"/>
    <mergeCell ref="A180:B180"/>
    <mergeCell ref="L180:M180"/>
    <mergeCell ref="A181:B181"/>
    <mergeCell ref="L181:M181"/>
    <mergeCell ref="A182:B182"/>
    <mergeCell ref="L182:M182"/>
    <mergeCell ref="A183:B183"/>
    <mergeCell ref="L183:M183"/>
    <mergeCell ref="L208:M208"/>
    <mergeCell ref="L209:M209"/>
    <mergeCell ref="L210:M210"/>
    <mergeCell ref="L211:M211"/>
    <mergeCell ref="L212:M212"/>
    <mergeCell ref="A219:H219"/>
    <mergeCell ref="L219:M219"/>
    <mergeCell ref="A220:B220"/>
    <mergeCell ref="D220:H221"/>
    <mergeCell ref="L220:M220"/>
    <mergeCell ref="A221:B221"/>
    <mergeCell ref="L221:M221"/>
    <mergeCell ref="L217:M217"/>
    <mergeCell ref="A218:B218"/>
    <mergeCell ref="A213:B213"/>
    <mergeCell ref="L213:M213"/>
    <mergeCell ref="A214:B214"/>
    <mergeCell ref="L214:M214"/>
    <mergeCell ref="A215:B215"/>
    <mergeCell ref="L215:M215"/>
    <mergeCell ref="A216:B216"/>
    <mergeCell ref="C216:H216"/>
    <mergeCell ref="L216:M216"/>
    <mergeCell ref="L227:M227"/>
    <mergeCell ref="A228:B228"/>
    <mergeCell ref="L222:M222"/>
    <mergeCell ref="A223:B223"/>
    <mergeCell ref="D223:H226"/>
    <mergeCell ref="L223:M223"/>
    <mergeCell ref="A224:B224"/>
    <mergeCell ref="L224:M224"/>
    <mergeCell ref="A225:B225"/>
    <mergeCell ref="L225:M225"/>
    <mergeCell ref="A226:B226"/>
    <mergeCell ref="L226:M226"/>
  </mergeCells>
  <dataValidations count="17">
    <dataValidation type="list" allowBlank="1" showInputMessage="1" showErrorMessage="1" sqref="E4:H4">
      <formula1>$L$3:$P$3</formula1>
    </dataValidation>
    <dataValidation type="list" allowBlank="1" showInputMessage="1" showErrorMessage="1" sqref="E5:H5">
      <formula1>OFFSET($L$3,1,MATCH($E4,$L$3:$P$3,0)-1,10,1)</formula1>
    </dataValidation>
    <dataValidation type="list" allowBlank="1" showInputMessage="1" showErrorMessage="1" sqref="Y13">
      <formula1>$D$5:$H$5</formula1>
    </dataValidation>
    <dataValidation type="list" allowBlank="1" showInputMessage="1" showErrorMessage="1" sqref="A17:B17">
      <formula1>"CTS No,Survey No,Plot No,Gut No,FP No,U.No."</formula1>
    </dataValidation>
    <dataValidation type="list" allowBlank="1" showInputMessage="1" showErrorMessage="1" sqref="G20:H20">
      <formula1>$S$13:$W$13</formula1>
    </dataValidation>
    <dataValidation type="list" allowBlank="1" showInputMessage="1" showErrorMessage="1" sqref="C21:D21">
      <formula1>OFFSET($S$13,1,MATCH($G20,$S$13:$W$13,0)-1,15,1)</formula1>
    </dataValidation>
    <dataValidation type="list" allowBlank="1" showInputMessage="1" showErrorMessage="1" sqref="C49:H49">
      <formula1>OFFSET($S$49,1,MATCH($G20,$S$49:$W$49,0)-1,15,1)</formula1>
    </dataValidation>
    <dataValidation type="list" allowBlank="1" showInputMessage="1" showErrorMessage="1" sqref="F102:H102">
      <formula1>"On Saleable Area,On Builtup Area,On Carpet Area,On Plot Area"</formula1>
    </dataValidation>
    <dataValidation type="list" allowBlank="1" showInputMessage="1" showErrorMessage="1" sqref="F113:H113">
      <formula1>OFFSET($S$102,1,MATCH($G20,$S$102:$W$102,0)-1,15,1)</formula1>
    </dataValidation>
    <dataValidation type="list" allowBlank="1" showInputMessage="1" showErrorMessage="1" sqref="H128 H136">
      <formula1>"Saleable area Loading :,Builder Saleable Area"</formula1>
    </dataValidation>
    <dataValidation type="list" allowBlank="1" showInputMessage="1" showErrorMessage="1" sqref="H137 H129">
      <formula1>".45,.50,.55,.60"</formula1>
    </dataValidation>
    <dataValidation type="list" allowBlank="1" showInputMessage="1" showErrorMessage="1" sqref="G251:H251">
      <formula1>"Kunal Kadam,Pranita Mhatre,Shruti Fule,Pooja Kawale,Gaurav Panchal,Shruti Tathare, Hitakshi Mhatre, Sachin Sawant"</formula1>
    </dataValidation>
    <dataValidation type="list" allowBlank="1" showInputMessage="1" showErrorMessage="1" sqref="B128:B129">
      <formula1>"Shop No. (Sale Plan),Sale / Rehab,Sale / Mhada"</formula1>
    </dataValidation>
    <dataValidation type="list" allowBlank="1" showInputMessage="1" showErrorMessage="1" sqref="B136:B137">
      <formula1>"Flat No. (Sale Plan),Sale / Rehab,Sale / Mhada"</formula1>
    </dataValidation>
    <dataValidation type="list" allowBlank="1" showInputMessage="1" showErrorMessage="1" sqref="D136:D137 D128:D129">
      <formula1>"Carpet area,RERA Carpet area"</formula1>
    </dataValidation>
    <dataValidation type="list" allowBlank="1" showInputMessage="1" showErrorMessage="1" sqref="E128:E129">
      <formula1>"Attached Loft area,Attached Otla area,Attached Mezzanine area"</formula1>
    </dataValidation>
    <dataValidation type="list" allowBlank="1" showInputMessage="1" showErrorMessage="1" sqref="E136:E137">
      <formula1>"Fungible area,Balcony Area,Chajja Area,Cornice Area,AP Area,WS Area"</formula1>
    </dataValidation>
  </dataValidations>
  <hyperlinks>
    <hyperlink ref="I70" r:id="rId1"/>
    <hyperlink ref="C40" r:id="rId2"/>
  </hyperlinks>
  <printOptions horizontalCentered="1"/>
  <pageMargins left="0.39370078740157499" right="0.39370078740157499" top="0.82677165354330695" bottom="0.78740157480314998" header="0.15748031496063" footer="0.196850393700787"/>
  <pageSetup paperSize="2" fitToHeight="0" orientation="portrait" r:id="rId3"/>
  <headerFooter>
    <oddHeader>&amp;C&amp;G</oddHeader>
    <oddFooter>&amp;L&amp;"Times New Roman,Bold"&amp;12Ref No: &amp;F&amp;R&amp;"Times New Roman,Bold"&amp;12&amp;P</oddFooter>
  </headerFooter>
  <rowBreaks count="5" manualBreakCount="5">
    <brk id="73" max="7" man="1"/>
    <brk id="125" max="7" man="1"/>
    <brk id="218" max="7" man="1"/>
    <brk id="255" max="16383" man="1"/>
    <brk id="343" max="16383"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ColWidth="9" defaultRowHeight="15"/>
  <cols>
    <col min="4" max="4" width="13.85546875" customWidth="1"/>
    <col min="5" max="5" width="10.42578125" customWidth="1"/>
    <col min="6" max="6" width="12.42578125" customWidth="1"/>
    <col min="7" max="7" width="18.140625" customWidth="1"/>
    <col min="8" max="8" width="10.5703125" customWidth="1"/>
  </cols>
  <sheetData>
    <row r="3" spans="2:11">
      <c r="J3">
        <v>1</v>
      </c>
      <c r="K3">
        <v>2</v>
      </c>
    </row>
    <row r="4" spans="2:11">
      <c r="B4" s="1"/>
      <c r="C4" s="1" t="s">
        <v>81</v>
      </c>
      <c r="D4" s="5" t="s">
        <v>306</v>
      </c>
      <c r="E4" s="5" t="s">
        <v>40</v>
      </c>
      <c r="F4" s="5" t="s">
        <v>41</v>
      </c>
      <c r="G4" s="5" t="s">
        <v>42</v>
      </c>
      <c r="H4" s="5" t="s">
        <v>43</v>
      </c>
      <c r="J4" t="s">
        <v>42</v>
      </c>
      <c r="K4" t="s">
        <v>53</v>
      </c>
    </row>
    <row r="5" spans="2:11">
      <c r="B5" s="1"/>
      <c r="C5" s="1"/>
      <c r="D5" s="5" t="s">
        <v>39</v>
      </c>
      <c r="E5" s="5" t="s">
        <v>45</v>
      </c>
      <c r="F5" s="5" t="s">
        <v>46</v>
      </c>
      <c r="G5" s="5" t="s">
        <v>47</v>
      </c>
      <c r="H5" s="5" t="s">
        <v>48</v>
      </c>
    </row>
    <row r="6" spans="2:11">
      <c r="B6" s="1"/>
      <c r="C6" s="1"/>
      <c r="D6" s="5" t="s">
        <v>51</v>
      </c>
      <c r="E6" s="5" t="s">
        <v>52</v>
      </c>
      <c r="F6" s="5" t="s">
        <v>53</v>
      </c>
      <c r="G6" s="5" t="s">
        <v>54</v>
      </c>
      <c r="H6" s="5" t="s">
        <v>55</v>
      </c>
    </row>
    <row r="7" spans="2:11">
      <c r="B7" s="1"/>
      <c r="C7" s="1"/>
      <c r="D7" s="5" t="s">
        <v>57</v>
      </c>
      <c r="E7" s="5" t="s">
        <v>58</v>
      </c>
      <c r="F7" s="5" t="s">
        <v>59</v>
      </c>
      <c r="G7" s="5" t="s">
        <v>60</v>
      </c>
      <c r="H7" s="5" t="s">
        <v>61</v>
      </c>
    </row>
    <row r="8" spans="2:11">
      <c r="B8" s="1"/>
      <c r="C8" s="1"/>
      <c r="D8" s="5" t="s">
        <v>62</v>
      </c>
      <c r="E8" s="5" t="s">
        <v>63</v>
      </c>
      <c r="F8" s="5"/>
      <c r="G8" s="5" t="s">
        <v>64</v>
      </c>
      <c r="H8" s="5" t="s">
        <v>65</v>
      </c>
    </row>
    <row r="9" spans="2:11">
      <c r="B9" s="1"/>
      <c r="C9" s="1"/>
      <c r="D9" s="5" t="s">
        <v>68</v>
      </c>
      <c r="E9" s="5" t="s">
        <v>40</v>
      </c>
      <c r="F9" s="5"/>
      <c r="G9" s="5" t="s">
        <v>69</v>
      </c>
      <c r="H9" s="5" t="s">
        <v>70</v>
      </c>
    </row>
    <row r="10" spans="2:11">
      <c r="B10" s="1"/>
      <c r="C10" s="1"/>
      <c r="D10" s="5" t="s">
        <v>75</v>
      </c>
      <c r="E10" s="5" t="s">
        <v>76</v>
      </c>
      <c r="F10" s="5"/>
      <c r="G10" s="5" t="s">
        <v>77</v>
      </c>
      <c r="H10" s="5" t="s">
        <v>78</v>
      </c>
    </row>
    <row r="11" spans="2:11">
      <c r="B11" s="1"/>
      <c r="C11" s="1"/>
      <c r="D11" s="5" t="s">
        <v>82</v>
      </c>
      <c r="E11" s="5" t="s">
        <v>83</v>
      </c>
      <c r="F11" s="5"/>
      <c r="G11" s="5" t="s">
        <v>84</v>
      </c>
      <c r="H11" s="5" t="s">
        <v>85</v>
      </c>
    </row>
    <row r="12" spans="2:11">
      <c r="B12" s="1"/>
      <c r="C12" s="1"/>
      <c r="D12" s="5"/>
      <c r="E12" s="5"/>
      <c r="F12" s="5"/>
      <c r="G12" s="5" t="s">
        <v>88</v>
      </c>
      <c r="H12" s="5" t="s">
        <v>89</v>
      </c>
    </row>
    <row r="13" spans="2:11">
      <c r="B13" s="1"/>
      <c r="C13" s="1"/>
      <c r="D13" s="5"/>
      <c r="E13" s="5"/>
      <c r="F13" s="5"/>
      <c r="G13" s="5" t="s">
        <v>93</v>
      </c>
      <c r="H13" s="5" t="s">
        <v>94</v>
      </c>
    </row>
    <row r="14" spans="2:11">
      <c r="B14" s="1"/>
      <c r="C14" s="1"/>
      <c r="D14" s="5"/>
      <c r="E14" s="5"/>
      <c r="F14" s="5"/>
      <c r="G14" s="5" t="s">
        <v>97</v>
      </c>
      <c r="H14" s="5" t="s">
        <v>98</v>
      </c>
    </row>
    <row r="15" spans="2:11">
      <c r="B15" s="1"/>
      <c r="C15" s="1"/>
      <c r="D15" s="5"/>
      <c r="E15" s="5"/>
      <c r="F15" s="5"/>
      <c r="G15" s="5" t="s">
        <v>99</v>
      </c>
      <c r="H15" s="5" t="s">
        <v>100</v>
      </c>
    </row>
    <row r="16" spans="2:11">
      <c r="B16" s="1"/>
      <c r="C16" s="1"/>
      <c r="D16" s="5"/>
      <c r="E16" s="5"/>
      <c r="F16" s="5"/>
      <c r="G16" s="5" t="s">
        <v>103</v>
      </c>
      <c r="H16" s="5" t="s">
        <v>104</v>
      </c>
    </row>
    <row r="17" spans="2:8">
      <c r="B17" s="1"/>
      <c r="C17" s="1"/>
      <c r="D17" s="5"/>
      <c r="E17" s="5"/>
      <c r="F17" s="5"/>
      <c r="G17" s="5" t="s">
        <v>106</v>
      </c>
      <c r="H17" s="5" t="s">
        <v>107</v>
      </c>
    </row>
    <row r="18" spans="2:8">
      <c r="B18" s="1"/>
      <c r="C18" s="1"/>
      <c r="D18" s="5"/>
      <c r="E18" s="5"/>
      <c r="F18" s="5"/>
      <c r="G18" s="5" t="s">
        <v>110</v>
      </c>
      <c r="H18" s="5" t="s">
        <v>111</v>
      </c>
    </row>
    <row r="24" spans="2:8">
      <c r="C24" t="s">
        <v>307</v>
      </c>
    </row>
    <row r="25" spans="2:8">
      <c r="C25" t="s">
        <v>308</v>
      </c>
    </row>
    <row r="26" spans="2:8">
      <c r="C26" t="s">
        <v>309</v>
      </c>
    </row>
    <row r="27" spans="2:8">
      <c r="C27" t="s">
        <v>310</v>
      </c>
    </row>
    <row r="28" spans="2:8">
      <c r="C28" t="s">
        <v>311</v>
      </c>
    </row>
    <row r="29" spans="2:8">
      <c r="C29" t="s">
        <v>312</v>
      </c>
    </row>
    <row r="30" spans="2:8">
      <c r="C30" t="s">
        <v>307</v>
      </c>
    </row>
    <row r="33" spans="3:11">
      <c r="J33">
        <v>1</v>
      </c>
      <c r="K33">
        <v>2</v>
      </c>
    </row>
    <row r="34" spans="3:11">
      <c r="C34" s="24" t="s">
        <v>3</v>
      </c>
      <c r="D34" s="5" t="s">
        <v>4</v>
      </c>
      <c r="E34" s="5" t="s">
        <v>5</v>
      </c>
      <c r="F34" s="5" t="s">
        <v>6</v>
      </c>
      <c r="G34" s="5" t="s">
        <v>313</v>
      </c>
      <c r="H34" s="5" t="s">
        <v>8</v>
      </c>
      <c r="J34" t="s">
        <v>42</v>
      </c>
      <c r="K34" t="s">
        <v>53</v>
      </c>
    </row>
    <row r="35" spans="3:11">
      <c r="C35" s="1" t="s">
        <v>10</v>
      </c>
      <c r="D35" s="5" t="s">
        <v>11</v>
      </c>
      <c r="E35" s="5" t="s">
        <v>12</v>
      </c>
      <c r="F35" s="5" t="s">
        <v>13</v>
      </c>
      <c r="G35" s="5" t="s">
        <v>314</v>
      </c>
      <c r="H35" s="5"/>
    </row>
    <row r="36" spans="3:11">
      <c r="C36" s="1"/>
      <c r="D36" s="5" t="s">
        <v>17</v>
      </c>
      <c r="E36" s="5" t="s">
        <v>18</v>
      </c>
      <c r="F36" s="5" t="s">
        <v>19</v>
      </c>
      <c r="G36" s="5" t="s">
        <v>315</v>
      </c>
      <c r="H36" s="5"/>
    </row>
    <row r="37" spans="3:11">
      <c r="C37" s="1"/>
      <c r="D37" s="5" t="s">
        <v>22</v>
      </c>
      <c r="E37" s="5"/>
      <c r="F37" s="5"/>
      <c r="G37" s="5" t="s">
        <v>316</v>
      </c>
      <c r="H37" s="5"/>
    </row>
    <row r="38" spans="3:11">
      <c r="C38" s="1"/>
      <c r="D38" s="5" t="s">
        <v>16</v>
      </c>
      <c r="E38" s="5"/>
      <c r="F38" s="5"/>
      <c r="G38" s="5" t="s">
        <v>316</v>
      </c>
      <c r="H38" s="5"/>
    </row>
    <row r="39" spans="3:11">
      <c r="C39" s="1"/>
      <c r="D39" s="5"/>
      <c r="E39" s="5"/>
      <c r="F39" s="5"/>
      <c r="G39" s="5" t="s">
        <v>317</v>
      </c>
      <c r="H39" s="5"/>
    </row>
    <row r="40" spans="3:11">
      <c r="C40" s="1"/>
      <c r="D40" s="5"/>
      <c r="E40" s="5"/>
      <c r="F40" s="5"/>
      <c r="G40" s="5" t="s">
        <v>318</v>
      </c>
      <c r="H40" s="5"/>
    </row>
    <row r="41" spans="3:11">
      <c r="C41" s="1"/>
      <c r="D41" s="5"/>
      <c r="E41" s="5"/>
      <c r="F41" s="5"/>
      <c r="G41" s="5"/>
      <c r="H41" s="5"/>
    </row>
    <row r="43" spans="3:11">
      <c r="C43" t="s">
        <v>145</v>
      </c>
    </row>
    <row r="44" spans="3:11">
      <c r="C44" t="s">
        <v>41</v>
      </c>
      <c r="D44" t="s">
        <v>149</v>
      </c>
    </row>
    <row r="45" spans="3:11">
      <c r="D45" t="s">
        <v>154</v>
      </c>
    </row>
    <row r="46" spans="3:11">
      <c r="D46" t="s">
        <v>159</v>
      </c>
    </row>
    <row r="47" spans="3:11">
      <c r="D47" t="s">
        <v>163</v>
      </c>
    </row>
    <row r="48" spans="3:11">
      <c r="D48" t="s">
        <v>161</v>
      </c>
    </row>
    <row r="49" spans="3:4">
      <c r="C49" t="s">
        <v>306</v>
      </c>
      <c r="D49" t="s">
        <v>150</v>
      </c>
    </row>
    <row r="50" spans="3:4">
      <c r="D50" t="s">
        <v>155</v>
      </c>
    </row>
    <row r="51" spans="3:4">
      <c r="D51" t="s">
        <v>160</v>
      </c>
    </row>
    <row r="52" spans="3:4">
      <c r="D52" t="s">
        <v>164</v>
      </c>
    </row>
    <row r="53" spans="3:4">
      <c r="D53" t="s">
        <v>167</v>
      </c>
    </row>
    <row r="54" spans="3:4">
      <c r="D54" t="s">
        <v>170</v>
      </c>
    </row>
    <row r="55" spans="3:4">
      <c r="D55" t="s">
        <v>144</v>
      </c>
    </row>
    <row r="56" spans="3:4">
      <c r="D56" t="s">
        <v>174</v>
      </c>
    </row>
    <row r="57" spans="3:4">
      <c r="D57" t="s">
        <v>176</v>
      </c>
    </row>
    <row r="58" spans="3:4">
      <c r="D58" t="s">
        <v>179</v>
      </c>
    </row>
    <row r="59" spans="3:4">
      <c r="D59" t="s">
        <v>181</v>
      </c>
    </row>
    <row r="60" spans="3:4">
      <c r="C60" t="s">
        <v>42</v>
      </c>
      <c r="D60" t="s">
        <v>151</v>
      </c>
    </row>
    <row r="61" spans="3:4">
      <c r="D61" t="s">
        <v>156</v>
      </c>
    </row>
    <row r="62" spans="3:4">
      <c r="D62" t="s">
        <v>161</v>
      </c>
    </row>
    <row r="63" spans="3:4">
      <c r="D63" t="s">
        <v>165</v>
      </c>
    </row>
    <row r="64" spans="3:4">
      <c r="D64" t="s">
        <v>168</v>
      </c>
    </row>
    <row r="65" spans="3:4">
      <c r="D65" t="s">
        <v>171</v>
      </c>
    </row>
    <row r="66" spans="3:4">
      <c r="D66" t="s">
        <v>172</v>
      </c>
    </row>
    <row r="67" spans="3:4">
      <c r="C67" t="s">
        <v>40</v>
      </c>
      <c r="D67" t="s">
        <v>152</v>
      </c>
    </row>
    <row r="68" spans="3:4">
      <c r="D68" t="s">
        <v>157</v>
      </c>
    </row>
    <row r="69" spans="3:4">
      <c r="D69" t="s">
        <v>162</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topLeftCell="A31" zoomScale="70" zoomScaleNormal="70" workbookViewId="0">
      <selection activeCell="O43" sqref="O43"/>
    </sheetView>
  </sheetViews>
  <sheetFormatPr defaultColWidth="8.7109375" defaultRowHeight="15"/>
  <cols>
    <col min="1" max="1" width="8.7109375" style="25"/>
    <col min="2" max="2" width="22.140625" style="25" customWidth="1"/>
    <col min="3" max="3" width="37" style="25" customWidth="1"/>
    <col min="4" max="5" width="11.42578125" style="25" customWidth="1"/>
    <col min="6" max="6" width="14" style="25" customWidth="1"/>
    <col min="7" max="7" width="20" style="25" customWidth="1"/>
    <col min="8" max="8" width="16.42578125" style="25" customWidth="1"/>
    <col min="9" max="16384" width="8.7109375" style="25"/>
  </cols>
  <sheetData>
    <row r="1" spans="1:9" ht="15" customHeight="1"/>
    <row r="2" spans="1:9" ht="15" customHeight="1">
      <c r="A2" s="26"/>
      <c r="B2" s="26"/>
      <c r="C2" s="26"/>
      <c r="D2" s="26"/>
      <c r="E2" s="26"/>
      <c r="F2" s="26"/>
      <c r="G2" s="26"/>
      <c r="H2" s="26"/>
    </row>
    <row r="3" spans="1:9" ht="15.75" customHeight="1">
      <c r="A3" s="26"/>
      <c r="B3" s="253" t="s">
        <v>294</v>
      </c>
      <c r="C3" s="253"/>
      <c r="D3" s="253"/>
      <c r="E3" s="253"/>
      <c r="F3" s="253"/>
      <c r="G3" s="253"/>
      <c r="H3" s="253"/>
    </row>
    <row r="4" spans="1:9">
      <c r="A4" s="26"/>
      <c r="B4" s="27" t="s">
        <v>295</v>
      </c>
      <c r="C4" s="27" t="s">
        <v>296</v>
      </c>
      <c r="D4" s="27" t="s">
        <v>297</v>
      </c>
      <c r="E4" s="27" t="s">
        <v>298</v>
      </c>
      <c r="F4" s="27" t="s">
        <v>299</v>
      </c>
      <c r="G4" s="27" t="s">
        <v>300</v>
      </c>
      <c r="H4" s="27" t="s">
        <v>301</v>
      </c>
    </row>
    <row r="5" spans="1:9" ht="15" customHeight="1">
      <c r="A5" s="26"/>
      <c r="B5" s="28" t="s">
        <v>302</v>
      </c>
      <c r="C5" s="29"/>
      <c r="D5" s="28"/>
      <c r="E5" s="28"/>
      <c r="F5" s="30">
        <f>E5*1.6</f>
        <v>0</v>
      </c>
      <c r="G5" s="30" t="e">
        <f>H5/F5</f>
        <v>#DIV/0!</v>
      </c>
      <c r="H5" s="31"/>
    </row>
    <row r="6" spans="1:9">
      <c r="A6" s="26"/>
      <c r="B6" s="28" t="s">
        <v>302</v>
      </c>
      <c r="C6" s="32"/>
      <c r="D6" s="28"/>
      <c r="E6" s="28"/>
      <c r="F6" s="30">
        <f t="shared" ref="F6:F11" si="0">E6*1.6</f>
        <v>0</v>
      </c>
      <c r="G6" s="30" t="e">
        <f t="shared" ref="G6:G11" si="1">H6/F6</f>
        <v>#DIV/0!</v>
      </c>
      <c r="H6" s="31"/>
    </row>
    <row r="7" spans="1:9" ht="15" customHeight="1">
      <c r="A7" s="26"/>
      <c r="B7" s="28" t="s">
        <v>302</v>
      </c>
      <c r="C7" s="29"/>
      <c r="D7" s="28"/>
      <c r="E7" s="28"/>
      <c r="F7" s="30">
        <f t="shared" si="0"/>
        <v>0</v>
      </c>
      <c r="G7" s="30" t="e">
        <f t="shared" si="1"/>
        <v>#DIV/0!</v>
      </c>
      <c r="H7" s="31"/>
    </row>
    <row r="8" spans="1:9">
      <c r="A8" s="26"/>
      <c r="B8" s="28" t="s">
        <v>302</v>
      </c>
      <c r="C8" s="32"/>
      <c r="D8" s="28"/>
      <c r="E8" s="28"/>
      <c r="F8" s="30">
        <f t="shared" si="0"/>
        <v>0</v>
      </c>
      <c r="G8" s="30" t="e">
        <f t="shared" si="1"/>
        <v>#DIV/0!</v>
      </c>
      <c r="H8" s="31"/>
    </row>
    <row r="9" spans="1:9" ht="15" customHeight="1">
      <c r="A9" s="26"/>
      <c r="B9" s="28" t="s">
        <v>302</v>
      </c>
      <c r="C9" s="32"/>
      <c r="D9" s="28"/>
      <c r="E9" s="28"/>
      <c r="F9" s="30">
        <f t="shared" si="0"/>
        <v>0</v>
      </c>
      <c r="G9" s="30" t="e">
        <f t="shared" si="1"/>
        <v>#DIV/0!</v>
      </c>
      <c r="H9" s="31"/>
    </row>
    <row r="10" spans="1:9" ht="15" customHeight="1">
      <c r="A10" s="26"/>
      <c r="B10" s="28" t="s">
        <v>303</v>
      </c>
      <c r="C10" s="29"/>
      <c r="D10" s="28"/>
      <c r="E10" s="28"/>
      <c r="F10" s="30">
        <f t="shared" si="0"/>
        <v>0</v>
      </c>
      <c r="G10" s="30" t="e">
        <f t="shared" si="1"/>
        <v>#DIV/0!</v>
      </c>
      <c r="H10" s="31"/>
    </row>
    <row r="11" spans="1:9" ht="15" customHeight="1">
      <c r="A11" s="26"/>
      <c r="B11" s="28" t="s">
        <v>303</v>
      </c>
      <c r="C11" s="29"/>
      <c r="D11" s="28"/>
      <c r="E11" s="28"/>
      <c r="F11" s="30">
        <f t="shared" si="0"/>
        <v>0</v>
      </c>
      <c r="G11" s="30" t="e">
        <f t="shared" si="1"/>
        <v>#DIV/0!</v>
      </c>
      <c r="H11" s="31"/>
    </row>
    <row r="12" spans="1:9" ht="15" customHeight="1">
      <c r="A12" s="26"/>
      <c r="B12" s="33" t="s">
        <v>304</v>
      </c>
      <c r="C12" s="28"/>
      <c r="D12" s="28"/>
      <c r="E12" s="28"/>
      <c r="F12" s="28"/>
      <c r="G12" s="34" t="e">
        <f>AVERAGE(G5:G11)</f>
        <v>#DIV/0!</v>
      </c>
      <c r="H12" s="28"/>
    </row>
    <row r="13" spans="1:9" ht="15" customHeight="1">
      <c r="B13" s="33" t="s">
        <v>305</v>
      </c>
      <c r="C13" s="28"/>
      <c r="D13" s="28"/>
      <c r="E13" s="28"/>
      <c r="F13" s="35"/>
      <c r="G13" s="33"/>
      <c r="H13" s="33"/>
      <c r="I13" s="36"/>
    </row>
    <row r="14" spans="1:9" ht="15" customHeight="1"/>
    <row r="15" spans="1:9" ht="15" customHeight="1"/>
    <row r="16" spans="1:9" ht="15" customHeight="1"/>
  </sheetData>
  <mergeCells count="1">
    <mergeCell ref="B3:H3"/>
  </mergeCells>
  <pageMargins left="0.7" right="0.7" top="0.75" bottom="0.75" header="0.3" footer="0.3"/>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workbookViewId="0">
      <selection activeCell="C31" sqref="C31"/>
    </sheetView>
  </sheetViews>
  <sheetFormatPr defaultColWidth="9" defaultRowHeight="15"/>
  <cols>
    <col min="2" max="2" width="3" customWidth="1"/>
    <col min="3" max="3" width="155.28515625" customWidth="1"/>
  </cols>
  <sheetData>
    <row r="2" spans="2:3" ht="15" customHeight="1">
      <c r="B2" s="10">
        <v>1</v>
      </c>
      <c r="C2" s="11" t="s">
        <v>319</v>
      </c>
    </row>
    <row r="3" spans="2:3">
      <c r="B3" s="10">
        <v>2</v>
      </c>
      <c r="C3" s="12" t="s">
        <v>320</v>
      </c>
    </row>
    <row r="4" spans="2:3">
      <c r="B4" s="10">
        <v>3</v>
      </c>
      <c r="C4" s="13" t="s">
        <v>321</v>
      </c>
    </row>
    <row r="5" spans="2:3">
      <c r="B5" s="10">
        <v>4</v>
      </c>
      <c r="C5" s="12" t="s">
        <v>322</v>
      </c>
    </row>
    <row r="6" spans="2:3">
      <c r="B6" s="10">
        <v>5</v>
      </c>
      <c r="C6" s="13" t="s">
        <v>323</v>
      </c>
    </row>
    <row r="7" spans="2:3" ht="30">
      <c r="B7" s="10">
        <v>6</v>
      </c>
      <c r="C7" s="12" t="s">
        <v>324</v>
      </c>
    </row>
    <row r="8" spans="2:3" ht="75">
      <c r="B8" s="10">
        <v>7</v>
      </c>
      <c r="C8" s="12" t="s">
        <v>325</v>
      </c>
    </row>
    <row r="9" spans="2:3">
      <c r="B9" s="10">
        <v>8</v>
      </c>
      <c r="C9" s="13" t="s">
        <v>326</v>
      </c>
    </row>
    <row r="10" spans="2:3">
      <c r="B10" s="10">
        <v>9</v>
      </c>
      <c r="C10" s="13" t="s">
        <v>327</v>
      </c>
    </row>
    <row r="11" spans="2:3">
      <c r="B11" s="10">
        <v>10</v>
      </c>
      <c r="C11" s="13" t="s">
        <v>328</v>
      </c>
    </row>
    <row r="12" spans="2:3">
      <c r="B12" s="10">
        <v>11</v>
      </c>
      <c r="C12" s="13" t="s">
        <v>329</v>
      </c>
    </row>
    <row r="13" spans="2:3">
      <c r="B13" s="10">
        <v>12</v>
      </c>
      <c r="C13" s="13" t="s">
        <v>330</v>
      </c>
    </row>
    <row r="14" spans="2:3">
      <c r="B14" s="10">
        <v>13</v>
      </c>
      <c r="C14" s="13" t="s">
        <v>331</v>
      </c>
    </row>
    <row r="15" spans="2:3">
      <c r="B15" s="10">
        <v>14</v>
      </c>
      <c r="C15" s="13" t="s">
        <v>321</v>
      </c>
    </row>
    <row r="16" spans="2:3">
      <c r="B16" s="10">
        <v>15</v>
      </c>
      <c r="C16" s="13" t="s">
        <v>332</v>
      </c>
    </row>
    <row r="17" spans="2:3">
      <c r="B17" s="14">
        <v>16</v>
      </c>
      <c r="C17" s="15" t="s">
        <v>333</v>
      </c>
    </row>
    <row r="18" spans="2:3">
      <c r="B18" s="16">
        <v>17</v>
      </c>
      <c r="C18" s="15" t="s">
        <v>334</v>
      </c>
    </row>
    <row r="19" spans="2:3">
      <c r="B19" s="17">
        <v>18</v>
      </c>
      <c r="C19" s="10" t="s">
        <v>335</v>
      </c>
    </row>
    <row r="20" spans="2:3">
      <c r="B20" s="16">
        <v>19</v>
      </c>
      <c r="C20" s="10" t="s">
        <v>336</v>
      </c>
    </row>
    <row r="21" spans="2:3">
      <c r="B21" s="18">
        <v>20</v>
      </c>
      <c r="C21" s="10" t="s">
        <v>337</v>
      </c>
    </row>
    <row r="22" spans="2:3">
      <c r="B22" s="16">
        <v>21</v>
      </c>
      <c r="C22" s="10" t="s">
        <v>335</v>
      </c>
    </row>
    <row r="23" spans="2:3" s="9" customFormat="1" ht="29.25" customHeight="1">
      <c r="B23" s="19">
        <v>22</v>
      </c>
      <c r="C23" s="11" t="s">
        <v>338</v>
      </c>
    </row>
    <row r="24" spans="2:3" s="9" customFormat="1" ht="30.75" customHeight="1">
      <c r="B24" s="20">
        <v>23</v>
      </c>
      <c r="C24" s="11" t="s">
        <v>339</v>
      </c>
    </row>
    <row r="25" spans="2:3">
      <c r="B25" s="18">
        <v>24</v>
      </c>
      <c r="C25" s="10" t="s">
        <v>340</v>
      </c>
    </row>
    <row r="26" spans="2:3">
      <c r="B26" s="16">
        <v>25</v>
      </c>
      <c r="C26" s="10" t="s">
        <v>341</v>
      </c>
    </row>
    <row r="27" spans="2:3">
      <c r="B27" s="20">
        <v>26</v>
      </c>
      <c r="C27" s="18" t="s">
        <v>342</v>
      </c>
    </row>
    <row r="28" spans="2:3">
      <c r="B28" s="21">
        <v>27</v>
      </c>
      <c r="C28" s="10" t="s">
        <v>343</v>
      </c>
    </row>
    <row r="29" spans="2:3" ht="60">
      <c r="B29" s="22">
        <v>28</v>
      </c>
      <c r="C29" s="12" t="s">
        <v>344</v>
      </c>
    </row>
    <row r="30" spans="2:3">
      <c r="B30" s="20">
        <v>29</v>
      </c>
      <c r="C30" s="10" t="s">
        <v>345</v>
      </c>
    </row>
    <row r="31" spans="2:3" ht="30">
      <c r="B31" s="23">
        <v>30</v>
      </c>
      <c r="C31" s="12" t="s">
        <v>346</v>
      </c>
    </row>
    <row r="32" spans="2:3">
      <c r="B32" s="20">
        <v>31</v>
      </c>
      <c r="C32" s="10" t="s">
        <v>347</v>
      </c>
    </row>
    <row r="33" spans="2:3">
      <c r="B33" s="20">
        <v>32</v>
      </c>
      <c r="C33" s="10" t="s">
        <v>348</v>
      </c>
    </row>
    <row r="34" spans="2:3" ht="36.75" customHeight="1">
      <c r="B34" s="23">
        <v>33</v>
      </c>
      <c r="C34" s="15" t="s">
        <v>349</v>
      </c>
    </row>
    <row r="35" spans="2:3">
      <c r="B35" s="20">
        <v>34</v>
      </c>
      <c r="C35" s="10"/>
    </row>
  </sheetData>
  <pageMargins left="0.7" right="0.7" top="0.75" bottom="0.75" header="0.3" footer="0.3"/>
  <pageSetup orientation="portrait"/>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40625" defaultRowHeight="15"/>
  <cols>
    <col min="1" max="1" width="9.140625" style="1"/>
    <col min="2" max="2" width="12.28515625" style="1" customWidth="1"/>
    <col min="3" max="16384" width="9.140625" style="1"/>
  </cols>
  <sheetData>
    <row r="2" spans="1:12">
      <c r="B2" s="2" t="s">
        <v>350</v>
      </c>
      <c r="C2" s="254"/>
      <c r="D2" s="254"/>
    </row>
    <row r="3" spans="1:12">
      <c r="D3" s="3"/>
      <c r="E3" s="3"/>
      <c r="F3" s="3"/>
      <c r="G3" s="3"/>
      <c r="H3" s="3"/>
      <c r="I3" s="3"/>
    </row>
    <row r="4" spans="1:12">
      <c r="A4" s="2" t="s">
        <v>297</v>
      </c>
      <c r="B4" s="4" t="s">
        <v>351</v>
      </c>
      <c r="C4" s="255" t="s">
        <v>352</v>
      </c>
      <c r="D4" s="255"/>
      <c r="E4" s="255"/>
      <c r="F4" s="4"/>
      <c r="G4" s="256" t="s">
        <v>353</v>
      </c>
      <c r="H4" s="256"/>
      <c r="I4" s="256"/>
      <c r="J4" s="257" t="s">
        <v>354</v>
      </c>
      <c r="K4" s="257"/>
      <c r="L4" s="257"/>
    </row>
    <row r="5" spans="1:12">
      <c r="A5" s="2"/>
      <c r="B5" s="4"/>
      <c r="C5" s="4" t="s">
        <v>355</v>
      </c>
      <c r="D5" s="4" t="s">
        <v>356</v>
      </c>
      <c r="E5" s="4" t="s">
        <v>357</v>
      </c>
      <c r="F5" s="4"/>
      <c r="G5" s="4" t="s">
        <v>355</v>
      </c>
      <c r="H5" s="4" t="s">
        <v>356</v>
      </c>
      <c r="I5" s="4" t="s">
        <v>357</v>
      </c>
      <c r="J5" s="4" t="s">
        <v>355</v>
      </c>
      <c r="K5" s="4" t="s">
        <v>356</v>
      </c>
      <c r="L5" s="4" t="s">
        <v>357</v>
      </c>
    </row>
    <row r="6" spans="1:12">
      <c r="B6" s="5" t="s">
        <v>358</v>
      </c>
      <c r="C6" s="5"/>
      <c r="D6" s="5"/>
      <c r="E6" s="5">
        <f>C6*D6</f>
        <v>0</v>
      </c>
      <c r="F6" s="5" t="s">
        <v>359</v>
      </c>
      <c r="G6" s="5"/>
      <c r="H6" s="5"/>
      <c r="I6" s="5">
        <f>G6*H6</f>
        <v>0</v>
      </c>
      <c r="J6" s="5"/>
      <c r="K6" s="5"/>
      <c r="L6" s="5">
        <f>J6*K6</f>
        <v>0</v>
      </c>
    </row>
    <row r="7" spans="1:12">
      <c r="B7" s="5"/>
      <c r="C7" s="5"/>
      <c r="D7" s="5"/>
      <c r="E7" s="5">
        <f t="shared" ref="E7:E41" si="0">C7*D7</f>
        <v>0</v>
      </c>
      <c r="F7" s="5" t="s">
        <v>359</v>
      </c>
      <c r="G7" s="5"/>
      <c r="H7" s="5"/>
      <c r="I7" s="5">
        <f t="shared" ref="I7:I36" si="1">G7*H7</f>
        <v>0</v>
      </c>
      <c r="J7" s="5"/>
      <c r="K7" s="5"/>
      <c r="L7" s="5">
        <f t="shared" ref="L7:L36" si="2">J7*K7</f>
        <v>0</v>
      </c>
    </row>
    <row r="8" spans="1:12">
      <c r="B8" s="5"/>
      <c r="C8" s="5"/>
      <c r="D8" s="5"/>
      <c r="E8" s="5">
        <f t="shared" si="0"/>
        <v>0</v>
      </c>
      <c r="F8" s="5"/>
      <c r="G8" s="5"/>
      <c r="H8" s="5"/>
      <c r="I8" s="5">
        <f t="shared" si="1"/>
        <v>0</v>
      </c>
      <c r="J8" s="5"/>
      <c r="K8" s="5"/>
      <c r="L8" s="5">
        <f t="shared" si="2"/>
        <v>0</v>
      </c>
    </row>
    <row r="9" spans="1:12">
      <c r="B9" s="5"/>
      <c r="C9" s="5"/>
      <c r="D9" s="5"/>
      <c r="E9" s="5">
        <f t="shared" si="0"/>
        <v>0</v>
      </c>
      <c r="F9" s="5" t="s">
        <v>360</v>
      </c>
      <c r="G9" s="5"/>
      <c r="H9" s="5"/>
      <c r="I9" s="5">
        <f t="shared" si="1"/>
        <v>0</v>
      </c>
      <c r="J9" s="5"/>
      <c r="K9" s="5"/>
      <c r="L9" s="5">
        <f t="shared" si="2"/>
        <v>0</v>
      </c>
    </row>
    <row r="10" spans="1:12">
      <c r="B10" s="5" t="s">
        <v>361</v>
      </c>
      <c r="C10" s="5"/>
      <c r="D10" s="5"/>
      <c r="E10" s="5">
        <f t="shared" si="0"/>
        <v>0</v>
      </c>
      <c r="F10" s="5" t="s">
        <v>360</v>
      </c>
      <c r="G10" s="5"/>
      <c r="H10" s="5"/>
      <c r="I10" s="5">
        <f t="shared" si="1"/>
        <v>0</v>
      </c>
      <c r="J10" s="5"/>
      <c r="K10" s="5"/>
      <c r="L10" s="5">
        <f t="shared" si="2"/>
        <v>0</v>
      </c>
    </row>
    <row r="11" spans="1:12">
      <c r="B11" s="5"/>
      <c r="C11" s="5"/>
      <c r="D11" s="5"/>
      <c r="E11" s="5">
        <f t="shared" si="0"/>
        <v>0</v>
      </c>
      <c r="F11" s="5" t="s">
        <v>362</v>
      </c>
      <c r="G11" s="5"/>
      <c r="H11" s="5"/>
      <c r="I11" s="5">
        <f t="shared" si="1"/>
        <v>0</v>
      </c>
      <c r="J11" s="5"/>
      <c r="K11" s="5"/>
      <c r="L11" s="5">
        <f t="shared" si="2"/>
        <v>0</v>
      </c>
    </row>
    <row r="12" spans="1:12">
      <c r="B12" s="5"/>
      <c r="C12" s="5"/>
      <c r="D12" s="5"/>
      <c r="E12" s="5">
        <f t="shared" si="0"/>
        <v>0</v>
      </c>
      <c r="F12" s="5"/>
      <c r="G12" s="5"/>
      <c r="H12" s="5"/>
      <c r="I12" s="5">
        <f t="shared" si="1"/>
        <v>0</v>
      </c>
      <c r="J12" s="5"/>
      <c r="K12" s="5"/>
      <c r="L12" s="5">
        <f t="shared" si="2"/>
        <v>0</v>
      </c>
    </row>
    <row r="13" spans="1:12">
      <c r="B13" s="5"/>
      <c r="C13" s="5"/>
      <c r="D13" s="5"/>
      <c r="E13" s="5">
        <f t="shared" si="0"/>
        <v>0</v>
      </c>
      <c r="F13" s="5"/>
      <c r="G13" s="5"/>
      <c r="H13" s="5"/>
      <c r="I13" s="5">
        <f t="shared" si="1"/>
        <v>0</v>
      </c>
      <c r="J13" s="5"/>
      <c r="K13" s="5"/>
      <c r="L13" s="5">
        <f t="shared" si="2"/>
        <v>0</v>
      </c>
    </row>
    <row r="14" spans="1:12">
      <c r="B14" s="5" t="s">
        <v>363</v>
      </c>
      <c r="C14" s="5"/>
      <c r="D14" s="5"/>
      <c r="E14" s="5">
        <f t="shared" si="0"/>
        <v>0</v>
      </c>
      <c r="F14" s="5" t="s">
        <v>360</v>
      </c>
      <c r="G14" s="5"/>
      <c r="H14" s="5"/>
      <c r="I14" s="5">
        <f t="shared" si="1"/>
        <v>0</v>
      </c>
      <c r="J14" s="5"/>
      <c r="K14" s="5"/>
      <c r="L14" s="5">
        <f t="shared" si="2"/>
        <v>0</v>
      </c>
    </row>
    <row r="15" spans="1:12">
      <c r="B15" s="5"/>
      <c r="C15" s="5"/>
      <c r="D15" s="5"/>
      <c r="E15" s="5">
        <f t="shared" si="0"/>
        <v>0</v>
      </c>
      <c r="F15" s="5" t="s">
        <v>362</v>
      </c>
      <c r="G15" s="5"/>
      <c r="H15" s="5"/>
      <c r="I15" s="5">
        <f t="shared" si="1"/>
        <v>0</v>
      </c>
      <c r="J15" s="5"/>
      <c r="K15" s="5"/>
      <c r="L15" s="5">
        <f t="shared" si="2"/>
        <v>0</v>
      </c>
    </row>
    <row r="16" spans="1:12">
      <c r="B16" s="5"/>
      <c r="C16" s="5"/>
      <c r="D16" s="5"/>
      <c r="E16" s="5">
        <f t="shared" si="0"/>
        <v>0</v>
      </c>
      <c r="F16" s="5"/>
      <c r="G16" s="5"/>
      <c r="H16" s="5"/>
      <c r="I16" s="5">
        <f t="shared" si="1"/>
        <v>0</v>
      </c>
      <c r="J16" s="5"/>
      <c r="K16" s="5"/>
      <c r="L16" s="5">
        <f t="shared" si="2"/>
        <v>0</v>
      </c>
    </row>
    <row r="17" spans="2:12">
      <c r="B17" s="5"/>
      <c r="C17" s="5"/>
      <c r="D17" s="5"/>
      <c r="E17" s="5">
        <f t="shared" si="0"/>
        <v>0</v>
      </c>
      <c r="F17" s="5"/>
      <c r="G17" s="5"/>
      <c r="H17" s="5"/>
      <c r="I17" s="5">
        <f t="shared" si="1"/>
        <v>0</v>
      </c>
      <c r="J17" s="5"/>
      <c r="K17" s="5"/>
      <c r="L17" s="5">
        <f t="shared" si="2"/>
        <v>0</v>
      </c>
    </row>
    <row r="18" spans="2:12">
      <c r="B18" s="5" t="s">
        <v>364</v>
      </c>
      <c r="C18" s="5"/>
      <c r="D18" s="5"/>
      <c r="E18" s="5">
        <f t="shared" si="0"/>
        <v>0</v>
      </c>
      <c r="F18" s="5" t="s">
        <v>360</v>
      </c>
      <c r="G18" s="5"/>
      <c r="H18" s="5"/>
      <c r="I18" s="5">
        <f t="shared" si="1"/>
        <v>0</v>
      </c>
      <c r="J18" s="5"/>
      <c r="K18" s="5"/>
      <c r="L18" s="5">
        <f t="shared" si="2"/>
        <v>0</v>
      </c>
    </row>
    <row r="19" spans="2:12">
      <c r="B19" s="5"/>
      <c r="C19" s="5"/>
      <c r="D19" s="5"/>
      <c r="E19" s="5">
        <f t="shared" si="0"/>
        <v>0</v>
      </c>
      <c r="F19" s="5" t="s">
        <v>362</v>
      </c>
      <c r="G19" s="5"/>
      <c r="H19" s="5"/>
      <c r="I19" s="5">
        <f t="shared" si="1"/>
        <v>0</v>
      </c>
      <c r="J19" s="5"/>
      <c r="K19" s="5"/>
      <c r="L19" s="5">
        <f t="shared" si="2"/>
        <v>0</v>
      </c>
    </row>
    <row r="20" spans="2:12">
      <c r="B20" s="5"/>
      <c r="C20" s="5"/>
      <c r="D20" s="5"/>
      <c r="E20" s="5">
        <f t="shared" si="0"/>
        <v>0</v>
      </c>
      <c r="F20" s="5"/>
      <c r="G20" s="5"/>
      <c r="H20" s="5"/>
      <c r="I20" s="5">
        <f t="shared" si="1"/>
        <v>0</v>
      </c>
      <c r="J20" s="5"/>
      <c r="K20" s="5"/>
      <c r="L20" s="5">
        <f t="shared" si="2"/>
        <v>0</v>
      </c>
    </row>
    <row r="21" spans="2:12">
      <c r="B21" s="5" t="s">
        <v>365</v>
      </c>
      <c r="C21" s="5"/>
      <c r="D21" s="5"/>
      <c r="E21" s="5">
        <f t="shared" si="0"/>
        <v>0</v>
      </c>
      <c r="F21" s="5" t="s">
        <v>360</v>
      </c>
      <c r="G21" s="5"/>
      <c r="H21" s="5"/>
      <c r="I21" s="5">
        <f t="shared" si="1"/>
        <v>0</v>
      </c>
      <c r="J21" s="5"/>
      <c r="K21" s="5"/>
      <c r="L21" s="5">
        <f t="shared" si="2"/>
        <v>0</v>
      </c>
    </row>
    <row r="22" spans="2:12">
      <c r="B22" s="5"/>
      <c r="C22" s="5"/>
      <c r="D22" s="5"/>
      <c r="E22" s="5">
        <f t="shared" si="0"/>
        <v>0</v>
      </c>
      <c r="F22" s="5" t="s">
        <v>362</v>
      </c>
      <c r="G22" s="5"/>
      <c r="H22" s="5"/>
      <c r="I22" s="5">
        <f t="shared" si="1"/>
        <v>0</v>
      </c>
      <c r="J22" s="5"/>
      <c r="K22" s="5"/>
      <c r="L22" s="5">
        <f t="shared" si="2"/>
        <v>0</v>
      </c>
    </row>
    <row r="23" spans="2:12">
      <c r="B23" s="5"/>
      <c r="C23" s="5"/>
      <c r="D23" s="5"/>
      <c r="E23" s="5">
        <f t="shared" si="0"/>
        <v>0</v>
      </c>
      <c r="F23" s="5"/>
      <c r="G23" s="5"/>
      <c r="H23" s="5"/>
      <c r="I23" s="5">
        <f t="shared" si="1"/>
        <v>0</v>
      </c>
      <c r="J23" s="5"/>
      <c r="K23" s="5"/>
      <c r="L23" s="5">
        <f t="shared" si="2"/>
        <v>0</v>
      </c>
    </row>
    <row r="24" spans="2:12">
      <c r="B24" s="5" t="s">
        <v>366</v>
      </c>
      <c r="C24" s="5"/>
      <c r="D24" s="5"/>
      <c r="E24" s="5">
        <f t="shared" si="0"/>
        <v>0</v>
      </c>
      <c r="F24" s="5" t="s">
        <v>367</v>
      </c>
      <c r="G24" s="5"/>
      <c r="H24" s="5"/>
      <c r="I24" s="5">
        <f t="shared" si="1"/>
        <v>0</v>
      </c>
      <c r="J24" s="5"/>
      <c r="K24" s="5"/>
      <c r="L24" s="5">
        <f t="shared" si="2"/>
        <v>0</v>
      </c>
    </row>
    <row r="25" spans="2:12">
      <c r="B25" s="5"/>
      <c r="C25" s="5"/>
      <c r="D25" s="5"/>
      <c r="E25" s="5">
        <f t="shared" ref="E25:E27" si="3">C25*D25</f>
        <v>0</v>
      </c>
      <c r="F25" s="5" t="s">
        <v>367</v>
      </c>
      <c r="G25" s="5"/>
      <c r="H25" s="5"/>
      <c r="I25" s="5">
        <f t="shared" ref="I25:I27" si="4">G25*H25</f>
        <v>0</v>
      </c>
      <c r="J25" s="5"/>
      <c r="K25" s="5"/>
      <c r="L25" s="5">
        <f t="shared" ref="L25:L27" si="5">J25*K25</f>
        <v>0</v>
      </c>
    </row>
    <row r="26" spans="2:12">
      <c r="B26" s="5"/>
      <c r="C26" s="5"/>
      <c r="D26" s="5"/>
      <c r="E26" s="5">
        <f t="shared" si="3"/>
        <v>0</v>
      </c>
      <c r="F26" s="5" t="s">
        <v>367</v>
      </c>
      <c r="G26" s="5"/>
      <c r="H26" s="5"/>
      <c r="I26" s="5">
        <f t="shared" si="4"/>
        <v>0</v>
      </c>
      <c r="J26" s="5"/>
      <c r="K26" s="5"/>
      <c r="L26" s="5">
        <f t="shared" si="5"/>
        <v>0</v>
      </c>
    </row>
    <row r="27" spans="2:12">
      <c r="B27" s="5"/>
      <c r="C27" s="5"/>
      <c r="D27" s="5"/>
      <c r="E27" s="5">
        <f t="shared" si="3"/>
        <v>0</v>
      </c>
      <c r="F27" s="5" t="s">
        <v>367</v>
      </c>
      <c r="G27" s="5"/>
      <c r="H27" s="5"/>
      <c r="I27" s="5">
        <f t="shared" si="4"/>
        <v>0</v>
      </c>
      <c r="J27" s="5"/>
      <c r="K27" s="5"/>
      <c r="L27" s="5">
        <f t="shared" si="5"/>
        <v>0</v>
      </c>
    </row>
    <row r="28" spans="2:12">
      <c r="B28" s="5" t="s">
        <v>368</v>
      </c>
      <c r="C28" s="5"/>
      <c r="D28" s="5"/>
      <c r="E28" s="5">
        <f t="shared" si="0"/>
        <v>0</v>
      </c>
      <c r="F28" s="5" t="s">
        <v>367</v>
      </c>
      <c r="G28" s="5"/>
      <c r="H28" s="5"/>
      <c r="I28" s="5">
        <f t="shared" si="1"/>
        <v>0</v>
      </c>
      <c r="J28" s="5"/>
      <c r="K28" s="5"/>
      <c r="L28" s="5">
        <f t="shared" si="2"/>
        <v>0</v>
      </c>
    </row>
    <row r="29" spans="2:12">
      <c r="B29" s="5" t="s">
        <v>369</v>
      </c>
      <c r="C29" s="5"/>
      <c r="D29" s="5"/>
      <c r="E29" s="5">
        <f t="shared" si="0"/>
        <v>0</v>
      </c>
      <c r="F29" s="5" t="s">
        <v>367</v>
      </c>
      <c r="G29" s="5"/>
      <c r="H29" s="5"/>
      <c r="I29" s="5">
        <f t="shared" si="1"/>
        <v>0</v>
      </c>
      <c r="J29" s="5"/>
      <c r="K29" s="5"/>
      <c r="L29" s="5">
        <f t="shared" si="2"/>
        <v>0</v>
      </c>
    </row>
    <row r="30" spans="2:12">
      <c r="B30" s="5" t="s">
        <v>370</v>
      </c>
      <c r="C30" s="5"/>
      <c r="D30" s="5"/>
      <c r="E30" s="5">
        <f t="shared" si="0"/>
        <v>0</v>
      </c>
      <c r="F30" s="5"/>
      <c r="G30" s="5"/>
      <c r="H30" s="5"/>
      <c r="I30" s="5">
        <f t="shared" si="1"/>
        <v>0</v>
      </c>
      <c r="J30" s="5"/>
      <c r="K30" s="5"/>
      <c r="L30" s="5">
        <f t="shared" si="2"/>
        <v>0</v>
      </c>
    </row>
    <row r="31" spans="2:12">
      <c r="B31" s="5"/>
      <c r="C31" s="5"/>
      <c r="D31" s="5"/>
      <c r="E31" s="5">
        <f t="shared" ref="E31:E32" si="6">C31*D31</f>
        <v>0</v>
      </c>
      <c r="F31" s="5"/>
      <c r="G31" s="5"/>
      <c r="H31" s="5"/>
      <c r="I31" s="5">
        <f t="shared" ref="I31:I32" si="7">G31*H31</f>
        <v>0</v>
      </c>
      <c r="J31" s="5"/>
      <c r="K31" s="5"/>
      <c r="L31" s="5">
        <f t="shared" ref="L31:L32" si="8">J31*K31</f>
        <v>0</v>
      </c>
    </row>
    <row r="32" spans="2:12">
      <c r="B32" s="5"/>
      <c r="C32" s="5"/>
      <c r="D32" s="5"/>
      <c r="E32" s="5">
        <f t="shared" si="6"/>
        <v>0</v>
      </c>
      <c r="F32" s="5"/>
      <c r="G32" s="5"/>
      <c r="H32" s="5"/>
      <c r="I32" s="5">
        <f t="shared" si="7"/>
        <v>0</v>
      </c>
      <c r="J32" s="5"/>
      <c r="K32" s="5"/>
      <c r="L32" s="5">
        <f t="shared" si="8"/>
        <v>0</v>
      </c>
    </row>
    <row r="33" spans="2:12">
      <c r="B33" s="5" t="s">
        <v>371</v>
      </c>
      <c r="C33" s="5"/>
      <c r="D33" s="5"/>
      <c r="E33" s="5">
        <f t="shared" si="0"/>
        <v>0</v>
      </c>
      <c r="F33" s="5"/>
      <c r="G33" s="5"/>
      <c r="H33" s="5"/>
      <c r="I33" s="5">
        <f t="shared" si="1"/>
        <v>0</v>
      </c>
      <c r="J33" s="5"/>
      <c r="K33" s="5"/>
      <c r="L33" s="5">
        <f t="shared" si="2"/>
        <v>0</v>
      </c>
    </row>
    <row r="34" spans="2:12">
      <c r="B34" s="5" t="s">
        <v>372</v>
      </c>
      <c r="C34" s="5"/>
      <c r="D34" s="5"/>
      <c r="E34" s="5">
        <f t="shared" si="0"/>
        <v>0</v>
      </c>
      <c r="F34" s="5"/>
      <c r="G34" s="5"/>
      <c r="H34" s="5"/>
      <c r="I34" s="5">
        <f t="shared" si="1"/>
        <v>0</v>
      </c>
      <c r="J34" s="5"/>
      <c r="K34" s="5"/>
      <c r="L34" s="5">
        <f t="shared" si="2"/>
        <v>0</v>
      </c>
    </row>
    <row r="35" spans="2:12">
      <c r="B35" s="5" t="s">
        <v>373</v>
      </c>
      <c r="C35" s="5"/>
      <c r="D35" s="5"/>
      <c r="E35" s="5">
        <f t="shared" si="0"/>
        <v>0</v>
      </c>
      <c r="F35" s="5"/>
      <c r="G35" s="5"/>
      <c r="H35" s="5"/>
      <c r="I35" s="5">
        <f t="shared" si="1"/>
        <v>0</v>
      </c>
      <c r="J35" s="5"/>
      <c r="K35" s="5"/>
      <c r="L35" s="5">
        <f t="shared" si="2"/>
        <v>0</v>
      </c>
    </row>
    <row r="36" spans="2:12">
      <c r="B36" s="5" t="s">
        <v>374</v>
      </c>
      <c r="C36" s="5"/>
      <c r="D36" s="5"/>
      <c r="E36" s="5">
        <f t="shared" si="0"/>
        <v>0</v>
      </c>
      <c r="F36" s="5"/>
      <c r="G36" s="5"/>
      <c r="H36" s="5"/>
      <c r="I36" s="5">
        <f t="shared" si="1"/>
        <v>0</v>
      </c>
      <c r="J36" s="5"/>
      <c r="K36" s="5"/>
      <c r="L36" s="5">
        <f t="shared" si="2"/>
        <v>0</v>
      </c>
    </row>
    <row r="37" spans="2:12">
      <c r="B37" s="5"/>
      <c r="C37" s="5"/>
      <c r="D37" s="5"/>
      <c r="E37" s="5">
        <f t="shared" ref="E37:E38" si="9">C37*D37</f>
        <v>0</v>
      </c>
      <c r="F37" s="5"/>
      <c r="G37" s="5"/>
      <c r="H37" s="5"/>
      <c r="I37" s="5">
        <f t="shared" ref="I37:I41" si="10">G37*H37</f>
        <v>0</v>
      </c>
      <c r="J37" s="5"/>
      <c r="K37" s="5"/>
      <c r="L37" s="5">
        <f t="shared" ref="L37:L41" si="11">J37*K37</f>
        <v>0</v>
      </c>
    </row>
    <row r="38" spans="2:12">
      <c r="B38" s="5" t="s">
        <v>375</v>
      </c>
      <c r="C38" s="5"/>
      <c r="D38" s="5"/>
      <c r="E38" s="5">
        <f t="shared" si="9"/>
        <v>0</v>
      </c>
      <c r="F38" s="5"/>
      <c r="G38" s="5"/>
      <c r="H38" s="5"/>
      <c r="I38" s="5">
        <f t="shared" si="10"/>
        <v>0</v>
      </c>
      <c r="J38" s="5"/>
      <c r="K38" s="5"/>
      <c r="L38" s="5">
        <f t="shared" si="11"/>
        <v>0</v>
      </c>
    </row>
    <row r="39" spans="2:12">
      <c r="B39" s="5"/>
      <c r="C39" s="5"/>
      <c r="D39" s="5"/>
      <c r="E39" s="5">
        <f t="shared" si="0"/>
        <v>0</v>
      </c>
      <c r="F39" s="5"/>
      <c r="G39" s="5"/>
      <c r="H39" s="5"/>
      <c r="I39" s="5">
        <f t="shared" si="10"/>
        <v>0</v>
      </c>
      <c r="J39" s="5"/>
      <c r="K39" s="5"/>
      <c r="L39" s="5">
        <f t="shared" si="11"/>
        <v>0</v>
      </c>
    </row>
    <row r="40" spans="2:12">
      <c r="B40" s="5"/>
      <c r="C40" s="5"/>
      <c r="D40" s="5"/>
      <c r="E40" s="5">
        <f t="shared" si="0"/>
        <v>0</v>
      </c>
      <c r="F40" s="5"/>
      <c r="G40" s="5"/>
      <c r="H40" s="5"/>
      <c r="I40" s="5">
        <f t="shared" si="10"/>
        <v>0</v>
      </c>
      <c r="J40" s="5"/>
      <c r="K40" s="5"/>
      <c r="L40" s="5">
        <f t="shared" si="11"/>
        <v>0</v>
      </c>
    </row>
    <row r="41" spans="2:12">
      <c r="B41" s="5"/>
      <c r="C41" s="5"/>
      <c r="D41" s="5"/>
      <c r="E41" s="5">
        <f t="shared" si="0"/>
        <v>0</v>
      </c>
      <c r="F41" s="5"/>
      <c r="G41" s="5"/>
      <c r="H41" s="5"/>
      <c r="I41" s="5">
        <f t="shared" si="10"/>
        <v>0</v>
      </c>
      <c r="J41" s="5"/>
      <c r="K41" s="5"/>
      <c r="L41" s="5">
        <f t="shared" si="11"/>
        <v>0</v>
      </c>
    </row>
    <row r="42" spans="2:12">
      <c r="B42" s="5" t="s">
        <v>248</v>
      </c>
      <c r="C42" s="5"/>
      <c r="D42" s="5">
        <f>E42*10.764</f>
        <v>0</v>
      </c>
      <c r="E42" s="6">
        <f>SUM(E6:E41)</f>
        <v>0</v>
      </c>
      <c r="F42" s="5"/>
      <c r="G42" s="5"/>
      <c r="H42" s="5">
        <f>I42*10.764</f>
        <v>0</v>
      </c>
      <c r="I42" s="7">
        <f>SUM(I6:I41)</f>
        <v>0</v>
      </c>
      <c r="J42" s="5"/>
      <c r="K42" s="5">
        <f>L42*10.764</f>
        <v>0</v>
      </c>
      <c r="L42" s="8">
        <f>SUM(L6:L41)</f>
        <v>0</v>
      </c>
    </row>
    <row r="44" spans="2:12">
      <c r="D44" s="1">
        <f>D42+H42</f>
        <v>0</v>
      </c>
      <c r="E44" s="1">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Research</vt:lpstr>
      <vt:lpstr>valuation</vt:lpstr>
      <vt:lpstr>Remarks</vt:lpstr>
      <vt:lpstr>Area Calculation</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2025-09-30T08:58:12Z</cp:lastPrinted>
  <dcterms:created xsi:type="dcterms:W3CDTF">2019-07-16T09:29:00Z</dcterms:created>
  <dcterms:modified xsi:type="dcterms:W3CDTF">2025-09-30T08:58:18Z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F1B45FC78FFD4A89BD126D29B45773C0_12</vt:lpwstr>
  </property>
  <property fmtid="{D5CDD505-2E9C-101B-9397-08002B2CF9AE}" pid="3" name="KSOProductBuildVer">
    <vt:lpwstr>1033-12.2.0.17562</vt:lpwstr>
  </property>
</Properties>
</file>