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hruti\Sept 25\Old\"/>
    </mc:Choice>
  </mc:AlternateContent>
  <bookViews>
    <workbookView xWindow="0" yWindow="0" windowWidth="20490" windowHeight="7755"/>
  </bookViews>
  <sheets>
    <sheet name="Sheet1" sheetId="1" r:id="rId1"/>
    <sheet name="Sheet2" sheetId="2" r:id="rId2"/>
  </sheets>
  <definedNames>
    <definedName name="_xlnm.Print_Area" localSheetId="0">Sheet1!$A$1:$F$727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8" i="1" l="1"/>
  <c r="A160" i="1" s="1"/>
  <c r="H169" i="1" s="1"/>
  <c r="B143" i="1"/>
  <c r="A145" i="1" s="1"/>
  <c r="H152" i="1" s="1"/>
  <c r="A130" i="1"/>
  <c r="H138" i="1" s="1"/>
  <c r="F160" i="1"/>
  <c r="F145" i="1"/>
  <c r="F130" i="1"/>
  <c r="H171" i="1" l="1"/>
  <c r="C163" i="1" s="1"/>
  <c r="E163" i="1" s="1"/>
  <c r="D171" i="1"/>
  <c r="D167" i="1"/>
  <c r="D165" i="1"/>
  <c r="H164" i="1"/>
  <c r="D168" i="1"/>
  <c r="D166" i="1"/>
  <c r="D170" i="1"/>
  <c r="D169" i="1"/>
  <c r="D164" i="1"/>
  <c r="H167" i="1"/>
  <c r="H166" i="1"/>
  <c r="H168" i="1"/>
  <c r="H165" i="1"/>
  <c r="H170" i="1" s="1"/>
  <c r="H156" i="1"/>
  <c r="C148" i="1" s="1"/>
  <c r="D148" i="1" s="1"/>
  <c r="D155" i="1"/>
  <c r="D156" i="1"/>
  <c r="D152" i="1"/>
  <c r="D151" i="1"/>
  <c r="D150" i="1"/>
  <c r="H149" i="1"/>
  <c r="D149" i="1"/>
  <c r="D154" i="1"/>
  <c r="D153" i="1"/>
  <c r="H153" i="1"/>
  <c r="H150" i="1"/>
  <c r="H155" i="1" s="1"/>
  <c r="H154" i="1"/>
  <c r="H151" i="1"/>
  <c r="D140" i="1"/>
  <c r="D136" i="1"/>
  <c r="D139" i="1"/>
  <c r="D135" i="1"/>
  <c r="H134" i="1"/>
  <c r="D138" i="1"/>
  <c r="D134" i="1"/>
  <c r="H141" i="1"/>
  <c r="C133" i="1" s="1"/>
  <c r="E133" i="1" s="1"/>
  <c r="D141" i="1"/>
  <c r="D137" i="1"/>
  <c r="H135" i="1"/>
  <c r="H140" i="1" s="1"/>
  <c r="H139" i="1"/>
  <c r="H136" i="1"/>
  <c r="H137" i="1"/>
  <c r="D163" i="1" l="1"/>
  <c r="G129" i="1"/>
  <c r="B131" i="1" s="1"/>
  <c r="E148" i="1"/>
  <c r="G144" i="1" s="1"/>
  <c r="B146" i="1" s="1"/>
  <c r="G159" i="1"/>
  <c r="B161" i="1" s="1"/>
  <c r="D133" i="1"/>
  <c r="E242" i="1" l="1"/>
  <c r="J237" i="1" l="1"/>
  <c r="J236" i="1"/>
  <c r="J192" i="1"/>
  <c r="H197" i="1"/>
  <c r="H196" i="1"/>
  <c r="H195" i="1"/>
  <c r="H194" i="1"/>
  <c r="F188" i="1"/>
  <c r="H192" i="1" l="1"/>
  <c r="D198" i="1"/>
  <c r="D196" i="1"/>
  <c r="D194" i="1"/>
  <c r="D192" i="1"/>
  <c r="H199" i="1"/>
  <c r="C191" i="1" s="1"/>
  <c r="H193" i="1"/>
  <c r="H198" i="1" s="1"/>
  <c r="D199" i="1"/>
  <c r="D197" i="1"/>
  <c r="D195" i="1"/>
  <c r="D193" i="1"/>
  <c r="I326" i="1"/>
  <c r="E191" i="1" l="1"/>
  <c r="D191" i="1"/>
  <c r="E393" i="1"/>
  <c r="E392" i="1"/>
  <c r="E408" i="1"/>
  <c r="E407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1" i="1"/>
  <c r="E390" i="1"/>
  <c r="E389" i="1"/>
  <c r="E388" i="1"/>
  <c r="E387" i="1"/>
  <c r="E386" i="1"/>
  <c r="E384" i="1"/>
  <c r="E385" i="1"/>
  <c r="E383" i="1"/>
  <c r="E323" i="1"/>
  <c r="E320" i="1"/>
  <c r="E319" i="1"/>
  <c r="E317" i="1"/>
  <c r="E316" i="1"/>
  <c r="E312" i="1"/>
  <c r="E307" i="1"/>
  <c r="E306" i="1"/>
  <c r="E305" i="1"/>
  <c r="E304" i="1"/>
  <c r="E303" i="1"/>
  <c r="G67" i="1"/>
  <c r="I67" i="1" s="1"/>
  <c r="G187" i="1" l="1"/>
  <c r="B189" i="1" s="1"/>
  <c r="A588" i="1"/>
  <c r="A229" i="1"/>
  <c r="A202" i="1"/>
  <c r="F246" i="1"/>
  <c r="G260" i="1"/>
  <c r="G508" i="1"/>
  <c r="G409" i="1"/>
  <c r="G326" i="1"/>
  <c r="C528" i="1"/>
  <c r="F528" i="1" s="1"/>
  <c r="C527" i="1"/>
  <c r="F527" i="1" s="1"/>
  <c r="C526" i="1"/>
  <c r="F526" i="1" s="1"/>
  <c r="C525" i="1"/>
  <c r="F525" i="1" s="1"/>
  <c r="C524" i="1"/>
  <c r="F524" i="1" s="1"/>
  <c r="C523" i="1"/>
  <c r="F523" i="1" s="1"/>
  <c r="C522" i="1"/>
  <c r="F522" i="1" s="1"/>
  <c r="C521" i="1"/>
  <c r="F521" i="1" s="1"/>
  <c r="C520" i="1"/>
  <c r="F520" i="1" s="1"/>
  <c r="C519" i="1"/>
  <c r="F519" i="1" s="1"/>
  <c r="C518" i="1"/>
  <c r="F518" i="1" s="1"/>
  <c r="C517" i="1"/>
  <c r="F517" i="1" s="1"/>
  <c r="C516" i="1"/>
  <c r="F516" i="1" s="1"/>
  <c r="C515" i="1"/>
  <c r="F515" i="1" s="1"/>
  <c r="C514" i="1"/>
  <c r="F514" i="1" s="1"/>
  <c r="C513" i="1"/>
  <c r="F513" i="1" s="1"/>
  <c r="C512" i="1"/>
  <c r="F512" i="1" s="1"/>
  <c r="C511" i="1"/>
  <c r="F511" i="1" s="1"/>
  <c r="C510" i="1"/>
  <c r="F510" i="1" s="1"/>
  <c r="A510" i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C509" i="1"/>
  <c r="F509" i="1" s="1"/>
  <c r="C507" i="1"/>
  <c r="F507" i="1" s="1"/>
  <c r="C506" i="1"/>
  <c r="F506" i="1" s="1"/>
  <c r="C505" i="1"/>
  <c r="F505" i="1" s="1"/>
  <c r="C504" i="1"/>
  <c r="F504" i="1" s="1"/>
  <c r="C503" i="1"/>
  <c r="F503" i="1" s="1"/>
  <c r="C502" i="1"/>
  <c r="F502" i="1" s="1"/>
  <c r="C501" i="1"/>
  <c r="C500" i="1"/>
  <c r="F500" i="1" s="1"/>
  <c r="C499" i="1"/>
  <c r="C498" i="1"/>
  <c r="F498" i="1" s="1"/>
  <c r="C497" i="1"/>
  <c r="C496" i="1"/>
  <c r="F496" i="1" s="1"/>
  <c r="C495" i="1"/>
  <c r="F495" i="1" s="1"/>
  <c r="C494" i="1"/>
  <c r="F494" i="1" s="1"/>
  <c r="C493" i="1"/>
  <c r="F493" i="1" s="1"/>
  <c r="C492" i="1"/>
  <c r="F492" i="1" s="1"/>
  <c r="C491" i="1"/>
  <c r="C490" i="1"/>
  <c r="F490" i="1" s="1"/>
  <c r="C489" i="1"/>
  <c r="F489" i="1" s="1"/>
  <c r="C488" i="1"/>
  <c r="F488" i="1" s="1"/>
  <c r="C486" i="1"/>
  <c r="D486" i="1" s="1"/>
  <c r="C485" i="1"/>
  <c r="C484" i="1"/>
  <c r="C483" i="1"/>
  <c r="D483" i="1" s="1"/>
  <c r="C482" i="1"/>
  <c r="C481" i="1"/>
  <c r="D481" i="1" s="1"/>
  <c r="C480" i="1"/>
  <c r="C479" i="1"/>
  <c r="C478" i="1"/>
  <c r="D478" i="1" s="1"/>
  <c r="C477" i="1"/>
  <c r="C476" i="1"/>
  <c r="C475" i="1"/>
  <c r="D475" i="1" s="1"/>
  <c r="C474" i="1"/>
  <c r="C473" i="1"/>
  <c r="D473" i="1" s="1"/>
  <c r="C472" i="1"/>
  <c r="C471" i="1"/>
  <c r="C470" i="1"/>
  <c r="D470" i="1" s="1"/>
  <c r="C469" i="1"/>
  <c r="C468" i="1"/>
  <c r="C467" i="1"/>
  <c r="C465" i="1"/>
  <c r="D465" i="1" s="1"/>
  <c r="C547" i="1"/>
  <c r="F547" i="1" s="1"/>
  <c r="C546" i="1"/>
  <c r="F546" i="1" s="1"/>
  <c r="C545" i="1"/>
  <c r="F545" i="1" s="1"/>
  <c r="C544" i="1"/>
  <c r="F544" i="1" s="1"/>
  <c r="C543" i="1"/>
  <c r="F543" i="1" s="1"/>
  <c r="C542" i="1"/>
  <c r="F542" i="1" s="1"/>
  <c r="C541" i="1"/>
  <c r="F541" i="1" s="1"/>
  <c r="C540" i="1"/>
  <c r="F540" i="1" s="1"/>
  <c r="C539" i="1"/>
  <c r="F539" i="1" s="1"/>
  <c r="C538" i="1"/>
  <c r="F538" i="1" s="1"/>
  <c r="H538" i="1" s="1"/>
  <c r="C537" i="1"/>
  <c r="F537" i="1" s="1"/>
  <c r="C536" i="1"/>
  <c r="F536" i="1" s="1"/>
  <c r="C535" i="1"/>
  <c r="F535" i="1" s="1"/>
  <c r="C534" i="1"/>
  <c r="F534" i="1" s="1"/>
  <c r="C533" i="1"/>
  <c r="F533" i="1" s="1"/>
  <c r="C532" i="1"/>
  <c r="F532" i="1" s="1"/>
  <c r="C531" i="1"/>
  <c r="F531" i="1" s="1"/>
  <c r="A531" i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C530" i="1"/>
  <c r="F530" i="1" s="1"/>
  <c r="F501" i="1"/>
  <c r="F499" i="1"/>
  <c r="F497" i="1"/>
  <c r="F491" i="1"/>
  <c r="A489" i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D484" i="1"/>
  <c r="F474" i="1"/>
  <c r="D467" i="1"/>
  <c r="C460" i="1"/>
  <c r="C459" i="1"/>
  <c r="F459" i="1" s="1"/>
  <c r="C458" i="1"/>
  <c r="C457" i="1"/>
  <c r="C456" i="1"/>
  <c r="C455" i="1"/>
  <c r="C454" i="1"/>
  <c r="C453" i="1"/>
  <c r="F453" i="1" s="1"/>
  <c r="C452" i="1"/>
  <c r="C451" i="1"/>
  <c r="F451" i="1" s="1"/>
  <c r="C450" i="1"/>
  <c r="F450" i="1" s="1"/>
  <c r="C449" i="1"/>
  <c r="C448" i="1"/>
  <c r="F448" i="1" s="1"/>
  <c r="C447" i="1"/>
  <c r="F447" i="1" s="1"/>
  <c r="C446" i="1"/>
  <c r="F446" i="1" s="1"/>
  <c r="C445" i="1"/>
  <c r="F445" i="1" s="1"/>
  <c r="C444" i="1"/>
  <c r="F444" i="1" s="1"/>
  <c r="C443" i="1"/>
  <c r="F443" i="1" s="1"/>
  <c r="C442" i="1"/>
  <c r="F442" i="1" s="1"/>
  <c r="C441" i="1"/>
  <c r="C440" i="1"/>
  <c r="F440" i="1" s="1"/>
  <c r="C439" i="1"/>
  <c r="F439" i="1" s="1"/>
  <c r="C438" i="1"/>
  <c r="F438" i="1" s="1"/>
  <c r="C437" i="1"/>
  <c r="D437" i="1" s="1"/>
  <c r="C435" i="1"/>
  <c r="C434" i="1"/>
  <c r="F434" i="1" s="1"/>
  <c r="C433" i="1"/>
  <c r="F433" i="1" s="1"/>
  <c r="C432" i="1"/>
  <c r="C431" i="1"/>
  <c r="F431" i="1" s="1"/>
  <c r="C430" i="1"/>
  <c r="F430" i="1" s="1"/>
  <c r="C429" i="1"/>
  <c r="F429" i="1" s="1"/>
  <c r="C428" i="1"/>
  <c r="F428" i="1" s="1"/>
  <c r="C427" i="1"/>
  <c r="F427" i="1" s="1"/>
  <c r="C426" i="1"/>
  <c r="F426" i="1" s="1"/>
  <c r="C425" i="1"/>
  <c r="F425" i="1" s="1"/>
  <c r="C424" i="1"/>
  <c r="C423" i="1"/>
  <c r="F423" i="1" s="1"/>
  <c r="C422" i="1"/>
  <c r="F422" i="1" s="1"/>
  <c r="C421" i="1"/>
  <c r="F421" i="1" s="1"/>
  <c r="C420" i="1"/>
  <c r="F420" i="1" s="1"/>
  <c r="C419" i="1"/>
  <c r="F419" i="1" s="1"/>
  <c r="C418" i="1"/>
  <c r="F418" i="1" s="1"/>
  <c r="C417" i="1"/>
  <c r="F417" i="1" s="1"/>
  <c r="C416" i="1"/>
  <c r="C415" i="1"/>
  <c r="F415" i="1" s="1"/>
  <c r="C414" i="1"/>
  <c r="F414" i="1" s="1"/>
  <c r="C413" i="1"/>
  <c r="F413" i="1" s="1"/>
  <c r="C412" i="1"/>
  <c r="F412" i="1" s="1"/>
  <c r="C411" i="1"/>
  <c r="C410" i="1"/>
  <c r="F410" i="1" s="1"/>
  <c r="C399" i="1"/>
  <c r="E406" i="1"/>
  <c r="C408" i="1"/>
  <c r="C407" i="1"/>
  <c r="C406" i="1"/>
  <c r="C405" i="1"/>
  <c r="D405" i="1" s="1"/>
  <c r="C404" i="1"/>
  <c r="C403" i="1"/>
  <c r="C402" i="1"/>
  <c r="D402" i="1" s="1"/>
  <c r="C401" i="1"/>
  <c r="C400" i="1"/>
  <c r="C398" i="1"/>
  <c r="C397" i="1"/>
  <c r="F397" i="1" s="1"/>
  <c r="C396" i="1"/>
  <c r="C395" i="1"/>
  <c r="C394" i="1"/>
  <c r="C393" i="1"/>
  <c r="C392" i="1"/>
  <c r="C391" i="1"/>
  <c r="D391" i="1" s="1"/>
  <c r="C390" i="1"/>
  <c r="C389" i="1"/>
  <c r="D389" i="1" s="1"/>
  <c r="C388" i="1"/>
  <c r="C387" i="1"/>
  <c r="C386" i="1"/>
  <c r="C385" i="1"/>
  <c r="C384" i="1"/>
  <c r="C383" i="1"/>
  <c r="F460" i="1"/>
  <c r="F458" i="1"/>
  <c r="F457" i="1"/>
  <c r="F456" i="1"/>
  <c r="F455" i="1"/>
  <c r="F454" i="1"/>
  <c r="F452" i="1"/>
  <c r="F449" i="1"/>
  <c r="D447" i="1"/>
  <c r="F441" i="1"/>
  <c r="A438" i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F435" i="1"/>
  <c r="F432" i="1"/>
  <c r="F424" i="1"/>
  <c r="F416" i="1"/>
  <c r="F411" i="1"/>
  <c r="A411" i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384" i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C377" i="1"/>
  <c r="F377" i="1" s="1"/>
  <c r="C376" i="1"/>
  <c r="F376" i="1" s="1"/>
  <c r="C375" i="1"/>
  <c r="F375" i="1" s="1"/>
  <c r="C374" i="1"/>
  <c r="F374" i="1" s="1"/>
  <c r="C373" i="1"/>
  <c r="F373" i="1" s="1"/>
  <c r="C372" i="1"/>
  <c r="F372" i="1" s="1"/>
  <c r="C371" i="1"/>
  <c r="F371" i="1" s="1"/>
  <c r="C370" i="1"/>
  <c r="F370" i="1" s="1"/>
  <c r="C369" i="1"/>
  <c r="F369" i="1" s="1"/>
  <c r="C368" i="1"/>
  <c r="F368" i="1" s="1"/>
  <c r="C367" i="1"/>
  <c r="F367" i="1" s="1"/>
  <c r="C366" i="1"/>
  <c r="F366" i="1" s="1"/>
  <c r="C365" i="1"/>
  <c r="F365" i="1" s="1"/>
  <c r="C364" i="1"/>
  <c r="F364" i="1" s="1"/>
  <c r="C363" i="1"/>
  <c r="F363" i="1" s="1"/>
  <c r="C362" i="1"/>
  <c r="F362" i="1" s="1"/>
  <c r="C361" i="1"/>
  <c r="F361" i="1" s="1"/>
  <c r="C360" i="1"/>
  <c r="F360" i="1" s="1"/>
  <c r="C359" i="1"/>
  <c r="F359" i="1" s="1"/>
  <c r="C358" i="1"/>
  <c r="F358" i="1" s="1"/>
  <c r="C357" i="1"/>
  <c r="F357" i="1" s="1"/>
  <c r="C356" i="1"/>
  <c r="F356" i="1" s="1"/>
  <c r="C355" i="1"/>
  <c r="F355" i="1" s="1"/>
  <c r="A355" i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C354" i="1"/>
  <c r="F354" i="1" s="1"/>
  <c r="E325" i="1"/>
  <c r="E324" i="1"/>
  <c r="E322" i="1"/>
  <c r="E321" i="1"/>
  <c r="E318" i="1"/>
  <c r="E315" i="1"/>
  <c r="E314" i="1"/>
  <c r="E313" i="1"/>
  <c r="E311" i="1"/>
  <c r="E310" i="1"/>
  <c r="E309" i="1"/>
  <c r="E308" i="1"/>
  <c r="E302" i="1"/>
  <c r="E301" i="1"/>
  <c r="E300" i="1"/>
  <c r="C352" i="1"/>
  <c r="F352" i="1" s="1"/>
  <c r="C351" i="1"/>
  <c r="F351" i="1" s="1"/>
  <c r="C350" i="1"/>
  <c r="F350" i="1" s="1"/>
  <c r="C349" i="1"/>
  <c r="C348" i="1"/>
  <c r="D348" i="1" s="1"/>
  <c r="C347" i="1"/>
  <c r="F347" i="1" s="1"/>
  <c r="C346" i="1"/>
  <c r="F346" i="1" s="1"/>
  <c r="C345" i="1"/>
  <c r="F345" i="1" s="1"/>
  <c r="C344" i="1"/>
  <c r="F344" i="1" s="1"/>
  <c r="C343" i="1"/>
  <c r="F343" i="1" s="1"/>
  <c r="C342" i="1"/>
  <c r="D342" i="1" s="1"/>
  <c r="C341" i="1"/>
  <c r="F341" i="1" s="1"/>
  <c r="C340" i="1"/>
  <c r="F340" i="1" s="1"/>
  <c r="C339" i="1"/>
  <c r="F339" i="1" s="1"/>
  <c r="C338" i="1"/>
  <c r="F338" i="1" s="1"/>
  <c r="I338" i="1" s="1"/>
  <c r="C337" i="1"/>
  <c r="F337" i="1" s="1"/>
  <c r="C336" i="1"/>
  <c r="F336" i="1" s="1"/>
  <c r="C335" i="1"/>
  <c r="F335" i="1" s="1"/>
  <c r="C334" i="1"/>
  <c r="F334" i="1" s="1"/>
  <c r="C333" i="1"/>
  <c r="F333" i="1" s="1"/>
  <c r="C332" i="1"/>
  <c r="F332" i="1" s="1"/>
  <c r="C331" i="1"/>
  <c r="F331" i="1" s="1"/>
  <c r="C330" i="1"/>
  <c r="F330" i="1" s="1"/>
  <c r="C329" i="1"/>
  <c r="F329" i="1" s="1"/>
  <c r="C328" i="1"/>
  <c r="F328" i="1" s="1"/>
  <c r="C327" i="1"/>
  <c r="F327" i="1" s="1"/>
  <c r="F349" i="1"/>
  <c r="D328" i="1"/>
  <c r="A328" i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C324" i="1"/>
  <c r="D324" i="1" s="1"/>
  <c r="C311" i="1"/>
  <c r="D311" i="1" s="1"/>
  <c r="C325" i="1"/>
  <c r="C323" i="1"/>
  <c r="C322" i="1"/>
  <c r="D322" i="1" s="1"/>
  <c r="C321" i="1"/>
  <c r="C320" i="1"/>
  <c r="C319" i="1"/>
  <c r="D319" i="1" s="1"/>
  <c r="C318" i="1"/>
  <c r="C317" i="1"/>
  <c r="D317" i="1" s="1"/>
  <c r="C316" i="1"/>
  <c r="C315" i="1"/>
  <c r="C314" i="1"/>
  <c r="D314" i="1" s="1"/>
  <c r="C313" i="1"/>
  <c r="D313" i="1" s="1"/>
  <c r="C312" i="1"/>
  <c r="C310" i="1"/>
  <c r="C309" i="1"/>
  <c r="D309" i="1" s="1"/>
  <c r="C308" i="1"/>
  <c r="C307" i="1"/>
  <c r="C306" i="1"/>
  <c r="D306" i="1" s="1"/>
  <c r="C305" i="1"/>
  <c r="C304" i="1"/>
  <c r="C303" i="1"/>
  <c r="C302" i="1"/>
  <c r="C301" i="1"/>
  <c r="C300" i="1"/>
  <c r="C292" i="1"/>
  <c r="D292" i="1" s="1"/>
  <c r="C291" i="1"/>
  <c r="D291" i="1" s="1"/>
  <c r="C290" i="1"/>
  <c r="F290" i="1" s="1"/>
  <c r="C289" i="1"/>
  <c r="D289" i="1" s="1"/>
  <c r="C288" i="1"/>
  <c r="D288" i="1" s="1"/>
  <c r="C287" i="1"/>
  <c r="D287" i="1" s="1"/>
  <c r="C286" i="1"/>
  <c r="F286" i="1" s="1"/>
  <c r="C285" i="1"/>
  <c r="F285" i="1" s="1"/>
  <c r="C284" i="1"/>
  <c r="D284" i="1" s="1"/>
  <c r="C283" i="1"/>
  <c r="D283" i="1" s="1"/>
  <c r="C282" i="1"/>
  <c r="F282" i="1" s="1"/>
  <c r="C281" i="1"/>
  <c r="D281" i="1" s="1"/>
  <c r="C280" i="1"/>
  <c r="D280" i="1" s="1"/>
  <c r="C279" i="1"/>
  <c r="D279" i="1" s="1"/>
  <c r="C278" i="1"/>
  <c r="F278" i="1" s="1"/>
  <c r="C277" i="1"/>
  <c r="F277" i="1" s="1"/>
  <c r="C276" i="1"/>
  <c r="D276" i="1" s="1"/>
  <c r="C275" i="1"/>
  <c r="C274" i="1"/>
  <c r="C273" i="1"/>
  <c r="C272" i="1"/>
  <c r="C271" i="1"/>
  <c r="C270" i="1"/>
  <c r="I327" i="1" l="1"/>
  <c r="J327" i="1"/>
  <c r="J336" i="1"/>
  <c r="I336" i="1"/>
  <c r="J337" i="1"/>
  <c r="I337" i="1"/>
  <c r="J330" i="1"/>
  <c r="I330" i="1"/>
  <c r="I332" i="1"/>
  <c r="J332" i="1"/>
  <c r="J331" i="1"/>
  <c r="I331" i="1"/>
  <c r="I333" i="1"/>
  <c r="J333" i="1"/>
  <c r="I334" i="1"/>
  <c r="J334" i="1"/>
  <c r="J335" i="1"/>
  <c r="I335" i="1"/>
  <c r="J328" i="1"/>
  <c r="I328" i="1"/>
  <c r="J329" i="1"/>
  <c r="I329" i="1"/>
  <c r="F395" i="1"/>
  <c r="E260" i="1"/>
  <c r="F386" i="1"/>
  <c r="F394" i="1"/>
  <c r="F289" i="1"/>
  <c r="F307" i="1"/>
  <c r="F342" i="1"/>
  <c r="F281" i="1"/>
  <c r="D344" i="1"/>
  <c r="F315" i="1"/>
  <c r="D334" i="1"/>
  <c r="F323" i="1"/>
  <c r="D443" i="1"/>
  <c r="F321" i="1"/>
  <c r="C261" i="1"/>
  <c r="B261" i="1"/>
  <c r="C260" i="1"/>
  <c r="F478" i="1"/>
  <c r="D386" i="1"/>
  <c r="F312" i="1"/>
  <c r="F320" i="1"/>
  <c r="D394" i="1"/>
  <c r="C259" i="1"/>
  <c r="B249" i="1"/>
  <c r="C258" i="1"/>
  <c r="F403" i="1"/>
  <c r="F388" i="1"/>
  <c r="F396" i="1"/>
  <c r="C249" i="1"/>
  <c r="B258" i="1"/>
  <c r="B259" i="1"/>
  <c r="F311" i="1"/>
  <c r="B260" i="1"/>
  <c r="D290" i="1"/>
  <c r="F316" i="1"/>
  <c r="D282" i="1"/>
  <c r="F308" i="1"/>
  <c r="F288" i="1"/>
  <c r="D336" i="1"/>
  <c r="F287" i="1"/>
  <c r="F407" i="1"/>
  <c r="F348" i="1"/>
  <c r="F383" i="1"/>
  <c r="F465" i="1"/>
  <c r="F390" i="1"/>
  <c r="D546" i="1"/>
  <c r="D509" i="1"/>
  <c r="D511" i="1"/>
  <c r="D513" i="1"/>
  <c r="D515" i="1"/>
  <c r="D517" i="1"/>
  <c r="D519" i="1"/>
  <c r="D521" i="1"/>
  <c r="D523" i="1"/>
  <c r="D525" i="1"/>
  <c r="D527" i="1"/>
  <c r="D510" i="1"/>
  <c r="D512" i="1"/>
  <c r="D514" i="1"/>
  <c r="D516" i="1"/>
  <c r="D518" i="1"/>
  <c r="D520" i="1"/>
  <c r="D522" i="1"/>
  <c r="D524" i="1"/>
  <c r="D526" i="1"/>
  <c r="D528" i="1"/>
  <c r="F280" i="1"/>
  <c r="D439" i="1"/>
  <c r="F404" i="1"/>
  <c r="F477" i="1"/>
  <c r="F291" i="1"/>
  <c r="F408" i="1"/>
  <c r="F283" i="1"/>
  <c r="F398" i="1"/>
  <c r="D538" i="1"/>
  <c r="F324" i="1"/>
  <c r="F284" i="1"/>
  <c r="D534" i="1"/>
  <c r="D407" i="1"/>
  <c r="F475" i="1"/>
  <c r="F476" i="1"/>
  <c r="F484" i="1"/>
  <c r="F317" i="1"/>
  <c r="F469" i="1"/>
  <c r="D542" i="1"/>
  <c r="D332" i="1"/>
  <c r="D340" i="1"/>
  <c r="F384" i="1"/>
  <c r="F392" i="1"/>
  <c r="D476" i="1"/>
  <c r="F480" i="1"/>
  <c r="F486" i="1"/>
  <c r="D383" i="1"/>
  <c r="F467" i="1"/>
  <c r="F473" i="1"/>
  <c r="F483" i="1"/>
  <c r="D532" i="1"/>
  <c r="D536" i="1"/>
  <c r="D540" i="1"/>
  <c r="D544" i="1"/>
  <c r="F470" i="1"/>
  <c r="F399" i="1"/>
  <c r="F468" i="1"/>
  <c r="F471" i="1"/>
  <c r="F325" i="1"/>
  <c r="D468" i="1"/>
  <c r="F481" i="1"/>
  <c r="D530" i="1"/>
  <c r="D330" i="1"/>
  <c r="F406" i="1"/>
  <c r="F472" i="1"/>
  <c r="F482" i="1"/>
  <c r="F485" i="1"/>
  <c r="F309" i="1"/>
  <c r="D338" i="1"/>
  <c r="D346" i="1"/>
  <c r="F479" i="1"/>
  <c r="D397" i="1"/>
  <c r="D472" i="1"/>
  <c r="D480" i="1"/>
  <c r="D488" i="1"/>
  <c r="D490" i="1"/>
  <c r="D492" i="1"/>
  <c r="D494" i="1"/>
  <c r="D496" i="1"/>
  <c r="D498" i="1"/>
  <c r="D500" i="1"/>
  <c r="D502" i="1"/>
  <c r="D504" i="1"/>
  <c r="D506" i="1"/>
  <c r="D469" i="1"/>
  <c r="D477" i="1"/>
  <c r="D485" i="1"/>
  <c r="D474" i="1"/>
  <c r="D482" i="1"/>
  <c r="D471" i="1"/>
  <c r="D479" i="1"/>
  <c r="D531" i="1"/>
  <c r="D533" i="1"/>
  <c r="D535" i="1"/>
  <c r="D537" i="1"/>
  <c r="D539" i="1"/>
  <c r="D541" i="1"/>
  <c r="D543" i="1"/>
  <c r="D545" i="1"/>
  <c r="D547" i="1"/>
  <c r="D489" i="1"/>
  <c r="D491" i="1"/>
  <c r="D493" i="1"/>
  <c r="D495" i="1"/>
  <c r="D497" i="1"/>
  <c r="D499" i="1"/>
  <c r="D501" i="1"/>
  <c r="D503" i="1"/>
  <c r="D505" i="1"/>
  <c r="D507" i="1"/>
  <c r="F437" i="1"/>
  <c r="D399" i="1"/>
  <c r="F385" i="1"/>
  <c r="F402" i="1"/>
  <c r="F306" i="1"/>
  <c r="F314" i="1"/>
  <c r="F322" i="1"/>
  <c r="F313" i="1"/>
  <c r="F292" i="1"/>
  <c r="F387" i="1"/>
  <c r="F401" i="1"/>
  <c r="D441" i="1"/>
  <c r="D445" i="1"/>
  <c r="D449" i="1"/>
  <c r="D453" i="1"/>
  <c r="D457" i="1"/>
  <c r="D316" i="1"/>
  <c r="D308" i="1"/>
  <c r="F276" i="1"/>
  <c r="F391" i="1"/>
  <c r="F405" i="1"/>
  <c r="D451" i="1"/>
  <c r="D455" i="1"/>
  <c r="D459" i="1"/>
  <c r="F389" i="1"/>
  <c r="F393" i="1"/>
  <c r="F400" i="1"/>
  <c r="D307" i="1"/>
  <c r="D388" i="1"/>
  <c r="D396" i="1"/>
  <c r="D404" i="1"/>
  <c r="D410" i="1"/>
  <c r="D412" i="1"/>
  <c r="D414" i="1"/>
  <c r="D416" i="1"/>
  <c r="D418" i="1"/>
  <c r="D420" i="1"/>
  <c r="D422" i="1"/>
  <c r="D424" i="1"/>
  <c r="D426" i="1"/>
  <c r="D428" i="1"/>
  <c r="D430" i="1"/>
  <c r="D432" i="1"/>
  <c r="D434" i="1"/>
  <c r="D385" i="1"/>
  <c r="D393" i="1"/>
  <c r="D401" i="1"/>
  <c r="D323" i="1"/>
  <c r="D390" i="1"/>
  <c r="D398" i="1"/>
  <c r="D406" i="1"/>
  <c r="D315" i="1"/>
  <c r="D387" i="1"/>
  <c r="D395" i="1"/>
  <c r="D403" i="1"/>
  <c r="D438" i="1"/>
  <c r="D440" i="1"/>
  <c r="D442" i="1"/>
  <c r="D444" i="1"/>
  <c r="D446" i="1"/>
  <c r="D448" i="1"/>
  <c r="D450" i="1"/>
  <c r="D452" i="1"/>
  <c r="D454" i="1"/>
  <c r="D456" i="1"/>
  <c r="D458" i="1"/>
  <c r="D460" i="1"/>
  <c r="D384" i="1"/>
  <c r="D392" i="1"/>
  <c r="D400" i="1"/>
  <c r="D408" i="1"/>
  <c r="D411" i="1"/>
  <c r="D413" i="1"/>
  <c r="D415" i="1"/>
  <c r="D417" i="1"/>
  <c r="D419" i="1"/>
  <c r="D421" i="1"/>
  <c r="D423" i="1"/>
  <c r="D425" i="1"/>
  <c r="D427" i="1"/>
  <c r="D429" i="1"/>
  <c r="D431" i="1"/>
  <c r="D433" i="1"/>
  <c r="D435" i="1"/>
  <c r="D325" i="1"/>
  <c r="D354" i="1"/>
  <c r="D356" i="1"/>
  <c r="D358" i="1"/>
  <c r="D360" i="1"/>
  <c r="D362" i="1"/>
  <c r="D364" i="1"/>
  <c r="D366" i="1"/>
  <c r="D368" i="1"/>
  <c r="D370" i="1"/>
  <c r="D372" i="1"/>
  <c r="D374" i="1"/>
  <c r="D376" i="1"/>
  <c r="F319" i="1"/>
  <c r="D320" i="1"/>
  <c r="D355" i="1"/>
  <c r="D357" i="1"/>
  <c r="D359" i="1"/>
  <c r="D361" i="1"/>
  <c r="D363" i="1"/>
  <c r="D365" i="1"/>
  <c r="D367" i="1"/>
  <c r="D369" i="1"/>
  <c r="D371" i="1"/>
  <c r="D373" i="1"/>
  <c r="D375" i="1"/>
  <c r="D377" i="1"/>
  <c r="F310" i="1"/>
  <c r="F318" i="1"/>
  <c r="D321" i="1"/>
  <c r="D327" i="1"/>
  <c r="D329" i="1"/>
  <c r="D331" i="1"/>
  <c r="D333" i="1"/>
  <c r="D335" i="1"/>
  <c r="D337" i="1"/>
  <c r="D339" i="1"/>
  <c r="D341" i="1"/>
  <c r="D343" i="1"/>
  <c r="D345" i="1"/>
  <c r="D347" i="1"/>
  <c r="D349" i="1"/>
  <c r="D351" i="1"/>
  <c r="D312" i="1"/>
  <c r="D350" i="1"/>
  <c r="D352" i="1"/>
  <c r="D310" i="1"/>
  <c r="D318" i="1"/>
  <c r="F279" i="1"/>
  <c r="D285" i="1"/>
  <c r="D278" i="1"/>
  <c r="D286" i="1"/>
  <c r="D277" i="1"/>
  <c r="B262" i="1" l="1"/>
  <c r="E261" i="1"/>
  <c r="C262" i="1"/>
  <c r="E259" i="1"/>
  <c r="H212" i="1" l="1"/>
  <c r="H211" i="1"/>
  <c r="H210" i="1"/>
  <c r="H209" i="1"/>
  <c r="D86" i="1"/>
  <c r="I64" i="1"/>
  <c r="J63" i="1" s="1"/>
  <c r="C59" i="1"/>
  <c r="C58" i="1"/>
  <c r="G61" i="1"/>
  <c r="C55" i="1"/>
  <c r="F203" i="1"/>
  <c r="I63" i="1" l="1"/>
  <c r="H214" i="1"/>
  <c r="C206" i="1" s="1"/>
  <c r="D214" i="1"/>
  <c r="D213" i="1"/>
  <c r="H208" i="1"/>
  <c r="H213" i="1" s="1"/>
  <c r="D212" i="1"/>
  <c r="H207" i="1"/>
  <c r="D210" i="1"/>
  <c r="D208" i="1"/>
  <c r="D211" i="1"/>
  <c r="D207" i="1"/>
  <c r="D209" i="1"/>
  <c r="F118" i="1"/>
  <c r="E118" i="1"/>
  <c r="D118" i="1"/>
  <c r="C118" i="1"/>
  <c r="B118" i="1"/>
  <c r="A118" i="1"/>
  <c r="D206" i="1" l="1"/>
  <c r="G200" i="1"/>
  <c r="E206" i="1"/>
  <c r="H239" i="1"/>
  <c r="H238" i="1"/>
  <c r="H237" i="1"/>
  <c r="H236" i="1"/>
  <c r="H225" i="1"/>
  <c r="H224" i="1"/>
  <c r="H223" i="1"/>
  <c r="H222" i="1"/>
  <c r="H183" i="1"/>
  <c r="H182" i="1"/>
  <c r="F230" i="1"/>
  <c r="F216" i="1"/>
  <c r="G202" i="1" l="1"/>
  <c r="B204" i="1" s="1"/>
  <c r="H241" i="1"/>
  <c r="C233" i="1" s="1"/>
  <c r="H235" i="1"/>
  <c r="D241" i="1"/>
  <c r="D235" i="1"/>
  <c r="D239" i="1"/>
  <c r="D238" i="1"/>
  <c r="H234" i="1"/>
  <c r="D240" i="1"/>
  <c r="D234" i="1"/>
  <c r="D237" i="1"/>
  <c r="D236" i="1"/>
  <c r="H227" i="1"/>
  <c r="C219" i="1" s="1"/>
  <c r="E219" i="1" s="1"/>
  <c r="E228" i="1" s="1"/>
  <c r="H221" i="1"/>
  <c r="H226" i="1" s="1"/>
  <c r="D224" i="1"/>
  <c r="D223" i="1"/>
  <c r="D227" i="1"/>
  <c r="D221" i="1"/>
  <c r="H220" i="1"/>
  <c r="D226" i="1"/>
  <c r="D220" i="1"/>
  <c r="D225" i="1"/>
  <c r="D222" i="1"/>
  <c r="H240" i="1" l="1"/>
  <c r="G215" i="1"/>
  <c r="B217" i="1" s="1"/>
  <c r="D219" i="1"/>
  <c r="E233" i="1" l="1"/>
  <c r="G229" i="1" s="1"/>
  <c r="B231" i="1" s="1"/>
  <c r="B83" i="1"/>
  <c r="B18" i="1"/>
  <c r="D233" i="1" l="1"/>
  <c r="B581" i="1"/>
  <c r="B131" i="2" l="1"/>
  <c r="C36" i="1" l="1"/>
  <c r="A580" i="1" l="1"/>
  <c r="A581" i="1" s="1"/>
  <c r="A582" i="1" s="1"/>
  <c r="A583" i="1" s="1"/>
  <c r="A584" i="1" s="1"/>
  <c r="A301" i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585" i="1" l="1"/>
  <c r="A586" i="1" s="1"/>
  <c r="A271" i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F270" i="1"/>
  <c r="B255" i="1"/>
  <c r="C255" i="1"/>
  <c r="E255" i="1"/>
  <c r="B250" i="1"/>
  <c r="C250" i="1"/>
  <c r="B263" i="1" l="1"/>
  <c r="C263" i="1"/>
  <c r="C64" i="1" l="1"/>
  <c r="C61" i="1"/>
  <c r="B13" i="1" l="1"/>
  <c r="F305" i="1" l="1"/>
  <c r="F304" i="1"/>
  <c r="F303" i="1"/>
  <c r="D302" i="1"/>
  <c r="D301" i="1"/>
  <c r="D275" i="1"/>
  <c r="D274" i="1"/>
  <c r="D273" i="1"/>
  <c r="D272" i="1"/>
  <c r="D271" i="1"/>
  <c r="D305" i="1" l="1"/>
  <c r="F301" i="1"/>
  <c r="D304" i="1"/>
  <c r="F302" i="1"/>
  <c r="D303" i="1"/>
  <c r="F272" i="1"/>
  <c r="F274" i="1"/>
  <c r="F275" i="1"/>
  <c r="F273" i="1"/>
  <c r="F271" i="1"/>
  <c r="E249" i="1" l="1"/>
  <c r="E250" i="1" s="1"/>
  <c r="B124" i="2"/>
  <c r="M68" i="1" l="1"/>
  <c r="C590" i="1" l="1"/>
  <c r="F300" i="1" l="1"/>
  <c r="E258" i="1" l="1"/>
  <c r="E262" i="1" s="1"/>
  <c r="E263" i="1" s="1"/>
  <c r="I300" i="1"/>
  <c r="D300" i="1"/>
  <c r="D270" i="1"/>
  <c r="K116" i="2" l="1"/>
  <c r="K115" i="2"/>
  <c r="K114" i="2"/>
  <c r="K113" i="2"/>
  <c r="D107" i="2"/>
  <c r="F106" i="2"/>
  <c r="E116" i="2" l="1"/>
  <c r="E115" i="2"/>
  <c r="K109" i="2"/>
  <c r="E111" i="2"/>
  <c r="E114" i="2"/>
  <c r="E113" i="2"/>
  <c r="K108" i="2"/>
  <c r="E112" i="2"/>
  <c r="E118" i="2"/>
  <c r="K111" i="2"/>
  <c r="K112" i="2" s="1"/>
  <c r="K117" i="2" s="1"/>
  <c r="K118" i="2" s="1"/>
  <c r="D110" i="2" s="1"/>
  <c r="E117" i="2"/>
  <c r="K110" i="2"/>
  <c r="D109" i="2" s="1"/>
  <c r="H109" i="2" l="1"/>
  <c r="F109" i="2"/>
  <c r="J105" i="2" s="1"/>
  <c r="E110" i="2"/>
  <c r="E109" i="2"/>
  <c r="F174" i="1"/>
  <c r="H178" i="1" l="1"/>
  <c r="H185" i="1"/>
  <c r="H179" i="1"/>
  <c r="D184" i="1"/>
  <c r="D178" i="1"/>
  <c r="D183" i="1"/>
  <c r="D182" i="1"/>
  <c r="D180" i="1"/>
  <c r="D181" i="1"/>
  <c r="D179" i="1"/>
  <c r="D185" i="1"/>
  <c r="H184" i="1" l="1"/>
  <c r="H180" i="1"/>
  <c r="H181" i="1" l="1"/>
  <c r="E177" i="1" l="1"/>
  <c r="E200" i="1" s="1"/>
  <c r="D177" i="1"/>
  <c r="G173" i="1" l="1"/>
  <c r="B175" i="1" s="1"/>
  <c r="C38" i="1" l="1"/>
</calcChain>
</file>

<file path=xl/comments1.xml><?xml version="1.0" encoding="utf-8"?>
<comments xmlns="http://schemas.openxmlformats.org/spreadsheetml/2006/main">
  <authors>
    <author>SACHIN</author>
    <author>Sachin</author>
  </authors>
  <commentList>
    <comment ref="D96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Title certifcate lawyer name</t>
        </r>
      </text>
    </comment>
    <comment ref="C125" authorId="1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Builder"s recent project names 
take from builder documents
</t>
        </r>
      </text>
    </comment>
    <comment ref="C126" authorId="1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Approved by authority name
Positive or negavtive points
Surrounding buildings or mall etc or less distance from stn</t>
        </r>
      </text>
    </comment>
  </commentList>
</comments>
</file>

<file path=xl/sharedStrings.xml><?xml version="1.0" encoding="utf-8"?>
<sst xmlns="http://schemas.openxmlformats.org/spreadsheetml/2006/main" count="1034" uniqueCount="399">
  <si>
    <t>PROJECT TECHNICAL REPORT</t>
  </si>
  <si>
    <t>RBL BRANCH NAME</t>
  </si>
  <si>
    <t>TDR FSI</t>
  </si>
  <si>
    <t>QUALITY, SPECS</t>
  </si>
  <si>
    <t>Construction details:</t>
  </si>
  <si>
    <t>Basement</t>
  </si>
  <si>
    <t>Ground</t>
  </si>
  <si>
    <t>Podium</t>
  </si>
  <si>
    <t>Floors</t>
  </si>
  <si>
    <t xml:space="preserve">Stage of construction: </t>
  </si>
  <si>
    <t>All work Completed. OC Received.</t>
  </si>
  <si>
    <t>Type of Work</t>
  </si>
  <si>
    <t>Project Progress %</t>
  </si>
  <si>
    <t>Slab/Floor</t>
  </si>
  <si>
    <t>Complition %</t>
  </si>
  <si>
    <t>Progress %</t>
  </si>
  <si>
    <t>Piling Work in process</t>
  </si>
  <si>
    <t>Excavation</t>
  </si>
  <si>
    <t>Excavation in process</t>
  </si>
  <si>
    <t>Plinth</t>
  </si>
  <si>
    <t>Excavation Completed</t>
  </si>
  <si>
    <t>RCC (Including podiums)</t>
  </si>
  <si>
    <t>Footing in Process</t>
  </si>
  <si>
    <t>Brickwork</t>
  </si>
  <si>
    <t>Footing Completed</t>
  </si>
  <si>
    <t>Internal Plaster</t>
  </si>
  <si>
    <t>Basement 1</t>
  </si>
  <si>
    <t>Ext. Plaster &amp; Plumbing</t>
  </si>
  <si>
    <t>Basement 2</t>
  </si>
  <si>
    <t>Flooring &amp; Fitting</t>
  </si>
  <si>
    <t>Basement 3</t>
  </si>
  <si>
    <t>Painting &amp; Wooden</t>
  </si>
  <si>
    <t>Basement 4</t>
  </si>
  <si>
    <t>Building Common Amenities</t>
  </si>
  <si>
    <t>Plinth in process</t>
  </si>
  <si>
    <t>Possession</t>
  </si>
  <si>
    <t>Plinth completed</t>
  </si>
  <si>
    <t>Completion %</t>
  </si>
  <si>
    <t>Plaster</t>
  </si>
  <si>
    <t>Electrical &amp; Plumbing</t>
  </si>
  <si>
    <t>Finishing</t>
  </si>
  <si>
    <t>Disbursement %</t>
  </si>
  <si>
    <t>Brickwork &amp; Internal Plaster</t>
  </si>
  <si>
    <t>External Plaster &amp; Plumbing</t>
  </si>
  <si>
    <t>g +7</t>
  </si>
  <si>
    <t>BUILDING/TOWERWISE UNIT - AREA DETAILS</t>
  </si>
  <si>
    <t>Building &amp; Wing</t>
  </si>
  <si>
    <t>No. of Units</t>
  </si>
  <si>
    <t>Total Carpet Area</t>
  </si>
  <si>
    <t>Total Saleable Area</t>
  </si>
  <si>
    <t>Total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</si>
  <si>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</si>
  <si>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</si>
  <si>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</si>
  <si>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</si>
  <si>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</si>
  <si>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Builtup Area</t>
  </si>
  <si>
    <t>Saleable area
Loading:</t>
  </si>
  <si>
    <t xml:space="preserve">Details of Commercial in Building   </t>
  </si>
  <si>
    <t>VALUE PARAMETERS</t>
  </si>
  <si>
    <t>Remarks:</t>
  </si>
  <si>
    <t>Photographs Of Property :</t>
  </si>
  <si>
    <t>Layout Of Property :</t>
  </si>
  <si>
    <t xml:space="preserve">Google Map : </t>
  </si>
  <si>
    <t>Name of Engineer Visited the property</t>
  </si>
  <si>
    <t xml:space="preserve">Authorized Signatory
Name &amp; Seal of the agency
                                               </t>
  </si>
  <si>
    <r>
      <t xml:space="preserve">Shop No.
</t>
    </r>
    <r>
      <rPr>
        <b/>
        <sz val="9"/>
        <color rgb="FF000000"/>
        <rFont val="Garamond"/>
        <family val="1"/>
      </rPr>
      <t>(Approved Plan)</t>
    </r>
  </si>
  <si>
    <t>Project Name</t>
  </si>
  <si>
    <t>Valuer Details</t>
  </si>
  <si>
    <t xml:space="preserve">Name Of Valuer </t>
  </si>
  <si>
    <t>Official Email Id</t>
  </si>
  <si>
    <t>Rvo Name Of Which Valuer Is Member</t>
  </si>
  <si>
    <t>Address Of Valution Agency</t>
  </si>
  <si>
    <t>Contact Person Name  &amp; Number</t>
  </si>
  <si>
    <t>Name Of Valuation Agency/Firm</t>
  </si>
  <si>
    <t>Apf Technical Report Assignment Details</t>
  </si>
  <si>
    <t>Builder Company/Entity Details - Seller Of The Project</t>
  </si>
  <si>
    <t>Name Of Entity Formed For Current Project</t>
  </si>
  <si>
    <t>Project Address Details</t>
  </si>
  <si>
    <t>Date of Assignment</t>
  </si>
  <si>
    <t>Date of Visit</t>
  </si>
  <si>
    <t>Date of Valuation</t>
  </si>
  <si>
    <t>Street Name &amp;/No.</t>
  </si>
  <si>
    <t>State</t>
  </si>
  <si>
    <t>Pincode</t>
  </si>
  <si>
    <t>Nearest Rbl Bank Location</t>
  </si>
  <si>
    <t>Landmark</t>
  </si>
  <si>
    <t>District</t>
  </si>
  <si>
    <t>Country</t>
  </si>
  <si>
    <t>Lat, Long</t>
  </si>
  <si>
    <t>Distance From Rbl Bank Location (Kms.)</t>
  </si>
  <si>
    <t>Assigned By</t>
  </si>
  <si>
    <t>Property Visited By (Name)</t>
  </si>
  <si>
    <t>Report Prepared By (Name)</t>
  </si>
  <si>
    <t>North</t>
  </si>
  <si>
    <t>South</t>
  </si>
  <si>
    <t>East</t>
  </si>
  <si>
    <t>West</t>
  </si>
  <si>
    <t>As Per Ownership Docs</t>
  </si>
  <si>
    <t>As Per Site Investigation</t>
  </si>
  <si>
    <t>Project Boundaries Verification</t>
  </si>
  <si>
    <t>General Details</t>
  </si>
  <si>
    <t>Municipal Limit</t>
  </si>
  <si>
    <t>Municipal Authority (Name)</t>
  </si>
  <si>
    <t>Approach Road To Project</t>
  </si>
  <si>
    <t>Location Type*</t>
  </si>
  <si>
    <t>Quality Of Construction*</t>
  </si>
  <si>
    <t>Overall % Completion Of Project</t>
  </si>
  <si>
    <t>Project Falling In Caution Area</t>
  </si>
  <si>
    <t>Reason For Caution</t>
  </si>
  <si>
    <t>Project Architect Name</t>
  </si>
  <si>
    <t>Square Meter</t>
  </si>
  <si>
    <t>Project Area Details ( As Per Approved Plan )</t>
  </si>
  <si>
    <t>Area Type</t>
  </si>
  <si>
    <t>Total Plot Area</t>
  </si>
  <si>
    <t>Total Built Up Area</t>
  </si>
  <si>
    <t>Total Residential Built Up Area</t>
  </si>
  <si>
    <t>Total Commercial Built Up Area</t>
  </si>
  <si>
    <t>Area Under Road</t>
  </si>
  <si>
    <t>Area Under D.P. Reservation</t>
  </si>
  <si>
    <t>Area Under R.G./Garden</t>
  </si>
  <si>
    <t>FSI / FAR Details</t>
  </si>
  <si>
    <t>Plot FSI / FAR</t>
  </si>
  <si>
    <t>Premium FSI / FAR</t>
  </si>
  <si>
    <t>Addl .FSI Under any Other Regulation(2)</t>
  </si>
  <si>
    <t>Total FSI/FAR</t>
  </si>
  <si>
    <t>Overall Remarks on Project Area &amp; FSI /FAR</t>
  </si>
  <si>
    <t>Total No. Of Units/Tenaments</t>
  </si>
  <si>
    <t>Total No. Of Parking</t>
  </si>
  <si>
    <t>Residential /Commercial Ratio</t>
  </si>
  <si>
    <t>Surrounding External Amenities</t>
  </si>
  <si>
    <t>Nearestr Bus Stop</t>
  </si>
  <si>
    <t>Nearest Bank</t>
  </si>
  <si>
    <t>Nearest Hospital</t>
  </si>
  <si>
    <t>Name Of The Premises/Description</t>
  </si>
  <si>
    <t>Approx. Distance From Property (In Kms)</t>
  </si>
  <si>
    <t>Nearest Multiplex / Mall/ Market</t>
  </si>
  <si>
    <t>Nearest School/ College</t>
  </si>
  <si>
    <t>Internal Project Specs - Comment On Availability &amp; Quality</t>
  </si>
  <si>
    <t>Structural Elements &amp; Wall Thickness</t>
  </si>
  <si>
    <t>Plaster &amp; Painting</t>
  </si>
  <si>
    <t>Electrification</t>
  </si>
  <si>
    <t>Plumbing &amp; Bath Fittings</t>
  </si>
  <si>
    <t>Door, Windows</t>
  </si>
  <si>
    <t>Availability (Y/N)</t>
  </si>
  <si>
    <t>Potable Water Connection</t>
  </si>
  <si>
    <t>Sewerage System</t>
  </si>
  <si>
    <t>Lift</t>
  </si>
  <si>
    <t>Power Backup</t>
  </si>
  <si>
    <t>Parking</t>
  </si>
  <si>
    <t>Clubhouse</t>
  </si>
  <si>
    <t>Gym</t>
  </si>
  <si>
    <t>Swimming Pool</t>
  </si>
  <si>
    <t>Garden</t>
  </si>
  <si>
    <t>Community Hall</t>
  </si>
  <si>
    <t>Any Additional Amenities, To Above, Pls Specify</t>
  </si>
  <si>
    <t>Technical Documents Details</t>
  </si>
  <si>
    <t>Document Name</t>
  </si>
  <si>
    <t>Approved Layout Plan</t>
  </si>
  <si>
    <t>Approved Floor Plan</t>
  </si>
  <si>
    <t>Construction  / Building Permission / Commencement Certificate</t>
  </si>
  <si>
    <t>Non Agricultural Permission / Land Conversion / Diversion</t>
  </si>
  <si>
    <t>Building Completion / Occupation Permission / Use Permission</t>
  </si>
  <si>
    <t>Location Sketch/ Certificate</t>
  </si>
  <si>
    <t>Authority Allotment Letter</t>
  </si>
  <si>
    <t>Ownership Doc 1</t>
  </si>
  <si>
    <t>Ownership Doc 2</t>
  </si>
  <si>
    <t>Remarks On Documents Verified</t>
  </si>
  <si>
    <t>Approving Authority Name</t>
  </si>
  <si>
    <t>Applicability &amp; Availability</t>
  </si>
  <si>
    <t>Approving Authority</t>
  </si>
  <si>
    <t>Details Of Approval</t>
  </si>
  <si>
    <t>Rera Details ( If Applicable)</t>
  </si>
  <si>
    <t>Rera Applicable</t>
  </si>
  <si>
    <t>Rera Registration No</t>
  </si>
  <si>
    <t>Project Start Date As Per Rera</t>
  </si>
  <si>
    <t>If Any Litigation Record On Project As Per Rera</t>
  </si>
  <si>
    <t>If Applicable, Rera Registration Status</t>
  </si>
  <si>
    <t>Project Completion Date As Per Rera</t>
  </si>
  <si>
    <t xml:space="preserve">Litigation Details As Per Rera Website </t>
  </si>
  <si>
    <t>Critical Parameters</t>
  </si>
  <si>
    <t>Flood Prone Area</t>
  </si>
  <si>
    <t>Coastal Regulatory Zone</t>
  </si>
  <si>
    <t>Falling In Present Or Proposed Road Widening</t>
  </si>
  <si>
    <t>Property Near High/Low Tension (Ht)/(Lt) Lines ?</t>
  </si>
  <si>
    <t>Presence Of Nallah/ Lake / Water Body Nearby</t>
  </si>
  <si>
    <t>Unit Deviation</t>
  </si>
  <si>
    <t>Seismic Zone</t>
  </si>
  <si>
    <t>Zoning As Per Development Plan</t>
  </si>
  <si>
    <t>Falling In Reservation As Per Development Plan</t>
  </si>
  <si>
    <t>Property Within 30 Mtrs From Railway Boundary ?</t>
  </si>
  <si>
    <t>Fsi Deviation</t>
  </si>
  <si>
    <t>Vertical Deviation</t>
  </si>
  <si>
    <t>Habitation In ( % ) Within 1 Kms Around Project</t>
  </si>
  <si>
    <t>Remarks In Case Project Affected By Any Of Critical Parameter</t>
  </si>
  <si>
    <t>Technical Deviations Observed In Project</t>
  </si>
  <si>
    <t>Demolition Risk</t>
  </si>
  <si>
    <t>Detail Of Deviation, If Any</t>
  </si>
  <si>
    <t>Total Phases</t>
  </si>
  <si>
    <t>Total No. Of Buildings</t>
  </si>
  <si>
    <t>Total No. Of Wings</t>
  </si>
  <si>
    <t>Total No. Of Approved Units (A)</t>
  </si>
  <si>
    <t>Total No. Of Unapproved Units (B)</t>
  </si>
  <si>
    <t>Total No. Of (A+B) Units</t>
  </si>
  <si>
    <t>Is The Project Technically Acceptable ?</t>
  </si>
  <si>
    <t>Is The Project Marketable ?</t>
  </si>
  <si>
    <t>Comment On Builder Group Involved In Project Development</t>
  </si>
  <si>
    <t>Overall Comments On Project Acceptability &amp; Marketablity</t>
  </si>
  <si>
    <t>FOUNDATION WIP</t>
  </si>
  <si>
    <t>PLINTH WIP</t>
  </si>
  <si>
    <t>YET TO START</t>
  </si>
  <si>
    <t>Sr.No.</t>
  </si>
  <si>
    <t>Base Rate Psf Rs.</t>
  </si>
  <si>
    <t>Floor Rise
(If Applicable)</t>
  </si>
  <si>
    <t>In Rs. Psf
(If Applicable)</t>
  </si>
  <si>
    <t>In Lumpsum Basis
(If Applicable)</t>
  </si>
  <si>
    <t>Applicable From Floor No.</t>
  </si>
  <si>
    <t>Applicable To Floor No.</t>
  </si>
  <si>
    <t>Applicable To Building /W ing</t>
  </si>
  <si>
    <t xml:space="preserve">Floor Rise 1 </t>
  </si>
  <si>
    <t>Floor Rise 2</t>
  </si>
  <si>
    <t>Floor Rise 3</t>
  </si>
  <si>
    <t>Floor Rise 4</t>
  </si>
  <si>
    <t>Plc Charges
(If Applicable)</t>
  </si>
  <si>
    <t>Details Of Plc/View</t>
  </si>
  <si>
    <t>List Of Unit Nos - Plc Applicable</t>
  </si>
  <si>
    <t>PLC Type 1</t>
  </si>
  <si>
    <t>PLC Type 2</t>
  </si>
  <si>
    <t>PLC Type 3</t>
  </si>
  <si>
    <t>Amenities Details</t>
  </si>
  <si>
    <t>Details Of Amenity Cost - Optional/Compulsory To Buyer, No Of Years, Etc</t>
  </si>
  <si>
    <t>Remarks, If Any</t>
  </si>
  <si>
    <t>Electricity &amp; Water Con.</t>
  </si>
  <si>
    <t>Infra</t>
  </si>
  <si>
    <t>Development</t>
  </si>
  <si>
    <t>Maintenance</t>
  </si>
  <si>
    <t>Any Other Amenity 1</t>
  </si>
  <si>
    <t>Any Other Amenity 2</t>
  </si>
  <si>
    <t>Any Other Amenity 3</t>
  </si>
  <si>
    <t>Maharashtra</t>
  </si>
  <si>
    <t>India</t>
  </si>
  <si>
    <t>1.5Km</t>
  </si>
  <si>
    <t>Yes</t>
  </si>
  <si>
    <t>V.S Jadon &amp; Co.Valuers LLP</t>
  </si>
  <si>
    <t>Mr. Vishwajeet Singh Jadon</t>
  </si>
  <si>
    <t>vsjc.apf@gmail.com</t>
  </si>
  <si>
    <t>Mr. Sachin Sawant - 9820058999</t>
  </si>
  <si>
    <t>NA</t>
  </si>
  <si>
    <t>Taluka</t>
  </si>
  <si>
    <t>City</t>
  </si>
  <si>
    <t>Village</t>
  </si>
  <si>
    <t>As Per Layout Plan</t>
  </si>
  <si>
    <t>Same</t>
  </si>
  <si>
    <t>Location Link</t>
  </si>
  <si>
    <t>Good</t>
  </si>
  <si>
    <t>No</t>
  </si>
  <si>
    <t>Fire Noc &amp; Plans</t>
  </si>
  <si>
    <t>Environmental Clearance</t>
  </si>
  <si>
    <t>Coastal Regulatory Zonex ( Crz ) Noc</t>
  </si>
  <si>
    <t>Registered</t>
  </si>
  <si>
    <t>Zone III</t>
  </si>
  <si>
    <t>Not Appicable</t>
  </si>
  <si>
    <t>Approved no of Floors</t>
  </si>
  <si>
    <t>Proposed no of Floors</t>
  </si>
  <si>
    <t>Commercial Area Details : Shops</t>
  </si>
  <si>
    <t>1st Floor</t>
  </si>
  <si>
    <t>Commercial Area Details : Office</t>
  </si>
  <si>
    <t>2nd Floor</t>
  </si>
  <si>
    <t>Building No.1</t>
  </si>
  <si>
    <t>Building No.2</t>
  </si>
  <si>
    <t>Grand Total</t>
  </si>
  <si>
    <t>Residential Area Details : Flats</t>
  </si>
  <si>
    <r>
      <t xml:space="preserve">Flat No.
</t>
    </r>
    <r>
      <rPr>
        <b/>
        <sz val="9"/>
        <color rgb="FF000000"/>
        <rFont val="Garamond"/>
        <family val="1"/>
      </rPr>
      <t>(Approved Plan)</t>
    </r>
  </si>
  <si>
    <t>Building /Wing - Name /No</t>
  </si>
  <si>
    <t xml:space="preserve">Base Rate Considered On Area - 
Carpet/ Bua/ Saleale </t>
  </si>
  <si>
    <t>Saleable Area</t>
  </si>
  <si>
    <t>Construction Work is in process at the time of visit.</t>
  </si>
  <si>
    <t>We have considered rate by verifying it from market inquire.</t>
  </si>
  <si>
    <t>Car parking is subjected to authentic documentation.</t>
  </si>
  <si>
    <t>Recommended rate should be considered as all inclusive rate if other charges are not mentioned. (Excluding GST &amp; other government Taxes)</t>
  </si>
  <si>
    <t>Documents received on:</t>
  </si>
  <si>
    <t>Yes &amp; 0.15m</t>
  </si>
  <si>
    <t>Excavation in Process</t>
  </si>
  <si>
    <t>Foundation in Process</t>
  </si>
  <si>
    <t xml:space="preserve">Labours &amp; Materials were found on site at the time of visit. </t>
  </si>
  <si>
    <t>Saleable area Loading :</t>
  </si>
  <si>
    <t>Office No. 1031, Wing J, Akshar Business Park, Plot No. 03 Sector 25, Near APMC Market, Vashi, Navi Mumbai, Maharashtra 400703 TEL: 022-46090378/79/80</t>
  </si>
  <si>
    <t>Project Location details</t>
  </si>
  <si>
    <t>Locality</t>
  </si>
  <si>
    <t>Res+Comm=total</t>
  </si>
  <si>
    <t>total/res : total:com</t>
  </si>
  <si>
    <t>Usha Residency</t>
  </si>
  <si>
    <t>Airoli</t>
  </si>
  <si>
    <t>Shree Budhdev Infra</t>
  </si>
  <si>
    <t>18, H.No.10</t>
  </si>
  <si>
    <t>Survey No.</t>
  </si>
  <si>
    <t>Chinchoti Anjurphata Marg</t>
  </si>
  <si>
    <t>Narpoli</t>
  </si>
  <si>
    <t>Bhiwandi</t>
  </si>
  <si>
    <t>The Polymath School</t>
  </si>
  <si>
    <t>Thane</t>
  </si>
  <si>
    <t>19.281133,73.033994</t>
  </si>
  <si>
    <t>https://maps.app.goo.gl/Neiwufj6bsaecrwB7</t>
  </si>
  <si>
    <t>Rbl Bank Ltd
Wonder Mall, Ground Floor, Sklyline Arcade, G.B Road, opp. Cine</t>
  </si>
  <si>
    <t>12.1Km</t>
  </si>
  <si>
    <t>Other Plot</t>
  </si>
  <si>
    <t>18.0 M.Wide D.P. Road</t>
  </si>
  <si>
    <t xml:space="preserve"> Internal Road</t>
  </si>
  <si>
    <t>Open Plot</t>
  </si>
  <si>
    <t>Maharashtra Housing and Area Development Authority (MHADA)</t>
  </si>
  <si>
    <t>Chinhoti Anjur Phata Road</t>
  </si>
  <si>
    <t>Ishtiyaque Ahmed Mohammad Yunus Ansari (Licensed Engineer)</t>
  </si>
  <si>
    <t>Net Plot Area</t>
  </si>
  <si>
    <t>-</t>
  </si>
  <si>
    <t>As per actual site measurment by Architect</t>
  </si>
  <si>
    <t>Plot area considered for PMAY scheme</t>
  </si>
  <si>
    <t>Reservation For handling over to local Authority (B.N.C.M.C) as per NOC under UDCPR CL 11.1 Table 11A(7)</t>
  </si>
  <si>
    <t>Car = 7, Bike = 1073</t>
  </si>
  <si>
    <t>98 : 02</t>
  </si>
  <si>
    <t>Anjur Phata</t>
  </si>
  <si>
    <t>Bank of Maharashtra</t>
  </si>
  <si>
    <t>71m</t>
  </si>
  <si>
    <t>1.4Km</t>
  </si>
  <si>
    <t>Lotus Hospital</t>
  </si>
  <si>
    <t>Indoor games, Seating lounge, Intercom facility, Shopping mall, Jogging track, Yoga deck, Senior citizen area, Grand entrance lobby, etc.</t>
  </si>
  <si>
    <t>Applicable and Received</t>
  </si>
  <si>
    <t>Mhada</t>
  </si>
  <si>
    <t>EE/BP/PMAY/A/MHADA/755/2023
Date : 18/09/2023</t>
  </si>
  <si>
    <t>Not Applicable</t>
  </si>
  <si>
    <t>To be obtained</t>
  </si>
  <si>
    <t>SEIAA</t>
  </si>
  <si>
    <t xml:space="preserve">SIA/MH/INFRA2/442881/2023
Date : 02/02/2024
Valid For : Plot Area = 9850 Sqm
Proposed Builtup Area = 45551.01 Sqm
</t>
  </si>
  <si>
    <t>P51700053334</t>
  </si>
  <si>
    <t>Building No.1 to 3 = Gr/Stilt + 1st to 14th Floor</t>
  </si>
  <si>
    <t>Building No.1 = Gr/Stilt + 1st to 14th Floor</t>
  </si>
  <si>
    <t>Building No.2 = Gr/Stilt + 1st to 14th Floor</t>
  </si>
  <si>
    <t xml:space="preserve">https://usha-residency.com/ </t>
  </si>
  <si>
    <t>Om Sai Home, Infini Landmark Gyan Ganga Apartments, Shivaalik Park, Narayani Dham, Shiv Sai Awas, etc</t>
  </si>
  <si>
    <t>Project Name is approved by Mhada. Project Surrounded by Under Construction buildings, Scool, Playground within 200m But Hospital, Railway station are more than 2Km away from project</t>
  </si>
  <si>
    <t>Reliance Smart Point</t>
  </si>
  <si>
    <t>Building No.3 = Gr/Stilt + 1st to 14th Floor</t>
  </si>
  <si>
    <t>Part II Building No.2 = Gr/Stilt + 1st to 14th Floor</t>
  </si>
  <si>
    <t>Ground Floor for Commercial, Electric Meter Room, Society Office &amp; Parking</t>
  </si>
  <si>
    <t>Shop</t>
  </si>
  <si>
    <t>Ground Floor for Parking</t>
  </si>
  <si>
    <t>1st Floor for Residential</t>
  </si>
  <si>
    <t>1BHK</t>
  </si>
  <si>
    <t>2nd to 7th, 9th to 12th &amp; 14th Floor</t>
  </si>
  <si>
    <t>8th &amp; 13th Floor (Part Refuge Area)</t>
  </si>
  <si>
    <t>Refuge Area</t>
  </si>
  <si>
    <t>Building No.3</t>
  </si>
  <si>
    <t>Ground Floor for Residential &amp; Parking</t>
  </si>
  <si>
    <t>1 - B.N.C.M.C</t>
  </si>
  <si>
    <t>1st to 3rd Floor for Residential
(Total EWS to be handed over to B.N.C.M.C)</t>
  </si>
  <si>
    <t>2 - B.N.C.M.C</t>
  </si>
  <si>
    <t>3 - B.N.C.M.C</t>
  </si>
  <si>
    <t>4 - B.N.C.M.C</t>
  </si>
  <si>
    <t>5 - B.N.C.M.C</t>
  </si>
  <si>
    <t>6 - B.N.C.M.C</t>
  </si>
  <si>
    <t>7 - B.N.C.M.C</t>
  </si>
  <si>
    <t>8 - B.N.C.M.C</t>
  </si>
  <si>
    <t>9 - B.N.C.M.C</t>
  </si>
  <si>
    <t>10 - B.N.C.M.C</t>
  </si>
  <si>
    <t>11 - B.N.C.M.C</t>
  </si>
  <si>
    <t>12 - B.N.C.M.C</t>
  </si>
  <si>
    <t>13 - B.N.C.M.C</t>
  </si>
  <si>
    <t>14 - B.N.C.M.C</t>
  </si>
  <si>
    <t>15 - B.N.C.M.C</t>
  </si>
  <si>
    <t>16 - B.N.C.M.C</t>
  </si>
  <si>
    <t>17 - B.N.C.M.C</t>
  </si>
  <si>
    <t>18 - B.N.C.M.C</t>
  </si>
  <si>
    <t>19 - B.N.C.M.C</t>
  </si>
  <si>
    <t>20 - B.N.C.M.C</t>
  </si>
  <si>
    <t>4th Floor</t>
  </si>
  <si>
    <t>Building No. 2</t>
  </si>
  <si>
    <t>Building No.3 
Sale Flats</t>
  </si>
  <si>
    <t>Sale Flats = 936, 
B.N.C.M.C. Flats = 61, Shops = 23</t>
  </si>
  <si>
    <t>Building No.3
B.N.C.M.C. Flats</t>
  </si>
  <si>
    <t>Average Completion For Building No. 2</t>
  </si>
  <si>
    <t>We considered Gross carpet area = Net carpet + A.P. Area.</t>
  </si>
  <si>
    <t>On Site, we meet Mr Vivek Pandey - 9226122208.</t>
  </si>
  <si>
    <t>Uneven water bodies located of west side of the project.</t>
  </si>
  <si>
    <t>As the construction work of Building No. 2 goes beyond the CC permission, Please provide revised approved CC.</t>
  </si>
  <si>
    <t>Anjur phata</t>
  </si>
  <si>
    <t>Ancillary FSI</t>
  </si>
  <si>
    <t>Verified By Suresh P. Rudra
(Adv High Court)</t>
  </si>
  <si>
    <t>We have refered approved C.C form Rera site on 29/04/2024.</t>
  </si>
  <si>
    <t>4th to 7th, 9th to 12th &amp; 14th Floor</t>
  </si>
  <si>
    <t>Building No. 1, 2 &amp; 3</t>
  </si>
  <si>
    <t>Electric Meter</t>
  </si>
  <si>
    <t>Society Formation</t>
  </si>
  <si>
    <t>Mangesh Laxman Bapardekar</t>
  </si>
  <si>
    <t xml:space="preserve">EE/BP/PMAY/A/MHADA/431/2024
Date : 24/06/2024
</t>
  </si>
  <si>
    <t xml:space="preserve">Valid Upto: This Further CC is Granted under sanction 45 of MRTP Act 1966 for the building no.1 &amp; 3 of Stilt + 14th having height 43.80 m, Bldg No.2 Gr + 14th Floor having 44.55 m. Comprising total 997 EWS T/s. &amp; 23 Conv. Shops as per approved plans issued by this office vide letter No. EE/BP/PMAY/A/MHADA/755/2021 plans dtd 18/09/2023.
</t>
  </si>
  <si>
    <t>Part II - Building No.1 = Gr/Stilt + 1st to 14th Floor</t>
  </si>
  <si>
    <t>Average Completion For Building No. 1 Part I &amp; Part II</t>
  </si>
  <si>
    <t>Construction work for building No. 1 is carried out in two parts.</t>
  </si>
  <si>
    <t>Mr. Abhishek Manjrekar</t>
  </si>
  <si>
    <t>Shruti Tathare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</si>
</sst>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Garamond"/>
      <family val="1"/>
    </font>
    <font>
      <sz val="11"/>
      <color theme="1"/>
      <name val="Garamond"/>
      <family val="1"/>
    </font>
    <font>
      <sz val="11"/>
      <color rgb="FF000000"/>
      <name val="Book Antiqua"/>
      <family val="1"/>
    </font>
    <font>
      <sz val="9"/>
      <color rgb="FF000000"/>
      <name val="Garamond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b/>
      <sz val="10"/>
      <color theme="1"/>
      <name val="Garamond"/>
      <family val="1"/>
    </font>
    <font>
      <b/>
      <sz val="9"/>
      <color theme="1"/>
      <name val="Garamond"/>
      <family val="1"/>
    </font>
    <font>
      <b/>
      <sz val="9"/>
      <color indexed="8"/>
      <name val="Garamond"/>
      <family val="1"/>
    </font>
    <font>
      <u/>
      <sz val="11"/>
      <color theme="10"/>
      <name val="Calibri"/>
      <family val="2"/>
      <scheme val="minor"/>
    </font>
    <font>
      <b/>
      <sz val="10"/>
      <color rgb="FF000000"/>
      <name val="Garamond"/>
      <family val="1"/>
    </font>
    <font>
      <b/>
      <sz val="11"/>
      <color rgb="FF000000"/>
      <name val="Garamond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Garamond"/>
      <family val="1"/>
    </font>
    <font>
      <b/>
      <sz val="11"/>
      <color theme="1"/>
      <name val="Garamond"/>
      <family val="1"/>
    </font>
    <font>
      <sz val="11"/>
      <color indexed="8"/>
      <name val="Garamond"/>
      <family val="1"/>
    </font>
    <font>
      <b/>
      <sz val="11"/>
      <color indexed="8"/>
      <name val="Garamond"/>
      <family val="1"/>
    </font>
    <font>
      <sz val="11"/>
      <name val="Garamond"/>
      <family val="1"/>
    </font>
    <font>
      <b/>
      <sz val="9"/>
      <name val="Garamond"/>
      <family val="1"/>
    </font>
    <font>
      <b/>
      <sz val="11"/>
      <name val="Garamond"/>
      <family val="1"/>
    </font>
    <font>
      <sz val="9"/>
      <name val="Garamond"/>
      <family val="1"/>
    </font>
    <font>
      <b/>
      <sz val="8"/>
      <color rgb="FF000000"/>
      <name val="Garamond"/>
      <family val="1"/>
    </font>
    <font>
      <sz val="10"/>
      <name val="Garamond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Times New Roman"/>
      <family val="1"/>
    </font>
    <font>
      <b/>
      <sz val="10"/>
      <name val="Garamond"/>
      <family val="1"/>
    </font>
    <font>
      <sz val="11"/>
      <color rgb="FFFF0000"/>
      <name val="Garamond"/>
      <family val="1"/>
    </font>
    <font>
      <b/>
      <sz val="10"/>
      <color theme="1"/>
      <name val="Times New Roman"/>
      <family val="1"/>
    </font>
    <font>
      <b/>
      <sz val="12"/>
      <color theme="1"/>
      <name val="Garamond"/>
      <family val="1"/>
    </font>
  </fonts>
  <fills count="10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</fills>
  <borders count="3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4" fillId="0" borderId="0"/>
    <xf numFmtId="0" fontId="1" fillId="0" borderId="0"/>
    <xf numFmtId="0" fontId="14" fillId="0" borderId="0"/>
    <xf numFmtId="0" fontId="20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358">
    <xf numFmtId="0" fontId="0" fillId="0" borderId="0" xfId="0"/>
    <xf numFmtId="0" fontId="6" fillId="0" borderId="0" xfId="0" applyFont="1"/>
    <xf numFmtId="0" fontId="6" fillId="0" borderId="13" xfId="2" applyFont="1" applyBorder="1" applyProtection="1">
      <protection hidden="1"/>
    </xf>
    <xf numFmtId="0" fontId="6" fillId="0" borderId="14" xfId="2" applyFont="1" applyBorder="1" applyProtection="1">
      <protection hidden="1"/>
    </xf>
    <xf numFmtId="0" fontId="6" fillId="0" borderId="0" xfId="2" applyFont="1" applyProtection="1">
      <protection hidden="1"/>
    </xf>
    <xf numFmtId="0" fontId="6" fillId="0" borderId="1" xfId="2" applyFont="1" applyBorder="1" applyProtection="1">
      <protection hidden="1"/>
    </xf>
    <xf numFmtId="0" fontId="7" fillId="0" borderId="0" xfId="0" applyFont="1" applyProtection="1">
      <protection hidden="1"/>
    </xf>
    <xf numFmtId="0" fontId="6" fillId="0" borderId="1" xfId="2" applyFont="1" applyBorder="1"/>
    <xf numFmtId="0" fontId="7" fillId="0" borderId="1" xfId="0" applyFont="1" applyBorder="1" applyProtection="1">
      <protection hidden="1"/>
    </xf>
    <xf numFmtId="1" fontId="6" fillId="0" borderId="1" xfId="0" applyNumberFormat="1" applyFont="1" applyBorder="1"/>
    <xf numFmtId="1" fontId="6" fillId="0" borderId="1" xfId="0" applyNumberFormat="1" applyFont="1" applyBorder="1" applyAlignment="1">
      <alignment horizontal="right"/>
    </xf>
    <xf numFmtId="0" fontId="7" fillId="0" borderId="18" xfId="0" applyFont="1" applyBorder="1" applyProtection="1">
      <protection hidden="1"/>
    </xf>
    <xf numFmtId="1" fontId="6" fillId="0" borderId="17" xfId="0" applyNumberFormat="1" applyFont="1" applyBorder="1"/>
    <xf numFmtId="0" fontId="9" fillId="0" borderId="13" xfId="2" applyFont="1" applyBorder="1" applyProtection="1">
      <protection hidden="1"/>
    </xf>
    <xf numFmtId="0" fontId="9" fillId="0" borderId="14" xfId="2" applyFont="1" applyBorder="1" applyProtection="1">
      <protection hidden="1"/>
    </xf>
    <xf numFmtId="0" fontId="9" fillId="0" borderId="4" xfId="2" applyFont="1" applyBorder="1" applyAlignment="1" applyProtection="1">
      <alignment horizontal="center" vertical="top"/>
      <protection locked="0"/>
    </xf>
    <xf numFmtId="0" fontId="9" fillId="0" borderId="5" xfId="2" applyFont="1" applyBorder="1" applyAlignment="1" applyProtection="1">
      <alignment horizontal="center" vertical="top"/>
      <protection locked="0"/>
    </xf>
    <xf numFmtId="0" fontId="9" fillId="0" borderId="0" xfId="2" applyFont="1" applyProtection="1">
      <protection hidden="1"/>
    </xf>
    <xf numFmtId="0" fontId="9" fillId="0" borderId="1" xfId="2" applyFont="1" applyBorder="1" applyProtection="1">
      <protection hidden="1"/>
    </xf>
    <xf numFmtId="0" fontId="9" fillId="0" borderId="5" xfId="2" applyFont="1" applyBorder="1" applyAlignment="1" applyProtection="1">
      <alignment horizontal="center" vertical="top" wrapText="1"/>
      <protection locked="0"/>
    </xf>
    <xf numFmtId="0" fontId="10" fillId="0" borderId="0" xfId="0" applyFont="1" applyProtection="1">
      <protection hidden="1"/>
    </xf>
    <xf numFmtId="0" fontId="9" fillId="0" borderId="1" xfId="2" applyFont="1" applyBorder="1"/>
    <xf numFmtId="0" fontId="9" fillId="0" borderId="5" xfId="2" applyFont="1" applyBorder="1" applyAlignment="1" applyProtection="1">
      <alignment horizontal="center" wrapText="1"/>
      <protection locked="0"/>
    </xf>
    <xf numFmtId="9" fontId="9" fillId="3" borderId="5" xfId="2" applyNumberFormat="1" applyFont="1" applyFill="1" applyBorder="1" applyAlignment="1" applyProtection="1">
      <alignment horizontal="center" vertical="center" wrapText="1"/>
      <protection hidden="1"/>
    </xf>
    <xf numFmtId="0" fontId="10" fillId="0" borderId="1" xfId="0" applyFont="1" applyBorder="1" applyProtection="1">
      <protection hidden="1"/>
    </xf>
    <xf numFmtId="1" fontId="9" fillId="0" borderId="5" xfId="2" applyNumberFormat="1" applyFont="1" applyBorder="1" applyAlignment="1" applyProtection="1">
      <alignment horizontal="center" wrapText="1"/>
      <protection locked="0"/>
    </xf>
    <xf numFmtId="1" fontId="11" fillId="0" borderId="1" xfId="0" applyNumberFormat="1" applyFont="1" applyBorder="1"/>
    <xf numFmtId="1" fontId="11" fillId="0" borderId="1" xfId="0" applyNumberFormat="1" applyFont="1" applyBorder="1" applyAlignment="1">
      <alignment horizontal="right"/>
    </xf>
    <xf numFmtId="0" fontId="9" fillId="0" borderId="16" xfId="2" applyFont="1" applyBorder="1" applyAlignment="1" applyProtection="1">
      <alignment horizontal="center" wrapText="1"/>
      <protection locked="0"/>
    </xf>
    <xf numFmtId="9" fontId="9" fillId="3" borderId="16" xfId="2" applyNumberFormat="1" applyFont="1" applyFill="1" applyBorder="1" applyAlignment="1" applyProtection="1">
      <alignment horizontal="center" vertical="center" wrapText="1"/>
      <protection hidden="1"/>
    </xf>
    <xf numFmtId="0" fontId="10" fillId="0" borderId="18" xfId="0" applyFont="1" applyBorder="1" applyProtection="1">
      <protection hidden="1"/>
    </xf>
    <xf numFmtId="1" fontId="11" fillId="0" borderId="17" xfId="0" applyNumberFormat="1" applyFont="1" applyBorder="1"/>
    <xf numFmtId="0" fontId="9" fillId="0" borderId="8" xfId="2" applyFont="1" applyBorder="1" applyAlignment="1" applyProtection="1">
      <alignment vertical="top"/>
      <protection locked="0"/>
    </xf>
    <xf numFmtId="0" fontId="9" fillId="0" borderId="3" xfId="2" applyFont="1" applyBorder="1" applyAlignment="1" applyProtection="1">
      <alignment vertical="top"/>
      <protection locked="0"/>
    </xf>
    <xf numFmtId="0" fontId="9" fillId="0" borderId="2" xfId="2" applyFont="1" applyBorder="1" applyAlignment="1" applyProtection="1">
      <alignment vertical="top"/>
      <protection locked="0"/>
    </xf>
    <xf numFmtId="0" fontId="9" fillId="0" borderId="0" xfId="0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0" fontId="13" fillId="0" borderId="0" xfId="3" applyFont="1"/>
    <xf numFmtId="0" fontId="9" fillId="0" borderId="0" xfId="2" applyFont="1"/>
    <xf numFmtId="0" fontId="9" fillId="0" borderId="0" xfId="2" applyFont="1" applyAlignment="1">
      <alignment horizontal="center" vertical="center"/>
    </xf>
    <xf numFmtId="1" fontId="9" fillId="0" borderId="0" xfId="2" applyNumberFormat="1" applyFont="1" applyAlignment="1">
      <alignment horizontal="center" vertical="center"/>
    </xf>
    <xf numFmtId="1" fontId="12" fillId="0" borderId="0" xfId="0" applyNumberFormat="1" applyFont="1" applyAlignment="1" applyProtection="1">
      <alignment vertical="center" wrapText="1"/>
      <protection locked="0"/>
    </xf>
    <xf numFmtId="0" fontId="12" fillId="0" borderId="0" xfId="2" applyFont="1" applyAlignment="1" applyProtection="1">
      <alignment vertical="top"/>
      <protection locked="0"/>
    </xf>
    <xf numFmtId="1" fontId="12" fillId="0" borderId="0" xfId="2" applyNumberFormat="1" applyFont="1" applyAlignment="1" applyProtection="1">
      <alignment vertical="center" wrapText="1"/>
      <protection locked="0"/>
    </xf>
    <xf numFmtId="0" fontId="15" fillId="0" borderId="0" xfId="0" applyFont="1"/>
    <xf numFmtId="0" fontId="5" fillId="2" borderId="5" xfId="1" applyFont="1" applyFill="1" applyBorder="1" applyAlignment="1" applyProtection="1">
      <alignment vertical="center" wrapText="1"/>
      <protection locked="0"/>
    </xf>
    <xf numFmtId="0" fontId="2" fillId="4" borderId="5" xfId="0" applyFont="1" applyFill="1" applyBorder="1" applyAlignment="1">
      <alignment horizontal="left" vertical="top" wrapText="1"/>
    </xf>
    <xf numFmtId="0" fontId="2" fillId="4" borderId="5" xfId="1" applyFont="1" applyFill="1" applyBorder="1" applyAlignment="1">
      <alignment vertical="center" wrapText="1"/>
    </xf>
    <xf numFmtId="1" fontId="19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16" fillId="5" borderId="5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6" fillId="0" borderId="0" xfId="0" applyFont="1" applyBorder="1"/>
    <xf numFmtId="0" fontId="2" fillId="0" borderId="0" xfId="0" applyFont="1" applyBorder="1" applyAlignment="1">
      <alignment horizontal="center" vertical="top" wrapText="1"/>
    </xf>
    <xf numFmtId="0" fontId="2" fillId="4" borderId="0" xfId="0" applyFont="1" applyFill="1" applyBorder="1" applyAlignment="1">
      <alignment vertical="top" wrapText="1"/>
    </xf>
    <xf numFmtId="1" fontId="9" fillId="0" borderId="0" xfId="2" applyNumberFormat="1" applyFont="1" applyBorder="1" applyAlignment="1">
      <alignment horizontal="center" vertical="center"/>
    </xf>
    <xf numFmtId="2" fontId="9" fillId="0" borderId="0" xfId="2" applyNumberFormat="1" applyFont="1" applyBorder="1" applyAlignment="1">
      <alignment horizontal="center" vertical="center"/>
    </xf>
    <xf numFmtId="0" fontId="0" fillId="0" borderId="0" xfId="0" applyBorder="1"/>
    <xf numFmtId="0" fontId="9" fillId="0" borderId="0" xfId="2" applyFont="1" applyBorder="1" applyAlignment="1">
      <alignment horizontal="center" vertical="center"/>
    </xf>
    <xf numFmtId="0" fontId="13" fillId="0" borderId="0" xfId="3" applyFont="1" applyBorder="1"/>
    <xf numFmtId="0" fontId="9" fillId="0" borderId="0" xfId="2" applyFont="1" applyBorder="1"/>
    <xf numFmtId="0" fontId="2" fillId="0" borderId="0" xfId="0" applyFont="1" applyBorder="1" applyAlignment="1">
      <alignment vertical="top" wrapText="1"/>
    </xf>
    <xf numFmtId="0" fontId="21" fillId="4" borderId="5" xfId="0" applyFont="1" applyFill="1" applyBorder="1" applyAlignment="1">
      <alignment horizontal="left" vertical="top" wrapText="1"/>
    </xf>
    <xf numFmtId="0" fontId="22" fillId="4" borderId="5" xfId="0" applyFont="1" applyFill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7" fillId="0" borderId="0" xfId="0" applyFont="1" applyBorder="1" applyAlignment="1" applyProtection="1">
      <alignment horizontal="center" vertical="center"/>
      <protection hidden="1"/>
    </xf>
    <xf numFmtId="1" fontId="6" fillId="0" borderId="0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1" fontId="19" fillId="4" borderId="4" xfId="0" applyNumberFormat="1" applyFont="1" applyFill="1" applyBorder="1" applyAlignment="1" applyProtection="1">
      <alignment horizontal="center" vertical="center" wrapText="1"/>
      <protection locked="0"/>
    </xf>
    <xf numFmtId="14" fontId="5" fillId="2" borderId="5" xfId="1" applyNumberFormat="1" applyFont="1" applyFill="1" applyBorder="1" applyAlignment="1" applyProtection="1">
      <alignment vertical="center" wrapText="1"/>
      <protection locked="0"/>
    </xf>
    <xf numFmtId="0" fontId="2" fillId="4" borderId="5" xfId="0" applyFont="1" applyFill="1" applyBorder="1" applyAlignment="1">
      <alignment horizontal="left" vertical="center" wrapText="1"/>
    </xf>
    <xf numFmtId="0" fontId="3" fillId="4" borderId="11" xfId="2" applyFont="1" applyFill="1" applyBorder="1" applyAlignment="1" applyProtection="1">
      <alignment horizontal="center" vertical="center"/>
      <protection locked="0"/>
    </xf>
    <xf numFmtId="0" fontId="3" fillId="4" borderId="12" xfId="2" applyFont="1" applyFill="1" applyBorder="1" applyAlignment="1" applyProtection="1">
      <alignment horizontal="center" vertical="center"/>
      <protection locked="0"/>
    </xf>
    <xf numFmtId="0" fontId="3" fillId="4" borderId="5" xfId="2" applyFont="1" applyFill="1" applyBorder="1" applyAlignment="1" applyProtection="1">
      <alignment horizontal="center" vertical="center"/>
      <protection locked="0"/>
    </xf>
    <xf numFmtId="0" fontId="3" fillId="4" borderId="6" xfId="2" applyFont="1" applyFill="1" applyBorder="1" applyAlignment="1" applyProtection="1">
      <alignment horizontal="center" vertical="center"/>
      <protection locked="0"/>
    </xf>
    <xf numFmtId="0" fontId="3" fillId="4" borderId="4" xfId="2" applyFont="1" applyFill="1" applyBorder="1" applyAlignment="1" applyProtection="1">
      <alignment horizontal="left" vertical="top" wrapText="1"/>
      <protection locked="0"/>
    </xf>
    <xf numFmtId="0" fontId="3" fillId="4" borderId="5" xfId="0" applyFont="1" applyFill="1" applyBorder="1" applyAlignment="1">
      <alignment horizontal="center"/>
    </xf>
    <xf numFmtId="0" fontId="3" fillId="4" borderId="5" xfId="2" applyFont="1" applyFill="1" applyBorder="1" applyAlignment="1" applyProtection="1">
      <alignment horizontal="center" vertical="top" wrapText="1"/>
      <protection locked="0"/>
    </xf>
    <xf numFmtId="9" fontId="3" fillId="4" borderId="5" xfId="0" applyNumberFormat="1" applyFont="1" applyFill="1" applyBorder="1" applyAlignment="1">
      <alignment horizontal="center" vertical="center"/>
    </xf>
    <xf numFmtId="0" fontId="3" fillId="4" borderId="5" xfId="2" applyFont="1" applyFill="1" applyBorder="1" applyAlignment="1" applyProtection="1">
      <alignment horizontal="center" wrapText="1"/>
      <protection locked="0"/>
    </xf>
    <xf numFmtId="9" fontId="3" fillId="4" borderId="5" xfId="2" applyNumberFormat="1" applyFont="1" applyFill="1" applyBorder="1" applyAlignment="1" applyProtection="1">
      <alignment horizontal="center" vertical="center" wrapText="1"/>
      <protection hidden="1"/>
    </xf>
    <xf numFmtId="1" fontId="3" fillId="4" borderId="5" xfId="2" applyNumberFormat="1" applyFont="1" applyFill="1" applyBorder="1" applyAlignment="1" applyProtection="1">
      <alignment horizontal="center" wrapText="1"/>
      <protection locked="0"/>
    </xf>
    <xf numFmtId="1" fontId="27" fillId="4" borderId="4" xfId="0" applyNumberFormat="1" applyFont="1" applyFill="1" applyBorder="1" applyAlignment="1" applyProtection="1">
      <alignment horizontal="center" vertical="center" wrapText="1"/>
      <protection locked="0"/>
    </xf>
    <xf numFmtId="1" fontId="27" fillId="0" borderId="5" xfId="0" applyNumberFormat="1" applyFont="1" applyBorder="1" applyAlignment="1" applyProtection="1">
      <alignment horizontal="center" vertical="center" wrapText="1"/>
      <protection locked="0"/>
    </xf>
    <xf numFmtId="1" fontId="28" fillId="4" borderId="15" xfId="0" applyNumberFormat="1" applyFont="1" applyFill="1" applyBorder="1" applyAlignment="1" applyProtection="1">
      <alignment horizontal="center" vertical="center" wrapText="1"/>
      <protection locked="0"/>
    </xf>
    <xf numFmtId="1" fontId="28" fillId="0" borderId="16" xfId="0" applyNumberFormat="1" applyFont="1" applyBorder="1" applyAlignment="1" applyProtection="1">
      <alignment horizontal="center" vertical="center" wrapText="1"/>
      <protection locked="0"/>
    </xf>
    <xf numFmtId="0" fontId="21" fillId="4" borderId="5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2" fillId="0" borderId="0" xfId="1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top" wrapText="1"/>
    </xf>
    <xf numFmtId="0" fontId="0" fillId="0" borderId="0" xfId="0" applyFill="1"/>
    <xf numFmtId="0" fontId="30" fillId="4" borderId="5" xfId="0" applyFont="1" applyFill="1" applyBorder="1" applyAlignment="1">
      <alignment horizontal="left" vertical="top" wrapText="1"/>
    </xf>
    <xf numFmtId="0" fontId="30" fillId="4" borderId="5" xfId="0" applyFont="1" applyFill="1" applyBorder="1" applyAlignment="1">
      <alignment horizontal="center" vertical="center" wrapText="1"/>
    </xf>
    <xf numFmtId="1" fontId="3" fillId="4" borderId="5" xfId="2" applyNumberFormat="1" applyFont="1" applyFill="1" applyBorder="1" applyAlignment="1" applyProtection="1">
      <alignment horizontal="center" vertical="center" wrapText="1"/>
      <protection locked="0"/>
    </xf>
    <xf numFmtId="0" fontId="18" fillId="0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 wrapText="1"/>
    </xf>
    <xf numFmtId="0" fontId="3" fillId="0" borderId="0" xfId="0" applyFont="1"/>
    <xf numFmtId="0" fontId="31" fillId="4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29" fillId="0" borderId="5" xfId="0" applyFont="1" applyBorder="1" applyAlignment="1">
      <alignment horizontal="center" vertical="center"/>
    </xf>
    <xf numFmtId="1" fontId="28" fillId="0" borderId="5" xfId="0" applyNumberFormat="1" applyFont="1" applyBorder="1" applyAlignment="1" applyProtection="1">
      <alignment horizontal="center" vertical="center" wrapText="1"/>
      <protection locked="0"/>
    </xf>
    <xf numFmtId="1" fontId="19" fillId="0" borderId="5" xfId="2" applyNumberFormat="1" applyFont="1" applyBorder="1" applyAlignment="1" applyProtection="1">
      <alignment horizontal="center" vertical="center" wrapText="1"/>
      <protection locked="0"/>
    </xf>
    <xf numFmtId="0" fontId="2" fillId="4" borderId="9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2" fillId="4" borderId="9" xfId="0" applyFont="1" applyFill="1" applyBorder="1" applyAlignment="1">
      <alignment horizontal="left" vertical="top" wrapText="1"/>
    </xf>
    <xf numFmtId="0" fontId="2" fillId="4" borderId="4" xfId="0" applyFont="1" applyFill="1" applyBorder="1" applyAlignment="1">
      <alignment horizontal="left" vertical="top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left" vertical="top" wrapText="1"/>
    </xf>
    <xf numFmtId="0" fontId="26" fillId="4" borderId="4" xfId="0" applyFont="1" applyFill="1" applyBorder="1" applyAlignment="1">
      <alignment horizontal="left" vertical="top"/>
    </xf>
    <xf numFmtId="0" fontId="3" fillId="4" borderId="15" xfId="2" applyFont="1" applyFill="1" applyBorder="1" applyAlignment="1" applyProtection="1">
      <alignment horizontal="left" vertical="top" wrapText="1"/>
      <protection locked="0"/>
    </xf>
    <xf numFmtId="9" fontId="3" fillId="4" borderId="16" xfId="0" applyNumberFormat="1" applyFont="1" applyFill="1" applyBorder="1" applyAlignment="1">
      <alignment horizontal="center" vertical="center"/>
    </xf>
    <xf numFmtId="0" fontId="3" fillId="4" borderId="16" xfId="2" applyFont="1" applyFill="1" applyBorder="1" applyAlignment="1" applyProtection="1">
      <alignment horizontal="center" wrapText="1"/>
      <protection locked="0"/>
    </xf>
    <xf numFmtId="9" fontId="3" fillId="4" borderId="16" xfId="2" applyNumberFormat="1" applyFont="1" applyFill="1" applyBorder="1" applyAlignment="1" applyProtection="1">
      <alignment horizontal="center" vertical="center" wrapText="1"/>
      <protection hidden="1"/>
    </xf>
    <xf numFmtId="1" fontId="28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6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4" borderId="24" xfId="0" applyFont="1" applyFill="1" applyBorder="1" applyAlignment="1">
      <alignment horizontal="center" vertical="center" wrapText="1"/>
    </xf>
    <xf numFmtId="1" fontId="27" fillId="0" borderId="5" xfId="2" applyNumberFormat="1" applyFont="1" applyBorder="1" applyAlignment="1" applyProtection="1">
      <alignment horizontal="center" vertical="center" wrapText="1"/>
      <protection locked="0"/>
    </xf>
    <xf numFmtId="1" fontId="3" fillId="0" borderId="5" xfId="2" applyNumberFormat="1" applyFont="1" applyBorder="1" applyAlignment="1">
      <alignment horizontal="center" vertical="center"/>
    </xf>
    <xf numFmtId="1" fontId="19" fillId="0" borderId="9" xfId="2" applyNumberFormat="1" applyFont="1" applyBorder="1" applyAlignment="1" applyProtection="1">
      <alignment horizontal="center" vertical="center" wrapText="1"/>
      <protection locked="0"/>
    </xf>
    <xf numFmtId="9" fontId="3" fillId="4" borderId="5" xfId="2" applyNumberFormat="1" applyFont="1" applyFill="1" applyBorder="1" applyAlignment="1" applyProtection="1">
      <alignment horizontal="center" vertical="center" wrapText="1"/>
      <protection hidden="1"/>
    </xf>
    <xf numFmtId="9" fontId="3" fillId="4" borderId="16" xfId="2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Font="1" applyFill="1" applyBorder="1"/>
    <xf numFmtId="9" fontId="3" fillId="4" borderId="5" xfId="2" applyNumberFormat="1" applyFont="1" applyFill="1" applyBorder="1" applyAlignment="1" applyProtection="1">
      <alignment horizontal="center" vertical="center" wrapText="1"/>
      <protection hidden="1"/>
    </xf>
    <xf numFmtId="9" fontId="3" fillId="4" borderId="16" xfId="2" applyNumberFormat="1" applyFont="1" applyFill="1" applyBorder="1" applyAlignment="1" applyProtection="1">
      <alignment horizontal="center" vertical="center" wrapText="1"/>
      <protection hidden="1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25" fillId="0" borderId="5" xfId="0" applyFont="1" applyBorder="1" applyAlignment="1">
      <alignment horizontal="center" vertical="center" wrapText="1"/>
    </xf>
    <xf numFmtId="14" fontId="32" fillId="2" borderId="5" xfId="1" applyNumberFormat="1" applyFont="1" applyFill="1" applyBorder="1" applyAlignment="1">
      <alignment horizontal="left" vertical="center"/>
    </xf>
    <xf numFmtId="14" fontId="32" fillId="2" borderId="5" xfId="1" applyNumberFormat="1" applyFont="1" applyFill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2" fontId="0" fillId="0" borderId="0" xfId="0" applyNumberFormat="1" applyBorder="1"/>
    <xf numFmtId="0" fontId="29" fillId="0" borderId="5" xfId="0" applyFont="1" applyBorder="1" applyAlignment="1">
      <alignment horizontal="center" vertical="center" wrapText="1"/>
    </xf>
    <xf numFmtId="0" fontId="20" fillId="0" borderId="0" xfId="4" applyFill="1" applyBorder="1"/>
    <xf numFmtId="9" fontId="31" fillId="0" borderId="7" xfId="5" applyFont="1" applyFill="1" applyBorder="1" applyAlignment="1" applyProtection="1">
      <alignment horizontal="center" vertical="top" wrapText="1"/>
      <protection locked="0"/>
    </xf>
    <xf numFmtId="9" fontId="30" fillId="0" borderId="7" xfId="2" applyNumberFormat="1" applyFont="1" applyBorder="1" applyAlignment="1" applyProtection="1">
      <alignment horizontal="center" vertical="center" wrapText="1"/>
      <protection locked="0"/>
    </xf>
    <xf numFmtId="0" fontId="37" fillId="4" borderId="5" xfId="0" applyFont="1" applyFill="1" applyBorder="1" applyAlignment="1">
      <alignment horizontal="center" vertical="center" wrapText="1"/>
    </xf>
    <xf numFmtId="0" fontId="21" fillId="4" borderId="5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1" fillId="4" borderId="5" xfId="0" applyFont="1" applyFill="1" applyBorder="1" applyAlignment="1">
      <alignment horizontal="center" vertical="center" wrapText="1"/>
    </xf>
    <xf numFmtId="0" fontId="21" fillId="4" borderId="6" xfId="0" applyFont="1" applyFill="1" applyBorder="1" applyAlignment="1">
      <alignment horizontal="center" vertical="center" wrapText="1"/>
    </xf>
    <xf numFmtId="0" fontId="9" fillId="0" borderId="0" xfId="2" applyFont="1" applyBorder="1" applyAlignment="1">
      <alignment horizontal="center" vertical="center"/>
    </xf>
    <xf numFmtId="1" fontId="3" fillId="0" borderId="5" xfId="2" applyNumberFormat="1" applyFont="1" applyBorder="1" applyAlignment="1" applyProtection="1">
      <alignment horizontal="center" vertical="center" wrapText="1"/>
      <protection locked="0"/>
    </xf>
    <xf numFmtId="0" fontId="9" fillId="0" borderId="0" xfId="2" applyFont="1" applyFill="1" applyBorder="1" applyAlignment="1">
      <alignment horizontal="center" vertical="center"/>
    </xf>
    <xf numFmtId="9" fontId="3" fillId="4" borderId="5" xfId="2" applyNumberFormat="1" applyFont="1" applyFill="1" applyBorder="1" applyAlignment="1" applyProtection="1">
      <alignment horizontal="center" vertical="center" wrapText="1"/>
      <protection hidden="1"/>
    </xf>
    <xf numFmtId="9" fontId="3" fillId="4" borderId="16" xfId="2" applyNumberFormat="1" applyFont="1" applyFill="1" applyBorder="1" applyAlignment="1" applyProtection="1">
      <alignment horizontal="center" vertical="center" wrapText="1"/>
      <protection hidden="1"/>
    </xf>
    <xf numFmtId="9" fontId="3" fillId="4" borderId="5" xfId="2" applyNumberFormat="1" applyFont="1" applyFill="1" applyBorder="1" applyAlignment="1" applyProtection="1">
      <alignment horizontal="center" vertical="center" wrapText="1"/>
      <protection hidden="1"/>
    </xf>
    <xf numFmtId="9" fontId="3" fillId="4" borderId="16" xfId="2" applyNumberFormat="1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Alignment="1">
      <alignment horizontal="center" vertical="center" wrapText="1"/>
    </xf>
    <xf numFmtId="0" fontId="9" fillId="0" borderId="0" xfId="2" applyFont="1" applyBorder="1" applyAlignment="1">
      <alignment horizontal="center" vertical="center"/>
    </xf>
    <xf numFmtId="0" fontId="19" fillId="4" borderId="5" xfId="2" applyFont="1" applyFill="1" applyBorder="1" applyAlignment="1" applyProtection="1">
      <alignment horizontal="center" vertical="center"/>
      <protection locked="0"/>
    </xf>
    <xf numFmtId="0" fontId="19" fillId="4" borderId="9" xfId="2" applyFont="1" applyFill="1" applyBorder="1" applyAlignment="1" applyProtection="1">
      <alignment horizontal="center" vertical="center"/>
      <protection locked="0"/>
    </xf>
    <xf numFmtId="1" fontId="19" fillId="0" borderId="5" xfId="2" applyNumberFormat="1" applyFont="1" applyBorder="1" applyAlignment="1" applyProtection="1">
      <alignment horizontal="center" vertical="center" wrapText="1"/>
      <protection locked="0"/>
    </xf>
    <xf numFmtId="0" fontId="21" fillId="4" borderId="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21" fillId="4" borderId="6" xfId="0" applyFont="1" applyFill="1" applyBorder="1" applyAlignment="1">
      <alignment horizontal="center" vertical="center" wrapText="1"/>
    </xf>
    <xf numFmtId="1" fontId="19" fillId="0" borderId="8" xfId="2" applyNumberFormat="1" applyFont="1" applyBorder="1" applyAlignment="1" applyProtection="1">
      <alignment horizontal="center" vertical="center" wrapText="1"/>
      <protection locked="0"/>
    </xf>
    <xf numFmtId="1" fontId="12" fillId="0" borderId="0" xfId="2" applyNumberFormat="1" applyFont="1" applyAlignment="1" applyProtection="1">
      <alignment horizontal="center" vertical="top" wrapText="1"/>
      <protection locked="0"/>
    </xf>
    <xf numFmtId="1" fontId="13" fillId="0" borderId="0" xfId="2" applyNumberFormat="1" applyFont="1" applyAlignment="1" applyProtection="1">
      <alignment horizontal="center" vertical="center" wrapText="1"/>
      <protection locked="0"/>
    </xf>
    <xf numFmtId="0" fontId="19" fillId="0" borderId="5" xfId="2" applyFont="1" applyBorder="1" applyAlignment="1" applyProtection="1">
      <alignment horizontal="center" vertical="top"/>
      <protection locked="0"/>
    </xf>
    <xf numFmtId="0" fontId="18" fillId="5" borderId="10" xfId="0" applyFont="1" applyFill="1" applyBorder="1" applyAlignment="1">
      <alignment horizontal="center"/>
    </xf>
    <xf numFmtId="0" fontId="18" fillId="5" borderId="11" xfId="0" applyFont="1" applyFill="1" applyBorder="1" applyAlignment="1">
      <alignment horizontal="center"/>
    </xf>
    <xf numFmtId="0" fontId="18" fillId="5" borderId="12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 vertical="top" wrapText="1"/>
    </xf>
    <xf numFmtId="0" fontId="25" fillId="3" borderId="5" xfId="0" applyFont="1" applyFill="1" applyBorder="1" applyAlignment="1">
      <alignment horizontal="left" vertical="top" wrapText="1"/>
    </xf>
    <xf numFmtId="0" fontId="39" fillId="0" borderId="5" xfId="0" applyFont="1" applyBorder="1" applyAlignment="1">
      <alignment horizontal="center" vertical="top"/>
    </xf>
    <xf numFmtId="0" fontId="33" fillId="4" borderId="5" xfId="0" applyFont="1" applyFill="1" applyBorder="1" applyAlignment="1">
      <alignment horizontal="center" vertical="top" wrapText="1"/>
    </xf>
    <xf numFmtId="2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 wrapText="1"/>
    </xf>
    <xf numFmtId="1" fontId="3" fillId="0" borderId="5" xfId="0" applyNumberFormat="1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9" fontId="25" fillId="3" borderId="5" xfId="0" applyNumberFormat="1" applyFont="1" applyFill="1" applyBorder="1" applyAlignment="1">
      <alignment horizontal="left" vertical="top" wrapText="1"/>
    </xf>
    <xf numFmtId="0" fontId="29" fillId="3" borderId="5" xfId="0" applyFont="1" applyFill="1" applyBorder="1" applyAlignment="1">
      <alignment horizontal="center" vertical="top" wrapText="1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9" fontId="36" fillId="0" borderId="11" xfId="0" applyNumberFormat="1" applyFont="1" applyBorder="1" applyAlignment="1">
      <alignment horizontal="center" vertical="center"/>
    </xf>
    <xf numFmtId="0" fontId="36" fillId="0" borderId="12" xfId="0" applyFont="1" applyBorder="1" applyAlignment="1">
      <alignment horizontal="center" vertical="center"/>
    </xf>
    <xf numFmtId="0" fontId="36" fillId="0" borderId="16" xfId="0" applyFont="1" applyBorder="1" applyAlignment="1">
      <alignment horizontal="center" vertical="center"/>
    </xf>
    <xf numFmtId="0" fontId="36" fillId="0" borderId="24" xfId="0" applyFont="1" applyBorder="1" applyAlignment="1">
      <alignment horizontal="center" vertical="center"/>
    </xf>
    <xf numFmtId="0" fontId="26" fillId="4" borderId="10" xfId="2" applyFont="1" applyFill="1" applyBorder="1" applyAlignment="1" applyProtection="1">
      <alignment horizontal="left" vertical="top" wrapText="1"/>
      <protection locked="0"/>
    </xf>
    <xf numFmtId="0" fontId="26" fillId="4" borderId="11" xfId="2" applyFont="1" applyFill="1" applyBorder="1" applyAlignment="1" applyProtection="1">
      <alignment horizontal="left" vertical="top" wrapText="1"/>
      <protection locked="0"/>
    </xf>
    <xf numFmtId="0" fontId="26" fillId="4" borderId="4" xfId="2" applyFont="1" applyFill="1" applyBorder="1" applyAlignment="1" applyProtection="1">
      <alignment horizontal="left" vertical="top" wrapText="1"/>
      <protection locked="0"/>
    </xf>
    <xf numFmtId="0" fontId="26" fillId="4" borderId="5" xfId="2" applyFont="1" applyFill="1" applyBorder="1" applyAlignment="1" applyProtection="1">
      <alignment horizontal="left" vertical="top" wrapText="1"/>
      <protection locked="0"/>
    </xf>
    <xf numFmtId="0" fontId="26" fillId="4" borderId="6" xfId="2" applyFont="1" applyFill="1" applyBorder="1" applyAlignment="1" applyProtection="1">
      <alignment horizontal="left" vertical="top" wrapText="1"/>
      <protection locked="0"/>
    </xf>
    <xf numFmtId="0" fontId="3" fillId="4" borderId="5" xfId="2" applyFont="1" applyFill="1" applyBorder="1" applyAlignment="1" applyProtection="1">
      <alignment horizontal="center" vertical="center" wrapText="1"/>
      <protection locked="0"/>
    </xf>
    <xf numFmtId="0" fontId="3" fillId="4" borderId="6" xfId="2" applyFont="1" applyFill="1" applyBorder="1" applyAlignment="1" applyProtection="1">
      <alignment horizontal="center" vertical="center" wrapText="1"/>
      <protection locked="0"/>
    </xf>
    <xf numFmtId="0" fontId="2" fillId="8" borderId="9" xfId="0" applyFont="1" applyFill="1" applyBorder="1" applyAlignment="1">
      <alignment horizontal="center" vertical="top" wrapText="1"/>
    </xf>
    <xf numFmtId="9" fontId="3" fillId="4" borderId="5" xfId="2" applyNumberFormat="1" applyFont="1" applyFill="1" applyBorder="1" applyAlignment="1" applyProtection="1">
      <alignment horizontal="center" vertical="center" wrapText="1"/>
      <protection hidden="1"/>
    </xf>
    <xf numFmtId="9" fontId="3" fillId="4" borderId="6" xfId="2" applyNumberFormat="1" applyFont="1" applyFill="1" applyBorder="1" applyAlignment="1" applyProtection="1">
      <alignment horizontal="center" vertical="center" wrapText="1"/>
      <protection hidden="1"/>
    </xf>
    <xf numFmtId="9" fontId="3" fillId="4" borderId="16" xfId="2" applyNumberFormat="1" applyFont="1" applyFill="1" applyBorder="1" applyAlignment="1" applyProtection="1">
      <alignment horizontal="center" vertical="center" wrapText="1"/>
      <protection hidden="1"/>
    </xf>
    <xf numFmtId="9" fontId="3" fillId="4" borderId="24" xfId="2" applyNumberFormat="1" applyFont="1" applyFill="1" applyBorder="1" applyAlignment="1" applyProtection="1">
      <alignment horizontal="center" vertical="center" wrapText="1"/>
      <protection hidden="1"/>
    </xf>
    <xf numFmtId="2" fontId="3" fillId="0" borderId="5" xfId="0" applyNumberFormat="1" applyFont="1" applyBorder="1" applyAlignment="1">
      <alignment horizontal="center" vertical="top"/>
    </xf>
    <xf numFmtId="0" fontId="2" fillId="0" borderId="0" xfId="1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1" fontId="19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19" fillId="5" borderId="5" xfId="0" applyNumberFormat="1" applyFont="1" applyFill="1" applyBorder="1" applyAlignment="1" applyProtection="1">
      <alignment horizontal="center" vertical="center" wrapText="1"/>
      <protection locked="0"/>
    </xf>
    <xf numFmtId="1" fontId="19" fillId="5" borderId="6" xfId="0" applyNumberFormat="1" applyFont="1" applyFill="1" applyBorder="1" applyAlignment="1" applyProtection="1">
      <alignment horizontal="center" vertical="center" wrapText="1"/>
      <protection locked="0"/>
    </xf>
    <xf numFmtId="0" fontId="2" fillId="5" borderId="5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2" fillId="4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top"/>
    </xf>
    <xf numFmtId="0" fontId="5" fillId="4" borderId="5" xfId="1" applyFont="1" applyFill="1" applyBorder="1" applyAlignment="1">
      <alignment horizontal="left" vertical="center" wrapText="1"/>
    </xf>
    <xf numFmtId="0" fontId="2" fillId="4" borderId="5" xfId="1" applyFont="1" applyFill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20" fillId="0" borderId="5" xfId="4" applyBorder="1" applyAlignment="1">
      <alignment horizontal="left" vertical="center"/>
    </xf>
    <xf numFmtId="0" fontId="17" fillId="6" borderId="5" xfId="0" applyFont="1" applyFill="1" applyBorder="1" applyAlignment="1">
      <alignment horizontal="center" vertical="center"/>
    </xf>
    <xf numFmtId="0" fontId="2" fillId="5" borderId="5" xfId="1" applyFont="1" applyFill="1" applyBorder="1" applyAlignment="1">
      <alignment horizontal="center" vertical="center"/>
    </xf>
    <xf numFmtId="0" fontId="2" fillId="4" borderId="5" xfId="1" applyFont="1" applyFill="1" applyBorder="1" applyAlignment="1">
      <alignment horizontal="left" vertical="top" wrapText="1"/>
    </xf>
    <xf numFmtId="0" fontId="22" fillId="3" borderId="5" xfId="0" applyFont="1" applyFill="1" applyBorder="1" applyAlignment="1">
      <alignment horizontal="center" vertical="top" wrapText="1"/>
    </xf>
    <xf numFmtId="0" fontId="22" fillId="3" borderId="6" xfId="0" applyFont="1" applyFill="1" applyBorder="1" applyAlignment="1">
      <alignment horizontal="center" vertical="top" wrapText="1"/>
    </xf>
    <xf numFmtId="0" fontId="20" fillId="4" borderId="5" xfId="4" applyFill="1" applyBorder="1" applyAlignment="1">
      <alignment horizontal="left" vertical="center" wrapText="1"/>
    </xf>
    <xf numFmtId="0" fontId="5" fillId="2" borderId="5" xfId="1" applyFont="1" applyFill="1" applyBorder="1" applyAlignment="1" applyProtection="1">
      <alignment horizontal="center" vertical="center" wrapText="1"/>
      <protection locked="0"/>
    </xf>
    <xf numFmtId="0" fontId="12" fillId="0" borderId="0" xfId="2" applyFont="1" applyAlignment="1" applyProtection="1">
      <alignment horizontal="center" vertical="top"/>
      <protection locked="0"/>
    </xf>
    <xf numFmtId="1" fontId="28" fillId="0" borderId="5" xfId="2" applyNumberFormat="1" applyFont="1" applyBorder="1" applyAlignment="1" applyProtection="1">
      <alignment horizontal="center" vertical="center" wrapText="1"/>
      <protection locked="0"/>
    </xf>
    <xf numFmtId="1" fontId="27" fillId="0" borderId="25" xfId="2" applyNumberFormat="1" applyFont="1" applyBorder="1" applyAlignment="1" applyProtection="1">
      <alignment horizontal="center" vertical="center" wrapText="1"/>
      <protection locked="0"/>
    </xf>
    <xf numFmtId="1" fontId="27" fillId="0" borderId="26" xfId="2" applyNumberFormat="1" applyFont="1" applyBorder="1" applyAlignment="1" applyProtection="1">
      <alignment horizontal="center" vertical="center" wrapText="1"/>
      <protection locked="0"/>
    </xf>
    <xf numFmtId="1" fontId="27" fillId="0" borderId="27" xfId="2" applyNumberFormat="1" applyFont="1" applyBorder="1" applyAlignment="1" applyProtection="1">
      <alignment horizontal="center" vertical="center" wrapText="1"/>
      <protection locked="0"/>
    </xf>
    <xf numFmtId="1" fontId="27" fillId="0" borderId="28" xfId="2" applyNumberFormat="1" applyFont="1" applyBorder="1" applyAlignment="1" applyProtection="1">
      <alignment horizontal="center" vertical="center" wrapText="1"/>
      <protection locked="0"/>
    </xf>
    <xf numFmtId="1" fontId="27" fillId="0" borderId="29" xfId="2" applyNumberFormat="1" applyFont="1" applyBorder="1" applyAlignment="1" applyProtection="1">
      <alignment horizontal="center" vertical="center" wrapText="1"/>
      <protection locked="0"/>
    </xf>
    <xf numFmtId="1" fontId="27" fillId="0" borderId="30" xfId="2" applyNumberFormat="1" applyFont="1" applyBorder="1" applyAlignment="1" applyProtection="1">
      <alignment horizontal="center" vertical="center" wrapText="1"/>
      <protection locked="0"/>
    </xf>
    <xf numFmtId="0" fontId="2" fillId="4" borderId="6" xfId="0" applyFont="1" applyFill="1" applyBorder="1" applyAlignment="1">
      <alignment horizontal="center" vertical="center" wrapText="1"/>
    </xf>
    <xf numFmtId="0" fontId="28" fillId="4" borderId="5" xfId="2" applyFont="1" applyFill="1" applyBorder="1" applyAlignment="1" applyProtection="1">
      <alignment horizontal="center" vertical="center"/>
      <protection locked="0"/>
    </xf>
    <xf numFmtId="0" fontId="28" fillId="4" borderId="7" xfId="2" applyFont="1" applyFill="1" applyBorder="1" applyAlignment="1" applyProtection="1">
      <alignment horizontal="center" vertical="center"/>
      <protection locked="0"/>
    </xf>
    <xf numFmtId="0" fontId="16" fillId="5" borderId="5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8" fillId="5" borderId="7" xfId="0" applyFont="1" applyFill="1" applyBorder="1" applyAlignment="1">
      <alignment horizontal="left"/>
    </xf>
    <xf numFmtId="0" fontId="17" fillId="0" borderId="5" xfId="0" applyFont="1" applyFill="1" applyBorder="1" applyAlignment="1">
      <alignment horizontal="left" vertical="center"/>
    </xf>
    <xf numFmtId="0" fontId="38" fillId="0" borderId="5" xfId="0" applyFont="1" applyFill="1" applyBorder="1" applyAlignment="1">
      <alignment horizontal="left" vertical="center" wrapText="1"/>
    </xf>
    <xf numFmtId="0" fontId="38" fillId="0" borderId="5" xfId="0" applyFont="1" applyFill="1" applyBorder="1" applyAlignment="1">
      <alignment horizontal="left" vertical="center"/>
    </xf>
    <xf numFmtId="1" fontId="26" fillId="0" borderId="5" xfId="0" applyNumberFormat="1" applyFont="1" applyBorder="1" applyAlignment="1" applyProtection="1">
      <alignment horizontal="center" vertical="center"/>
      <protection locked="0"/>
    </xf>
    <xf numFmtId="0" fontId="26" fillId="0" borderId="5" xfId="0" applyFont="1" applyBorder="1" applyAlignment="1" applyProtection="1">
      <alignment horizontal="center" vertical="center"/>
      <protection locked="0"/>
    </xf>
    <xf numFmtId="1" fontId="26" fillId="0" borderId="5" xfId="0" applyNumberFormat="1" applyFont="1" applyBorder="1" applyAlignment="1" applyProtection="1">
      <alignment horizontal="center" vertical="center" wrapText="1"/>
      <protection locked="0"/>
    </xf>
    <xf numFmtId="0" fontId="26" fillId="0" borderId="6" xfId="0" applyFont="1" applyBorder="1" applyAlignment="1" applyProtection="1">
      <alignment horizontal="center" vertical="center" wrapText="1"/>
      <protection locked="0"/>
    </xf>
    <xf numFmtId="0" fontId="17" fillId="0" borderId="5" xfId="0" applyFont="1" applyFill="1" applyBorder="1" applyAlignment="1">
      <alignment horizontal="left" vertical="center" wrapText="1"/>
    </xf>
    <xf numFmtId="1" fontId="26" fillId="0" borderId="16" xfId="0" applyNumberFormat="1" applyFont="1" applyBorder="1" applyAlignment="1" applyProtection="1">
      <alignment horizontal="center" vertical="center"/>
      <protection locked="0"/>
    </xf>
    <xf numFmtId="0" fontId="26" fillId="0" borderId="24" xfId="0" applyFont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6" fillId="0" borderId="16" xfId="0" applyFont="1" applyBorder="1" applyAlignment="1" applyProtection="1">
      <alignment horizontal="center" vertical="center"/>
      <protection locked="0"/>
    </xf>
    <xf numFmtId="0" fontId="18" fillId="4" borderId="5" xfId="0" applyFont="1" applyFill="1" applyBorder="1" applyAlignment="1" applyProtection="1">
      <alignment horizontal="center" vertical="center"/>
      <protection locked="0"/>
    </xf>
    <xf numFmtId="0" fontId="18" fillId="4" borderId="5" xfId="0" applyFont="1" applyFill="1" applyBorder="1" applyAlignment="1" applyProtection="1">
      <alignment horizontal="center" vertical="center" wrapText="1"/>
      <protection locked="0"/>
    </xf>
    <xf numFmtId="0" fontId="18" fillId="4" borderId="6" xfId="0" applyFont="1" applyFill="1" applyBorder="1" applyAlignment="1" applyProtection="1">
      <alignment horizontal="center" vertical="center" wrapText="1"/>
      <protection locked="0"/>
    </xf>
    <xf numFmtId="0" fontId="21" fillId="4" borderId="16" xfId="0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30" fillId="4" borderId="5" xfId="0" applyFont="1" applyFill="1" applyBorder="1" applyAlignment="1">
      <alignment horizontal="center" vertical="top" wrapText="1"/>
    </xf>
    <xf numFmtId="0" fontId="0" fillId="0" borderId="5" xfId="0" applyBorder="1" applyAlignment="1">
      <alignment horizontal="center"/>
    </xf>
    <xf numFmtId="49" fontId="0" fillId="0" borderId="5" xfId="0" applyNumberFormat="1" applyBorder="1" applyAlignment="1">
      <alignment horizontal="center"/>
    </xf>
    <xf numFmtId="0" fontId="25" fillId="0" borderId="5" xfId="0" applyFont="1" applyBorder="1" applyAlignment="1">
      <alignment horizontal="center" vertical="top" wrapText="1"/>
    </xf>
    <xf numFmtId="0" fontId="25" fillId="0" borderId="6" xfId="0" applyFont="1" applyBorder="1" applyAlignment="1">
      <alignment horizontal="center" vertical="top" wrapText="1"/>
    </xf>
    <xf numFmtId="0" fontId="25" fillId="0" borderId="5" xfId="0" applyFont="1" applyBorder="1" applyAlignment="1">
      <alignment horizontal="center" vertical="center" wrapText="1"/>
    </xf>
    <xf numFmtId="0" fontId="34" fillId="0" borderId="5" xfId="1" applyFont="1" applyBorder="1" applyAlignment="1" applyProtection="1">
      <alignment horizontal="center" vertical="top"/>
      <protection locked="0"/>
    </xf>
    <xf numFmtId="0" fontId="25" fillId="0" borderId="6" xfId="0" applyFont="1" applyBorder="1" applyAlignment="1">
      <alignment horizontal="center" vertical="center" wrapText="1"/>
    </xf>
    <xf numFmtId="0" fontId="3" fillId="0" borderId="6" xfId="0" applyFont="1" applyBorder="1" applyAlignment="1" applyProtection="1">
      <alignment horizontal="center" vertical="center"/>
      <protection locked="0"/>
    </xf>
    <xf numFmtId="1" fontId="9" fillId="0" borderId="0" xfId="0" applyNumberFormat="1" applyFont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center" vertical="top" wrapText="1"/>
      <protection locked="0"/>
    </xf>
    <xf numFmtId="1" fontId="8" fillId="0" borderId="0" xfId="0" applyNumberFormat="1" applyFont="1" applyAlignment="1" applyProtection="1">
      <alignment horizontal="center" vertical="top" wrapText="1"/>
      <protection locked="0"/>
    </xf>
    <xf numFmtId="0" fontId="8" fillId="0" borderId="0" xfId="0" applyFont="1" applyAlignment="1" applyProtection="1">
      <alignment horizontal="center" vertical="top" wrapText="1"/>
      <protection locked="0"/>
    </xf>
    <xf numFmtId="1" fontId="12" fillId="0" borderId="0" xfId="0" applyNumberFormat="1" applyFont="1" applyAlignment="1" applyProtection="1">
      <alignment horizontal="center" vertical="top" wrapText="1"/>
      <protection locked="0"/>
    </xf>
    <xf numFmtId="1" fontId="19" fillId="7" borderId="10" xfId="0" applyNumberFormat="1" applyFont="1" applyFill="1" applyBorder="1" applyAlignment="1" applyProtection="1">
      <alignment horizontal="center" vertical="center" wrapText="1"/>
      <protection locked="0"/>
    </xf>
    <xf numFmtId="1" fontId="19" fillId="7" borderId="11" xfId="0" applyNumberFormat="1" applyFont="1" applyFill="1" applyBorder="1" applyAlignment="1" applyProtection="1">
      <alignment horizontal="center" vertical="center" wrapText="1"/>
      <protection locked="0"/>
    </xf>
    <xf numFmtId="1" fontId="19" fillId="7" borderId="12" xfId="0" applyNumberFormat="1" applyFont="1" applyFill="1" applyBorder="1" applyAlignment="1" applyProtection="1">
      <alignment horizontal="center" vertical="center" wrapText="1"/>
      <protection locked="0"/>
    </xf>
    <xf numFmtId="0" fontId="2" fillId="5" borderId="5" xfId="0" applyFont="1" applyFill="1" applyBorder="1" applyAlignment="1">
      <alignment horizontal="center" vertical="top" wrapText="1"/>
    </xf>
    <xf numFmtId="14" fontId="3" fillId="0" borderId="5" xfId="0" applyNumberFormat="1" applyFont="1" applyBorder="1" applyAlignment="1">
      <alignment horizontal="center" vertical="top"/>
    </xf>
    <xf numFmtId="0" fontId="29" fillId="0" borderId="9" xfId="0" applyFont="1" applyBorder="1" applyAlignment="1">
      <alignment horizontal="left" vertical="top" wrapText="1"/>
    </xf>
    <xf numFmtId="0" fontId="19" fillId="5" borderId="7" xfId="2" applyFont="1" applyFill="1" applyBorder="1" applyAlignment="1" applyProtection="1">
      <alignment horizontal="center" vertical="center"/>
      <protection locked="0"/>
    </xf>
    <xf numFmtId="0" fontId="3" fillId="0" borderId="5" xfId="0" applyFont="1" applyBorder="1" applyAlignment="1">
      <alignment horizontal="center" vertical="top" wrapText="1"/>
    </xf>
    <xf numFmtId="0" fontId="29" fillId="0" borderId="5" xfId="0" applyFont="1" applyBorder="1" applyAlignment="1">
      <alignment horizontal="center" vertical="top" wrapText="1"/>
    </xf>
    <xf numFmtId="0" fontId="31" fillId="7" borderId="10" xfId="2" applyFont="1" applyFill="1" applyBorder="1" applyAlignment="1" applyProtection="1">
      <alignment horizontal="left" vertical="top" wrapText="1"/>
      <protection locked="0"/>
    </xf>
    <xf numFmtId="0" fontId="31" fillId="7" borderId="11" xfId="2" applyFont="1" applyFill="1" applyBorder="1" applyAlignment="1" applyProtection="1">
      <alignment horizontal="left" vertical="top" wrapText="1"/>
      <protection locked="0"/>
    </xf>
    <xf numFmtId="0" fontId="31" fillId="7" borderId="4" xfId="2" applyFont="1" applyFill="1" applyBorder="1" applyAlignment="1" applyProtection="1">
      <alignment horizontal="left" vertical="top" wrapText="1"/>
      <protection locked="0"/>
    </xf>
    <xf numFmtId="0" fontId="31" fillId="7" borderId="5" xfId="2" applyFont="1" applyFill="1" applyBorder="1" applyAlignment="1" applyProtection="1">
      <alignment horizontal="left" vertical="top" wrapText="1"/>
      <protection locked="0"/>
    </xf>
    <xf numFmtId="0" fontId="31" fillId="7" borderId="31" xfId="2" applyFont="1" applyFill="1" applyBorder="1" applyAlignment="1" applyProtection="1">
      <alignment horizontal="center" vertical="center"/>
      <protection locked="0"/>
    </xf>
    <xf numFmtId="0" fontId="31" fillId="7" borderId="32" xfId="2" applyFont="1" applyFill="1" applyBorder="1" applyAlignment="1" applyProtection="1">
      <alignment horizontal="center" vertical="center"/>
      <protection locked="0"/>
    </xf>
    <xf numFmtId="0" fontId="31" fillId="7" borderId="33" xfId="2" applyFont="1" applyFill="1" applyBorder="1" applyAlignment="1" applyProtection="1">
      <alignment horizontal="center" vertical="center"/>
      <protection locked="0"/>
    </xf>
    <xf numFmtId="0" fontId="31" fillId="7" borderId="34" xfId="2" applyFont="1" applyFill="1" applyBorder="1" applyAlignment="1" applyProtection="1">
      <alignment horizontal="center" vertical="center"/>
      <protection locked="0"/>
    </xf>
    <xf numFmtId="9" fontId="31" fillId="7" borderId="31" xfId="2" applyNumberFormat="1" applyFont="1" applyFill="1" applyBorder="1" applyAlignment="1" applyProtection="1">
      <alignment horizontal="center" vertical="center"/>
      <protection locked="0"/>
    </xf>
    <xf numFmtId="0" fontId="31" fillId="7" borderId="14" xfId="2" applyFont="1" applyFill="1" applyBorder="1" applyAlignment="1" applyProtection="1">
      <alignment horizontal="center" vertical="center"/>
      <protection locked="0"/>
    </xf>
    <xf numFmtId="0" fontId="31" fillId="7" borderId="17" xfId="2" applyFont="1" applyFill="1" applyBorder="1" applyAlignment="1" applyProtection="1">
      <alignment horizontal="center" vertical="center"/>
      <protection locked="0"/>
    </xf>
    <xf numFmtId="0" fontId="3" fillId="0" borderId="16" xfId="0" applyFont="1" applyBorder="1" applyAlignment="1">
      <alignment horizontal="left" vertical="top"/>
    </xf>
    <xf numFmtId="0" fontId="3" fillId="0" borderId="24" xfId="0" applyFont="1" applyBorder="1" applyAlignment="1">
      <alignment horizontal="left" vertical="top"/>
    </xf>
    <xf numFmtId="0" fontId="5" fillId="0" borderId="0" xfId="0" applyFont="1" applyFill="1" applyBorder="1" applyAlignment="1">
      <alignment horizontal="center" vertical="top" wrapText="1"/>
    </xf>
    <xf numFmtId="0" fontId="2" fillId="4" borderId="6" xfId="0" applyFont="1" applyFill="1" applyBorder="1" applyAlignment="1">
      <alignment horizontal="center" vertical="top" wrapText="1"/>
    </xf>
    <xf numFmtId="0" fontId="0" fillId="3" borderId="19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9" fontId="35" fillId="3" borderId="21" xfId="0" applyNumberFormat="1" applyFont="1" applyFill="1" applyBorder="1" applyAlignment="1">
      <alignment horizontal="center" vertical="center"/>
    </xf>
    <xf numFmtId="9" fontId="35" fillId="3" borderId="23" xfId="0" applyNumberFormat="1" applyFont="1" applyFill="1" applyBorder="1" applyAlignment="1">
      <alignment horizontal="center" vertical="center"/>
    </xf>
    <xf numFmtId="1" fontId="19" fillId="5" borderId="10" xfId="0" applyNumberFormat="1" applyFont="1" applyFill="1" applyBorder="1" applyAlignment="1" applyProtection="1">
      <alignment horizontal="center" vertical="center" wrapText="1"/>
      <protection locked="0"/>
    </xf>
    <xf numFmtId="1" fontId="19" fillId="5" borderId="11" xfId="0" applyNumberFormat="1" applyFont="1" applyFill="1" applyBorder="1" applyAlignment="1" applyProtection="1">
      <alignment horizontal="center" vertical="center" wrapText="1"/>
      <protection locked="0"/>
    </xf>
    <xf numFmtId="1" fontId="19" fillId="5" borderId="1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9" xfId="2" applyFont="1" applyBorder="1" applyAlignment="1" applyProtection="1">
      <alignment horizontal="left" vertical="top" wrapText="1"/>
      <protection locked="0"/>
    </xf>
    <xf numFmtId="0" fontId="8" fillId="0" borderId="20" xfId="2" applyFont="1" applyBorder="1" applyAlignment="1" applyProtection="1">
      <alignment horizontal="left" vertical="top" wrapText="1"/>
      <protection locked="0"/>
    </xf>
    <xf numFmtId="0" fontId="8" fillId="0" borderId="21" xfId="2" applyFont="1" applyBorder="1" applyAlignment="1" applyProtection="1">
      <alignment horizontal="left" vertical="top" wrapText="1"/>
      <protection locked="0"/>
    </xf>
    <xf numFmtId="0" fontId="8" fillId="0" borderId="22" xfId="2" applyFont="1" applyBorder="1" applyAlignment="1" applyProtection="1">
      <alignment horizontal="left" vertical="top" wrapText="1"/>
      <protection locked="0"/>
    </xf>
    <xf numFmtId="0" fontId="8" fillId="0" borderId="23" xfId="2" applyFont="1" applyBorder="1" applyAlignment="1" applyProtection="1">
      <alignment horizontal="left" vertical="top" wrapText="1"/>
      <protection locked="0"/>
    </xf>
    <xf numFmtId="0" fontId="8" fillId="0" borderId="4" xfId="2" applyFont="1" applyBorder="1" applyAlignment="1" applyProtection="1">
      <alignment horizontal="left" vertical="top"/>
      <protection locked="0"/>
    </xf>
    <xf numFmtId="0" fontId="8" fillId="0" borderId="5" xfId="2" applyFont="1" applyBorder="1" applyAlignment="1" applyProtection="1">
      <alignment horizontal="left" vertical="top"/>
      <protection locked="0"/>
    </xf>
    <xf numFmtId="0" fontId="8" fillId="0" borderId="5" xfId="2" applyFont="1" applyBorder="1" applyAlignment="1" applyProtection="1">
      <alignment horizontal="left" vertical="top" wrapText="1"/>
      <protection locked="0"/>
    </xf>
    <xf numFmtId="0" fontId="8" fillId="0" borderId="6" xfId="2" applyFont="1" applyBorder="1" applyAlignment="1" applyProtection="1">
      <alignment horizontal="left" vertical="top" wrapText="1"/>
      <protection locked="0"/>
    </xf>
    <xf numFmtId="0" fontId="9" fillId="0" borderId="4" xfId="2" applyFont="1" applyBorder="1" applyAlignment="1" applyProtection="1">
      <alignment horizontal="center" vertical="top" wrapText="1"/>
      <protection locked="0"/>
    </xf>
    <xf numFmtId="0" fontId="9" fillId="0" borderId="5" xfId="2" applyFont="1" applyBorder="1" applyAlignment="1" applyProtection="1">
      <alignment horizontal="center" vertical="top" wrapText="1"/>
      <protection locked="0"/>
    </xf>
    <xf numFmtId="0" fontId="9" fillId="0" borderId="6" xfId="2" applyFont="1" applyBorder="1" applyAlignment="1" applyProtection="1">
      <alignment horizontal="center" vertical="top" wrapText="1"/>
      <protection locked="0"/>
    </xf>
    <xf numFmtId="0" fontId="9" fillId="0" borderId="15" xfId="2" applyFont="1" applyBorder="1" applyAlignment="1" applyProtection="1">
      <alignment horizontal="center" vertical="top" wrapText="1"/>
      <protection locked="0"/>
    </xf>
    <xf numFmtId="0" fontId="9" fillId="0" borderId="16" xfId="2" applyFont="1" applyBorder="1" applyAlignment="1" applyProtection="1">
      <alignment horizontal="center" vertical="top" wrapText="1"/>
      <protection locked="0"/>
    </xf>
    <xf numFmtId="9" fontId="9" fillId="3" borderId="5" xfId="2" applyNumberFormat="1" applyFont="1" applyFill="1" applyBorder="1" applyAlignment="1" applyProtection="1">
      <alignment horizontal="center" vertical="center" wrapText="1"/>
      <protection hidden="1"/>
    </xf>
    <xf numFmtId="9" fontId="9" fillId="3" borderId="16" xfId="2" applyNumberFormat="1" applyFont="1" applyFill="1" applyBorder="1" applyAlignment="1" applyProtection="1">
      <alignment horizontal="center" vertical="center" wrapText="1"/>
      <protection hidden="1"/>
    </xf>
    <xf numFmtId="9" fontId="9" fillId="3" borderId="6" xfId="2" applyNumberFormat="1" applyFont="1" applyFill="1" applyBorder="1" applyAlignment="1" applyProtection="1">
      <alignment horizontal="center" vertical="center" wrapText="1"/>
      <protection hidden="1"/>
    </xf>
    <xf numFmtId="9" fontId="9" fillId="3" borderId="24" xfId="2" applyNumberFormat="1" applyFont="1" applyFill="1" applyBorder="1" applyAlignment="1" applyProtection="1">
      <alignment horizontal="center" vertical="center" wrapText="1"/>
      <protection hidden="1"/>
    </xf>
    <xf numFmtId="0" fontId="9" fillId="0" borderId="4" xfId="2" applyFont="1" applyBorder="1" applyAlignment="1" applyProtection="1">
      <alignment horizontal="center" vertical="top"/>
      <protection locked="0"/>
    </xf>
    <xf numFmtId="0" fontId="9" fillId="0" borderId="5" xfId="2" applyFont="1" applyBorder="1" applyAlignment="1" applyProtection="1">
      <alignment horizontal="center" vertical="top"/>
      <protection locked="0"/>
    </xf>
    <xf numFmtId="0" fontId="30" fillId="9" borderId="10" xfId="0" applyFont="1" applyFill="1" applyBorder="1" applyAlignment="1">
      <alignment horizontal="center" vertical="top" wrapText="1"/>
    </xf>
    <xf numFmtId="0" fontId="30" fillId="9" borderId="11" xfId="0" applyFont="1" applyFill="1" applyBorder="1" applyAlignment="1">
      <alignment horizontal="center" vertical="top" wrapText="1"/>
    </xf>
    <xf numFmtId="0" fontId="26" fillId="4" borderId="4" xfId="2" applyFont="1" applyFill="1" applyBorder="1" applyAlignment="1" applyProtection="1">
      <alignment horizontal="center" vertical="top" wrapText="1"/>
      <protection locked="0"/>
    </xf>
    <xf numFmtId="0" fontId="26" fillId="4" borderId="5" xfId="2" applyFont="1" applyFill="1" applyBorder="1" applyAlignment="1" applyProtection="1">
      <alignment horizontal="left" wrapText="1"/>
      <protection locked="0"/>
    </xf>
    <xf numFmtId="0" fontId="16" fillId="0" borderId="0" xfId="0" applyFont="1" applyProtection="1">
      <protection hidden="1"/>
    </xf>
    <xf numFmtId="0" fontId="3" fillId="4" borderId="4" xfId="2" applyFont="1" applyFill="1" applyBorder="1" applyAlignment="1" applyProtection="1">
      <alignment horizontal="center" vertical="center"/>
      <protection locked="0"/>
    </xf>
    <xf numFmtId="0" fontId="3" fillId="4" borderId="5" xfId="2" applyFont="1" applyFill="1" applyBorder="1" applyAlignment="1" applyProtection="1">
      <alignment horizontal="center" vertical="center"/>
      <protection locked="0"/>
    </xf>
    <xf numFmtId="0" fontId="26" fillId="4" borderId="4" xfId="0" applyFont="1" applyFill="1" applyBorder="1" applyAlignment="1">
      <alignment horizontal="center" vertical="top"/>
    </xf>
    <xf numFmtId="0" fontId="31" fillId="7" borderId="4" xfId="2" applyFont="1" applyFill="1" applyBorder="1" applyAlignment="1" applyProtection="1">
      <alignment horizontal="center" vertical="center" wrapText="1"/>
      <protection locked="0"/>
    </xf>
    <xf numFmtId="0" fontId="31" fillId="7" borderId="5" xfId="0" applyFont="1" applyFill="1" applyBorder="1" applyAlignment="1">
      <alignment horizontal="center" vertical="center" wrapText="1"/>
    </xf>
    <xf numFmtId="0" fontId="31" fillId="7" borderId="5" xfId="2" applyFont="1" applyFill="1" applyBorder="1" applyAlignment="1" applyProtection="1">
      <alignment horizontal="center" vertical="center" wrapText="1"/>
      <protection locked="0"/>
    </xf>
    <xf numFmtId="0" fontId="31" fillId="7" borderId="5" xfId="2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vertical="center"/>
      <protection hidden="1"/>
    </xf>
    <xf numFmtId="0" fontId="40" fillId="0" borderId="1" xfId="2" applyFont="1" applyBorder="1" applyAlignment="1">
      <alignment vertical="center"/>
    </xf>
    <xf numFmtId="0" fontId="15" fillId="0" borderId="0" xfId="0" applyFont="1" applyAlignment="1">
      <alignment vertical="center"/>
    </xf>
    <xf numFmtId="0" fontId="3" fillId="4" borderId="4" xfId="2" applyFont="1" applyFill="1" applyBorder="1" applyAlignment="1" applyProtection="1">
      <alignment horizontal="center" vertical="top" wrapText="1"/>
      <protection locked="0"/>
    </xf>
    <xf numFmtId="0" fontId="3" fillId="4" borderId="15" xfId="2" applyFont="1" applyFill="1" applyBorder="1" applyAlignment="1" applyProtection="1">
      <alignment horizontal="center" vertical="top" wrapText="1"/>
      <protection locked="0"/>
    </xf>
    <xf numFmtId="0" fontId="15" fillId="0" borderId="0" xfId="0" applyFont="1" applyBorder="1"/>
    <xf numFmtId="0" fontId="41" fillId="0" borderId="5" xfId="0" applyFont="1" applyBorder="1" applyAlignment="1">
      <alignment horizontal="left" vertical="top"/>
    </xf>
  </cellXfs>
  <cellStyles count="6">
    <cellStyle name="Excel Built-in Normal" xfId="3"/>
    <cellStyle name="Hyperlink" xfId="4" builtinId="8"/>
    <cellStyle name="Normal" xfId="0" builtinId="0"/>
    <cellStyle name="Normal 2" xfId="1"/>
    <cellStyle name="Normal 3" xfId="2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323026</xdr:colOff>
      <xdr:row>640</xdr:row>
      <xdr:rowOff>41414</xdr:rowOff>
    </xdr:from>
    <xdr:to>
      <xdr:col>5</xdr:col>
      <xdr:colOff>952504</xdr:colOff>
      <xdr:row>673</xdr:row>
      <xdr:rowOff>99392</xdr:rowOff>
    </xdr:to>
    <xdr:grpSp>
      <xdr:nvGrpSpPr>
        <xdr:cNvPr id="14" name="Group 13"/>
        <xdr:cNvGrpSpPr/>
      </xdr:nvGrpSpPr>
      <xdr:grpSpPr>
        <a:xfrm>
          <a:off x="323026" y="116668827"/>
          <a:ext cx="5913782" cy="6344478"/>
          <a:chOff x="939800" y="103914575"/>
          <a:chExt cx="4479975" cy="5073562"/>
        </a:xfrm>
      </xdr:grpSpPr>
      <xdr:pic>
        <xdr:nvPicPr>
          <xdr:cNvPr id="15" name="Picture 14"/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939800" y="103914575"/>
            <a:ext cx="4479975" cy="5073562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16" name="TextBox 6"/>
          <xdr:cNvSpPr txBox="1"/>
        </xdr:nvSpPr>
        <xdr:spPr>
          <a:xfrm>
            <a:off x="1219200" y="108356400"/>
            <a:ext cx="636674" cy="211564"/>
          </a:xfrm>
          <a:prstGeom prst="rect">
            <a:avLst/>
          </a:prstGeom>
          <a:solidFill>
            <a:srgbClr val="FFFF00"/>
          </a:solidFill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 rtlCol="0" anchor="t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1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Bldg No.1</a:t>
            </a:r>
          </a:p>
        </xdr:txBody>
      </xdr:sp>
      <xdr:cxnSp macro="">
        <xdr:nvCxnSpPr>
          <xdr:cNvPr id="17" name="Straight Arrow Connector 16"/>
          <xdr:cNvCxnSpPr>
            <a:stCxn id="16" idx="0"/>
          </xdr:cNvCxnSpPr>
        </xdr:nvCxnSpPr>
        <xdr:spPr>
          <a:xfrm flipV="1">
            <a:off x="1537537" y="107838875"/>
            <a:ext cx="202363" cy="517525"/>
          </a:xfrm>
          <a:prstGeom prst="straightConnector1">
            <a:avLst/>
          </a:prstGeom>
          <a:ln w="28575"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8" name="TextBox 6"/>
          <xdr:cNvSpPr txBox="1"/>
        </xdr:nvSpPr>
        <xdr:spPr>
          <a:xfrm>
            <a:off x="4448175" y="106689525"/>
            <a:ext cx="582583" cy="211564"/>
          </a:xfrm>
          <a:prstGeom prst="rect">
            <a:avLst/>
          </a:prstGeom>
          <a:solidFill>
            <a:srgbClr val="FFFF00"/>
          </a:solidFill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 rtlCol="0" anchor="t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1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Bldg No.2</a:t>
            </a:r>
          </a:p>
        </xdr:txBody>
      </xdr:sp>
      <xdr:cxnSp macro="">
        <xdr:nvCxnSpPr>
          <xdr:cNvPr id="19" name="Straight Arrow Connector 18"/>
          <xdr:cNvCxnSpPr>
            <a:stCxn id="18" idx="0"/>
          </xdr:cNvCxnSpPr>
        </xdr:nvCxnSpPr>
        <xdr:spPr>
          <a:xfrm flipH="1" flipV="1">
            <a:off x="3768727" y="106302175"/>
            <a:ext cx="970739" cy="387351"/>
          </a:xfrm>
          <a:prstGeom prst="straightConnector1">
            <a:avLst/>
          </a:prstGeom>
          <a:ln w="28575"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20" name="TextBox 6"/>
          <xdr:cNvSpPr txBox="1"/>
        </xdr:nvSpPr>
        <xdr:spPr>
          <a:xfrm>
            <a:off x="1638301" y="104174925"/>
            <a:ext cx="625414" cy="211564"/>
          </a:xfrm>
          <a:prstGeom prst="rect">
            <a:avLst/>
          </a:prstGeom>
          <a:solidFill>
            <a:srgbClr val="FFFF00"/>
          </a:solidFill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 rtlCol="0" anchor="t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1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Bldg No.3</a:t>
            </a:r>
          </a:p>
        </xdr:txBody>
      </xdr:sp>
      <xdr:cxnSp macro="">
        <xdr:nvCxnSpPr>
          <xdr:cNvPr id="21" name="Straight Arrow Connector 20"/>
          <xdr:cNvCxnSpPr/>
        </xdr:nvCxnSpPr>
        <xdr:spPr>
          <a:xfrm>
            <a:off x="2006600" y="104425750"/>
            <a:ext cx="708025" cy="555625"/>
          </a:xfrm>
          <a:prstGeom prst="straightConnector1">
            <a:avLst/>
          </a:prstGeom>
          <a:ln w="28575"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538370</xdr:colOff>
      <xdr:row>686</xdr:row>
      <xdr:rowOff>33131</xdr:rowOff>
    </xdr:from>
    <xdr:to>
      <xdr:col>5</xdr:col>
      <xdr:colOff>637762</xdr:colOff>
      <xdr:row>724</xdr:row>
      <xdr:rowOff>99391</xdr:rowOff>
    </xdr:to>
    <xdr:grpSp>
      <xdr:nvGrpSpPr>
        <xdr:cNvPr id="27" name="Group 26"/>
        <xdr:cNvGrpSpPr/>
      </xdr:nvGrpSpPr>
      <xdr:grpSpPr>
        <a:xfrm>
          <a:off x="538370" y="125423544"/>
          <a:ext cx="5383696" cy="7305260"/>
          <a:chOff x="304800" y="0"/>
          <a:chExt cx="5962650" cy="8343900"/>
        </a:xfrm>
      </xdr:grpSpPr>
      <xdr:pic>
        <xdr:nvPicPr>
          <xdr:cNvPr id="28" name="Picture 27"/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l="24817" t="26302" r="33455" b="20052"/>
          <a:stretch/>
        </xdr:blipFill>
        <xdr:spPr>
          <a:xfrm>
            <a:off x="571500" y="0"/>
            <a:ext cx="5429250" cy="39243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grpSp>
        <xdr:nvGrpSpPr>
          <xdr:cNvPr id="29" name="Group 28"/>
          <xdr:cNvGrpSpPr/>
        </xdr:nvGrpSpPr>
        <xdr:grpSpPr>
          <a:xfrm>
            <a:off x="304800" y="4114800"/>
            <a:ext cx="5962650" cy="4229100"/>
            <a:chOff x="304800" y="4114800"/>
            <a:chExt cx="5962650" cy="4229100"/>
          </a:xfrm>
        </xdr:grpSpPr>
        <xdr:pic>
          <xdr:nvPicPr>
            <xdr:cNvPr id="30" name="Picture 29"/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3"/>
            <a:srcRect l="23207" t="29427" r="30966" b="12758"/>
            <a:stretch/>
          </xdr:blipFill>
          <xdr:spPr>
            <a:xfrm>
              <a:off x="304800" y="4114800"/>
              <a:ext cx="5962650" cy="42291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sp macro="" textlink="">
          <xdr:nvSpPr>
            <xdr:cNvPr id="31" name="Rectangle 30"/>
            <xdr:cNvSpPr/>
          </xdr:nvSpPr>
          <xdr:spPr>
            <a:xfrm rot="1753700">
              <a:off x="2400301" y="5048250"/>
              <a:ext cx="1428750" cy="1962150"/>
            </a:xfrm>
            <a:prstGeom prst="rect">
              <a:avLst/>
            </a:prstGeom>
            <a:noFill/>
            <a:ln w="38100">
              <a:solidFill>
                <a:srgbClr val="FFFF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IN"/>
            </a:p>
          </xdr:txBody>
        </xdr:sp>
      </xdr:grpSp>
    </xdr:grpSp>
    <xdr:clientData/>
  </xdr:twoCellAnchor>
  <xdr:twoCellAnchor>
    <xdr:from>
      <xdr:col>8</xdr:col>
      <xdr:colOff>581025</xdr:colOff>
      <xdr:row>583</xdr:row>
      <xdr:rowOff>161925</xdr:rowOff>
    </xdr:from>
    <xdr:to>
      <xdr:col>10</xdr:col>
      <xdr:colOff>276225</xdr:colOff>
      <xdr:row>586</xdr:row>
      <xdr:rowOff>142875</xdr:rowOff>
    </xdr:to>
    <xdr:sp macro="" textlink="">
      <xdr:nvSpPr>
        <xdr:cNvPr id="56" name="Rectangle 55"/>
        <xdr:cNvSpPr/>
      </xdr:nvSpPr>
      <xdr:spPr>
        <a:xfrm>
          <a:off x="8820150" y="109594650"/>
          <a:ext cx="1943100" cy="361950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Bldg No.1</a:t>
          </a:r>
          <a:r>
            <a:rPr lang="en-IN" b="1" baseline="0">
              <a:solidFill>
                <a:srgbClr val="FF0000"/>
              </a:solidFill>
            </a:rPr>
            <a:t> </a:t>
          </a:r>
          <a:r>
            <a:rPr lang="en-IN" b="1">
              <a:solidFill>
                <a:srgbClr val="FF0000"/>
              </a:solidFill>
            </a:rPr>
            <a:t>Part II</a:t>
          </a:r>
        </a:p>
      </xdr:txBody>
    </xdr:sp>
    <xdr:clientData/>
  </xdr:twoCellAnchor>
  <xdr:twoCellAnchor>
    <xdr:from>
      <xdr:col>0</xdr:col>
      <xdr:colOff>44726</xdr:colOff>
      <xdr:row>590</xdr:row>
      <xdr:rowOff>112230</xdr:rowOff>
    </xdr:from>
    <xdr:to>
      <xdr:col>5</xdr:col>
      <xdr:colOff>1701457</xdr:colOff>
      <xdr:row>635</xdr:row>
      <xdr:rowOff>171450</xdr:rowOff>
    </xdr:to>
    <xdr:grpSp>
      <xdr:nvGrpSpPr>
        <xdr:cNvPr id="6" name="Group 5"/>
        <xdr:cNvGrpSpPr/>
      </xdr:nvGrpSpPr>
      <xdr:grpSpPr>
        <a:xfrm>
          <a:off x="44726" y="107214643"/>
          <a:ext cx="6941035" cy="8631720"/>
          <a:chOff x="44726" y="106916055"/>
          <a:chExt cx="6943106" cy="8631720"/>
        </a:xfrm>
      </xdr:grpSpPr>
      <xdr:grpSp>
        <xdr:nvGrpSpPr>
          <xdr:cNvPr id="3" name="Group 2"/>
          <xdr:cNvGrpSpPr/>
        </xdr:nvGrpSpPr>
        <xdr:grpSpPr>
          <a:xfrm>
            <a:off x="44726" y="106916055"/>
            <a:ext cx="6943106" cy="8631720"/>
            <a:chOff x="44726" y="110154555"/>
            <a:chExt cx="6943106" cy="8631720"/>
          </a:xfrm>
        </xdr:grpSpPr>
        <xdr:pic>
          <xdr:nvPicPr>
            <xdr:cNvPr id="33" name="Picture 32" descr="https://vsjcllp.vsjadon.com/upload/insp-249628-1525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577798" y="116234402"/>
              <a:ext cx="1911912" cy="2551873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4" name="Picture 33" descr="https://vsjcllp.vsjadon.com/upload/insp-249628-843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4726" y="110159524"/>
              <a:ext cx="2257383" cy="3009899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5" name="Picture 34" descr="https://vsjcllp.vsjadon.com/upload/insp-249628-845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6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576305" y="116221978"/>
              <a:ext cx="1911422" cy="2551873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6" name="Picture 35" descr="https://vsjcllp.vsjadon.com/upload/insp-249628-847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731026" y="110156625"/>
              <a:ext cx="2256806" cy="3009899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5" name="Picture 44" descr="https://vsjcllp.vsjadon.com/upload/insp-249628-844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8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688807" y="113261359"/>
              <a:ext cx="2143265" cy="285847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6" name="Picture 45" descr="https://vsjcllp.vsjadon.com/upload/insp-249628-861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454684" y="113264674"/>
              <a:ext cx="2140523" cy="285847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7" name="Picture 46" descr="https://vsjcllp.vsjadon.com/upload/insp-249628-880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0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19075" y="113257221"/>
              <a:ext cx="2143813" cy="285847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8" name="Picture 47" descr="https://vsjcllp.vsjadon.com/upload/insp-249628-931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398643" y="110154555"/>
              <a:ext cx="2253918" cy="3009899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9" name="Picture 48" descr="https://vsjcllp.vsjadon.com/upload/insp-249628-860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2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550738" y="116224609"/>
              <a:ext cx="1912017" cy="2553782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4" name="TextBox 3"/>
          <xdr:cNvSpPr txBox="1"/>
        </xdr:nvSpPr>
        <xdr:spPr>
          <a:xfrm>
            <a:off x="704850" y="107375325"/>
            <a:ext cx="695325" cy="304800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200" b="1">
                <a:solidFill>
                  <a:srgbClr val="FF0000"/>
                </a:solidFill>
              </a:rPr>
              <a:t>Bldg 1</a:t>
            </a:r>
          </a:p>
        </xdr:txBody>
      </xdr:sp>
      <xdr:sp macro="" textlink="">
        <xdr:nvSpPr>
          <xdr:cNvPr id="50" name="TextBox 49"/>
          <xdr:cNvSpPr txBox="1"/>
        </xdr:nvSpPr>
        <xdr:spPr>
          <a:xfrm>
            <a:off x="2933701" y="106954155"/>
            <a:ext cx="749576" cy="304800"/>
          </a:xfrm>
          <a:prstGeom prst="rect">
            <a:avLst/>
          </a:prstGeom>
          <a:solidFill>
            <a:schemeClr val="bg1">
              <a:lumMod val="9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200" b="1">
                <a:solidFill>
                  <a:srgbClr val="FF0000"/>
                </a:solidFill>
              </a:rPr>
              <a:t>Bldg 1</a:t>
            </a:r>
          </a:p>
        </xdr:txBody>
      </xdr:sp>
      <xdr:sp macro="" textlink="">
        <xdr:nvSpPr>
          <xdr:cNvPr id="51" name="TextBox 50"/>
          <xdr:cNvSpPr txBox="1"/>
        </xdr:nvSpPr>
        <xdr:spPr>
          <a:xfrm>
            <a:off x="5807351" y="107268480"/>
            <a:ext cx="695325" cy="304800"/>
          </a:xfrm>
          <a:prstGeom prst="rect">
            <a:avLst/>
          </a:prstGeom>
          <a:solidFill>
            <a:schemeClr val="bg1">
              <a:lumMod val="9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200" b="1">
                <a:solidFill>
                  <a:srgbClr val="FF0000"/>
                </a:solidFill>
              </a:rPr>
              <a:t>Bldg 2</a:t>
            </a:r>
          </a:p>
        </xdr:txBody>
      </xdr:sp>
      <xdr:sp macro="" textlink="">
        <xdr:nvSpPr>
          <xdr:cNvPr id="52" name="TextBox 51"/>
          <xdr:cNvSpPr txBox="1"/>
        </xdr:nvSpPr>
        <xdr:spPr>
          <a:xfrm>
            <a:off x="968651" y="110173605"/>
            <a:ext cx="695325" cy="304800"/>
          </a:xfrm>
          <a:prstGeom prst="rect">
            <a:avLst/>
          </a:prstGeom>
          <a:solidFill>
            <a:schemeClr val="bg1">
              <a:lumMod val="9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200" b="1">
                <a:solidFill>
                  <a:srgbClr val="FF0000"/>
                </a:solidFill>
              </a:rPr>
              <a:t>Bldg 3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s://usha-residency.com/" TargetMode="External"/><Relationship Id="rId7" Type="http://schemas.openxmlformats.org/officeDocument/2006/relationships/vmlDrawing" Target="../drawings/vmlDrawing2.vml"/><Relationship Id="rId2" Type="http://schemas.openxmlformats.org/officeDocument/2006/relationships/hyperlink" Target="https://maps.app.goo.gl/Neiwufj6bsaecrwB7" TargetMode="External"/><Relationship Id="rId1" Type="http://schemas.openxmlformats.org/officeDocument/2006/relationships/hyperlink" Target="mailto:vsjc.apf@gmail.com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727"/>
  <sheetViews>
    <sheetView tabSelected="1" showWhiteSpace="0" view="pageBreakPreview" zoomScale="115" zoomScaleNormal="100" zoomScaleSheetLayoutView="115" zoomScalePageLayoutView="85" workbookViewId="0">
      <selection activeCell="H585" sqref="H585"/>
    </sheetView>
  </sheetViews>
  <sheetFormatPr defaultRowHeight="15" x14ac:dyDescent="0.25"/>
  <cols>
    <col min="1" max="1" width="18.28515625" style="52" customWidth="1"/>
    <col min="2" max="2" width="16.28515625" customWidth="1"/>
    <col min="3" max="3" width="13.140625" style="106" customWidth="1"/>
    <col min="4" max="4" width="17.28515625" customWidth="1"/>
    <col min="5" max="5" width="14.28515625" customWidth="1"/>
    <col min="6" max="6" width="26" customWidth="1"/>
    <col min="9" max="9" width="23.5703125" customWidth="1"/>
    <col min="10" max="10" width="10.140625" bestFit="1" customWidth="1"/>
  </cols>
  <sheetData>
    <row r="1" spans="1:12" x14ac:dyDescent="0.25">
      <c r="A1" s="233" t="s">
        <v>0</v>
      </c>
      <c r="B1" s="233"/>
      <c r="C1" s="233"/>
      <c r="D1" s="233"/>
      <c r="E1" s="233"/>
      <c r="F1" s="233"/>
      <c r="G1" s="61"/>
      <c r="H1" s="61"/>
      <c r="I1" s="61"/>
      <c r="J1" s="61"/>
      <c r="K1" s="61"/>
      <c r="L1" s="61"/>
    </row>
    <row r="2" spans="1:12" ht="27.75" customHeight="1" x14ac:dyDescent="0.25">
      <c r="A2" s="67" t="s">
        <v>67</v>
      </c>
      <c r="B2" s="357" t="s">
        <v>291</v>
      </c>
      <c r="C2" s="357"/>
      <c r="D2" s="357"/>
      <c r="E2" s="66" t="s">
        <v>1</v>
      </c>
      <c r="F2" s="108" t="s">
        <v>292</v>
      </c>
      <c r="G2" s="61"/>
      <c r="H2" s="61"/>
      <c r="I2" s="61"/>
      <c r="J2" s="61"/>
      <c r="K2" s="61"/>
      <c r="L2" s="61"/>
    </row>
    <row r="3" spans="1:12" x14ac:dyDescent="0.25">
      <c r="A3" s="234" t="s">
        <v>68</v>
      </c>
      <c r="B3" s="234"/>
      <c r="C3" s="234"/>
      <c r="D3" s="234"/>
      <c r="E3" s="234"/>
      <c r="F3" s="234"/>
      <c r="G3" s="61"/>
      <c r="H3" s="61"/>
      <c r="I3" s="61"/>
      <c r="J3" s="61"/>
      <c r="K3" s="61"/>
      <c r="L3" s="61"/>
    </row>
    <row r="4" spans="1:12" ht="15" customHeight="1" x14ac:dyDescent="0.25">
      <c r="A4" s="235" t="s">
        <v>74</v>
      </c>
      <c r="B4" s="235"/>
      <c r="C4" s="224" t="s">
        <v>243</v>
      </c>
      <c r="D4" s="224"/>
      <c r="E4" s="224"/>
      <c r="F4" s="224"/>
      <c r="G4" s="61"/>
      <c r="H4" s="61"/>
      <c r="I4" s="61"/>
      <c r="J4" s="61"/>
      <c r="K4" s="61"/>
      <c r="L4" s="61"/>
    </row>
    <row r="5" spans="1:12" ht="15" customHeight="1" x14ac:dyDescent="0.25">
      <c r="A5" s="225" t="s">
        <v>69</v>
      </c>
      <c r="B5" s="225"/>
      <c r="C5" s="224" t="s">
        <v>244</v>
      </c>
      <c r="D5" s="224"/>
      <c r="E5" s="224"/>
      <c r="F5" s="224"/>
      <c r="G5" s="61"/>
      <c r="H5" s="61"/>
      <c r="I5" s="61"/>
      <c r="J5" s="61"/>
      <c r="K5" s="61"/>
      <c r="L5" s="61"/>
    </row>
    <row r="6" spans="1:12" ht="15" customHeight="1" x14ac:dyDescent="0.25">
      <c r="A6" s="225" t="s">
        <v>70</v>
      </c>
      <c r="B6" s="225"/>
      <c r="C6" s="238" t="s">
        <v>245</v>
      </c>
      <c r="D6" s="238"/>
      <c r="E6" s="238"/>
      <c r="F6" s="238"/>
      <c r="G6" s="61"/>
      <c r="H6" s="61"/>
      <c r="I6" s="61"/>
      <c r="J6" s="61"/>
      <c r="K6" s="61"/>
      <c r="L6" s="61"/>
    </row>
    <row r="7" spans="1:12" ht="15" customHeight="1" x14ac:dyDescent="0.25">
      <c r="A7" s="225" t="s">
        <v>73</v>
      </c>
      <c r="B7" s="225"/>
      <c r="C7" s="224" t="s">
        <v>246</v>
      </c>
      <c r="D7" s="224"/>
      <c r="E7" s="224"/>
      <c r="F7" s="224"/>
      <c r="G7" s="61"/>
      <c r="H7" s="356"/>
      <c r="I7" s="61"/>
      <c r="J7" s="61"/>
      <c r="K7" s="61"/>
      <c r="L7" s="61"/>
    </row>
    <row r="8" spans="1:12" ht="15" customHeight="1" x14ac:dyDescent="0.25">
      <c r="A8" s="225" t="s">
        <v>71</v>
      </c>
      <c r="B8" s="225"/>
      <c r="C8" s="224"/>
      <c r="D8" s="224"/>
      <c r="E8" s="224"/>
      <c r="F8" s="224"/>
      <c r="G8" s="61"/>
      <c r="H8" s="61"/>
      <c r="I8" s="61"/>
      <c r="J8" s="61"/>
      <c r="K8" s="61"/>
      <c r="L8" s="61"/>
    </row>
    <row r="9" spans="1:12" ht="33" customHeight="1" x14ac:dyDescent="0.25">
      <c r="A9" s="225" t="s">
        <v>72</v>
      </c>
      <c r="B9" s="225"/>
      <c r="C9" s="224" t="s">
        <v>286</v>
      </c>
      <c r="D9" s="224"/>
      <c r="E9" s="224"/>
      <c r="F9" s="224"/>
      <c r="G9" s="61"/>
      <c r="H9" s="61"/>
      <c r="I9" s="93"/>
      <c r="J9" s="93"/>
      <c r="K9" s="93"/>
      <c r="L9" s="93"/>
    </row>
    <row r="10" spans="1:12" x14ac:dyDescent="0.25">
      <c r="A10" s="234" t="s">
        <v>75</v>
      </c>
      <c r="B10" s="234"/>
      <c r="C10" s="234"/>
      <c r="D10" s="234"/>
      <c r="E10" s="234"/>
      <c r="F10" s="234"/>
      <c r="G10" s="61"/>
      <c r="H10" s="61"/>
      <c r="I10" s="93"/>
      <c r="J10" s="93"/>
      <c r="K10" s="93"/>
      <c r="L10" s="93"/>
    </row>
    <row r="11" spans="1:12" ht="24" x14ac:dyDescent="0.25">
      <c r="A11" s="47" t="s">
        <v>79</v>
      </c>
      <c r="B11" s="141">
        <v>45929</v>
      </c>
      <c r="C11" s="47" t="s">
        <v>91</v>
      </c>
      <c r="D11" s="45" t="s">
        <v>397</v>
      </c>
      <c r="E11" s="47" t="s">
        <v>280</v>
      </c>
      <c r="F11" s="140">
        <v>45407</v>
      </c>
      <c r="G11" s="61"/>
      <c r="H11" s="61"/>
      <c r="I11" s="94"/>
      <c r="J11" s="94"/>
      <c r="K11" s="94"/>
      <c r="L11" s="94"/>
    </row>
    <row r="12" spans="1:12" x14ac:dyDescent="0.25">
      <c r="A12" s="47" t="s">
        <v>80</v>
      </c>
      <c r="B12" s="141">
        <v>45929</v>
      </c>
      <c r="C12" s="235" t="s">
        <v>92</v>
      </c>
      <c r="D12" s="235"/>
      <c r="E12" s="239" t="s">
        <v>391</v>
      </c>
      <c r="F12" s="239"/>
      <c r="G12" s="61"/>
      <c r="H12" s="61"/>
      <c r="I12" s="210"/>
      <c r="J12" s="210"/>
      <c r="K12" s="94"/>
      <c r="L12" s="94"/>
    </row>
    <row r="13" spans="1:12" x14ac:dyDescent="0.25">
      <c r="A13" s="47" t="s">
        <v>81</v>
      </c>
      <c r="B13" s="75" t="str">
        <f ca="1">TEXT(TODAY(),"DD/MM/YYYY")</f>
        <v>30/09/2025</v>
      </c>
      <c r="C13" s="235" t="s">
        <v>93</v>
      </c>
      <c r="D13" s="235"/>
      <c r="E13" s="239" t="s">
        <v>398</v>
      </c>
      <c r="F13" s="239"/>
      <c r="G13" s="61"/>
      <c r="H13" s="61"/>
      <c r="I13" s="210"/>
      <c r="J13" s="210"/>
      <c r="K13" s="94"/>
      <c r="L13" s="94"/>
    </row>
    <row r="14" spans="1:12" x14ac:dyDescent="0.25">
      <c r="A14" s="215" t="s">
        <v>76</v>
      </c>
      <c r="B14" s="215"/>
      <c r="C14" s="215"/>
      <c r="D14" s="215"/>
      <c r="E14" s="215"/>
      <c r="F14" s="215"/>
      <c r="G14" s="61"/>
      <c r="H14" s="61"/>
      <c r="I14" s="93"/>
      <c r="J14" s="93"/>
      <c r="K14" s="93"/>
      <c r="L14" s="93"/>
    </row>
    <row r="15" spans="1:12" ht="24.75" customHeight="1" x14ac:dyDescent="0.25">
      <c r="A15" s="168" t="s">
        <v>77</v>
      </c>
      <c r="B15" s="168"/>
      <c r="C15" s="222" t="s">
        <v>293</v>
      </c>
      <c r="D15" s="222"/>
      <c r="E15" s="222"/>
      <c r="F15" s="222"/>
      <c r="G15" s="61"/>
      <c r="H15" s="61"/>
      <c r="I15" s="93"/>
      <c r="J15" s="93"/>
      <c r="K15" s="93"/>
      <c r="L15" s="93"/>
    </row>
    <row r="16" spans="1:12" x14ac:dyDescent="0.25">
      <c r="A16" s="215" t="s">
        <v>78</v>
      </c>
      <c r="B16" s="215"/>
      <c r="C16" s="215"/>
      <c r="D16" s="215"/>
      <c r="E16" s="215"/>
      <c r="F16" s="215"/>
      <c r="G16" s="61"/>
      <c r="H16" s="61"/>
      <c r="I16" s="93"/>
      <c r="J16" s="93"/>
      <c r="K16" s="93"/>
      <c r="L16" s="93"/>
    </row>
    <row r="17" spans="1:12" x14ac:dyDescent="0.25">
      <c r="A17" s="76" t="s">
        <v>67</v>
      </c>
      <c r="B17" s="220" t="s">
        <v>291</v>
      </c>
      <c r="C17" s="220"/>
      <c r="D17" s="220"/>
      <c r="E17" s="220"/>
      <c r="F17" s="220"/>
      <c r="G17" s="61"/>
      <c r="H17" s="61"/>
      <c r="I17" s="93"/>
      <c r="J17" s="93"/>
      <c r="K17" s="93"/>
      <c r="L17" s="93"/>
    </row>
    <row r="18" spans="1:12" ht="41.25" customHeight="1" x14ac:dyDescent="0.25">
      <c r="A18" s="76" t="s">
        <v>287</v>
      </c>
      <c r="B18" s="231" t="str">
        <f>CONCATENATE((IF(OR(B2="",B2="NA"),"",B2)),", ",(IF(OR(A19="",A19="NA"),"",A19)),".",(IF(OR(B19="",B19="NA"),"",B19)),", near ",(IF(OR(E21="",E21="NA"),"",E21)),", ",(IF(OR(B20="",B20="NA"),"",B20)),", ",(IF(OR(B21="",B21="NA"),"",B21)),", ",(IF(OR(E19="",E19="NA"),"",E19)),", ",(IF(OR(E20="",E20="NA"),"",E20)),", ",(IF(OR(B22="",B22="NA"),"",B22)),", ",(IF(OR(E22="",E22="NA"),"",E22))," - ",(IF(OR(B24="",B24="NA"),"",B24)),".")</f>
        <v>Usha Residency, Survey No..18, H.No.10, near The Polymath School, Chinchoti Anjurphata Marg, Narpoli, Anjur phata, Bhiwandi, Bhiwandi, Thane - 421302.</v>
      </c>
      <c r="C18" s="231"/>
      <c r="D18" s="231"/>
      <c r="E18" s="231"/>
      <c r="F18" s="231"/>
      <c r="G18" s="61"/>
      <c r="H18" s="61"/>
      <c r="I18" s="93"/>
      <c r="J18" s="95"/>
      <c r="K18" s="93"/>
      <c r="L18" s="93"/>
    </row>
    <row r="19" spans="1:12" x14ac:dyDescent="0.25">
      <c r="A19" s="76" t="s">
        <v>295</v>
      </c>
      <c r="B19" s="220" t="s">
        <v>294</v>
      </c>
      <c r="C19" s="220"/>
      <c r="D19" s="76" t="s">
        <v>288</v>
      </c>
      <c r="E19" s="220" t="s">
        <v>383</v>
      </c>
      <c r="F19" s="220"/>
      <c r="G19" s="61"/>
      <c r="H19" s="61"/>
      <c r="I19" s="93"/>
      <c r="J19" s="95"/>
      <c r="K19" s="93"/>
      <c r="L19" s="93"/>
    </row>
    <row r="20" spans="1:12" ht="28.5" customHeight="1" x14ac:dyDescent="0.25">
      <c r="A20" s="76" t="s">
        <v>82</v>
      </c>
      <c r="B20" s="220" t="s">
        <v>296</v>
      </c>
      <c r="C20" s="220"/>
      <c r="D20" s="76" t="s">
        <v>249</v>
      </c>
      <c r="E20" s="220" t="s">
        <v>298</v>
      </c>
      <c r="F20" s="220"/>
      <c r="G20" s="61"/>
      <c r="H20" s="61"/>
      <c r="I20" s="93"/>
      <c r="J20" s="95"/>
      <c r="K20" s="93"/>
      <c r="L20" s="93"/>
    </row>
    <row r="21" spans="1:12" x14ac:dyDescent="0.25">
      <c r="A21" s="76" t="s">
        <v>250</v>
      </c>
      <c r="B21" s="220" t="s">
        <v>297</v>
      </c>
      <c r="C21" s="220"/>
      <c r="D21" s="76" t="s">
        <v>86</v>
      </c>
      <c r="E21" s="220" t="s">
        <v>299</v>
      </c>
      <c r="F21" s="220"/>
      <c r="G21" s="61"/>
      <c r="H21" s="61"/>
      <c r="I21" s="93"/>
      <c r="J21" s="95"/>
      <c r="K21" s="93"/>
      <c r="L21" s="61"/>
    </row>
    <row r="22" spans="1:12" x14ac:dyDescent="0.25">
      <c r="A22" s="76" t="s">
        <v>248</v>
      </c>
      <c r="B22" s="220" t="s">
        <v>298</v>
      </c>
      <c r="C22" s="220"/>
      <c r="D22" s="76" t="s">
        <v>87</v>
      </c>
      <c r="E22" s="220" t="s">
        <v>300</v>
      </c>
      <c r="F22" s="220"/>
      <c r="G22" s="61"/>
      <c r="H22" s="61"/>
      <c r="I22" s="93"/>
      <c r="J22" s="95"/>
      <c r="K22" s="93"/>
      <c r="L22" s="61"/>
    </row>
    <row r="23" spans="1:12" x14ac:dyDescent="0.25">
      <c r="A23" s="76" t="s">
        <v>83</v>
      </c>
      <c r="B23" s="220" t="s">
        <v>239</v>
      </c>
      <c r="C23" s="220"/>
      <c r="D23" s="76" t="s">
        <v>88</v>
      </c>
      <c r="E23" s="220" t="s">
        <v>240</v>
      </c>
      <c r="F23" s="220"/>
      <c r="G23" s="61"/>
      <c r="H23" s="61"/>
      <c r="I23" s="93"/>
      <c r="J23" s="95"/>
      <c r="K23" s="93"/>
      <c r="L23" s="61"/>
    </row>
    <row r="24" spans="1:12" x14ac:dyDescent="0.25">
      <c r="A24" s="76" t="s">
        <v>84</v>
      </c>
      <c r="B24" s="220">
        <v>421302</v>
      </c>
      <c r="C24" s="220"/>
      <c r="D24" s="76" t="s">
        <v>89</v>
      </c>
      <c r="E24" s="220" t="s">
        <v>301</v>
      </c>
      <c r="F24" s="220"/>
      <c r="G24" s="61"/>
      <c r="H24" s="61"/>
      <c r="I24" s="93"/>
      <c r="J24" s="95"/>
      <c r="K24" s="93"/>
      <c r="L24" s="61"/>
    </row>
    <row r="25" spans="1:12" x14ac:dyDescent="0.25">
      <c r="A25" s="76" t="s">
        <v>253</v>
      </c>
      <c r="B25" s="232" t="s">
        <v>302</v>
      </c>
      <c r="C25" s="220"/>
      <c r="D25" s="220"/>
      <c r="E25" s="220"/>
      <c r="F25" s="220"/>
      <c r="G25" s="61"/>
      <c r="H25" s="61"/>
      <c r="I25" s="93"/>
      <c r="J25" s="95"/>
      <c r="K25" s="93"/>
      <c r="L25" s="61"/>
    </row>
    <row r="26" spans="1:12" ht="64.5" customHeight="1" thickBot="1" x14ac:dyDescent="0.3">
      <c r="A26" s="112" t="s">
        <v>85</v>
      </c>
      <c r="B26" s="226" t="s">
        <v>303</v>
      </c>
      <c r="C26" s="227"/>
      <c r="D26" s="112" t="s">
        <v>90</v>
      </c>
      <c r="E26" s="227" t="s">
        <v>304</v>
      </c>
      <c r="F26" s="227"/>
      <c r="G26" s="61"/>
      <c r="H26" s="61"/>
      <c r="I26" s="93"/>
      <c r="J26" s="95"/>
      <c r="K26" s="93"/>
      <c r="L26" s="61"/>
    </row>
    <row r="27" spans="1:12" x14ac:dyDescent="0.25">
      <c r="A27" s="216" t="s">
        <v>100</v>
      </c>
      <c r="B27" s="217"/>
      <c r="C27" s="217"/>
      <c r="D27" s="217"/>
      <c r="E27" s="217"/>
      <c r="F27" s="218"/>
      <c r="G27" s="61"/>
      <c r="H27" s="61"/>
      <c r="I27" s="93"/>
      <c r="J27" s="93"/>
      <c r="K27" s="93"/>
      <c r="L27" s="61"/>
    </row>
    <row r="28" spans="1:12" x14ac:dyDescent="0.25">
      <c r="A28" s="228"/>
      <c r="B28" s="168"/>
      <c r="C28" s="49" t="s">
        <v>94</v>
      </c>
      <c r="D28" s="49" t="s">
        <v>95</v>
      </c>
      <c r="E28" s="49" t="s">
        <v>96</v>
      </c>
      <c r="F28" s="113" t="s">
        <v>97</v>
      </c>
      <c r="G28" s="61"/>
      <c r="H28" s="61"/>
      <c r="I28" s="93"/>
      <c r="J28" s="93"/>
      <c r="K28" s="93"/>
      <c r="L28" s="61"/>
    </row>
    <row r="29" spans="1:12" ht="30" customHeight="1" x14ac:dyDescent="0.25">
      <c r="A29" s="228" t="s">
        <v>98</v>
      </c>
      <c r="B29" s="168"/>
      <c r="C29" s="104" t="s">
        <v>247</v>
      </c>
      <c r="D29" s="104" t="s">
        <v>247</v>
      </c>
      <c r="E29" s="104" t="s">
        <v>247</v>
      </c>
      <c r="F29" s="114" t="s">
        <v>247</v>
      </c>
      <c r="G29" s="184"/>
      <c r="H29" s="184"/>
      <c r="I29" s="93"/>
      <c r="J29" s="93"/>
      <c r="K29" s="93"/>
      <c r="L29" s="61"/>
    </row>
    <row r="30" spans="1:12" ht="30" customHeight="1" x14ac:dyDescent="0.25">
      <c r="A30" s="228" t="s">
        <v>251</v>
      </c>
      <c r="B30" s="168"/>
      <c r="C30" s="104" t="s">
        <v>305</v>
      </c>
      <c r="D30" s="142" t="s">
        <v>306</v>
      </c>
      <c r="E30" s="104" t="s">
        <v>305</v>
      </c>
      <c r="F30" s="114" t="s">
        <v>305</v>
      </c>
      <c r="G30" s="184"/>
      <c r="H30" s="184"/>
      <c r="I30" s="93"/>
      <c r="J30" s="61"/>
      <c r="K30" s="61"/>
      <c r="L30" s="61"/>
    </row>
    <row r="31" spans="1:12" ht="30" customHeight="1" thickBot="1" x14ac:dyDescent="0.3">
      <c r="A31" s="229" t="s">
        <v>99</v>
      </c>
      <c r="B31" s="230"/>
      <c r="C31" s="143" t="s">
        <v>308</v>
      </c>
      <c r="D31" s="72" t="s">
        <v>307</v>
      </c>
      <c r="E31" s="143" t="s">
        <v>308</v>
      </c>
      <c r="F31" s="144" t="s">
        <v>308</v>
      </c>
      <c r="G31" s="184"/>
      <c r="H31" s="184"/>
      <c r="I31" s="93"/>
      <c r="J31" s="61"/>
      <c r="K31" s="61"/>
      <c r="L31" s="61"/>
    </row>
    <row r="32" spans="1:12" x14ac:dyDescent="0.25">
      <c r="A32" s="219" t="s">
        <v>101</v>
      </c>
      <c r="B32" s="219"/>
      <c r="C32" s="219"/>
      <c r="D32" s="219"/>
      <c r="E32" s="219"/>
      <c r="F32" s="219"/>
      <c r="G32" s="184"/>
      <c r="H32" s="184"/>
      <c r="I32" s="93"/>
      <c r="J32" s="61"/>
      <c r="K32" s="61"/>
      <c r="L32" s="61"/>
    </row>
    <row r="33" spans="1:12" x14ac:dyDescent="0.25">
      <c r="A33" s="178" t="s">
        <v>102</v>
      </c>
      <c r="B33" s="178"/>
      <c r="C33" s="179" t="s">
        <v>309</v>
      </c>
      <c r="D33" s="179"/>
      <c r="E33" s="179"/>
      <c r="F33" s="179"/>
      <c r="G33" s="211" t="s">
        <v>252</v>
      </c>
      <c r="H33" s="211"/>
      <c r="I33" s="61"/>
      <c r="J33" s="61"/>
      <c r="K33" s="61"/>
      <c r="L33" s="61"/>
    </row>
    <row r="34" spans="1:12" ht="15" customHeight="1" x14ac:dyDescent="0.25">
      <c r="A34" s="178" t="s">
        <v>103</v>
      </c>
      <c r="B34" s="178"/>
      <c r="C34" s="179" t="s">
        <v>309</v>
      </c>
      <c r="D34" s="179"/>
      <c r="E34" s="179"/>
      <c r="F34" s="179"/>
      <c r="G34" s="211"/>
      <c r="H34" s="211"/>
      <c r="I34" s="61"/>
      <c r="J34" s="61"/>
      <c r="K34" s="61"/>
      <c r="L34" s="61"/>
    </row>
    <row r="35" spans="1:12" ht="15" customHeight="1" x14ac:dyDescent="0.25">
      <c r="A35" s="178" t="s">
        <v>104</v>
      </c>
      <c r="B35" s="178"/>
      <c r="C35" s="179" t="s">
        <v>310</v>
      </c>
      <c r="D35" s="179"/>
      <c r="E35" s="179"/>
      <c r="F35" s="179"/>
      <c r="G35" s="184"/>
      <c r="H35" s="184"/>
      <c r="I35" s="61"/>
      <c r="J35" s="61"/>
      <c r="K35" s="61"/>
      <c r="L35" s="61"/>
    </row>
    <row r="36" spans="1:12" x14ac:dyDescent="0.25">
      <c r="A36" s="178" t="s">
        <v>105</v>
      </c>
      <c r="B36" s="178"/>
      <c r="C36" s="179" t="str">
        <f>IF(AND(E22="Mumbai"),"Developed","Developing")</f>
        <v>Developing</v>
      </c>
      <c r="D36" s="179"/>
      <c r="E36" s="179"/>
      <c r="F36" s="179"/>
      <c r="G36" s="184"/>
      <c r="H36" s="184"/>
      <c r="I36" s="61"/>
      <c r="J36" s="61"/>
      <c r="K36" s="61"/>
      <c r="L36" s="61"/>
    </row>
    <row r="37" spans="1:12" ht="15" customHeight="1" x14ac:dyDescent="0.25">
      <c r="A37" s="178" t="s">
        <v>106</v>
      </c>
      <c r="B37" s="178"/>
      <c r="C37" s="179" t="s">
        <v>254</v>
      </c>
      <c r="D37" s="179"/>
      <c r="E37" s="179"/>
      <c r="F37" s="179"/>
      <c r="G37" s="184"/>
      <c r="H37" s="184"/>
      <c r="I37" s="61"/>
      <c r="J37" s="61"/>
      <c r="K37" s="61"/>
      <c r="L37" s="61"/>
    </row>
    <row r="38" spans="1:12" x14ac:dyDescent="0.25">
      <c r="A38" s="178" t="s">
        <v>107</v>
      </c>
      <c r="B38" s="178"/>
      <c r="C38" s="187">
        <f ca="1">E242</f>
        <v>0.78690476190476188</v>
      </c>
      <c r="D38" s="179"/>
      <c r="E38" s="179"/>
      <c r="F38" s="179"/>
      <c r="G38" s="184"/>
      <c r="H38" s="184"/>
      <c r="I38" s="61"/>
      <c r="J38" s="61"/>
      <c r="K38" s="61"/>
      <c r="L38" s="61"/>
    </row>
    <row r="39" spans="1:12" ht="15" customHeight="1" x14ac:dyDescent="0.25">
      <c r="A39" s="178" t="s">
        <v>108</v>
      </c>
      <c r="B39" s="178"/>
      <c r="C39" s="179" t="s">
        <v>255</v>
      </c>
      <c r="D39" s="179"/>
      <c r="E39" s="179"/>
      <c r="F39" s="179"/>
      <c r="G39" s="184"/>
      <c r="H39" s="184"/>
      <c r="I39" s="61"/>
      <c r="J39" s="61"/>
      <c r="K39" s="61"/>
      <c r="L39" s="61"/>
    </row>
    <row r="40" spans="1:12" x14ac:dyDescent="0.25">
      <c r="A40" s="178" t="s">
        <v>109</v>
      </c>
      <c r="B40" s="178"/>
      <c r="C40" s="179" t="s">
        <v>255</v>
      </c>
      <c r="D40" s="179"/>
      <c r="E40" s="179"/>
      <c r="F40" s="179"/>
      <c r="G40" s="184"/>
      <c r="H40" s="184"/>
      <c r="I40" s="61"/>
      <c r="J40" s="61"/>
      <c r="K40" s="61"/>
      <c r="L40" s="61"/>
    </row>
    <row r="41" spans="1:12" x14ac:dyDescent="0.25">
      <c r="A41" s="178" t="s">
        <v>110</v>
      </c>
      <c r="B41" s="178"/>
      <c r="C41" s="179" t="s">
        <v>311</v>
      </c>
      <c r="D41" s="179"/>
      <c r="E41" s="179"/>
      <c r="F41" s="179"/>
      <c r="G41" s="184"/>
      <c r="H41" s="184"/>
      <c r="I41" s="61"/>
      <c r="J41" s="61"/>
      <c r="K41" s="61"/>
      <c r="L41" s="61"/>
    </row>
    <row r="42" spans="1:12" x14ac:dyDescent="0.25">
      <c r="A42" s="215" t="s">
        <v>112</v>
      </c>
      <c r="B42" s="215"/>
      <c r="C42" s="215"/>
      <c r="D42" s="215"/>
      <c r="E42" s="215"/>
      <c r="F42" s="215"/>
      <c r="G42" s="184"/>
      <c r="H42" s="184"/>
      <c r="I42" s="61"/>
      <c r="J42" s="61"/>
      <c r="K42" s="61"/>
      <c r="L42" s="61"/>
    </row>
    <row r="43" spans="1:12" x14ac:dyDescent="0.25">
      <c r="A43" s="178" t="s">
        <v>113</v>
      </c>
      <c r="B43" s="178"/>
      <c r="C43" s="178" t="s">
        <v>111</v>
      </c>
      <c r="D43" s="178"/>
      <c r="E43" s="178"/>
      <c r="F43" s="178"/>
      <c r="G43" s="184"/>
      <c r="H43" s="184"/>
      <c r="I43" s="61"/>
      <c r="J43" s="61"/>
      <c r="K43" s="61"/>
      <c r="L43" s="61"/>
    </row>
    <row r="44" spans="1:12" x14ac:dyDescent="0.25">
      <c r="A44" s="178" t="s">
        <v>114</v>
      </c>
      <c r="B44" s="178"/>
      <c r="C44" s="183">
        <v>18300</v>
      </c>
      <c r="D44" s="183"/>
      <c r="E44" s="183"/>
      <c r="F44" s="183"/>
      <c r="G44" s="184"/>
      <c r="H44" s="184"/>
      <c r="I44" s="61"/>
      <c r="J44" s="61"/>
      <c r="K44" s="61"/>
      <c r="L44" s="61"/>
    </row>
    <row r="45" spans="1:12" x14ac:dyDescent="0.25">
      <c r="A45" s="178" t="s">
        <v>314</v>
      </c>
      <c r="B45" s="178"/>
      <c r="C45" s="183">
        <v>10415.9</v>
      </c>
      <c r="D45" s="183"/>
      <c r="E45" s="183"/>
      <c r="F45" s="183"/>
      <c r="G45" s="184"/>
      <c r="H45" s="184"/>
      <c r="I45" s="61"/>
      <c r="J45" s="61"/>
      <c r="K45" s="61"/>
      <c r="L45" s="61"/>
    </row>
    <row r="46" spans="1:12" x14ac:dyDescent="0.25">
      <c r="A46" s="178" t="s">
        <v>315</v>
      </c>
      <c r="B46" s="178"/>
      <c r="C46" s="183">
        <v>9850</v>
      </c>
      <c r="D46" s="183"/>
      <c r="E46" s="183"/>
      <c r="F46" s="183"/>
      <c r="G46" s="184"/>
      <c r="H46" s="184"/>
      <c r="I46" s="61"/>
      <c r="J46" s="61"/>
      <c r="K46" s="61"/>
      <c r="L46" s="61"/>
    </row>
    <row r="47" spans="1:12" x14ac:dyDescent="0.25">
      <c r="A47" s="178" t="s">
        <v>312</v>
      </c>
      <c r="B47" s="178"/>
      <c r="C47" s="183">
        <v>9850</v>
      </c>
      <c r="D47" s="183"/>
      <c r="E47" s="183"/>
      <c r="F47" s="183"/>
      <c r="G47" s="184"/>
      <c r="H47" s="184"/>
      <c r="I47" s="61"/>
      <c r="J47" s="61"/>
      <c r="K47" s="61"/>
      <c r="L47" s="61"/>
    </row>
    <row r="48" spans="1:12" x14ac:dyDescent="0.25">
      <c r="A48" s="178" t="s">
        <v>115</v>
      </c>
      <c r="B48" s="178"/>
      <c r="C48" s="183">
        <v>41938.589999999997</v>
      </c>
      <c r="D48" s="183"/>
      <c r="E48" s="183"/>
      <c r="F48" s="183"/>
      <c r="G48" s="184"/>
      <c r="H48" s="184"/>
      <c r="I48" s="61"/>
      <c r="J48" s="61"/>
      <c r="K48" s="61"/>
      <c r="L48" s="61"/>
    </row>
    <row r="49" spans="1:14" x14ac:dyDescent="0.25">
      <c r="A49" s="178" t="s">
        <v>116</v>
      </c>
      <c r="B49" s="178"/>
      <c r="C49" s="183">
        <v>41464.21</v>
      </c>
      <c r="D49" s="183"/>
      <c r="E49" s="183"/>
      <c r="F49" s="183"/>
      <c r="G49" s="184"/>
      <c r="H49" s="184"/>
      <c r="I49" s="61"/>
      <c r="J49" s="61"/>
      <c r="K49" s="61"/>
      <c r="L49" s="61"/>
    </row>
    <row r="50" spans="1:14" x14ac:dyDescent="0.25">
      <c r="A50" s="178" t="s">
        <v>117</v>
      </c>
      <c r="B50" s="178"/>
      <c r="C50" s="183">
        <v>474.38</v>
      </c>
      <c r="D50" s="183"/>
      <c r="E50" s="183"/>
      <c r="F50" s="183"/>
      <c r="G50" s="184"/>
      <c r="H50" s="184"/>
      <c r="I50" s="61"/>
      <c r="J50" s="61"/>
      <c r="K50" s="61"/>
      <c r="L50" s="61"/>
    </row>
    <row r="51" spans="1:14" x14ac:dyDescent="0.25">
      <c r="A51" s="178" t="s">
        <v>118</v>
      </c>
      <c r="B51" s="178"/>
      <c r="C51" s="183" t="s">
        <v>313</v>
      </c>
      <c r="D51" s="183"/>
      <c r="E51" s="183"/>
      <c r="F51" s="183"/>
      <c r="G51" s="184"/>
      <c r="H51" s="184"/>
      <c r="I51" s="61"/>
      <c r="J51" s="61"/>
      <c r="K51" s="61"/>
      <c r="L51" s="61"/>
    </row>
    <row r="52" spans="1:14" x14ac:dyDescent="0.25">
      <c r="A52" s="178" t="s">
        <v>119</v>
      </c>
      <c r="B52" s="178"/>
      <c r="C52" s="183" t="s">
        <v>313</v>
      </c>
      <c r="D52" s="183"/>
      <c r="E52" s="183"/>
      <c r="F52" s="183"/>
      <c r="G52" s="184"/>
      <c r="H52" s="184"/>
      <c r="I52" s="61"/>
      <c r="J52" s="61"/>
      <c r="K52" s="61"/>
      <c r="L52" s="61"/>
    </row>
    <row r="53" spans="1:14" hidden="1" x14ac:dyDescent="0.25">
      <c r="A53" s="178" t="s">
        <v>120</v>
      </c>
      <c r="B53" s="178"/>
      <c r="C53" s="180">
        <v>986.28</v>
      </c>
      <c r="D53" s="180"/>
      <c r="E53" s="180"/>
      <c r="F53" s="180"/>
      <c r="G53" s="184">
        <v>986.28</v>
      </c>
      <c r="H53" s="184"/>
      <c r="I53" s="61"/>
      <c r="J53" s="61"/>
      <c r="K53" s="61"/>
      <c r="L53" s="61"/>
    </row>
    <row r="54" spans="1:14" x14ac:dyDescent="0.25">
      <c r="A54" s="290" t="s">
        <v>121</v>
      </c>
      <c r="B54" s="290"/>
      <c r="C54" s="290"/>
      <c r="D54" s="290"/>
      <c r="E54" s="290"/>
      <c r="F54" s="290"/>
      <c r="G54" s="184"/>
      <c r="H54" s="184"/>
      <c r="I54" s="61"/>
      <c r="J54" s="61"/>
      <c r="K54" s="61"/>
      <c r="L54" s="61"/>
    </row>
    <row r="55" spans="1:14" x14ac:dyDescent="0.25">
      <c r="A55" s="178" t="s">
        <v>122</v>
      </c>
      <c r="B55" s="178"/>
      <c r="C55" s="183">
        <f>24625/C47</f>
        <v>2.5</v>
      </c>
      <c r="D55" s="183"/>
      <c r="E55" s="183"/>
      <c r="F55" s="183"/>
      <c r="G55" s="184"/>
      <c r="H55" s="184"/>
      <c r="I55" s="61"/>
      <c r="J55" s="61"/>
      <c r="K55" s="61"/>
      <c r="L55" s="61"/>
    </row>
    <row r="56" spans="1:14" x14ac:dyDescent="0.25">
      <c r="A56" s="178" t="s">
        <v>123</v>
      </c>
      <c r="B56" s="178"/>
      <c r="C56" s="183" t="s">
        <v>313</v>
      </c>
      <c r="D56" s="183"/>
      <c r="E56" s="183"/>
      <c r="F56" s="183"/>
      <c r="G56" s="184"/>
      <c r="H56" s="184"/>
      <c r="I56" s="61"/>
      <c r="J56" s="61"/>
      <c r="K56" s="61"/>
      <c r="L56" s="61"/>
    </row>
    <row r="57" spans="1:14" x14ac:dyDescent="0.25">
      <c r="A57" s="178" t="s">
        <v>2</v>
      </c>
      <c r="B57" s="178"/>
      <c r="C57" s="183" t="s">
        <v>313</v>
      </c>
      <c r="D57" s="183"/>
      <c r="E57" s="183"/>
      <c r="F57" s="183"/>
      <c r="G57" s="184"/>
      <c r="H57" s="184"/>
      <c r="I57" s="61"/>
      <c r="J57" s="61"/>
      <c r="K57" s="61"/>
      <c r="L57" s="61"/>
    </row>
    <row r="58" spans="1:14" x14ac:dyDescent="0.25">
      <c r="A58" s="178" t="s">
        <v>384</v>
      </c>
      <c r="B58" s="178"/>
      <c r="C58" s="209">
        <f>14825.46/C47</f>
        <v>1.5051228426395937</v>
      </c>
      <c r="D58" s="209"/>
      <c r="E58" s="209"/>
      <c r="F58" s="209"/>
      <c r="G58" s="184"/>
      <c r="H58" s="184"/>
      <c r="I58" s="61"/>
      <c r="J58" s="61"/>
      <c r="K58" s="61"/>
      <c r="L58" s="61"/>
    </row>
    <row r="59" spans="1:14" ht="33.75" customHeight="1" x14ac:dyDescent="0.25">
      <c r="A59" s="181" t="s">
        <v>316</v>
      </c>
      <c r="B59" s="181"/>
      <c r="C59" s="182">
        <f>2488.13/C47</f>
        <v>0.25260203045685281</v>
      </c>
      <c r="D59" s="182"/>
      <c r="E59" s="182"/>
      <c r="F59" s="182"/>
      <c r="G59" s="184"/>
      <c r="H59" s="184"/>
      <c r="I59" s="61"/>
      <c r="J59" s="61"/>
      <c r="K59" s="61"/>
      <c r="L59" s="61"/>
    </row>
    <row r="60" spans="1:14" ht="21" hidden="1" customHeight="1" x14ac:dyDescent="0.25">
      <c r="A60" s="178" t="s">
        <v>124</v>
      </c>
      <c r="B60" s="178"/>
      <c r="C60" s="183"/>
      <c r="D60" s="183"/>
      <c r="E60" s="183"/>
      <c r="F60" s="183"/>
      <c r="G60" s="184"/>
      <c r="H60" s="184"/>
      <c r="I60" s="61"/>
      <c r="J60" s="61"/>
      <c r="K60" s="61"/>
      <c r="L60" s="61"/>
    </row>
    <row r="61" spans="1:14" x14ac:dyDescent="0.25">
      <c r="A61" s="178" t="s">
        <v>125</v>
      </c>
      <c r="B61" s="178"/>
      <c r="C61" s="209">
        <f>SUM(C55:F60)</f>
        <v>4.2577248730964463</v>
      </c>
      <c r="D61" s="209"/>
      <c r="E61" s="209"/>
      <c r="F61" s="209"/>
      <c r="G61" s="271">
        <f>C48/C47</f>
        <v>4.2577248730964463</v>
      </c>
      <c r="H61" s="271"/>
      <c r="I61" s="61"/>
      <c r="J61" s="61"/>
      <c r="K61" s="61"/>
      <c r="L61" s="61"/>
    </row>
    <row r="62" spans="1:14" x14ac:dyDescent="0.25">
      <c r="A62" s="178" t="s">
        <v>126</v>
      </c>
      <c r="B62" s="178"/>
      <c r="C62" s="183"/>
      <c r="D62" s="183"/>
      <c r="E62" s="183"/>
      <c r="F62" s="183"/>
      <c r="G62" s="184"/>
      <c r="H62" s="184"/>
      <c r="I62" s="61"/>
      <c r="J62" s="61"/>
      <c r="K62" s="61"/>
      <c r="L62" s="61"/>
    </row>
    <row r="63" spans="1:14" x14ac:dyDescent="0.25">
      <c r="A63" s="272"/>
      <c r="B63" s="272"/>
      <c r="C63" s="272"/>
      <c r="D63" s="272"/>
      <c r="E63" s="272"/>
      <c r="F63" s="272"/>
      <c r="G63" s="61"/>
      <c r="H63" s="61"/>
      <c r="I63" s="145">
        <f>997/I64</f>
        <v>0.97745098039215683</v>
      </c>
      <c r="J63" s="145">
        <f>23/I64</f>
        <v>2.2549019607843137E-2</v>
      </c>
      <c r="K63" s="61"/>
      <c r="L63" s="61"/>
      <c r="M63" s="61"/>
      <c r="N63" s="61"/>
    </row>
    <row r="64" spans="1:14" x14ac:dyDescent="0.25">
      <c r="A64" s="178" t="s">
        <v>127</v>
      </c>
      <c r="B64" s="178"/>
      <c r="C64" s="274" t="str">
        <f>D118</f>
        <v>Sale Flats = 936, 
B.N.C.M.C. Flats = 61, Shops = 23</v>
      </c>
      <c r="D64" s="274"/>
      <c r="E64" s="274"/>
      <c r="F64" s="274"/>
      <c r="G64" s="184"/>
      <c r="H64" s="184"/>
      <c r="I64" s="96">
        <f>997+23</f>
        <v>1020</v>
      </c>
      <c r="J64" s="96"/>
      <c r="K64" s="93"/>
      <c r="L64" s="93"/>
      <c r="M64" s="61"/>
      <c r="N64" s="61"/>
    </row>
    <row r="65" spans="1:14" x14ac:dyDescent="0.25">
      <c r="A65" s="178" t="s">
        <v>128</v>
      </c>
      <c r="B65" s="178"/>
      <c r="C65" s="274" t="s">
        <v>317</v>
      </c>
      <c r="D65" s="274"/>
      <c r="E65" s="274"/>
      <c r="F65" s="274"/>
      <c r="G65" s="184"/>
      <c r="H65" s="184"/>
      <c r="I65" s="93"/>
      <c r="J65" s="93"/>
      <c r="K65" s="93"/>
      <c r="L65" s="93"/>
      <c r="M65" s="61"/>
      <c r="N65" s="61"/>
    </row>
    <row r="66" spans="1:14" x14ac:dyDescent="0.25">
      <c r="A66" s="178" t="s">
        <v>129</v>
      </c>
      <c r="B66" s="178"/>
      <c r="C66" s="275" t="s">
        <v>318</v>
      </c>
      <c r="D66" s="275"/>
      <c r="E66" s="275"/>
      <c r="F66" s="275"/>
      <c r="G66" s="309" t="s">
        <v>289</v>
      </c>
      <c r="H66" s="309"/>
      <c r="I66" s="134" t="s">
        <v>290</v>
      </c>
      <c r="J66" s="93"/>
      <c r="K66" s="93"/>
      <c r="L66" s="93"/>
      <c r="M66" s="61"/>
      <c r="N66" s="61"/>
    </row>
    <row r="67" spans="1:14" x14ac:dyDescent="0.25">
      <c r="A67" s="215" t="s">
        <v>130</v>
      </c>
      <c r="B67" s="215"/>
      <c r="C67" s="215"/>
      <c r="D67" s="215"/>
      <c r="E67" s="215"/>
      <c r="F67" s="215"/>
      <c r="G67" s="184">
        <f>936+61+23</f>
        <v>1020</v>
      </c>
      <c r="H67" s="184"/>
      <c r="I67" s="93">
        <f>G67/100</f>
        <v>10.199999999999999</v>
      </c>
      <c r="J67" s="93"/>
      <c r="K67" s="93"/>
      <c r="L67" s="93"/>
      <c r="M67" s="61"/>
      <c r="N67" s="61"/>
    </row>
    <row r="68" spans="1:14" ht="39" customHeight="1" x14ac:dyDescent="0.25">
      <c r="A68" s="104"/>
      <c r="B68" s="49" t="s">
        <v>131</v>
      </c>
      <c r="C68" s="49" t="s">
        <v>132</v>
      </c>
      <c r="D68" s="49" t="s">
        <v>137</v>
      </c>
      <c r="E68" s="49" t="s">
        <v>133</v>
      </c>
      <c r="F68" s="49" t="s">
        <v>136</v>
      </c>
      <c r="G68" s="97"/>
      <c r="H68" s="97"/>
      <c r="I68" s="97"/>
      <c r="J68" s="97"/>
      <c r="K68" s="97"/>
      <c r="L68" s="97"/>
      <c r="M68" s="97" t="str">
        <f t="shared" ref="M68" si="0">PROPER(G68)</f>
        <v/>
      </c>
      <c r="N68" s="61"/>
    </row>
    <row r="69" spans="1:14" ht="42.75" customHeight="1" x14ac:dyDescent="0.25">
      <c r="A69" s="49" t="s">
        <v>134</v>
      </c>
      <c r="B69" s="142" t="s">
        <v>319</v>
      </c>
      <c r="C69" s="142" t="s">
        <v>320</v>
      </c>
      <c r="D69" s="142" t="s">
        <v>299</v>
      </c>
      <c r="E69" s="142" t="s">
        <v>323</v>
      </c>
      <c r="F69" s="142" t="s">
        <v>339</v>
      </c>
      <c r="G69" s="97"/>
      <c r="H69" s="93"/>
      <c r="I69" s="93"/>
      <c r="J69" s="93"/>
      <c r="K69" s="93"/>
      <c r="L69" s="93"/>
      <c r="M69" s="93"/>
      <c r="N69" s="61"/>
    </row>
    <row r="70" spans="1:14" ht="49.5" customHeight="1" x14ac:dyDescent="0.25">
      <c r="A70" s="49" t="s">
        <v>135</v>
      </c>
      <c r="B70" s="104" t="s">
        <v>241</v>
      </c>
      <c r="C70" s="104" t="s">
        <v>241</v>
      </c>
      <c r="D70" s="104" t="s">
        <v>321</v>
      </c>
      <c r="E70" s="104" t="s">
        <v>322</v>
      </c>
      <c r="F70" s="104" t="s">
        <v>241</v>
      </c>
      <c r="G70" s="97"/>
      <c r="H70" s="93"/>
      <c r="I70" s="93"/>
      <c r="J70" s="93"/>
      <c r="K70" s="93"/>
      <c r="L70" s="93"/>
      <c r="M70" s="98"/>
    </row>
    <row r="71" spans="1:14" x14ac:dyDescent="0.25">
      <c r="A71" s="215" t="s">
        <v>138</v>
      </c>
      <c r="B71" s="215"/>
      <c r="C71" s="215"/>
      <c r="D71" s="215"/>
      <c r="E71" s="215"/>
      <c r="F71" s="215"/>
      <c r="G71" s="97"/>
      <c r="H71" s="93"/>
      <c r="I71" s="93"/>
      <c r="J71" s="93"/>
      <c r="K71" s="93"/>
      <c r="L71" s="93"/>
      <c r="M71" s="98"/>
    </row>
    <row r="72" spans="1:14" ht="47.25" customHeight="1" x14ac:dyDescent="0.25">
      <c r="A72" s="104"/>
      <c r="B72" s="49" t="s">
        <v>139</v>
      </c>
      <c r="C72" s="49" t="s">
        <v>140</v>
      </c>
      <c r="D72" s="49" t="s">
        <v>141</v>
      </c>
      <c r="E72" s="49" t="s">
        <v>142</v>
      </c>
      <c r="F72" s="49" t="s">
        <v>143</v>
      </c>
      <c r="G72" s="97"/>
      <c r="H72" s="97"/>
      <c r="I72" s="97"/>
      <c r="J72" s="97"/>
      <c r="K72" s="97"/>
      <c r="L72" s="97"/>
      <c r="M72" s="98"/>
    </row>
    <row r="73" spans="1:14" ht="25.5" customHeight="1" x14ac:dyDescent="0.25">
      <c r="A73" s="49" t="s">
        <v>144</v>
      </c>
      <c r="B73" s="146" t="s">
        <v>281</v>
      </c>
      <c r="C73" s="146" t="s">
        <v>242</v>
      </c>
      <c r="D73" s="146" t="s">
        <v>242</v>
      </c>
      <c r="E73" s="146" t="s">
        <v>242</v>
      </c>
      <c r="F73" s="146" t="s">
        <v>242</v>
      </c>
      <c r="G73" s="97"/>
      <c r="H73" s="97"/>
      <c r="I73" s="97"/>
      <c r="J73" s="97"/>
      <c r="K73" s="97"/>
      <c r="L73" s="97"/>
      <c r="M73" s="98"/>
    </row>
    <row r="74" spans="1:14" ht="42.75" customHeight="1" x14ac:dyDescent="0.25">
      <c r="A74" s="104"/>
      <c r="B74" s="100" t="s">
        <v>145</v>
      </c>
      <c r="C74" s="100" t="s">
        <v>146</v>
      </c>
      <c r="D74" s="100" t="s">
        <v>147</v>
      </c>
      <c r="E74" s="100" t="s">
        <v>148</v>
      </c>
      <c r="F74" s="100" t="s">
        <v>149</v>
      </c>
      <c r="G74" s="97"/>
      <c r="H74" s="97"/>
      <c r="I74" s="97"/>
      <c r="J74" s="97"/>
      <c r="K74" s="97"/>
      <c r="L74" s="97"/>
      <c r="M74" s="98"/>
    </row>
    <row r="75" spans="1:14" x14ac:dyDescent="0.25">
      <c r="A75" s="49" t="s">
        <v>144</v>
      </c>
      <c r="B75" s="146" t="s">
        <v>242</v>
      </c>
      <c r="C75" s="146" t="s">
        <v>242</v>
      </c>
      <c r="D75" s="146" t="s">
        <v>242</v>
      </c>
      <c r="E75" s="146" t="s">
        <v>242</v>
      </c>
      <c r="F75" s="146" t="s">
        <v>242</v>
      </c>
      <c r="G75" s="97"/>
      <c r="H75" s="97"/>
      <c r="I75" s="97"/>
      <c r="J75" s="97"/>
      <c r="K75" s="97"/>
      <c r="L75" s="97"/>
      <c r="M75" s="98"/>
    </row>
    <row r="76" spans="1:14" hidden="1" x14ac:dyDescent="0.25">
      <c r="A76" s="46" t="s">
        <v>3</v>
      </c>
      <c r="B76" s="103"/>
      <c r="C76" s="103"/>
      <c r="D76" s="103"/>
      <c r="E76" s="103"/>
      <c r="F76" s="103"/>
      <c r="G76" s="97"/>
      <c r="H76" s="97"/>
      <c r="I76" s="97"/>
      <c r="J76" s="97"/>
      <c r="K76" s="97"/>
      <c r="L76" s="97"/>
      <c r="M76" s="98"/>
    </row>
    <row r="77" spans="1:14" x14ac:dyDescent="0.25">
      <c r="A77" s="104"/>
      <c r="B77" s="49" t="s">
        <v>150</v>
      </c>
      <c r="C77" s="49" t="s">
        <v>151</v>
      </c>
      <c r="D77" s="49" t="s">
        <v>152</v>
      </c>
      <c r="E77" s="49" t="s">
        <v>153</v>
      </c>
      <c r="F77" s="49" t="s">
        <v>154</v>
      </c>
      <c r="G77" s="97"/>
      <c r="H77" s="97"/>
      <c r="I77" s="97"/>
      <c r="J77" s="97"/>
      <c r="K77" s="97"/>
      <c r="L77" s="97"/>
      <c r="M77" s="98"/>
    </row>
    <row r="78" spans="1:14" x14ac:dyDescent="0.25">
      <c r="A78" s="49" t="s">
        <v>144</v>
      </c>
      <c r="B78" s="146" t="s">
        <v>242</v>
      </c>
      <c r="C78" s="146" t="s">
        <v>242</v>
      </c>
      <c r="D78" s="146" t="s">
        <v>255</v>
      </c>
      <c r="E78" s="146" t="s">
        <v>242</v>
      </c>
      <c r="F78" s="146" t="s">
        <v>242</v>
      </c>
      <c r="G78" s="97"/>
      <c r="H78" s="97"/>
      <c r="I78" s="97"/>
      <c r="J78" s="97"/>
      <c r="K78" s="97"/>
      <c r="L78" s="97"/>
      <c r="M78" s="98"/>
    </row>
    <row r="79" spans="1:14" hidden="1" x14ac:dyDescent="0.25">
      <c r="A79" s="46" t="s">
        <v>3</v>
      </c>
      <c r="B79" s="103"/>
      <c r="C79" s="103"/>
      <c r="D79" s="103"/>
      <c r="E79" s="103"/>
      <c r="F79" s="103"/>
      <c r="G79" s="97"/>
      <c r="H79" s="93"/>
      <c r="I79" s="93"/>
      <c r="J79" s="93"/>
      <c r="K79" s="93"/>
      <c r="L79" s="93"/>
      <c r="M79" s="98"/>
    </row>
    <row r="80" spans="1:14" x14ac:dyDescent="0.25">
      <c r="A80" s="183"/>
      <c r="B80" s="183"/>
      <c r="C80" s="183"/>
      <c r="D80" s="183"/>
      <c r="E80" s="183"/>
      <c r="F80" s="183"/>
      <c r="G80" s="97"/>
      <c r="H80" s="93"/>
      <c r="I80" s="93"/>
      <c r="J80" s="93"/>
      <c r="K80" s="93"/>
      <c r="L80" s="93"/>
      <c r="M80" s="98"/>
    </row>
    <row r="81" spans="1:13" ht="37.5" customHeight="1" thickBot="1" x14ac:dyDescent="0.3">
      <c r="A81" s="115" t="s">
        <v>155</v>
      </c>
      <c r="B81" s="292" t="s">
        <v>324</v>
      </c>
      <c r="C81" s="292"/>
      <c r="D81" s="292"/>
      <c r="E81" s="292"/>
      <c r="F81" s="292"/>
      <c r="G81" s="97"/>
      <c r="H81" s="147" t="s">
        <v>336</v>
      </c>
      <c r="I81" s="93"/>
      <c r="J81" s="93"/>
      <c r="K81" s="93"/>
      <c r="L81" s="93"/>
      <c r="M81" s="98"/>
    </row>
    <row r="82" spans="1:13" x14ac:dyDescent="0.25">
      <c r="A82" s="216" t="s">
        <v>156</v>
      </c>
      <c r="B82" s="217"/>
      <c r="C82" s="217"/>
      <c r="D82" s="217"/>
      <c r="E82" s="217"/>
      <c r="F82" s="218"/>
      <c r="G82" s="97"/>
      <c r="H82" s="61"/>
      <c r="I82" s="61"/>
      <c r="J82" s="61"/>
      <c r="K82" s="61"/>
      <c r="L82" s="61"/>
    </row>
    <row r="83" spans="1:13" ht="27.75" customHeight="1" x14ac:dyDescent="0.25">
      <c r="A83" s="116" t="s">
        <v>168</v>
      </c>
      <c r="B83" s="236" t="str">
        <f>C33</f>
        <v>Maharashtra Housing and Area Development Authority (MHADA)</v>
      </c>
      <c r="C83" s="236"/>
      <c r="D83" s="236"/>
      <c r="E83" s="236"/>
      <c r="F83" s="237"/>
      <c r="G83" s="97"/>
      <c r="H83" s="93"/>
      <c r="I83" s="93"/>
      <c r="J83" s="93"/>
      <c r="K83" s="93"/>
      <c r="L83" s="93"/>
    </row>
    <row r="84" spans="1:13" ht="31.5" customHeight="1" x14ac:dyDescent="0.25">
      <c r="A84" s="117" t="s">
        <v>157</v>
      </c>
      <c r="B84" s="49" t="s">
        <v>169</v>
      </c>
      <c r="C84" s="49" t="s">
        <v>170</v>
      </c>
      <c r="D84" s="178" t="s">
        <v>171</v>
      </c>
      <c r="E84" s="178"/>
      <c r="F84" s="310"/>
      <c r="G84" s="97"/>
      <c r="H84" s="97"/>
      <c r="I84" s="97"/>
      <c r="J84" s="184"/>
      <c r="K84" s="184"/>
      <c r="L84" s="184"/>
    </row>
    <row r="85" spans="1:13" ht="31.5" customHeight="1" x14ac:dyDescent="0.25">
      <c r="A85" s="117" t="s">
        <v>158</v>
      </c>
      <c r="B85" s="105" t="s">
        <v>325</v>
      </c>
      <c r="C85" s="105" t="s">
        <v>326</v>
      </c>
      <c r="D85" s="276" t="s">
        <v>327</v>
      </c>
      <c r="E85" s="276"/>
      <c r="F85" s="277"/>
      <c r="G85" s="97"/>
      <c r="H85" s="93"/>
      <c r="I85" s="93"/>
      <c r="J85" s="93"/>
      <c r="K85" s="93"/>
      <c r="L85" s="93"/>
    </row>
    <row r="86" spans="1:13" ht="31.5" customHeight="1" x14ac:dyDescent="0.25">
      <c r="A86" s="117" t="s">
        <v>159</v>
      </c>
      <c r="B86" s="105" t="s">
        <v>325</v>
      </c>
      <c r="C86" s="105" t="s">
        <v>326</v>
      </c>
      <c r="D86" s="276" t="str">
        <f>D85</f>
        <v>EE/BP/PMAY/A/MHADA/755/2023
Date : 18/09/2023</v>
      </c>
      <c r="E86" s="276"/>
      <c r="F86" s="277"/>
      <c r="G86" s="97"/>
      <c r="H86" s="93"/>
      <c r="I86" s="93"/>
      <c r="J86" s="93"/>
      <c r="K86" s="93"/>
      <c r="L86" s="93"/>
    </row>
    <row r="87" spans="1:13" ht="29.1" customHeight="1" x14ac:dyDescent="0.25">
      <c r="A87" s="228" t="s">
        <v>160</v>
      </c>
      <c r="B87" s="278" t="s">
        <v>325</v>
      </c>
      <c r="C87" s="278" t="s">
        <v>326</v>
      </c>
      <c r="D87" s="276" t="s">
        <v>392</v>
      </c>
      <c r="E87" s="276"/>
      <c r="F87" s="277"/>
      <c r="G87" s="97"/>
      <c r="H87" s="93"/>
      <c r="I87" s="93"/>
      <c r="J87" s="93"/>
      <c r="K87" s="93"/>
      <c r="L87" s="93"/>
    </row>
    <row r="88" spans="1:13" ht="93" customHeight="1" x14ac:dyDescent="0.25">
      <c r="A88" s="228"/>
      <c r="B88" s="278"/>
      <c r="C88" s="278"/>
      <c r="D88" s="276" t="s">
        <v>393</v>
      </c>
      <c r="E88" s="276"/>
      <c r="F88" s="277"/>
      <c r="G88" s="97"/>
      <c r="H88" s="93"/>
      <c r="I88" s="93"/>
      <c r="J88" s="93"/>
      <c r="K88" s="93"/>
      <c r="L88" s="93"/>
    </row>
    <row r="89" spans="1:13" ht="44.25" customHeight="1" x14ac:dyDescent="0.25">
      <c r="A89" s="117" t="s">
        <v>161</v>
      </c>
      <c r="B89" s="105" t="s">
        <v>328</v>
      </c>
      <c r="C89" s="105" t="s">
        <v>247</v>
      </c>
      <c r="D89" s="278" t="s">
        <v>247</v>
      </c>
      <c r="E89" s="278"/>
      <c r="F89" s="280"/>
      <c r="G89" s="97"/>
      <c r="H89" s="93"/>
      <c r="I89" s="93"/>
      <c r="J89" s="93"/>
      <c r="K89" s="93"/>
      <c r="L89" s="61"/>
    </row>
    <row r="90" spans="1:13" ht="35.450000000000003" customHeight="1" x14ac:dyDescent="0.25">
      <c r="A90" s="117" t="s">
        <v>162</v>
      </c>
      <c r="B90" s="105" t="s">
        <v>328</v>
      </c>
      <c r="C90" s="105" t="s">
        <v>247</v>
      </c>
      <c r="D90" s="278" t="s">
        <v>247</v>
      </c>
      <c r="E90" s="278"/>
      <c r="F90" s="280"/>
      <c r="G90" s="97"/>
      <c r="H90" s="93"/>
      <c r="I90" s="93"/>
      <c r="J90" s="93"/>
      <c r="K90" s="93"/>
      <c r="L90" s="61"/>
    </row>
    <row r="91" spans="1:13" ht="29.1" customHeight="1" x14ac:dyDescent="0.25">
      <c r="A91" s="117" t="s">
        <v>163</v>
      </c>
      <c r="B91" s="105" t="s">
        <v>328</v>
      </c>
      <c r="C91" s="105" t="s">
        <v>247</v>
      </c>
      <c r="D91" s="278" t="s">
        <v>247</v>
      </c>
      <c r="E91" s="278"/>
      <c r="F91" s="280"/>
      <c r="G91" s="97"/>
      <c r="H91" s="93"/>
      <c r="I91" s="93"/>
      <c r="J91" s="93"/>
      <c r="K91" s="93"/>
      <c r="L91" s="61"/>
    </row>
    <row r="92" spans="1:13" ht="29.45" customHeight="1" x14ac:dyDescent="0.25">
      <c r="A92" s="117" t="s">
        <v>164</v>
      </c>
      <c r="B92" s="105" t="s">
        <v>328</v>
      </c>
      <c r="C92" s="105" t="s">
        <v>247</v>
      </c>
      <c r="D92" s="278" t="s">
        <v>247</v>
      </c>
      <c r="E92" s="278"/>
      <c r="F92" s="280"/>
      <c r="G92" s="97"/>
      <c r="H92" s="93"/>
      <c r="I92" s="93"/>
      <c r="J92" s="93"/>
      <c r="K92" s="93"/>
      <c r="L92" s="61"/>
    </row>
    <row r="93" spans="1:13" ht="26.25" customHeight="1" x14ac:dyDescent="0.25">
      <c r="A93" s="117" t="s">
        <v>256</v>
      </c>
      <c r="B93" s="105" t="s">
        <v>329</v>
      </c>
      <c r="C93" s="139" t="s">
        <v>247</v>
      </c>
      <c r="D93" s="278" t="s">
        <v>247</v>
      </c>
      <c r="E93" s="278"/>
      <c r="F93" s="280"/>
      <c r="G93" s="97"/>
      <c r="H93" s="93"/>
      <c r="I93" s="93"/>
      <c r="J93" s="93"/>
      <c r="K93" s="93"/>
      <c r="L93" s="61"/>
    </row>
    <row r="94" spans="1:13" ht="64.5" customHeight="1" x14ac:dyDescent="0.25">
      <c r="A94" s="117" t="s">
        <v>257</v>
      </c>
      <c r="B94" s="105" t="s">
        <v>325</v>
      </c>
      <c r="C94" s="105" t="s">
        <v>330</v>
      </c>
      <c r="D94" s="276" t="s">
        <v>331</v>
      </c>
      <c r="E94" s="276"/>
      <c r="F94" s="277"/>
      <c r="G94" s="97"/>
      <c r="H94" s="93"/>
      <c r="I94" s="93"/>
      <c r="J94" s="93"/>
      <c r="K94" s="93"/>
      <c r="L94" s="61"/>
    </row>
    <row r="95" spans="1:13" ht="30" customHeight="1" x14ac:dyDescent="0.25">
      <c r="A95" s="117" t="s">
        <v>258</v>
      </c>
      <c r="B95" s="105" t="s">
        <v>328</v>
      </c>
      <c r="C95" s="139" t="s">
        <v>247</v>
      </c>
      <c r="D95" s="278" t="s">
        <v>247</v>
      </c>
      <c r="E95" s="278"/>
      <c r="F95" s="280"/>
      <c r="G95" s="97"/>
      <c r="H95" s="93"/>
      <c r="I95" s="93"/>
      <c r="J95" s="93"/>
      <c r="K95" s="93"/>
      <c r="L95" s="61"/>
    </row>
    <row r="96" spans="1:13" ht="31.5" customHeight="1" x14ac:dyDescent="0.25">
      <c r="A96" s="117" t="s">
        <v>165</v>
      </c>
      <c r="B96" s="105" t="s">
        <v>325</v>
      </c>
      <c r="C96" s="139" t="s">
        <v>247</v>
      </c>
      <c r="D96" s="276" t="s">
        <v>385</v>
      </c>
      <c r="E96" s="276"/>
      <c r="F96" s="277"/>
      <c r="G96" s="97"/>
      <c r="H96" s="93"/>
      <c r="I96" s="93"/>
      <c r="J96" s="93"/>
      <c r="K96" s="93"/>
      <c r="L96" s="61"/>
    </row>
    <row r="97" spans="1:12" ht="36" hidden="1" customHeight="1" x14ac:dyDescent="0.25">
      <c r="A97" s="117" t="s">
        <v>166</v>
      </c>
      <c r="B97" s="105"/>
      <c r="C97" s="105"/>
      <c r="D97" s="276"/>
      <c r="E97" s="276"/>
      <c r="F97" s="277"/>
      <c r="G97" s="97"/>
      <c r="H97" s="93"/>
      <c r="I97" s="93"/>
      <c r="J97" s="93"/>
      <c r="K97" s="93"/>
      <c r="L97" s="61"/>
    </row>
    <row r="98" spans="1:12" ht="24.75" thickBot="1" x14ac:dyDescent="0.3">
      <c r="A98" s="118" t="s">
        <v>167</v>
      </c>
      <c r="B98" s="307" t="s">
        <v>386</v>
      </c>
      <c r="C98" s="307"/>
      <c r="D98" s="307"/>
      <c r="E98" s="307"/>
      <c r="F98" s="308"/>
      <c r="G98" s="97"/>
      <c r="H98" s="93"/>
      <c r="I98" s="93"/>
      <c r="J98" s="93"/>
      <c r="K98" s="93"/>
      <c r="L98" s="61"/>
    </row>
    <row r="99" spans="1:12" x14ac:dyDescent="0.25">
      <c r="A99" s="219" t="s">
        <v>172</v>
      </c>
      <c r="B99" s="219"/>
      <c r="C99" s="219"/>
      <c r="D99" s="219"/>
      <c r="E99" s="219"/>
      <c r="F99" s="219"/>
      <c r="G99" s="97"/>
      <c r="H99" s="93"/>
      <c r="I99" s="97"/>
      <c r="J99" s="93"/>
      <c r="K99" s="93"/>
      <c r="L99" s="61"/>
    </row>
    <row r="100" spans="1:12" ht="48" x14ac:dyDescent="0.25">
      <c r="A100" s="49" t="s">
        <v>173</v>
      </c>
      <c r="B100" s="109" t="s">
        <v>242</v>
      </c>
      <c r="C100" s="100" t="s">
        <v>177</v>
      </c>
      <c r="D100" s="109" t="s">
        <v>259</v>
      </c>
      <c r="E100" s="107" t="s">
        <v>174</v>
      </c>
      <c r="F100" s="109" t="s">
        <v>332</v>
      </c>
      <c r="G100" s="97"/>
      <c r="H100" s="93"/>
      <c r="I100" s="93"/>
      <c r="J100" s="97"/>
      <c r="K100" s="93"/>
      <c r="L100" s="61"/>
    </row>
    <row r="101" spans="1:12" ht="24" x14ac:dyDescent="0.25">
      <c r="A101" s="46" t="s">
        <v>175</v>
      </c>
      <c r="B101" s="291">
        <v>45226</v>
      </c>
      <c r="C101" s="183"/>
      <c r="D101" s="46" t="s">
        <v>178</v>
      </c>
      <c r="E101" s="291">
        <v>46022</v>
      </c>
      <c r="F101" s="183"/>
      <c r="G101" s="97"/>
      <c r="H101" s="93"/>
      <c r="I101" s="93"/>
      <c r="J101" s="97"/>
      <c r="K101" s="93"/>
      <c r="L101" s="61"/>
    </row>
    <row r="102" spans="1:12" ht="26.25" customHeight="1" x14ac:dyDescent="0.25">
      <c r="A102" s="46" t="s">
        <v>176</v>
      </c>
      <c r="B102" s="223" t="s">
        <v>255</v>
      </c>
      <c r="C102" s="223"/>
      <c r="D102" s="99" t="s">
        <v>179</v>
      </c>
      <c r="E102" s="223" t="s">
        <v>247</v>
      </c>
      <c r="F102" s="223"/>
      <c r="G102" s="97"/>
      <c r="H102" s="93"/>
      <c r="I102" s="93"/>
      <c r="J102" s="97"/>
      <c r="K102" s="93"/>
      <c r="L102" s="61"/>
    </row>
    <row r="103" spans="1:12" x14ac:dyDescent="0.25">
      <c r="A103" s="215" t="s">
        <v>180</v>
      </c>
      <c r="B103" s="215"/>
      <c r="C103" s="215"/>
      <c r="D103" s="215"/>
      <c r="E103" s="215"/>
      <c r="F103" s="215"/>
      <c r="G103" s="97"/>
      <c r="H103" s="93"/>
      <c r="I103" s="97"/>
      <c r="J103" s="93"/>
      <c r="K103" s="93"/>
      <c r="L103" s="61"/>
    </row>
    <row r="104" spans="1:12" x14ac:dyDescent="0.25">
      <c r="A104" s="99" t="s">
        <v>187</v>
      </c>
      <c r="B104" s="279" t="s">
        <v>260</v>
      </c>
      <c r="C104" s="279"/>
      <c r="D104" s="99" t="s">
        <v>181</v>
      </c>
      <c r="E104" s="223" t="s">
        <v>255</v>
      </c>
      <c r="F104" s="223"/>
      <c r="G104" s="97"/>
      <c r="H104" s="93"/>
      <c r="I104" s="93"/>
      <c r="J104" s="97"/>
      <c r="K104" s="93"/>
      <c r="L104" s="61"/>
    </row>
    <row r="105" spans="1:12" ht="24" x14ac:dyDescent="0.25">
      <c r="A105" s="99" t="s">
        <v>188</v>
      </c>
      <c r="B105" s="223" t="s">
        <v>242</v>
      </c>
      <c r="C105" s="223"/>
      <c r="D105" s="99" t="s">
        <v>182</v>
      </c>
      <c r="E105" s="279" t="s">
        <v>261</v>
      </c>
      <c r="F105" s="279"/>
      <c r="G105" s="97"/>
      <c r="H105" s="93"/>
      <c r="I105" s="93"/>
      <c r="J105" s="97"/>
      <c r="K105" s="93"/>
      <c r="L105" s="61"/>
    </row>
    <row r="106" spans="1:12" ht="36" x14ac:dyDescent="0.25">
      <c r="A106" s="99" t="s">
        <v>189</v>
      </c>
      <c r="B106" s="223" t="s">
        <v>255</v>
      </c>
      <c r="C106" s="223"/>
      <c r="D106" s="99" t="s">
        <v>183</v>
      </c>
      <c r="E106" s="223" t="s">
        <v>255</v>
      </c>
      <c r="F106" s="223"/>
      <c r="G106" s="97"/>
      <c r="H106" s="93"/>
      <c r="I106" s="93"/>
      <c r="J106" s="97"/>
      <c r="K106" s="93"/>
      <c r="L106" s="61"/>
    </row>
    <row r="107" spans="1:12" ht="24" customHeight="1" x14ac:dyDescent="0.25">
      <c r="A107" s="99" t="s">
        <v>190</v>
      </c>
      <c r="B107" s="223" t="s">
        <v>255</v>
      </c>
      <c r="C107" s="223"/>
      <c r="D107" s="99" t="s">
        <v>184</v>
      </c>
      <c r="E107" s="223" t="s">
        <v>255</v>
      </c>
      <c r="F107" s="223"/>
      <c r="G107" s="97"/>
      <c r="H107" s="93"/>
      <c r="I107" s="93"/>
      <c r="J107" s="97"/>
      <c r="K107" s="93"/>
      <c r="L107" s="61"/>
    </row>
    <row r="108" spans="1:12" ht="36" x14ac:dyDescent="0.25">
      <c r="A108" s="99" t="s">
        <v>191</v>
      </c>
      <c r="B108" s="223" t="s">
        <v>255</v>
      </c>
      <c r="C108" s="223"/>
      <c r="D108" s="99" t="s">
        <v>185</v>
      </c>
      <c r="E108" s="223" t="s">
        <v>255</v>
      </c>
      <c r="F108" s="223"/>
      <c r="G108" s="97"/>
      <c r="H108" s="93"/>
      <c r="I108" s="93"/>
      <c r="J108" s="97"/>
      <c r="K108" s="93"/>
      <c r="L108" s="61"/>
    </row>
    <row r="109" spans="1:12" x14ac:dyDescent="0.25">
      <c r="A109" s="99" t="s">
        <v>192</v>
      </c>
      <c r="B109" s="223" t="s">
        <v>255</v>
      </c>
      <c r="C109" s="223"/>
      <c r="D109" s="99" t="s">
        <v>186</v>
      </c>
      <c r="E109" s="223" t="s">
        <v>255</v>
      </c>
      <c r="F109" s="223"/>
      <c r="G109" s="97"/>
      <c r="H109" s="93"/>
      <c r="I109" s="93"/>
      <c r="J109" s="97"/>
      <c r="K109" s="93"/>
      <c r="L109" s="61"/>
    </row>
    <row r="110" spans="1:12" x14ac:dyDescent="0.25">
      <c r="A110" s="273" t="s">
        <v>193</v>
      </c>
      <c r="B110" s="273"/>
      <c r="C110" s="188" t="s">
        <v>242</v>
      </c>
      <c r="D110" s="188"/>
      <c r="E110" s="188"/>
      <c r="F110" s="188"/>
      <c r="G110" s="184"/>
      <c r="H110" s="184"/>
      <c r="I110" s="93"/>
      <c r="J110" s="93"/>
      <c r="K110" s="93"/>
      <c r="L110" s="61"/>
    </row>
    <row r="111" spans="1:12" ht="30" customHeight="1" x14ac:dyDescent="0.25">
      <c r="A111" s="178" t="s">
        <v>194</v>
      </c>
      <c r="B111" s="178"/>
      <c r="C111" s="188" t="s">
        <v>255</v>
      </c>
      <c r="D111" s="188"/>
      <c r="E111" s="188"/>
      <c r="F111" s="188"/>
      <c r="G111" s="184"/>
      <c r="H111" s="184"/>
      <c r="I111" s="93"/>
      <c r="J111" s="93"/>
      <c r="K111" s="93"/>
      <c r="L111" s="61"/>
    </row>
    <row r="112" spans="1:12" x14ac:dyDescent="0.25">
      <c r="A112" s="215" t="s">
        <v>195</v>
      </c>
      <c r="B112" s="215"/>
      <c r="C112" s="215"/>
      <c r="D112" s="215"/>
      <c r="E112" s="215"/>
      <c r="F112" s="215"/>
      <c r="G112" s="97"/>
      <c r="H112" s="93"/>
      <c r="I112" s="93"/>
      <c r="J112" s="93"/>
      <c r="K112" s="93"/>
      <c r="L112" s="61"/>
    </row>
    <row r="113" spans="1:12" ht="36" customHeight="1" x14ac:dyDescent="0.25">
      <c r="A113" s="221" t="s">
        <v>197</v>
      </c>
      <c r="B113" s="221"/>
      <c r="C113" s="221"/>
      <c r="D113" s="221"/>
      <c r="E113" s="221" t="s">
        <v>196</v>
      </c>
      <c r="F113" s="221"/>
      <c r="G113" s="97"/>
      <c r="H113" s="97"/>
      <c r="I113" s="97"/>
      <c r="J113" s="97"/>
      <c r="K113" s="97"/>
      <c r="L113" s="65"/>
    </row>
    <row r="114" spans="1:12" x14ac:dyDescent="0.25">
      <c r="A114" s="222" t="s">
        <v>247</v>
      </c>
      <c r="B114" s="222"/>
      <c r="C114" s="222"/>
      <c r="D114" s="222"/>
      <c r="E114" s="223" t="s">
        <v>255</v>
      </c>
      <c r="F114" s="223"/>
      <c r="G114" s="93"/>
      <c r="H114" s="93"/>
      <c r="I114" s="93"/>
      <c r="J114" s="93"/>
      <c r="K114" s="93"/>
      <c r="L114" s="61"/>
    </row>
    <row r="115" spans="1:12" hidden="1" x14ac:dyDescent="0.25">
      <c r="A115" s="222"/>
      <c r="B115" s="222"/>
      <c r="C115" s="222"/>
      <c r="D115" s="222"/>
      <c r="E115" s="222"/>
      <c r="F115" s="222"/>
      <c r="G115" s="61"/>
      <c r="H115" s="61"/>
      <c r="I115" s="61"/>
      <c r="J115" s="61"/>
      <c r="K115" s="61"/>
      <c r="L115" s="61"/>
    </row>
    <row r="116" spans="1:12" x14ac:dyDescent="0.25">
      <c r="A116" s="183"/>
      <c r="B116" s="183"/>
      <c r="C116" s="183"/>
      <c r="D116" s="183"/>
      <c r="E116" s="183"/>
      <c r="F116" s="183"/>
      <c r="G116" s="61"/>
      <c r="H116" s="61"/>
      <c r="I116" s="61"/>
      <c r="J116" s="61"/>
      <c r="K116" s="61"/>
      <c r="L116" s="61"/>
    </row>
    <row r="117" spans="1:12" ht="36" x14ac:dyDescent="0.25">
      <c r="A117" s="49" t="s">
        <v>198</v>
      </c>
      <c r="B117" s="49" t="s">
        <v>199</v>
      </c>
      <c r="C117" s="49" t="s">
        <v>200</v>
      </c>
      <c r="D117" s="49" t="s">
        <v>201</v>
      </c>
      <c r="E117" s="49" t="s">
        <v>202</v>
      </c>
      <c r="F117" s="49" t="s">
        <v>203</v>
      </c>
      <c r="G117" s="97"/>
      <c r="H117" s="97"/>
      <c r="I117" s="65"/>
      <c r="J117" s="65"/>
      <c r="K117" s="65"/>
      <c r="L117" s="65"/>
    </row>
    <row r="118" spans="1:12" ht="45.75" customHeight="1" x14ac:dyDescent="0.25">
      <c r="A118" s="104">
        <f t="shared" ref="A118:F118" si="1">A246</f>
        <v>1</v>
      </c>
      <c r="B118" s="104">
        <f t="shared" si="1"/>
        <v>3</v>
      </c>
      <c r="C118" s="104" t="str">
        <f t="shared" si="1"/>
        <v>-</v>
      </c>
      <c r="D118" s="142" t="str">
        <f t="shared" si="1"/>
        <v>Sale Flats = 936, 
B.N.C.M.C. Flats = 61, Shops = 23</v>
      </c>
      <c r="E118" s="104" t="str">
        <f t="shared" si="1"/>
        <v>-</v>
      </c>
      <c r="F118" s="104">
        <f t="shared" si="1"/>
        <v>1020</v>
      </c>
      <c r="G118" s="98"/>
      <c r="H118" s="98"/>
    </row>
    <row r="119" spans="1:12" x14ac:dyDescent="0.25">
      <c r="A119" s="178" t="s">
        <v>262</v>
      </c>
      <c r="B119" s="178"/>
      <c r="C119" s="188" t="s">
        <v>333</v>
      </c>
      <c r="D119" s="188"/>
      <c r="E119" s="188"/>
      <c r="F119" s="188"/>
      <c r="G119" s="184"/>
      <c r="H119" s="184"/>
    </row>
    <row r="120" spans="1:12" x14ac:dyDescent="0.25">
      <c r="A120" s="178" t="s">
        <v>263</v>
      </c>
      <c r="B120" s="178"/>
      <c r="C120" s="188" t="s">
        <v>334</v>
      </c>
      <c r="D120" s="188"/>
      <c r="E120" s="188"/>
      <c r="F120" s="188"/>
      <c r="G120" s="184"/>
      <c r="H120" s="184"/>
    </row>
    <row r="121" spans="1:12" x14ac:dyDescent="0.25">
      <c r="A121" s="178"/>
      <c r="B121" s="178"/>
      <c r="C121" s="188" t="s">
        <v>335</v>
      </c>
      <c r="D121" s="188"/>
      <c r="E121" s="188"/>
      <c r="F121" s="188"/>
      <c r="G121" s="184"/>
      <c r="H121" s="184"/>
    </row>
    <row r="122" spans="1:12" x14ac:dyDescent="0.25">
      <c r="A122" s="178"/>
      <c r="B122" s="178"/>
      <c r="C122" s="188" t="s">
        <v>340</v>
      </c>
      <c r="D122" s="188"/>
      <c r="E122" s="188"/>
      <c r="F122" s="188"/>
      <c r="G122" s="184"/>
      <c r="H122" s="184"/>
    </row>
    <row r="123" spans="1:12" x14ac:dyDescent="0.25">
      <c r="A123" s="178" t="s">
        <v>204</v>
      </c>
      <c r="B123" s="178"/>
      <c r="C123" s="188" t="s">
        <v>242</v>
      </c>
      <c r="D123" s="188"/>
      <c r="E123" s="188"/>
      <c r="F123" s="188"/>
      <c r="G123" s="184"/>
      <c r="H123" s="184"/>
    </row>
    <row r="124" spans="1:12" x14ac:dyDescent="0.25">
      <c r="A124" s="178" t="s">
        <v>205</v>
      </c>
      <c r="B124" s="178"/>
      <c r="C124" s="188" t="s">
        <v>242</v>
      </c>
      <c r="D124" s="188"/>
      <c r="E124" s="188"/>
      <c r="F124" s="188"/>
      <c r="G124" s="184"/>
      <c r="H124" s="184"/>
    </row>
    <row r="125" spans="1:12" ht="33.75" customHeight="1" x14ac:dyDescent="0.25">
      <c r="A125" s="178" t="s">
        <v>206</v>
      </c>
      <c r="B125" s="178"/>
      <c r="C125" s="294" t="s">
        <v>337</v>
      </c>
      <c r="D125" s="294"/>
      <c r="E125" s="294"/>
      <c r="F125" s="294"/>
      <c r="G125" s="184"/>
      <c r="H125" s="184"/>
    </row>
    <row r="126" spans="1:12" ht="50.25" customHeight="1" thickBot="1" x14ac:dyDescent="0.3">
      <c r="A126" s="178" t="s">
        <v>207</v>
      </c>
      <c r="B126" s="178"/>
      <c r="C126" s="295" t="s">
        <v>338</v>
      </c>
      <c r="D126" s="295"/>
      <c r="E126" s="295"/>
      <c r="F126" s="295"/>
      <c r="G126" s="184"/>
      <c r="H126" s="184"/>
    </row>
    <row r="127" spans="1:12" x14ac:dyDescent="0.25">
      <c r="A127" s="339" t="s">
        <v>4</v>
      </c>
      <c r="B127" s="340"/>
      <c r="C127" s="340"/>
      <c r="D127" s="340"/>
      <c r="E127" s="340"/>
      <c r="F127" s="340"/>
      <c r="G127" s="1"/>
      <c r="H127" s="1"/>
    </row>
    <row r="128" spans="1:12" s="44" customFormat="1" ht="15" customHeight="1" x14ac:dyDescent="0.25">
      <c r="A128" s="341" t="s">
        <v>4</v>
      </c>
      <c r="B128" s="342" t="s">
        <v>334</v>
      </c>
      <c r="C128" s="342"/>
      <c r="D128" s="342"/>
      <c r="E128" s="342"/>
      <c r="F128" s="342"/>
      <c r="G128" s="343"/>
      <c r="H128" s="343"/>
    </row>
    <row r="129" spans="1:12" x14ac:dyDescent="0.25">
      <c r="A129" s="344" t="s">
        <v>5</v>
      </c>
      <c r="B129" s="345" t="s">
        <v>6</v>
      </c>
      <c r="C129" s="345"/>
      <c r="D129" s="345" t="s">
        <v>7</v>
      </c>
      <c r="E129" s="345"/>
      <c r="F129" s="79" t="s">
        <v>8</v>
      </c>
      <c r="G129" s="4" t="str">
        <f ca="1">(IF(E133&gt;99%,"All work completed. Please provide OC.",IF(E133&gt;98%,"Plinth, RCC, Brick, Plaster, Flooring, Painting work Completed. Finishing work is in process.",IF(E133&lt;98%,(IF(C133=0,"Work not yet Started.",IF(C133=H134,"Excavation Work in process",IF(C133=H135,"Foudation Work in process",IF(C133=H136,"1st Basement Completed",IF(C133=H137,"1st &amp; 2nd Basement Completed",IF(C133=H138,"1st to 3rd Basement Completed",IF(C133=H139,"1st to 4th Basement Completed",IF(C133=H140,"Plinth work is process",IF(C133=H141,"Plinth work completed","0"))))))))))))&amp;(IF(C134=(B130+D130+F130),", RCC Slab",IF(C134&gt;0,", RCC upto "&amp;C134&amp;" Slab",""))&amp;(IF(C135=F130,", Brickwork",IF(C135&gt;0,", Brickwork upto "&amp;C135&amp;" Floor",""))&amp;(IF(C136=F130,", Plaster",IF(C136&gt;0,", Plaster upto "&amp;C136&amp;" Floor",""))&amp;(IF(C137=F130,", Flooring",IF(C137&gt;0,", Flooring upto "&amp;C137&amp;" Floor",""))&amp;(IF(C138=F130,", Plumbing",IF(C138&gt;0,", Plumbing upto "&amp;C138&amp;" Floor",""))&amp;(IF(C139=F130,", Painting",IF(C139&gt;0,", Painting upto "&amp;C139&amp;" Floor",""))&amp;(IF(C140&gt;0,", Finishing upto "&amp;C140&amp;" Floor","")&amp;(IF(C134&gt;0.5," Completed","")))))))))))</f>
        <v>Plinth work completed, RCC Slab, Brickwork upto 13 Floor, Plaster upto 7 Floor Completed</v>
      </c>
      <c r="H129" s="5"/>
    </row>
    <row r="130" spans="1:12" x14ac:dyDescent="0.25">
      <c r="A130" s="344">
        <f>IF(AND(ISNUMBER(SEARCH("1B",B128))),1,IF(AND(ISNUMBER(SEARCH("2B",B128))),2,IF(AND(ISNUMBER(SEARCH("3B",B128))),3,IF(AND(ISNUMBER(SEARCH("4B",B128))),4,IF(ISNUMBER(SEARCH("5B",B128)),5,0)))))</f>
        <v>0</v>
      </c>
      <c r="B130" s="345">
        <v>1</v>
      </c>
      <c r="C130" s="345"/>
      <c r="D130" s="345">
        <v>0</v>
      </c>
      <c r="E130" s="345"/>
      <c r="F130" s="79">
        <f ca="1">--TRIM(RIGHT(SUBSTITUTE(LEFT(B128,_xlfn.AGGREGATE(16,6,FIND({0,1,2,3,4,5,6,7,8,9},B128,ROW(INDIRECT("1:"&amp;LEN(B128)))),1))," ",REPT(" ",LEN(B128))),LEN(B128)))</f>
        <v>14</v>
      </c>
      <c r="G130" s="4"/>
      <c r="H130" s="5"/>
      <c r="L130" t="s">
        <v>210</v>
      </c>
    </row>
    <row r="131" spans="1:12" x14ac:dyDescent="0.25">
      <c r="A131" s="346" t="s">
        <v>9</v>
      </c>
      <c r="B131" s="200" t="str">
        <f ca="1">G129</f>
        <v>Plinth work completed, RCC Slab, Brickwork upto 13 Floor, Plaster upto 7 Floor Completed</v>
      </c>
      <c r="C131" s="200"/>
      <c r="D131" s="200"/>
      <c r="E131" s="200"/>
      <c r="F131" s="200"/>
      <c r="G131" s="4" t="s">
        <v>10</v>
      </c>
      <c r="H131" s="5"/>
      <c r="L131" t="s">
        <v>208</v>
      </c>
    </row>
    <row r="132" spans="1:12" s="353" customFormat="1" ht="30" x14ac:dyDescent="0.25">
      <c r="A132" s="347" t="s">
        <v>11</v>
      </c>
      <c r="B132" s="348" t="s">
        <v>12</v>
      </c>
      <c r="C132" s="349" t="s">
        <v>13</v>
      </c>
      <c r="D132" s="349" t="s">
        <v>14</v>
      </c>
      <c r="E132" s="350" t="s">
        <v>37</v>
      </c>
      <c r="F132" s="350"/>
      <c r="G132" s="351"/>
      <c r="H132" s="352"/>
      <c r="L132" s="353" t="s">
        <v>209</v>
      </c>
    </row>
    <row r="133" spans="1:12" x14ac:dyDescent="0.25">
      <c r="A133" s="354" t="s">
        <v>19</v>
      </c>
      <c r="B133" s="84">
        <v>0.35</v>
      </c>
      <c r="C133" s="87">
        <f ca="1">H141</f>
        <v>14</v>
      </c>
      <c r="D133" s="160">
        <f ca="1">((100/F130)*C133)/100</f>
        <v>1</v>
      </c>
      <c r="E133" s="205">
        <f ca="1">((((C133/F130)*35)+(35/(F130+D130+B130)*C134)+(5/F130*C135)+(5/F130*C136)+(5/F130*C137)+(5/F130*C138)+(5/F130*C139)+(2.5/F130*C140)+(2.5/F130*C141))/100)</f>
        <v>0.77142857142857135</v>
      </c>
      <c r="F133" s="205"/>
      <c r="G133" s="6"/>
      <c r="H133" s="8"/>
    </row>
    <row r="134" spans="1:12" ht="15" customHeight="1" x14ac:dyDescent="0.25">
      <c r="A134" s="354" t="s">
        <v>21</v>
      </c>
      <c r="B134" s="84">
        <v>0.35</v>
      </c>
      <c r="C134" s="101">
        <v>15</v>
      </c>
      <c r="D134" s="160">
        <f ca="1">((100/(B130+D130+F130))*C134)/100</f>
        <v>1</v>
      </c>
      <c r="E134" s="205"/>
      <c r="F134" s="205"/>
      <c r="G134" s="6" t="s">
        <v>282</v>
      </c>
      <c r="H134" s="9">
        <f ca="1">F130/7</f>
        <v>2</v>
      </c>
    </row>
    <row r="135" spans="1:12" x14ac:dyDescent="0.25">
      <c r="A135" s="354" t="s">
        <v>23</v>
      </c>
      <c r="B135" s="84">
        <v>0.05</v>
      </c>
      <c r="C135" s="85">
        <v>13</v>
      </c>
      <c r="D135" s="160">
        <f ca="1">((100/F130)*C135)/100</f>
        <v>0.9285714285714286</v>
      </c>
      <c r="E135" s="205"/>
      <c r="F135" s="205"/>
      <c r="G135" s="6" t="s">
        <v>283</v>
      </c>
      <c r="H135" s="9">
        <f ca="1">(IF(A130&gt;1,(F130/(A130+2)),F130/3.5))</f>
        <v>4</v>
      </c>
    </row>
    <row r="136" spans="1:12" x14ac:dyDescent="0.25">
      <c r="A136" s="354" t="s">
        <v>38</v>
      </c>
      <c r="B136" s="84">
        <v>0.05</v>
      </c>
      <c r="C136" s="85">
        <v>7</v>
      </c>
      <c r="D136" s="160">
        <f ca="1">((100/F130)*C136)/100</f>
        <v>0.5</v>
      </c>
      <c r="E136" s="205"/>
      <c r="F136" s="205"/>
      <c r="G136" s="6" t="s">
        <v>26</v>
      </c>
      <c r="H136" s="9">
        <f>(IF(A130&gt;1,(F130/(A130+2)+H135),0))</f>
        <v>0</v>
      </c>
    </row>
    <row r="137" spans="1:12" ht="15" customHeight="1" x14ac:dyDescent="0.25">
      <c r="A137" s="354" t="s">
        <v>29</v>
      </c>
      <c r="B137" s="84">
        <v>0.05</v>
      </c>
      <c r="C137" s="85">
        <v>0</v>
      </c>
      <c r="D137" s="160">
        <f ca="1">((100/(F130))*C137)/100</f>
        <v>0</v>
      </c>
      <c r="E137" s="205"/>
      <c r="F137" s="205"/>
      <c r="G137" s="6" t="s">
        <v>28</v>
      </c>
      <c r="H137" s="9">
        <f>(IF(A130&gt;2,(F130/(A130+2)+H136),0))</f>
        <v>0</v>
      </c>
    </row>
    <row r="138" spans="1:12" ht="15" customHeight="1" x14ac:dyDescent="0.25">
      <c r="A138" s="354" t="s">
        <v>39</v>
      </c>
      <c r="B138" s="84">
        <v>0.05</v>
      </c>
      <c r="C138" s="85">
        <v>0</v>
      </c>
      <c r="D138" s="160">
        <f ca="1">((100/F130)*C138)/100</f>
        <v>0</v>
      </c>
      <c r="E138" s="205"/>
      <c r="F138" s="205"/>
      <c r="G138" s="6" t="s">
        <v>30</v>
      </c>
      <c r="H138" s="10">
        <f>(IF(A130&gt;3,(F130/(A130+2)+H137),0))</f>
        <v>0</v>
      </c>
    </row>
    <row r="139" spans="1:12" ht="15" customHeight="1" x14ac:dyDescent="0.25">
      <c r="A139" s="354" t="s">
        <v>31</v>
      </c>
      <c r="B139" s="84">
        <v>0.05</v>
      </c>
      <c r="C139" s="85">
        <v>0</v>
      </c>
      <c r="D139" s="160">
        <f ca="1">((100/F130)*C139)/100</f>
        <v>0</v>
      </c>
      <c r="E139" s="205"/>
      <c r="F139" s="205"/>
      <c r="G139" s="6" t="s">
        <v>32</v>
      </c>
      <c r="H139" s="9">
        <f>(IF(A130&gt;4,(F130/(A130+2)+H138),0))</f>
        <v>0</v>
      </c>
    </row>
    <row r="140" spans="1:12" x14ac:dyDescent="0.25">
      <c r="A140" s="354" t="s">
        <v>40</v>
      </c>
      <c r="B140" s="84">
        <v>2.5000000000000001E-2</v>
      </c>
      <c r="C140" s="85">
        <v>0</v>
      </c>
      <c r="D140" s="160">
        <f ca="1">((100/(F130))*C140)/100</f>
        <v>0</v>
      </c>
      <c r="E140" s="205"/>
      <c r="F140" s="205"/>
      <c r="G140" s="6" t="s">
        <v>34</v>
      </c>
      <c r="H140" s="9">
        <f ca="1">(IF(A130=1,(F130/(A130+3)+H135),IF(A130=0,(F130*2/7+H135),IF(A130&gt;1,0))))</f>
        <v>8</v>
      </c>
    </row>
    <row r="141" spans="1:12" ht="15.75" thickBot="1" x14ac:dyDescent="0.3">
      <c r="A141" s="355" t="s">
        <v>35</v>
      </c>
      <c r="B141" s="121">
        <v>2.5000000000000001E-2</v>
      </c>
      <c r="C141" s="122">
        <v>0</v>
      </c>
      <c r="D141" s="161">
        <f ca="1">((100/(F130))*C141)/100</f>
        <v>0</v>
      </c>
      <c r="E141" s="207"/>
      <c r="F141" s="207"/>
      <c r="G141" s="11" t="s">
        <v>36</v>
      </c>
      <c r="H141" s="12">
        <f ca="1">F130</f>
        <v>14</v>
      </c>
    </row>
    <row r="142" spans="1:12" x14ac:dyDescent="0.25">
      <c r="A142" s="339" t="s">
        <v>4</v>
      </c>
      <c r="B142" s="340"/>
      <c r="C142" s="340"/>
      <c r="D142" s="340"/>
      <c r="E142" s="340"/>
      <c r="F142" s="340"/>
      <c r="G142" s="1"/>
      <c r="H142" s="1"/>
    </row>
    <row r="143" spans="1:12" s="44" customFormat="1" ht="15" customHeight="1" x14ac:dyDescent="0.25">
      <c r="A143" s="341" t="s">
        <v>4</v>
      </c>
      <c r="B143" s="342" t="str">
        <f>C121</f>
        <v>Building No.2 = Gr/Stilt + 1st to 14th Floor</v>
      </c>
      <c r="C143" s="342"/>
      <c r="D143" s="342"/>
      <c r="E143" s="342"/>
      <c r="F143" s="342"/>
      <c r="G143" s="343"/>
      <c r="H143" s="343"/>
    </row>
    <row r="144" spans="1:12" x14ac:dyDescent="0.25">
      <c r="A144" s="344" t="s">
        <v>5</v>
      </c>
      <c r="B144" s="345" t="s">
        <v>6</v>
      </c>
      <c r="C144" s="345"/>
      <c r="D144" s="345" t="s">
        <v>7</v>
      </c>
      <c r="E144" s="345"/>
      <c r="F144" s="79" t="s">
        <v>8</v>
      </c>
      <c r="G144" s="4" t="str">
        <f ca="1">(IF(E148&gt;99%,"All work completed. Please provide OC.",IF(E148&gt;98%,"Plinth, RCC, Brick, Plaster, Flooring, Painting work Completed. Finishing work is in process.",IF(E148&lt;98%,(IF(C148=0,"Work not yet Started.",IF(C148=H149,"Excavation Work in process",IF(C148=H150,"Foudation Work in process",IF(C148=H151,"1st Basement Completed",IF(C148=H152,"1st &amp; 2nd Basement Completed",IF(C148=H153,"1st to 3rd Basement Completed",IF(C148=H154,"1st to 4th Basement Completed",IF(C148=H155,"Plinth work is process",IF(C148=H156,"Plinth work completed","0"))))))))))))&amp;(IF(C149=(B145+D145+F145),", RCC Slab",IF(C149&gt;0,", RCC upto "&amp;C149&amp;" Slab",""))&amp;(IF(C150=F145,", Brickwork",IF(C150&gt;0,", Brickwork upto "&amp;C150&amp;" Floor",""))&amp;(IF(C151=F145,", Plaster",IF(C151&gt;0,", Plaster upto "&amp;C151&amp;" Floor",""))&amp;(IF(C152=F145,", Flooring",IF(C152&gt;0,", Flooring upto "&amp;C152&amp;" Floor",""))&amp;(IF(C153=F145,", Plumbing",IF(C153&gt;0,", Plumbing upto "&amp;C153&amp;" Floor",""))&amp;(IF(C154=F145,", Painting",IF(C154&gt;0,", Painting upto "&amp;C154&amp;" Floor",""))&amp;(IF(C155&gt;0,", Finishing upto "&amp;C155&amp;" Floor","")&amp;(IF(C149&gt;0.5," Completed","")))))))))))</f>
        <v>Plinth work completed, RCC Slab, Brickwork, Plaster upto 12 Floor, Flooring upto 3 Floor Completed</v>
      </c>
      <c r="H144" s="5"/>
    </row>
    <row r="145" spans="1:12" x14ac:dyDescent="0.25">
      <c r="A145" s="344">
        <f>IF(AND(ISNUMBER(SEARCH("1B",B143))),1,IF(AND(ISNUMBER(SEARCH("2B",B143))),2,IF(AND(ISNUMBER(SEARCH("3B",B143))),3,IF(AND(ISNUMBER(SEARCH("4B",B143))),4,IF(ISNUMBER(SEARCH("5B",B143)),5,0)))))</f>
        <v>0</v>
      </c>
      <c r="B145" s="345">
        <v>1</v>
      </c>
      <c r="C145" s="345"/>
      <c r="D145" s="345">
        <v>0</v>
      </c>
      <c r="E145" s="345"/>
      <c r="F145" s="79">
        <f ca="1">--TRIM(RIGHT(SUBSTITUTE(LEFT(B143,_xlfn.AGGREGATE(16,6,FIND({0,1,2,3,4,5,6,7,8,9},B143,ROW(INDIRECT("1:"&amp;LEN(B143)))),1))," ",REPT(" ",LEN(B143))),LEN(B143)))</f>
        <v>14</v>
      </c>
      <c r="G145" s="4"/>
      <c r="H145" s="5"/>
      <c r="L145" t="s">
        <v>210</v>
      </c>
    </row>
    <row r="146" spans="1:12" ht="32.25" customHeight="1" x14ac:dyDescent="0.25">
      <c r="A146" s="346" t="s">
        <v>9</v>
      </c>
      <c r="B146" s="200" t="str">
        <f ca="1">G144</f>
        <v>Plinth work completed, RCC Slab, Brickwork, Plaster upto 12 Floor, Flooring upto 3 Floor Completed</v>
      </c>
      <c r="C146" s="200"/>
      <c r="D146" s="200"/>
      <c r="E146" s="200"/>
      <c r="F146" s="200"/>
      <c r="G146" s="4" t="s">
        <v>10</v>
      </c>
      <c r="H146" s="5"/>
      <c r="L146" t="s">
        <v>208</v>
      </c>
    </row>
    <row r="147" spans="1:12" s="353" customFormat="1" ht="30" x14ac:dyDescent="0.25">
      <c r="A147" s="347" t="s">
        <v>11</v>
      </c>
      <c r="B147" s="348" t="s">
        <v>12</v>
      </c>
      <c r="C147" s="349" t="s">
        <v>13</v>
      </c>
      <c r="D147" s="349" t="s">
        <v>14</v>
      </c>
      <c r="E147" s="350" t="s">
        <v>37</v>
      </c>
      <c r="F147" s="350"/>
      <c r="G147" s="351"/>
      <c r="H147" s="352"/>
      <c r="L147" s="353" t="s">
        <v>209</v>
      </c>
    </row>
    <row r="148" spans="1:12" x14ac:dyDescent="0.25">
      <c r="A148" s="354" t="s">
        <v>19</v>
      </c>
      <c r="B148" s="84">
        <v>0.35</v>
      </c>
      <c r="C148" s="87">
        <f ca="1">H156</f>
        <v>14</v>
      </c>
      <c r="D148" s="160">
        <f ca="1">((100/F145)*C148)/100</f>
        <v>1</v>
      </c>
      <c r="E148" s="205">
        <f ca="1">((((C148/F145)*35)+(35/(F145+D145+B145)*C149)+(5/F145*C150)+(5/F145*C151)+(5/F145*C152)+(5/F145*C153)+(5/F145*C154)+(2.5/F145*C155)+(2.5/F145*C156))/100)</f>
        <v>0.8035714285714286</v>
      </c>
      <c r="F148" s="205"/>
      <c r="G148" s="6"/>
      <c r="H148" s="8"/>
    </row>
    <row r="149" spans="1:12" ht="15" customHeight="1" x14ac:dyDescent="0.25">
      <c r="A149" s="354" t="s">
        <v>21</v>
      </c>
      <c r="B149" s="84">
        <v>0.35</v>
      </c>
      <c r="C149" s="101">
        <v>15</v>
      </c>
      <c r="D149" s="160">
        <f ca="1">((100/(B145+D145+F145))*C149)/100</f>
        <v>1</v>
      </c>
      <c r="E149" s="205"/>
      <c r="F149" s="205"/>
      <c r="G149" s="6" t="s">
        <v>282</v>
      </c>
      <c r="H149" s="9">
        <f ca="1">F145/7</f>
        <v>2</v>
      </c>
    </row>
    <row r="150" spans="1:12" x14ac:dyDescent="0.25">
      <c r="A150" s="354" t="s">
        <v>23</v>
      </c>
      <c r="B150" s="84">
        <v>0.05</v>
      </c>
      <c r="C150" s="85">
        <v>14</v>
      </c>
      <c r="D150" s="160">
        <f ca="1">((100/F145)*C150)/100</f>
        <v>1</v>
      </c>
      <c r="E150" s="205"/>
      <c r="F150" s="205"/>
      <c r="G150" s="6" t="s">
        <v>283</v>
      </c>
      <c r="H150" s="9">
        <f ca="1">(IF(A145&gt;1,(F145/(A145+2)),F145/3.5))</f>
        <v>4</v>
      </c>
    </row>
    <row r="151" spans="1:12" x14ac:dyDescent="0.25">
      <c r="A151" s="354" t="s">
        <v>38</v>
      </c>
      <c r="B151" s="84">
        <v>0.05</v>
      </c>
      <c r="C151" s="85">
        <v>12</v>
      </c>
      <c r="D151" s="160">
        <f ca="1">((100/F145)*C151)/100</f>
        <v>0.85714285714285721</v>
      </c>
      <c r="E151" s="205"/>
      <c r="F151" s="205"/>
      <c r="G151" s="6" t="s">
        <v>26</v>
      </c>
      <c r="H151" s="9">
        <f>(IF(A145&gt;1,(F145/(A145+2)+H150),0))</f>
        <v>0</v>
      </c>
    </row>
    <row r="152" spans="1:12" ht="15" customHeight="1" x14ac:dyDescent="0.25">
      <c r="A152" s="354" t="s">
        <v>29</v>
      </c>
      <c r="B152" s="84">
        <v>0.05</v>
      </c>
      <c r="C152" s="85">
        <v>3</v>
      </c>
      <c r="D152" s="160">
        <f ca="1">((100/(F145))*C152)/100</f>
        <v>0.2142857142857143</v>
      </c>
      <c r="E152" s="205"/>
      <c r="F152" s="205"/>
      <c r="G152" s="6" t="s">
        <v>28</v>
      </c>
      <c r="H152" s="9">
        <f>(IF(A145&gt;2,(F145/(A145+2)+H151),0))</f>
        <v>0</v>
      </c>
    </row>
    <row r="153" spans="1:12" ht="15" customHeight="1" x14ac:dyDescent="0.25">
      <c r="A153" s="354" t="s">
        <v>39</v>
      </c>
      <c r="B153" s="84">
        <v>0.05</v>
      </c>
      <c r="C153" s="85">
        <v>0</v>
      </c>
      <c r="D153" s="160">
        <f ca="1">((100/F145)*C153)/100</f>
        <v>0</v>
      </c>
      <c r="E153" s="205"/>
      <c r="F153" s="205"/>
      <c r="G153" s="6" t="s">
        <v>30</v>
      </c>
      <c r="H153" s="10">
        <f>(IF(A145&gt;3,(F145/(A145+2)+H152),0))</f>
        <v>0</v>
      </c>
    </row>
    <row r="154" spans="1:12" ht="15" customHeight="1" x14ac:dyDescent="0.25">
      <c r="A154" s="354" t="s">
        <v>31</v>
      </c>
      <c r="B154" s="84">
        <v>0.05</v>
      </c>
      <c r="C154" s="85">
        <v>0</v>
      </c>
      <c r="D154" s="160">
        <f ca="1">((100/F145)*C154)/100</f>
        <v>0</v>
      </c>
      <c r="E154" s="205"/>
      <c r="F154" s="205"/>
      <c r="G154" s="6" t="s">
        <v>32</v>
      </c>
      <c r="H154" s="9">
        <f>(IF(A145&gt;4,(F145/(A145+2)+H153),0))</f>
        <v>0</v>
      </c>
    </row>
    <row r="155" spans="1:12" x14ac:dyDescent="0.25">
      <c r="A155" s="354" t="s">
        <v>40</v>
      </c>
      <c r="B155" s="84">
        <v>2.5000000000000001E-2</v>
      </c>
      <c r="C155" s="85">
        <v>0</v>
      </c>
      <c r="D155" s="160">
        <f ca="1">((100/(F145))*C155)/100</f>
        <v>0</v>
      </c>
      <c r="E155" s="205"/>
      <c r="F155" s="205"/>
      <c r="G155" s="6" t="s">
        <v>34</v>
      </c>
      <c r="H155" s="9">
        <f ca="1">(IF(A145=1,(F145/(A145+3)+H150),IF(A145=0,(F145*2/7+H150),IF(A145&gt;1,0))))</f>
        <v>8</v>
      </c>
    </row>
    <row r="156" spans="1:12" ht="15.75" thickBot="1" x14ac:dyDescent="0.3">
      <c r="A156" s="355" t="s">
        <v>35</v>
      </c>
      <c r="B156" s="121">
        <v>2.5000000000000001E-2</v>
      </c>
      <c r="C156" s="122">
        <v>0</v>
      </c>
      <c r="D156" s="161">
        <f ca="1">((100/(F145))*C156)/100</f>
        <v>0</v>
      </c>
      <c r="E156" s="207"/>
      <c r="F156" s="207"/>
      <c r="G156" s="11" t="s">
        <v>36</v>
      </c>
      <c r="H156" s="12">
        <f ca="1">F145</f>
        <v>14</v>
      </c>
    </row>
    <row r="157" spans="1:12" x14ac:dyDescent="0.25">
      <c r="A157" s="339" t="s">
        <v>4</v>
      </c>
      <c r="B157" s="340"/>
      <c r="C157" s="340"/>
      <c r="D157" s="340"/>
      <c r="E157" s="340"/>
      <c r="F157" s="340"/>
      <c r="G157" s="1"/>
      <c r="H157" s="1"/>
    </row>
    <row r="158" spans="1:12" s="44" customFormat="1" ht="15" customHeight="1" x14ac:dyDescent="0.25">
      <c r="A158" s="341" t="s">
        <v>4</v>
      </c>
      <c r="B158" s="342" t="str">
        <f>C122</f>
        <v>Building No.3 = Gr/Stilt + 1st to 14th Floor</v>
      </c>
      <c r="C158" s="342"/>
      <c r="D158" s="342"/>
      <c r="E158" s="342"/>
      <c r="F158" s="342"/>
      <c r="G158" s="343"/>
      <c r="H158" s="343"/>
    </row>
    <row r="159" spans="1:12" x14ac:dyDescent="0.25">
      <c r="A159" s="344" t="s">
        <v>5</v>
      </c>
      <c r="B159" s="345" t="s">
        <v>6</v>
      </c>
      <c r="C159" s="345"/>
      <c r="D159" s="345" t="s">
        <v>7</v>
      </c>
      <c r="E159" s="345"/>
      <c r="F159" s="79" t="s">
        <v>8</v>
      </c>
      <c r="G159" s="4" t="str">
        <f ca="1">(IF(E163&gt;99%,"All work completed. Please provide OC.",IF(E163&gt;98%,"Plinth, RCC, Brick, Plaster, Flooring, Painting work Completed. Finishing work is in process.",IF(E163&lt;98%,(IF(C163=0,"Work not yet Started.",IF(C163=H164,"Excavation Work in process",IF(C163=H165,"Foudation Work in process",IF(C163=H166,"1st Basement Completed",IF(C163=H167,"1st &amp; 2nd Basement Completed",IF(C163=H168,"1st to 3rd Basement Completed",IF(C163=H169,"1st to 4th Basement Completed",IF(C163=H170,"Plinth work is process",IF(C163=H171,"Plinth work completed","0"))))))))))))&amp;(IF(C164=(B160+D160+F160),", RCC Slab",IF(C164&gt;0,", RCC upto "&amp;C164&amp;" Slab",""))&amp;(IF(C165=F160,", Brickwork",IF(C165&gt;0,", Brickwork upto "&amp;C165&amp;" Floor",""))&amp;(IF(C166=F160,", Plaster",IF(C166&gt;0,", Plaster upto "&amp;C166&amp;" Floor",""))&amp;(IF(C167=F160,", Flooring",IF(C167&gt;0,", Flooring upto "&amp;C167&amp;" Floor",""))&amp;(IF(C168=F160,", Plumbing",IF(C168&gt;0,", Plumbing upto "&amp;C168&amp;" Floor",""))&amp;(IF(C169=F160,", Painting",IF(C169&gt;0,", Painting upto "&amp;C169&amp;" Floor",""))&amp;(IF(C170&gt;0,", Finishing upto "&amp;C170&amp;" Floor","")&amp;(IF(C164&gt;0.5," Completed","")))))))))))</f>
        <v>Plinth work completed, RCC Slab, Brickwork, Plaster upto 10 Floor Completed</v>
      </c>
      <c r="H159" s="5"/>
    </row>
    <row r="160" spans="1:12" x14ac:dyDescent="0.25">
      <c r="A160" s="344">
        <f>IF(AND(ISNUMBER(SEARCH("1B",B158))),1,IF(AND(ISNUMBER(SEARCH("2B",B158))),2,IF(AND(ISNUMBER(SEARCH("3B",B158))),3,IF(AND(ISNUMBER(SEARCH("4B",B158))),4,IF(ISNUMBER(SEARCH("5B",B158)),5,0)))))</f>
        <v>0</v>
      </c>
      <c r="B160" s="345">
        <v>1</v>
      </c>
      <c r="C160" s="345"/>
      <c r="D160" s="345">
        <v>0</v>
      </c>
      <c r="E160" s="345"/>
      <c r="F160" s="79">
        <f ca="1">--TRIM(RIGHT(SUBSTITUTE(LEFT(B158,_xlfn.AGGREGATE(16,6,FIND({0,1,2,3,4,5,6,7,8,9},B158,ROW(INDIRECT("1:"&amp;LEN(B158)))),1))," ",REPT(" ",LEN(B158))),LEN(B158)))</f>
        <v>14</v>
      </c>
      <c r="G160" s="4"/>
      <c r="H160" s="5"/>
      <c r="L160" t="s">
        <v>210</v>
      </c>
    </row>
    <row r="161" spans="1:12" x14ac:dyDescent="0.25">
      <c r="A161" s="346" t="s">
        <v>9</v>
      </c>
      <c r="B161" s="200" t="str">
        <f ca="1">G159</f>
        <v>Plinth work completed, RCC Slab, Brickwork, Plaster upto 10 Floor Completed</v>
      </c>
      <c r="C161" s="200"/>
      <c r="D161" s="200"/>
      <c r="E161" s="200"/>
      <c r="F161" s="200"/>
      <c r="G161" s="4" t="s">
        <v>10</v>
      </c>
      <c r="H161" s="5"/>
      <c r="L161" t="s">
        <v>208</v>
      </c>
    </row>
    <row r="162" spans="1:12" s="353" customFormat="1" ht="30" x14ac:dyDescent="0.25">
      <c r="A162" s="347" t="s">
        <v>11</v>
      </c>
      <c r="B162" s="348" t="s">
        <v>12</v>
      </c>
      <c r="C162" s="349" t="s">
        <v>13</v>
      </c>
      <c r="D162" s="349" t="s">
        <v>14</v>
      </c>
      <c r="E162" s="350" t="s">
        <v>37</v>
      </c>
      <c r="F162" s="350"/>
      <c r="G162" s="351"/>
      <c r="H162" s="352"/>
      <c r="L162" s="353" t="s">
        <v>209</v>
      </c>
    </row>
    <row r="163" spans="1:12" x14ac:dyDescent="0.25">
      <c r="A163" s="354" t="s">
        <v>19</v>
      </c>
      <c r="B163" s="84">
        <v>0.35</v>
      </c>
      <c r="C163" s="87">
        <f ca="1">H171</f>
        <v>14</v>
      </c>
      <c r="D163" s="160">
        <f ca="1">((100/F160)*C163)/100</f>
        <v>1</v>
      </c>
      <c r="E163" s="205">
        <f ca="1">((((C163/F160)*35)+(35/(F160+D160+B160)*C164)+(5/F160*C165)+(5/F160*C166)+(5/F160*C167)+(5/F160*C168)+(5/F160*C169)+(2.5/F160*C170)+(2.5/F160*C171))/100)</f>
        <v>0.7857142857142857</v>
      </c>
      <c r="F163" s="205"/>
      <c r="G163" s="6"/>
      <c r="H163" s="8"/>
    </row>
    <row r="164" spans="1:12" ht="15" customHeight="1" x14ac:dyDescent="0.25">
      <c r="A164" s="354" t="s">
        <v>21</v>
      </c>
      <c r="B164" s="84">
        <v>0.35</v>
      </c>
      <c r="C164" s="101">
        <v>15</v>
      </c>
      <c r="D164" s="160">
        <f ca="1">((100/(B160+D160+F160))*C164)/100</f>
        <v>1</v>
      </c>
      <c r="E164" s="205"/>
      <c r="F164" s="205"/>
      <c r="G164" s="6" t="s">
        <v>282</v>
      </c>
      <c r="H164" s="9">
        <f ca="1">F160/7</f>
        <v>2</v>
      </c>
    </row>
    <row r="165" spans="1:12" x14ac:dyDescent="0.25">
      <c r="A165" s="354" t="s">
        <v>23</v>
      </c>
      <c r="B165" s="84">
        <v>0.05</v>
      </c>
      <c r="C165" s="85">
        <v>14</v>
      </c>
      <c r="D165" s="160">
        <f ca="1">((100/F160)*C165)/100</f>
        <v>1</v>
      </c>
      <c r="E165" s="205"/>
      <c r="F165" s="205"/>
      <c r="G165" s="6" t="s">
        <v>283</v>
      </c>
      <c r="H165" s="9">
        <f ca="1">(IF(A160&gt;1,(F160/(A160+2)),F160/3.5))</f>
        <v>4</v>
      </c>
    </row>
    <row r="166" spans="1:12" x14ac:dyDescent="0.25">
      <c r="A166" s="354" t="s">
        <v>38</v>
      </c>
      <c r="B166" s="84">
        <v>0.05</v>
      </c>
      <c r="C166" s="85">
        <v>10</v>
      </c>
      <c r="D166" s="160">
        <f ca="1">((100/F160)*C166)/100</f>
        <v>0.7142857142857143</v>
      </c>
      <c r="E166" s="205"/>
      <c r="F166" s="205"/>
      <c r="G166" s="6" t="s">
        <v>26</v>
      </c>
      <c r="H166" s="9">
        <f>(IF(A160&gt;1,(F160/(A160+2)+H165),0))</f>
        <v>0</v>
      </c>
    </row>
    <row r="167" spans="1:12" ht="15" customHeight="1" x14ac:dyDescent="0.25">
      <c r="A167" s="354" t="s">
        <v>29</v>
      </c>
      <c r="B167" s="84">
        <v>0.05</v>
      </c>
      <c r="C167" s="85">
        <v>0</v>
      </c>
      <c r="D167" s="160">
        <f ca="1">((100/(F160))*C167)/100</f>
        <v>0</v>
      </c>
      <c r="E167" s="205"/>
      <c r="F167" s="205"/>
      <c r="G167" s="6" t="s">
        <v>28</v>
      </c>
      <c r="H167" s="9">
        <f>(IF(A160&gt;2,(F160/(A160+2)+H166),0))</f>
        <v>0</v>
      </c>
    </row>
    <row r="168" spans="1:12" ht="15" customHeight="1" x14ac:dyDescent="0.25">
      <c r="A168" s="354" t="s">
        <v>39</v>
      </c>
      <c r="B168" s="84">
        <v>0.05</v>
      </c>
      <c r="C168" s="85">
        <v>0</v>
      </c>
      <c r="D168" s="160">
        <f ca="1">((100/F160)*C168)/100</f>
        <v>0</v>
      </c>
      <c r="E168" s="205"/>
      <c r="F168" s="205"/>
      <c r="G168" s="6" t="s">
        <v>30</v>
      </c>
      <c r="H168" s="10">
        <f>(IF(A160&gt;3,(F160/(A160+2)+H167),0))</f>
        <v>0</v>
      </c>
    </row>
    <row r="169" spans="1:12" ht="15" customHeight="1" x14ac:dyDescent="0.25">
      <c r="A169" s="354" t="s">
        <v>31</v>
      </c>
      <c r="B169" s="84">
        <v>0.05</v>
      </c>
      <c r="C169" s="85">
        <v>0</v>
      </c>
      <c r="D169" s="160">
        <f ca="1">((100/F160)*C169)/100</f>
        <v>0</v>
      </c>
      <c r="E169" s="205"/>
      <c r="F169" s="205"/>
      <c r="G169" s="6" t="s">
        <v>32</v>
      </c>
      <c r="H169" s="9">
        <f>(IF(A160&gt;4,(F160/(A160+2)+H168),0))</f>
        <v>0</v>
      </c>
    </row>
    <row r="170" spans="1:12" x14ac:dyDescent="0.25">
      <c r="A170" s="354" t="s">
        <v>40</v>
      </c>
      <c r="B170" s="84">
        <v>2.5000000000000001E-2</v>
      </c>
      <c r="C170" s="85">
        <v>0</v>
      </c>
      <c r="D170" s="160">
        <f ca="1">((100/(F160))*C170)/100</f>
        <v>0</v>
      </c>
      <c r="E170" s="205"/>
      <c r="F170" s="205"/>
      <c r="G170" s="6" t="s">
        <v>34</v>
      </c>
      <c r="H170" s="9">
        <f ca="1">(IF(A160=1,(F160/(A160+3)+H165),IF(A160=0,(F160*2/7+H165),IF(A160&gt;1,0))))</f>
        <v>8</v>
      </c>
    </row>
    <row r="171" spans="1:12" ht="15.75" thickBot="1" x14ac:dyDescent="0.3">
      <c r="A171" s="355" t="s">
        <v>35</v>
      </c>
      <c r="B171" s="121">
        <v>2.5000000000000001E-2</v>
      </c>
      <c r="C171" s="122">
        <v>0</v>
      </c>
      <c r="D171" s="161">
        <f ca="1">((100/(F160))*C171)/100</f>
        <v>0</v>
      </c>
      <c r="E171" s="207"/>
      <c r="F171" s="207"/>
      <c r="G171" s="11" t="s">
        <v>36</v>
      </c>
      <c r="H171" s="12">
        <f ca="1">F160</f>
        <v>14</v>
      </c>
    </row>
    <row r="172" spans="1:12" ht="15.75" hidden="1" thickBot="1" x14ac:dyDescent="0.3">
      <c r="A172" s="204" t="s">
        <v>4</v>
      </c>
      <c r="B172" s="204"/>
      <c r="C172" s="204"/>
      <c r="D172" s="204"/>
      <c r="E172" s="204"/>
      <c r="F172" s="204"/>
      <c r="G172" s="1"/>
      <c r="H172" s="1"/>
    </row>
    <row r="173" spans="1:12" hidden="1" x14ac:dyDescent="0.25">
      <c r="A173" s="197" t="s">
        <v>334</v>
      </c>
      <c r="B173" s="198"/>
      <c r="C173" s="77" t="s">
        <v>5</v>
      </c>
      <c r="D173" s="77" t="s">
        <v>6</v>
      </c>
      <c r="E173" s="77" t="s">
        <v>7</v>
      </c>
      <c r="F173" s="78" t="s">
        <v>8</v>
      </c>
      <c r="G173" s="2" t="str">
        <f ca="1">(IF(E177&gt;99%,"All work completed. Please provide OC.",IF(E177&gt;89.8%,"Plinth, RCC, Brick, Plaster, Flooring, Painting work Completed. Finishing work is in process.",IF(E177&lt;94%,(IF(C177=0,"Work not yet Started.",IF(C177=H178,"Excavation Work in process",IF(C177=H179,"Foudation Work in process",IF(C177=H180,"1st Basement Completed",IF(C177=H181,"1st &amp; 2nd Basement Completed",IF(C177=H182,"1st to 3rd Basement Completed",IF(C177=H183,"1st to 4th Basement Completed",IF(C177=H184,"Plinth work is process",IF(C177=H185,"Plinth work completed","0"))))))))))))&amp;(IF(C178=(D174+E174+F174),", RCC Slab",IF(C178&gt;0,", RCC upto "&amp;C178&amp;" Slab",""))&amp;(IF(C179=F174,", Brickwork",IF(C179&gt;0,", Brickwork upto "&amp;C179&amp;" Floor",""))&amp;(IF(C180=F174,", Internal Plaster",IF(C180&gt;0,", Internal Plaster upto "&amp;C180&amp;" Floor",""))&amp;(IF(C181=F174,", External Plaster",IF(C181&gt;0,", External Plaster upto "&amp;C181&amp;" Floor",""))&amp;(IF(C182=F174,", Flooring",IF(C182&gt;0,", Flooring upto "&amp;C182&amp;" Floor",""))&amp;(IF(C183=F174,", Painting",IF(C183&gt;0,", Painting upto "&amp;C183&amp;" Floor",""))&amp;(IF(C184&gt;0,", Finishing upto "&amp;C184&amp;" Floor","")&amp;(IF(C178&gt;0.5," Completed","")))))))))))</f>
        <v>Plinth work completed, RCC Slab, Brickwork upto 13 Floor, Internal Plaster upto 7 Floor Completed</v>
      </c>
      <c r="H173" s="3"/>
    </row>
    <row r="174" spans="1:12" hidden="1" x14ac:dyDescent="0.25">
      <c r="A174" s="199"/>
      <c r="B174" s="200"/>
      <c r="C174" s="79">
        <v>0</v>
      </c>
      <c r="D174" s="79">
        <v>1</v>
      </c>
      <c r="E174" s="79">
        <v>0</v>
      </c>
      <c r="F174" s="80">
        <f ca="1">--TRIM(RIGHT(SUBSTITUTE(LEFT(A173,_xlfn.AGGREGATE(16,6,FIND({0,1,2,3,4,5,6,7,8,9},A173,ROW(INDIRECT("1:"&amp;LEN(A173)))),1))," ",REPT(" ",LEN(A173))),LEN(A173)))</f>
        <v>14</v>
      </c>
      <c r="G174" s="4"/>
      <c r="H174" s="5"/>
      <c r="L174" t="s">
        <v>210</v>
      </c>
    </row>
    <row r="175" spans="1:12" ht="32.25" hidden="1" customHeight="1" x14ac:dyDescent="0.25">
      <c r="A175" s="119" t="s">
        <v>9</v>
      </c>
      <c r="B175" s="200" t="str">
        <f ca="1">G173</f>
        <v>Plinth work completed, RCC Slab, Brickwork upto 13 Floor, Internal Plaster upto 7 Floor Completed</v>
      </c>
      <c r="C175" s="200"/>
      <c r="D175" s="200"/>
      <c r="E175" s="200"/>
      <c r="F175" s="201"/>
      <c r="G175" s="4" t="s">
        <v>10</v>
      </c>
      <c r="H175" s="5"/>
      <c r="L175" t="s">
        <v>208</v>
      </c>
    </row>
    <row r="176" spans="1:12" hidden="1" x14ac:dyDescent="0.25">
      <c r="A176" s="81" t="s">
        <v>11</v>
      </c>
      <c r="B176" s="82" t="s">
        <v>12</v>
      </c>
      <c r="C176" s="83" t="s">
        <v>13</v>
      </c>
      <c r="D176" s="83" t="s">
        <v>14</v>
      </c>
      <c r="E176" s="202" t="s">
        <v>37</v>
      </c>
      <c r="F176" s="203"/>
      <c r="G176" s="6"/>
      <c r="H176" s="7"/>
      <c r="L176" t="s">
        <v>209</v>
      </c>
    </row>
    <row r="177" spans="1:12" hidden="1" x14ac:dyDescent="0.25">
      <c r="A177" s="81" t="s">
        <v>19</v>
      </c>
      <c r="B177" s="84">
        <v>0.35</v>
      </c>
      <c r="C177" s="87">
        <v>14</v>
      </c>
      <c r="D177" s="86">
        <f ca="1">((100/F174)*C177)/100</f>
        <v>1</v>
      </c>
      <c r="E177" s="205">
        <f ca="1">((((C177/F174)*35)+(35/(F174+E174+D174)*C178)+(5/F174*C179)+(5/F174*C180)+(5/F174*C181)+(5/F174*C182)+(5/F174*C183)+(2.5/F174*C184)+(2.5/F174*C185))/100)</f>
        <v>0.77142857142857135</v>
      </c>
      <c r="F177" s="206"/>
      <c r="G177" s="6"/>
      <c r="H177" s="8"/>
    </row>
    <row r="178" spans="1:12" ht="30" hidden="1" x14ac:dyDescent="0.25">
      <c r="A178" s="81" t="s">
        <v>21</v>
      </c>
      <c r="B178" s="84">
        <v>0.35</v>
      </c>
      <c r="C178" s="101">
        <v>15</v>
      </c>
      <c r="D178" s="86">
        <f ca="1">((100/(D174+E174+F174))*C178)/100</f>
        <v>1</v>
      </c>
      <c r="E178" s="205"/>
      <c r="F178" s="206"/>
      <c r="G178" s="6" t="s">
        <v>282</v>
      </c>
      <c r="H178" s="9">
        <f ca="1">F174/7</f>
        <v>2</v>
      </c>
    </row>
    <row r="179" spans="1:12" hidden="1" x14ac:dyDescent="0.25">
      <c r="A179" s="81" t="s">
        <v>23</v>
      </c>
      <c r="B179" s="84">
        <v>0.05</v>
      </c>
      <c r="C179" s="85">
        <v>13</v>
      </c>
      <c r="D179" s="86">
        <f ca="1">((100/F174)*C179)/100</f>
        <v>0.9285714285714286</v>
      </c>
      <c r="E179" s="205"/>
      <c r="F179" s="206"/>
      <c r="G179" s="6" t="s">
        <v>283</v>
      </c>
      <c r="H179" s="9">
        <f ca="1">(IF(C174&gt;1,(F174/(C174+2)),F174/3.5))</f>
        <v>4</v>
      </c>
    </row>
    <row r="180" spans="1:12" hidden="1" x14ac:dyDescent="0.25">
      <c r="A180" s="81" t="s">
        <v>38</v>
      </c>
      <c r="B180" s="84">
        <v>0.05</v>
      </c>
      <c r="C180" s="85">
        <v>7</v>
      </c>
      <c r="D180" s="86">
        <f ca="1">((100/F174)*C180)/100</f>
        <v>0.5</v>
      </c>
      <c r="E180" s="205"/>
      <c r="F180" s="206"/>
      <c r="G180" s="6" t="s">
        <v>26</v>
      </c>
      <c r="H180" s="9">
        <f>(IF(C174&gt;1,(F174/(C174+2)+H179),0))</f>
        <v>0</v>
      </c>
    </row>
    <row r="181" spans="1:12" hidden="1" x14ac:dyDescent="0.25">
      <c r="A181" s="81" t="s">
        <v>29</v>
      </c>
      <c r="B181" s="84">
        <v>0.05</v>
      </c>
      <c r="C181" s="85">
        <v>0</v>
      </c>
      <c r="D181" s="86">
        <f ca="1">((100/(F174))*C181)/100</f>
        <v>0</v>
      </c>
      <c r="E181" s="205"/>
      <c r="F181" s="206"/>
      <c r="G181" s="6" t="s">
        <v>28</v>
      </c>
      <c r="H181" s="9">
        <f>(IF(C174&gt;2,(F174/(C174+2)+H180),0))</f>
        <v>0</v>
      </c>
    </row>
    <row r="182" spans="1:12" ht="15" hidden="1" customHeight="1" x14ac:dyDescent="0.25">
      <c r="A182" s="81" t="s">
        <v>39</v>
      </c>
      <c r="B182" s="84">
        <v>0.05</v>
      </c>
      <c r="C182" s="85">
        <v>0</v>
      </c>
      <c r="D182" s="86">
        <f ca="1">((100/F174)*C182)/100</f>
        <v>0</v>
      </c>
      <c r="E182" s="205"/>
      <c r="F182" s="206"/>
      <c r="G182" s="6" t="s">
        <v>30</v>
      </c>
      <c r="H182" s="10">
        <f>(IF(C174&gt;3,(F174/(C174+2)+H181),0))</f>
        <v>0</v>
      </c>
    </row>
    <row r="183" spans="1:12" hidden="1" x14ac:dyDescent="0.25">
      <c r="A183" s="81" t="s">
        <v>31</v>
      </c>
      <c r="B183" s="84">
        <v>0.05</v>
      </c>
      <c r="C183" s="85">
        <v>0</v>
      </c>
      <c r="D183" s="86">
        <f ca="1">((100/F174)*C183)/100</f>
        <v>0</v>
      </c>
      <c r="E183" s="205"/>
      <c r="F183" s="206"/>
      <c r="G183" s="6" t="s">
        <v>32</v>
      </c>
      <c r="H183" s="9">
        <f>(IF(C174&gt;4,(F174/(C174+2)+H182),0))</f>
        <v>0</v>
      </c>
    </row>
    <row r="184" spans="1:12" hidden="1" x14ac:dyDescent="0.25">
      <c r="A184" s="81" t="s">
        <v>40</v>
      </c>
      <c r="B184" s="84">
        <v>2.5000000000000001E-2</v>
      </c>
      <c r="C184" s="85">
        <v>0</v>
      </c>
      <c r="D184" s="86">
        <f ca="1">((100/(F174))*C184)/100</f>
        <v>0</v>
      </c>
      <c r="E184" s="205"/>
      <c r="F184" s="206"/>
      <c r="G184" s="6" t="s">
        <v>34</v>
      </c>
      <c r="H184" s="9">
        <f ca="1">(IF(C174=1,(F174/(C174+3)+H179),IF(C174=0,(F174*2/7+H179),IF(C174&gt;1,0))))</f>
        <v>8</v>
      </c>
    </row>
    <row r="185" spans="1:12" ht="15.75" hidden="1" thickBot="1" x14ac:dyDescent="0.3">
      <c r="A185" s="120" t="s">
        <v>35</v>
      </c>
      <c r="B185" s="121">
        <v>2.5000000000000001E-2</v>
      </c>
      <c r="C185" s="122">
        <v>0</v>
      </c>
      <c r="D185" s="123">
        <f ca="1">((100/(F174))*C185)/100</f>
        <v>0</v>
      </c>
      <c r="E185" s="207"/>
      <c r="F185" s="208"/>
      <c r="G185" s="11" t="s">
        <v>36</v>
      </c>
      <c r="H185" s="12">
        <f ca="1">F174</f>
        <v>14</v>
      </c>
    </row>
    <row r="186" spans="1:12" ht="15.75" hidden="1" thickBot="1" x14ac:dyDescent="0.3">
      <c r="A186" s="204" t="s">
        <v>4</v>
      </c>
      <c r="B186" s="204"/>
      <c r="C186" s="204"/>
      <c r="D186" s="204"/>
      <c r="E186" s="204"/>
      <c r="F186" s="204"/>
      <c r="G186" s="1"/>
      <c r="H186" s="1"/>
    </row>
    <row r="187" spans="1:12" hidden="1" x14ac:dyDescent="0.25">
      <c r="A187" s="197" t="s">
        <v>394</v>
      </c>
      <c r="B187" s="198"/>
      <c r="C187" s="77" t="s">
        <v>5</v>
      </c>
      <c r="D187" s="77" t="s">
        <v>6</v>
      </c>
      <c r="E187" s="77" t="s">
        <v>7</v>
      </c>
      <c r="F187" s="78" t="s">
        <v>8</v>
      </c>
      <c r="G187" s="2" t="str">
        <f ca="1">(IF(E191&gt;99%,"All work completed. Please provide OC.",IF(E191&gt;89.8%,"Plinth, RCC, Brick, Plaster, Flooring, Painting work Completed. Finishing work is in process.",IF(E191&lt;94%,(IF(C191=0,"Work not yet Started.",IF(C191=H192,"Excavation Work in process",IF(C191=H193,"Foudation Work in process",IF(C191=H194,"1st Basement Completed",IF(C191=H195,"1st &amp; 2nd Basement Completed",IF(C191=H196,"1st to 3rd Basement Completed",IF(C191=H197,"1st to 4th Basement Completed",IF(C191=H198,"Plinth work is process",IF(C191=H199,"Plinth work completed","0"))))))))))))&amp;(IF(C192=(D188+E188+F188),", RCC Slab",IF(C192&gt;0,", RCC upto "&amp;C192&amp;" Slab",""))&amp;(IF(C193=F188,", Brickwork",IF(C193&gt;0,", Brickwork upto "&amp;C193&amp;" Floor",""))&amp;(IF(C194=F188,", Internal Plaster",IF(C194&gt;0,", Internal Plaster upto "&amp;C194&amp;" Floor",""))&amp;(IF(C195=F188,", External Plaster",IF(C195&gt;0,", External Plaster upto "&amp;C195&amp;" Floor",""))&amp;(IF(C196=F188,", Flooring",IF(C196&gt;0,", Flooring upto "&amp;C196&amp;" Floor",""))&amp;(IF(C197=F188,", Painting",IF(C197&gt;0,", Painting upto "&amp;C197&amp;" Floor",""))&amp;(IF(C198&gt;0,", Finishing upto "&amp;C198&amp;" Floor","")&amp;(IF(C192&gt;0.5," Completed","")))))))))))</f>
        <v>Plinth work completed, RCC Slab, Brickwork upto 12 Floor Completed</v>
      </c>
      <c r="H187" s="3"/>
    </row>
    <row r="188" spans="1:12" hidden="1" x14ac:dyDescent="0.25">
      <c r="A188" s="199"/>
      <c r="B188" s="200"/>
      <c r="C188" s="79">
        <v>0</v>
      </c>
      <c r="D188" s="79">
        <v>1</v>
      </c>
      <c r="E188" s="79">
        <v>0</v>
      </c>
      <c r="F188" s="80">
        <f ca="1">--TRIM(RIGHT(SUBSTITUTE(LEFT(A187,_xlfn.AGGREGATE(16,6,FIND({0,1,2,3,4,5,6,7,8,9},A187,ROW(INDIRECT("1:"&amp;LEN(A187)))),1))," ",REPT(" ",LEN(A187))),LEN(A187)))</f>
        <v>14</v>
      </c>
      <c r="G188" s="4"/>
      <c r="H188" s="5"/>
      <c r="L188" t="s">
        <v>210</v>
      </c>
    </row>
    <row r="189" spans="1:12" hidden="1" x14ac:dyDescent="0.25">
      <c r="A189" s="119" t="s">
        <v>9</v>
      </c>
      <c r="B189" s="200" t="str">
        <f ca="1">G187</f>
        <v>Plinth work completed, RCC Slab, Brickwork upto 12 Floor Completed</v>
      </c>
      <c r="C189" s="200"/>
      <c r="D189" s="200"/>
      <c r="E189" s="200"/>
      <c r="F189" s="201"/>
      <c r="G189" s="4" t="s">
        <v>10</v>
      </c>
      <c r="H189" s="5"/>
      <c r="L189" t="s">
        <v>208</v>
      </c>
    </row>
    <row r="190" spans="1:12" hidden="1" x14ac:dyDescent="0.25">
      <c r="A190" s="81" t="s">
        <v>11</v>
      </c>
      <c r="B190" s="82" t="s">
        <v>12</v>
      </c>
      <c r="C190" s="83" t="s">
        <v>13</v>
      </c>
      <c r="D190" s="83" t="s">
        <v>14</v>
      </c>
      <c r="E190" s="202" t="s">
        <v>37</v>
      </c>
      <c r="F190" s="203"/>
      <c r="G190" s="6"/>
      <c r="H190" s="7"/>
      <c r="L190" t="s">
        <v>209</v>
      </c>
    </row>
    <row r="191" spans="1:12" hidden="1" x14ac:dyDescent="0.25">
      <c r="A191" s="81" t="s">
        <v>19</v>
      </c>
      <c r="B191" s="84">
        <v>0.35</v>
      </c>
      <c r="C191" s="87">
        <f ca="1">H199</f>
        <v>14</v>
      </c>
      <c r="D191" s="158">
        <f ca="1">((100/F188)*C191)/100</f>
        <v>1</v>
      </c>
      <c r="E191" s="205">
        <f ca="1">((((C191/F188)*35)+(35/(F188+E188+D188)*C192)+(5/F188*C193)+(5/F188*C194)+(5/F188*C195)+(5/F188*C196)+(5/F188*C197)+(2.5/F188*C198)+(2.5/F188*C199))/100)</f>
        <v>0.74285714285714288</v>
      </c>
      <c r="F191" s="206"/>
      <c r="G191" s="6"/>
      <c r="H191" s="8"/>
    </row>
    <row r="192" spans="1:12" ht="30" hidden="1" x14ac:dyDescent="0.25">
      <c r="A192" s="81" t="s">
        <v>21</v>
      </c>
      <c r="B192" s="84">
        <v>0.35</v>
      </c>
      <c r="C192" s="101">
        <v>15</v>
      </c>
      <c r="D192" s="158">
        <f ca="1">((100/(D188+E188+F188))*C192)/100</f>
        <v>1</v>
      </c>
      <c r="E192" s="205"/>
      <c r="F192" s="206"/>
      <c r="G192" s="6" t="s">
        <v>282</v>
      </c>
      <c r="H192" s="9">
        <f ca="1">F188/7</f>
        <v>2</v>
      </c>
      <c r="J192">
        <f>(37+20)/2</f>
        <v>28.5</v>
      </c>
    </row>
    <row r="193" spans="1:12" hidden="1" x14ac:dyDescent="0.25">
      <c r="A193" s="81" t="s">
        <v>23</v>
      </c>
      <c r="B193" s="84">
        <v>0.05</v>
      </c>
      <c r="C193" s="85">
        <v>12</v>
      </c>
      <c r="D193" s="158">
        <f ca="1">((100/F188)*C193)/100</f>
        <v>0.85714285714285721</v>
      </c>
      <c r="E193" s="205"/>
      <c r="F193" s="206"/>
      <c r="G193" s="6" t="s">
        <v>283</v>
      </c>
      <c r="H193" s="9">
        <f ca="1">(IF(C188&gt;1,(F188/(C188+2)),F188/3.5))</f>
        <v>4</v>
      </c>
    </row>
    <row r="194" spans="1:12" hidden="1" x14ac:dyDescent="0.25">
      <c r="A194" s="81" t="s">
        <v>38</v>
      </c>
      <c r="B194" s="84">
        <v>0.05</v>
      </c>
      <c r="C194" s="85">
        <v>0</v>
      </c>
      <c r="D194" s="158">
        <f ca="1">((100/F188)*C194)/100</f>
        <v>0</v>
      </c>
      <c r="E194" s="205"/>
      <c r="F194" s="206"/>
      <c r="G194" s="6" t="s">
        <v>26</v>
      </c>
      <c r="H194" s="9">
        <f>(IF(C188&gt;1,(F188/(C188+2)+H193),0))</f>
        <v>0</v>
      </c>
    </row>
    <row r="195" spans="1:12" hidden="1" x14ac:dyDescent="0.25">
      <c r="A195" s="81" t="s">
        <v>29</v>
      </c>
      <c r="B195" s="84">
        <v>0.05</v>
      </c>
      <c r="C195" s="85">
        <v>0</v>
      </c>
      <c r="D195" s="158">
        <f ca="1">((100/(F188))*C195)/100</f>
        <v>0</v>
      </c>
      <c r="E195" s="205"/>
      <c r="F195" s="206"/>
      <c r="G195" s="6" t="s">
        <v>28</v>
      </c>
      <c r="H195" s="9">
        <f>(IF(C188&gt;2,(F188/(C188+2)+H194),0))</f>
        <v>0</v>
      </c>
    </row>
    <row r="196" spans="1:12" ht="30" hidden="1" x14ac:dyDescent="0.25">
      <c r="A196" s="81" t="s">
        <v>39</v>
      </c>
      <c r="B196" s="84">
        <v>0.05</v>
      </c>
      <c r="C196" s="85">
        <v>0</v>
      </c>
      <c r="D196" s="158">
        <f ca="1">((100/F188)*C196)/100</f>
        <v>0</v>
      </c>
      <c r="E196" s="205"/>
      <c r="F196" s="206"/>
      <c r="G196" s="6" t="s">
        <v>30</v>
      </c>
      <c r="H196" s="10">
        <f>(IF(C188&gt;3,(F188/(C188+2)+H195),0))</f>
        <v>0</v>
      </c>
    </row>
    <row r="197" spans="1:12" hidden="1" x14ac:dyDescent="0.25">
      <c r="A197" s="81" t="s">
        <v>31</v>
      </c>
      <c r="B197" s="84">
        <v>0.05</v>
      </c>
      <c r="C197" s="85">
        <v>0</v>
      </c>
      <c r="D197" s="158">
        <f ca="1">((100/F188)*C197)/100</f>
        <v>0</v>
      </c>
      <c r="E197" s="205"/>
      <c r="F197" s="206"/>
      <c r="G197" s="6" t="s">
        <v>32</v>
      </c>
      <c r="H197" s="9">
        <f>(IF(C188&gt;4,(F188/(C188+2)+H196),0))</f>
        <v>0</v>
      </c>
    </row>
    <row r="198" spans="1:12" hidden="1" x14ac:dyDescent="0.25">
      <c r="A198" s="81" t="s">
        <v>40</v>
      </c>
      <c r="B198" s="84">
        <v>2.5000000000000001E-2</v>
      </c>
      <c r="C198" s="85">
        <v>0</v>
      </c>
      <c r="D198" s="158">
        <f ca="1">((100/(F188))*C198)/100</f>
        <v>0</v>
      </c>
      <c r="E198" s="205"/>
      <c r="F198" s="206"/>
      <c r="G198" s="6" t="s">
        <v>34</v>
      </c>
      <c r="H198" s="9">
        <f ca="1">(IF(C188=1,(F188/(C188+3)+H193),IF(C188=0,(F188*2/7+H193),IF(C188&gt;1,0))))</f>
        <v>8</v>
      </c>
    </row>
    <row r="199" spans="1:12" ht="15.75" hidden="1" thickBot="1" x14ac:dyDescent="0.3">
      <c r="A199" s="120" t="s">
        <v>35</v>
      </c>
      <c r="B199" s="121">
        <v>2.5000000000000001E-2</v>
      </c>
      <c r="C199" s="122">
        <v>0</v>
      </c>
      <c r="D199" s="159">
        <f ca="1">((100/(F188))*C199)/100</f>
        <v>0</v>
      </c>
      <c r="E199" s="207"/>
      <c r="F199" s="208"/>
      <c r="G199" s="11" t="s">
        <v>36</v>
      </c>
      <c r="H199" s="12">
        <f ca="1">F188</f>
        <v>14</v>
      </c>
    </row>
    <row r="200" spans="1:12" ht="15" hidden="1" customHeight="1" x14ac:dyDescent="0.25">
      <c r="A200" s="296" t="s">
        <v>395</v>
      </c>
      <c r="B200" s="297"/>
      <c r="C200" s="300" t="s">
        <v>37</v>
      </c>
      <c r="D200" s="301"/>
      <c r="E200" s="304">
        <f ca="1">AVERAGE(E191,E177)</f>
        <v>0.75714285714285712</v>
      </c>
      <c r="F200" s="305"/>
      <c r="G200" s="2" t="str">
        <f ca="1">(IF(E204&gt;99%,"All work completed. Please provide OC.",IF(E204&gt;89.8%,"Plinth, RCC, Brick, Plaster, Flooring, Painting work Completed. Finishing work is in process.",IF(E204&lt;94%,(IF(C204=0,"Work not yet Started.",IF(C204=H205,"Excavation Work in process",IF(C204=H206,"Foudation Work in process",IF(C204=H207,"1st Basement Completed",IF(C204=H208,"1st &amp; 2nd Basement Completed",IF(C204=H209,"1st to 3rd Basement Completed",IF(C204=H210,"1st to 4th Basement Completed",IF(C204=H211,"Plinth work is process",IF(C204=H212,"Plinth work completed","0"))))))))))))&amp;(IF(C205=(D201+E201+F201),", RCC Slab",IF(C205&gt;0,", RCC upto "&amp;C205&amp;" Slab",""))&amp;(IF(C206=F201,", Brickwork",IF(C206&gt;0,", Brickwork upto "&amp;C206&amp;" Floor",""))&amp;(IF(C207=F201,", Internal Plaster",IF(C207&gt;0,", Internal Plaster upto "&amp;C207&amp;" Floor",""))&amp;(IF(C208=F201,", External Plaster",IF(C208&gt;0,", External Plaster upto "&amp;C208&amp;" Floor",""))&amp;(IF(C209=F201,", Flooring",IF(C209&gt;0,", Flooring upto "&amp;C209&amp;" Floor",""))&amp;(IF(C210=F201,", Painting",IF(C210&gt;0,", Painting upto "&amp;C210&amp;" Floor",""))&amp;(IF(C211&gt;0,", Finishing upto "&amp;C211&amp;" Floor","")&amp;(IF(C205&gt;0.5," Completed","")))))))))))</f>
        <v>Work not yet Started., RCC upto Slab/Floor Slab, Brickwork upto 14 Floor, Internal Plaster upto 15 Floor, External Plaster upto 14 Floor, Flooring upto 11 Floor, Painting upto 3 Floor Completed</v>
      </c>
      <c r="H200" s="3"/>
    </row>
    <row r="201" spans="1:12" ht="15.75" hidden="1" thickBot="1" x14ac:dyDescent="0.3">
      <c r="A201" s="298"/>
      <c r="B201" s="299"/>
      <c r="C201" s="302"/>
      <c r="D201" s="303"/>
      <c r="E201" s="302"/>
      <c r="F201" s="306"/>
      <c r="G201" s="4"/>
      <c r="H201" s="5"/>
      <c r="L201" t="s">
        <v>210</v>
      </c>
    </row>
    <row r="202" spans="1:12" ht="15" hidden="1" customHeight="1" x14ac:dyDescent="0.25">
      <c r="A202" s="197" t="str">
        <f>C121</f>
        <v>Building No.2 = Gr/Stilt + 1st to 14th Floor</v>
      </c>
      <c r="B202" s="198"/>
      <c r="C202" s="77" t="s">
        <v>5</v>
      </c>
      <c r="D202" s="77" t="s">
        <v>6</v>
      </c>
      <c r="E202" s="77" t="s">
        <v>7</v>
      </c>
      <c r="F202" s="78" t="s">
        <v>8</v>
      </c>
      <c r="G202" s="2" t="str">
        <f ca="1">(IF(E206&gt;99%,"All work completed. Please provide OC.",IF(E206&gt;89.8%,"Plinth, RCC, Brick, Plaster, Flooring, Painting work Completed. Finishing work is in process.",IF(E206&lt;94%,(IF(C206=0,"Work not yet Started.",IF(C206=H207,"Excavation Work in process",IF(C206=H208,"Foudation Work in process",IF(C206=H209,"1st Basement Completed",IF(C206=H210,"1st &amp; 2nd Basement Completed",IF(C206=H211,"1st to 3rd Basement Completed",IF(C206=H212,"1st to 4th Basement Completed",IF(C206=H213,"Plinth work is process",IF(C206=H214,"Plinth work completed","0"))))))))))))&amp;(IF(C207=(D203+E203+F203),", RCC Slab",IF(C207&gt;0,", RCC upto "&amp;C207&amp;" Slab",""))&amp;(IF(C208=F203,", Brickwork",IF(C208&gt;0,", Brickwork upto "&amp;C208&amp;" Floor",""))&amp;(IF(C209=F203,", Internal Plaster",IF(C209&gt;0,", Internal Plaster upto "&amp;C209&amp;" Floor",""))&amp;(IF(C210=F203,", External Plaster",IF(C210&gt;0,", External Plaster upto "&amp;C210&amp;" Floor",""))&amp;(IF(C211=F203,", Flooring",IF(C211&gt;0,", Flooring upto "&amp;C211&amp;" Floor",""))&amp;(IF(C212=F203,", Painting",IF(C212&gt;0,", Painting upto "&amp;C212&amp;" Floor",""))&amp;(IF(C213&gt;0,", Finishing upto "&amp;C213&amp;" Floor","")&amp;(IF(C207&gt;0.5," Completed","")))))))))))</f>
        <v>Plinth work completed, RCC Slab, Brickwork, Internal Plaster upto 11 Floor, External Plaster upto 3 Floor Completed</v>
      </c>
      <c r="H202" s="3"/>
    </row>
    <row r="203" spans="1:12" hidden="1" x14ac:dyDescent="0.25">
      <c r="A203" s="199"/>
      <c r="B203" s="200"/>
      <c r="C203" s="79">
        <v>0</v>
      </c>
      <c r="D203" s="79">
        <v>1</v>
      </c>
      <c r="E203" s="79">
        <v>0</v>
      </c>
      <c r="F203" s="80">
        <f ca="1">--TRIM(RIGHT(SUBSTITUTE(LEFT(A202,_xlfn.AGGREGATE(16,6,FIND({0,1,2,3,4,5,6,7,8,9},A202,ROW(INDIRECT("1:"&amp;LEN(A202)))),1))," ",REPT(" ",LEN(A202))),LEN(A202)))</f>
        <v>14</v>
      </c>
      <c r="G203" s="4"/>
      <c r="H203" s="5"/>
      <c r="L203" t="s">
        <v>210</v>
      </c>
    </row>
    <row r="204" spans="1:12" ht="30.75" hidden="1" customHeight="1" x14ac:dyDescent="0.25">
      <c r="A204" s="119" t="s">
        <v>9</v>
      </c>
      <c r="B204" s="200" t="str">
        <f ca="1">G202</f>
        <v>Plinth work completed, RCC Slab, Brickwork, Internal Plaster upto 11 Floor, External Plaster upto 3 Floor Completed</v>
      </c>
      <c r="C204" s="200"/>
      <c r="D204" s="200"/>
      <c r="E204" s="200"/>
      <c r="F204" s="201"/>
      <c r="G204" s="4" t="s">
        <v>10</v>
      </c>
      <c r="H204" s="5"/>
      <c r="L204" t="s">
        <v>208</v>
      </c>
    </row>
    <row r="205" spans="1:12" hidden="1" x14ac:dyDescent="0.25">
      <c r="A205" s="81" t="s">
        <v>11</v>
      </c>
      <c r="B205" s="82" t="s">
        <v>12</v>
      </c>
      <c r="C205" s="83" t="s">
        <v>13</v>
      </c>
      <c r="D205" s="83" t="s">
        <v>14</v>
      </c>
      <c r="E205" s="202" t="s">
        <v>37</v>
      </c>
      <c r="F205" s="203"/>
      <c r="G205" s="6"/>
      <c r="H205" s="7"/>
      <c r="L205" t="s">
        <v>209</v>
      </c>
    </row>
    <row r="206" spans="1:12" hidden="1" x14ac:dyDescent="0.25">
      <c r="A206" s="81" t="s">
        <v>19</v>
      </c>
      <c r="B206" s="84">
        <v>0.35</v>
      </c>
      <c r="C206" s="87">
        <f ca="1">H214</f>
        <v>14</v>
      </c>
      <c r="D206" s="135">
        <f ca="1">((100/F203)*C206)/100</f>
        <v>1</v>
      </c>
      <c r="E206" s="205">
        <f ca="1">((((C206/F203)*35)+(35/(F203+E203+D203)*C207)+(5/F203*C208)+(5/F203*C209)+(5/F203*C210)+(5/F203*C211)+(5/F203*C212)+(2.5/F203*C213)+(2.5/F203*C214))/100)</f>
        <v>0.8</v>
      </c>
      <c r="F206" s="206"/>
      <c r="G206" s="6"/>
      <c r="H206" s="8"/>
    </row>
    <row r="207" spans="1:12" ht="30" hidden="1" x14ac:dyDescent="0.25">
      <c r="A207" s="81" t="s">
        <v>21</v>
      </c>
      <c r="B207" s="84">
        <v>0.35</v>
      </c>
      <c r="C207" s="101">
        <v>15</v>
      </c>
      <c r="D207" s="135">
        <f ca="1">((100/(D203+E203+F203))*C207)/100</f>
        <v>1</v>
      </c>
      <c r="E207" s="205"/>
      <c r="F207" s="206"/>
      <c r="G207" s="6" t="s">
        <v>282</v>
      </c>
      <c r="H207" s="9">
        <f ca="1">F203/7</f>
        <v>2</v>
      </c>
    </row>
    <row r="208" spans="1:12" hidden="1" x14ac:dyDescent="0.25">
      <c r="A208" s="81" t="s">
        <v>23</v>
      </c>
      <c r="B208" s="84">
        <v>0.05</v>
      </c>
      <c r="C208" s="85">
        <v>14</v>
      </c>
      <c r="D208" s="135">
        <f ca="1">((100/F203)*C208)/100</f>
        <v>1</v>
      </c>
      <c r="E208" s="205"/>
      <c r="F208" s="206"/>
      <c r="G208" s="6" t="s">
        <v>283</v>
      </c>
      <c r="H208" s="9">
        <f ca="1">(IF(C203&gt;1,(F203/(C203+2)),F203/3.5))</f>
        <v>4</v>
      </c>
    </row>
    <row r="209" spans="1:12" hidden="1" x14ac:dyDescent="0.25">
      <c r="A209" s="81" t="s">
        <v>38</v>
      </c>
      <c r="B209" s="84">
        <v>0.05</v>
      </c>
      <c r="C209" s="85">
        <v>11</v>
      </c>
      <c r="D209" s="135">
        <f ca="1">((100/F203)*C209)/100</f>
        <v>0.7857142857142857</v>
      </c>
      <c r="E209" s="205"/>
      <c r="F209" s="206"/>
      <c r="G209" s="6" t="s">
        <v>26</v>
      </c>
      <c r="H209" s="9">
        <f>(IF(C203&gt;1,(F203/(C203+2)+H208),0))</f>
        <v>0</v>
      </c>
    </row>
    <row r="210" spans="1:12" hidden="1" x14ac:dyDescent="0.25">
      <c r="A210" s="81" t="s">
        <v>29</v>
      </c>
      <c r="B210" s="84">
        <v>0.05</v>
      </c>
      <c r="C210" s="85">
        <v>3</v>
      </c>
      <c r="D210" s="135">
        <f ca="1">((100/(F203))*C210)/100</f>
        <v>0.2142857142857143</v>
      </c>
      <c r="E210" s="205"/>
      <c r="F210" s="206"/>
      <c r="G210" s="6" t="s">
        <v>28</v>
      </c>
      <c r="H210" s="9">
        <f>(IF(C203&gt;2,(F203/(C203+2)+H209),0))</f>
        <v>0</v>
      </c>
    </row>
    <row r="211" spans="1:12" ht="30" hidden="1" x14ac:dyDescent="0.25">
      <c r="A211" s="81" t="s">
        <v>39</v>
      </c>
      <c r="B211" s="84">
        <v>0.05</v>
      </c>
      <c r="C211" s="85">
        <v>0</v>
      </c>
      <c r="D211" s="135">
        <f ca="1">((100/F203)*C211)/100</f>
        <v>0</v>
      </c>
      <c r="E211" s="205"/>
      <c r="F211" s="206"/>
      <c r="G211" s="6" t="s">
        <v>30</v>
      </c>
      <c r="H211" s="10">
        <f>(IF(C203&gt;3,(F203/(C203+2)+H210),0))</f>
        <v>0</v>
      </c>
    </row>
    <row r="212" spans="1:12" hidden="1" x14ac:dyDescent="0.25">
      <c r="A212" s="81" t="s">
        <v>31</v>
      </c>
      <c r="B212" s="84">
        <v>0.05</v>
      </c>
      <c r="C212" s="85">
        <v>0</v>
      </c>
      <c r="D212" s="135">
        <f ca="1">((100/F203)*C212)/100</f>
        <v>0</v>
      </c>
      <c r="E212" s="205"/>
      <c r="F212" s="206"/>
      <c r="G212" s="6" t="s">
        <v>32</v>
      </c>
      <c r="H212" s="9">
        <f>(IF(C203&gt;4,(F203/(C203+2)+H211),0))</f>
        <v>0</v>
      </c>
    </row>
    <row r="213" spans="1:12" hidden="1" x14ac:dyDescent="0.25">
      <c r="A213" s="81" t="s">
        <v>40</v>
      </c>
      <c r="B213" s="84">
        <v>2.5000000000000001E-2</v>
      </c>
      <c r="C213" s="85">
        <v>0</v>
      </c>
      <c r="D213" s="135">
        <f ca="1">((100/(F203))*C213)/100</f>
        <v>0</v>
      </c>
      <c r="E213" s="205"/>
      <c r="F213" s="206"/>
      <c r="G213" s="6" t="s">
        <v>34</v>
      </c>
      <c r="H213" s="9">
        <f ca="1">(IF(C203=1,(F203/(C203+3)+H208),IF(C203=0,(F203*2/7+H208),IF(C203&gt;1,0))))</f>
        <v>8</v>
      </c>
    </row>
    <row r="214" spans="1:12" ht="15.75" hidden="1" thickBot="1" x14ac:dyDescent="0.3">
      <c r="A214" s="120" t="s">
        <v>35</v>
      </c>
      <c r="B214" s="121">
        <v>2.5000000000000001E-2</v>
      </c>
      <c r="C214" s="122">
        <v>0</v>
      </c>
      <c r="D214" s="136">
        <f ca="1">((100/(F203))*C214)/100</f>
        <v>0</v>
      </c>
      <c r="E214" s="207"/>
      <c r="F214" s="208"/>
      <c r="G214" s="11" t="s">
        <v>36</v>
      </c>
      <c r="H214" s="12">
        <f ca="1">F203</f>
        <v>14</v>
      </c>
    </row>
    <row r="215" spans="1:12" ht="15" hidden="1" customHeight="1" x14ac:dyDescent="0.25">
      <c r="A215" s="197" t="s">
        <v>341</v>
      </c>
      <c r="B215" s="198"/>
      <c r="C215" s="77" t="s">
        <v>5</v>
      </c>
      <c r="D215" s="77" t="s">
        <v>6</v>
      </c>
      <c r="E215" s="77" t="s">
        <v>7</v>
      </c>
      <c r="F215" s="78" t="s">
        <v>8</v>
      </c>
      <c r="G215" s="2" t="str">
        <f ca="1">(IF(E219&gt;99%,"All work completed. Please provide OC.",IF(E219&gt;89.8%,"Plinth, RCC, Brick, Plaster, Flooring, Painting work Completed. Finishing work is in process.",IF(E219&lt;94%,(IF(C219=0,"Work not yet Started.",IF(C219=H220,"Excavation Work in process",IF(C219=H221,"Foudation Work in process",IF(C219=H222,"1st Basement Completed",IF(C219=H223,"1st &amp; 2nd Basement Completed",IF(C219=H224,"1st to 3rd Basement Completed",IF(C219=H225,"1st to 4th Basement Completed",IF(C219=H226,"Plinth work is process",IF(C219=H227,"Plinth work completed","0"))))))))))))&amp;(IF(C220=(D216+E216+F216),", RCC Slab",IF(C220&gt;0,", RCC upto "&amp;C220&amp;" Slab",""))&amp;(IF(C221=F216,", Brickwork",IF(C221&gt;0,", Brickwork upto "&amp;C221&amp;" Floor",""))&amp;(IF(C222=F216,", Internal Plaster",IF(C222&gt;0,", Internal Plaster upto "&amp;C222&amp;" Floor",""))&amp;(IF(C223=F216,", External Plaster",IF(C223&gt;0,", External Plaster upto "&amp;C223&amp;" Floor",""))&amp;(IF(C224=F216,", Flooring",IF(C224&gt;0,", Flooring upto "&amp;C224&amp;" Floor",""))&amp;(IF(C225=F216,", Painting",IF(C225&gt;0,", Painting upto "&amp;C225&amp;" Floor",""))&amp;(IF(C226&gt;0,", Finishing upto "&amp;C226&amp;" Floor","")&amp;(IF(C220&gt;0.5," Completed","")))))))))))</f>
        <v>Plinth work completed, RCC upto 1 Slab Completed</v>
      </c>
      <c r="H215" s="3"/>
    </row>
    <row r="216" spans="1:12" hidden="1" x14ac:dyDescent="0.25">
      <c r="A216" s="199"/>
      <c r="B216" s="200"/>
      <c r="C216" s="79">
        <v>0</v>
      </c>
      <c r="D216" s="79">
        <v>1</v>
      </c>
      <c r="E216" s="79">
        <v>0</v>
      </c>
      <c r="F216" s="80">
        <f ca="1">--TRIM(RIGHT(SUBSTITUTE(LEFT(A215,_xlfn.AGGREGATE(16,6,FIND({0,1,2,3,4,5,6,7,8,9},A215,ROW(INDIRECT("1:"&amp;LEN(A215)))),1))," ",REPT(" ",LEN(A215))),LEN(A215)))</f>
        <v>14</v>
      </c>
      <c r="G216" s="4"/>
      <c r="H216" s="5"/>
      <c r="L216" t="s">
        <v>210</v>
      </c>
    </row>
    <row r="217" spans="1:12" ht="15" hidden="1" customHeight="1" x14ac:dyDescent="0.25">
      <c r="A217" s="119" t="s">
        <v>9</v>
      </c>
      <c r="B217" s="200" t="str">
        <f ca="1">G215</f>
        <v>Plinth work completed, RCC upto 1 Slab Completed</v>
      </c>
      <c r="C217" s="200"/>
      <c r="D217" s="200"/>
      <c r="E217" s="200"/>
      <c r="F217" s="201"/>
      <c r="G217" s="4" t="s">
        <v>10</v>
      </c>
      <c r="H217" s="5"/>
      <c r="L217" t="s">
        <v>208</v>
      </c>
    </row>
    <row r="218" spans="1:12" hidden="1" x14ac:dyDescent="0.25">
      <c r="A218" s="81" t="s">
        <v>11</v>
      </c>
      <c r="B218" s="82" t="s">
        <v>12</v>
      </c>
      <c r="C218" s="83" t="s">
        <v>13</v>
      </c>
      <c r="D218" s="83" t="s">
        <v>14</v>
      </c>
      <c r="E218" s="202" t="s">
        <v>37</v>
      </c>
      <c r="F218" s="203"/>
      <c r="G218" s="6"/>
      <c r="H218" s="7"/>
      <c r="L218" t="s">
        <v>209</v>
      </c>
    </row>
    <row r="219" spans="1:12" hidden="1" x14ac:dyDescent="0.25">
      <c r="A219" s="81" t="s">
        <v>19</v>
      </c>
      <c r="B219" s="84">
        <v>0.35</v>
      </c>
      <c r="C219" s="87">
        <f ca="1">H227</f>
        <v>14</v>
      </c>
      <c r="D219" s="132">
        <f ca="1">((100/F216)*C219)/100</f>
        <v>1</v>
      </c>
      <c r="E219" s="205">
        <f ca="1">((((C219/F216)*35)+(35/(F216+E216+D216)*C220)+(5/F216*C221)+(5/F216*C222)+(5/F216*C223)+(5/F216*C224)+(5/F216*C225)+(2.5/F216*C226)+(2.5/F216*C227))/100)</f>
        <v>0.37333333333333335</v>
      </c>
      <c r="F219" s="206"/>
      <c r="G219" s="6"/>
      <c r="H219" s="8"/>
    </row>
    <row r="220" spans="1:12" ht="30" hidden="1" x14ac:dyDescent="0.25">
      <c r="A220" s="81" t="s">
        <v>21</v>
      </c>
      <c r="B220" s="84">
        <v>0.35</v>
      </c>
      <c r="C220" s="101">
        <v>1</v>
      </c>
      <c r="D220" s="132">
        <f ca="1">((100/(D216+E216+F216))*C220)/100</f>
        <v>6.6666666666666666E-2</v>
      </c>
      <c r="E220" s="205"/>
      <c r="F220" s="206"/>
      <c r="G220" s="6" t="s">
        <v>282</v>
      </c>
      <c r="H220" s="9">
        <f ca="1">F216/7</f>
        <v>2</v>
      </c>
    </row>
    <row r="221" spans="1:12" hidden="1" x14ac:dyDescent="0.25">
      <c r="A221" s="81" t="s">
        <v>23</v>
      </c>
      <c r="B221" s="84">
        <v>0.05</v>
      </c>
      <c r="C221" s="85">
        <v>0</v>
      </c>
      <c r="D221" s="132">
        <f ca="1">((100/F216)*C221)/100</f>
        <v>0</v>
      </c>
      <c r="E221" s="205"/>
      <c r="F221" s="206"/>
      <c r="G221" s="6" t="s">
        <v>283</v>
      </c>
      <c r="H221" s="9">
        <f ca="1">(IF(C216&gt;1,(F216/(C216+2)),F216/3.5))</f>
        <v>4</v>
      </c>
    </row>
    <row r="222" spans="1:12" hidden="1" x14ac:dyDescent="0.25">
      <c r="A222" s="81" t="s">
        <v>38</v>
      </c>
      <c r="B222" s="84">
        <v>0.05</v>
      </c>
      <c r="C222" s="85">
        <v>0</v>
      </c>
      <c r="D222" s="132">
        <f ca="1">((100/F216)*C222)/100</f>
        <v>0</v>
      </c>
      <c r="E222" s="205"/>
      <c r="F222" s="206"/>
      <c r="G222" s="6" t="s">
        <v>26</v>
      </c>
      <c r="H222" s="9">
        <f>(IF(C216&gt;1,(F216/(C216+2)+H221),0))</f>
        <v>0</v>
      </c>
    </row>
    <row r="223" spans="1:12" hidden="1" x14ac:dyDescent="0.25">
      <c r="A223" s="81" t="s">
        <v>29</v>
      </c>
      <c r="B223" s="84">
        <v>0.05</v>
      </c>
      <c r="C223" s="85">
        <v>0</v>
      </c>
      <c r="D223" s="132">
        <f ca="1">((100/(F216))*C223)/100</f>
        <v>0</v>
      </c>
      <c r="E223" s="205"/>
      <c r="F223" s="206"/>
      <c r="G223" s="6" t="s">
        <v>28</v>
      </c>
      <c r="H223" s="9">
        <f>(IF(C216&gt;2,(F216/(C216+2)+H222),0))</f>
        <v>0</v>
      </c>
    </row>
    <row r="224" spans="1:12" ht="30" hidden="1" x14ac:dyDescent="0.25">
      <c r="A224" s="81" t="s">
        <v>39</v>
      </c>
      <c r="B224" s="84">
        <v>0.05</v>
      </c>
      <c r="C224" s="85">
        <v>0</v>
      </c>
      <c r="D224" s="132">
        <f ca="1">((100/F216)*C224)/100</f>
        <v>0</v>
      </c>
      <c r="E224" s="205"/>
      <c r="F224" s="206"/>
      <c r="G224" s="6" t="s">
        <v>30</v>
      </c>
      <c r="H224" s="10">
        <f>(IF(C216&gt;3,(F216/(C216+2)+H223),0))</f>
        <v>0</v>
      </c>
    </row>
    <row r="225" spans="1:12" hidden="1" x14ac:dyDescent="0.25">
      <c r="A225" s="81" t="s">
        <v>31</v>
      </c>
      <c r="B225" s="84">
        <v>0.05</v>
      </c>
      <c r="C225" s="85">
        <v>0</v>
      </c>
      <c r="D225" s="132">
        <f ca="1">((100/F216)*C225)/100</f>
        <v>0</v>
      </c>
      <c r="E225" s="205"/>
      <c r="F225" s="206"/>
      <c r="G225" s="6" t="s">
        <v>32</v>
      </c>
      <c r="H225" s="9">
        <f>(IF(C216&gt;4,(F216/(C216+2)+H224),0))</f>
        <v>0</v>
      </c>
    </row>
    <row r="226" spans="1:12" hidden="1" x14ac:dyDescent="0.25">
      <c r="A226" s="81" t="s">
        <v>40</v>
      </c>
      <c r="B226" s="84">
        <v>2.5000000000000001E-2</v>
      </c>
      <c r="C226" s="85">
        <v>0</v>
      </c>
      <c r="D226" s="132">
        <f ca="1">((100/(F216))*C226)/100</f>
        <v>0</v>
      </c>
      <c r="E226" s="205"/>
      <c r="F226" s="206"/>
      <c r="G226" s="6" t="s">
        <v>34</v>
      </c>
      <c r="H226" s="9">
        <f ca="1">(IF(C216=1,(F216/(C216+3)+H221),IF(C216=0,(F216*2/7+H221),IF(C216&gt;1,0))))</f>
        <v>8</v>
      </c>
    </row>
    <row r="227" spans="1:12" ht="15.75" hidden="1" thickBot="1" x14ac:dyDescent="0.3">
      <c r="A227" s="120" t="s">
        <v>35</v>
      </c>
      <c r="B227" s="121">
        <v>2.5000000000000001E-2</v>
      </c>
      <c r="C227" s="122">
        <v>0</v>
      </c>
      <c r="D227" s="133">
        <f ca="1">((100/(F216))*C227)/100</f>
        <v>0</v>
      </c>
      <c r="E227" s="207"/>
      <c r="F227" s="208"/>
      <c r="G227" s="11" t="s">
        <v>36</v>
      </c>
      <c r="H227" s="12">
        <f ca="1">F216</f>
        <v>14</v>
      </c>
    </row>
    <row r="228" spans="1:12" s="68" customFormat="1" ht="15.75" hidden="1" thickBot="1" x14ac:dyDescent="0.3">
      <c r="A228" s="311" t="s">
        <v>378</v>
      </c>
      <c r="B228" s="312"/>
      <c r="C228" s="312"/>
      <c r="D228" s="313"/>
      <c r="E228" s="314">
        <f ca="1">AVERAGE(E206,E219)</f>
        <v>0.58666666666666667</v>
      </c>
      <c r="F228" s="315"/>
    </row>
    <row r="229" spans="1:12" hidden="1" x14ac:dyDescent="0.25">
      <c r="A229" s="197" t="str">
        <f>C122</f>
        <v>Building No.3 = Gr/Stilt + 1st to 14th Floor</v>
      </c>
      <c r="B229" s="198"/>
      <c r="C229" s="77" t="s">
        <v>5</v>
      </c>
      <c r="D229" s="77" t="s">
        <v>6</v>
      </c>
      <c r="E229" s="77" t="s">
        <v>7</v>
      </c>
      <c r="F229" s="78" t="s">
        <v>8</v>
      </c>
      <c r="G229" s="2" t="str">
        <f ca="1">(IF(E233&gt;99%,"All work completed. Please provide OC.",IF(E233&gt;89.8%,"Plinth, RCC, Brick, Plaster, Flooring, Painting work Completed. Finishing work is in process.",IF(E233&lt;94%,(IF(C233=0,"Work not yet Started.",IF(C233=H234,"Excavation Work in process",IF(C233=H235,"Foudation Work in process",IF(C233=H236,"1st Basement Completed",IF(C233=H237,"1st &amp; 2nd Basement Completed",IF(C233=H238,"1st to 3rd Basement Completed",IF(C233=H239,"1st to 4th Basement Completed",IF(C233=H240,"Plinth work is process",IF(C233=H241,"Plinth work completed","0"))))))))))))&amp;(IF(C234=(D230+E230+F230),", RCC Slab",IF(C234&gt;0,", RCC upto "&amp;C234&amp;" Slab",""))&amp;(IF(C235=F230,", Brickwork",IF(C235&gt;0,", Brickwork upto "&amp;C235&amp;" Floor",""))&amp;(IF(C236=F230,", Internal Plaster",IF(C236&gt;0,", Internal Plaster upto "&amp;C236&amp;" Floor",""))&amp;(IF(C237=F230,", External Plaster",IF(C237&gt;0,", External Plaster upto "&amp;C237&amp;" Floor",""))&amp;(IF(C238=F230,", Flooring",IF(C238&gt;0,", Flooring upto "&amp;C238&amp;" Floor",""))&amp;(IF(C239=F230,", Painting",IF(C239&gt;0,", Painting upto "&amp;C239&amp;" Floor",""))&amp;(IF(C240&gt;0,", Finishing upto "&amp;C240&amp;" Floor","")&amp;(IF(C234&gt;0.5," Completed","")))))))))))</f>
        <v>Plinth work completed, RCC Slab, Brickwork, Internal Plaster upto 10 Floor Completed</v>
      </c>
      <c r="H229" s="3"/>
    </row>
    <row r="230" spans="1:12" hidden="1" x14ac:dyDescent="0.25">
      <c r="A230" s="199"/>
      <c r="B230" s="200"/>
      <c r="C230" s="79">
        <v>0</v>
      </c>
      <c r="D230" s="79">
        <v>1</v>
      </c>
      <c r="E230" s="79">
        <v>0</v>
      </c>
      <c r="F230" s="80">
        <f ca="1">--TRIM(RIGHT(SUBSTITUTE(LEFT(A229,_xlfn.AGGREGATE(16,6,FIND({0,1,2,3,4,5,6,7,8,9},A229,ROW(INDIRECT("1:"&amp;LEN(A229)))),1))," ",REPT(" ",LEN(A229))),LEN(A229)))</f>
        <v>14</v>
      </c>
      <c r="G230" s="4"/>
      <c r="H230" s="5"/>
      <c r="L230" t="s">
        <v>210</v>
      </c>
    </row>
    <row r="231" spans="1:12" hidden="1" x14ac:dyDescent="0.25">
      <c r="A231" s="119" t="s">
        <v>9</v>
      </c>
      <c r="B231" s="200" t="str">
        <f ca="1">G229</f>
        <v>Plinth work completed, RCC Slab, Brickwork, Internal Plaster upto 10 Floor Completed</v>
      </c>
      <c r="C231" s="200"/>
      <c r="D231" s="200"/>
      <c r="E231" s="200"/>
      <c r="F231" s="201"/>
      <c r="G231" s="4" t="s">
        <v>10</v>
      </c>
      <c r="H231" s="5"/>
      <c r="L231" t="s">
        <v>208</v>
      </c>
    </row>
    <row r="232" spans="1:12" hidden="1" x14ac:dyDescent="0.25">
      <c r="A232" s="81" t="s">
        <v>11</v>
      </c>
      <c r="B232" s="82" t="s">
        <v>12</v>
      </c>
      <c r="C232" s="83" t="s">
        <v>13</v>
      </c>
      <c r="D232" s="83" t="s">
        <v>14</v>
      </c>
      <c r="E232" s="202" t="s">
        <v>37</v>
      </c>
      <c r="F232" s="203"/>
      <c r="G232" s="6"/>
      <c r="H232" s="7"/>
      <c r="L232" t="s">
        <v>209</v>
      </c>
    </row>
    <row r="233" spans="1:12" hidden="1" x14ac:dyDescent="0.25">
      <c r="A233" s="81" t="s">
        <v>19</v>
      </c>
      <c r="B233" s="84">
        <v>0.35</v>
      </c>
      <c r="C233" s="87">
        <f ca="1">H241</f>
        <v>14</v>
      </c>
      <c r="D233" s="132">
        <f ca="1">((100/F230)*C233)/100</f>
        <v>1</v>
      </c>
      <c r="E233" s="205">
        <f ca="1">((((C233/F230)*35)+(35/(F230+E230+D230)*C234)+(5/F230*C235)+(5/F230*C236)+(5/F230*C237)+(5/F230*C238)+(5/F230*C239)+(2.5/F230*C240)+(2.5/F230*C241))/100)</f>
        <v>0.7857142857142857</v>
      </c>
      <c r="F233" s="206"/>
      <c r="G233" s="6"/>
      <c r="H233" s="8"/>
    </row>
    <row r="234" spans="1:12" ht="30" hidden="1" x14ac:dyDescent="0.25">
      <c r="A234" s="81" t="s">
        <v>21</v>
      </c>
      <c r="B234" s="84">
        <v>0.35</v>
      </c>
      <c r="C234" s="101">
        <v>15</v>
      </c>
      <c r="D234" s="132">
        <f ca="1">((100/(D230+E230+F230))*C234)/100</f>
        <v>1</v>
      </c>
      <c r="E234" s="205"/>
      <c r="F234" s="206"/>
      <c r="G234" s="6" t="s">
        <v>282</v>
      </c>
      <c r="H234" s="9">
        <f ca="1">F230/7</f>
        <v>2</v>
      </c>
    </row>
    <row r="235" spans="1:12" hidden="1" x14ac:dyDescent="0.25">
      <c r="A235" s="81" t="s">
        <v>23</v>
      </c>
      <c r="B235" s="84">
        <v>0.05</v>
      </c>
      <c r="C235" s="85">
        <v>14</v>
      </c>
      <c r="D235" s="132">
        <f ca="1">((100/F230)*C235)/100</f>
        <v>1</v>
      </c>
      <c r="E235" s="205"/>
      <c r="F235" s="206"/>
      <c r="G235" s="6" t="s">
        <v>283</v>
      </c>
      <c r="H235" s="9">
        <f ca="1">(IF(C230&gt;1,(F230/(C230+2)),F230/3.5))</f>
        <v>4</v>
      </c>
    </row>
    <row r="236" spans="1:12" hidden="1" x14ac:dyDescent="0.25">
      <c r="A236" s="81" t="s">
        <v>38</v>
      </c>
      <c r="B236" s="84">
        <v>0.05</v>
      </c>
      <c r="C236" s="85">
        <v>10</v>
      </c>
      <c r="D236" s="132">
        <f ca="1">((100/F230)*C236)/100</f>
        <v>0.7142857142857143</v>
      </c>
      <c r="E236" s="205"/>
      <c r="F236" s="206"/>
      <c r="G236" s="6" t="s">
        <v>26</v>
      </c>
      <c r="H236" s="9">
        <f>(IF(C230&gt;1,(F230/(C230+2)+H235),0))</f>
        <v>0</v>
      </c>
      <c r="J236">
        <f>29+49+42</f>
        <v>120</v>
      </c>
    </row>
    <row r="237" spans="1:12" hidden="1" x14ac:dyDescent="0.25">
      <c r="A237" s="81" t="s">
        <v>29</v>
      </c>
      <c r="B237" s="84">
        <v>0.05</v>
      </c>
      <c r="C237" s="85">
        <v>0</v>
      </c>
      <c r="D237" s="132">
        <f ca="1">((100/(F230))*C237)/100</f>
        <v>0</v>
      </c>
      <c r="E237" s="205"/>
      <c r="F237" s="206"/>
      <c r="G237" s="6" t="s">
        <v>28</v>
      </c>
      <c r="H237" s="9">
        <f>(IF(C230&gt;2,(F230/(C230+2)+H236),0))</f>
        <v>0</v>
      </c>
      <c r="J237">
        <f>J236/3</f>
        <v>40</v>
      </c>
    </row>
    <row r="238" spans="1:12" ht="30" hidden="1" x14ac:dyDescent="0.25">
      <c r="A238" s="81" t="s">
        <v>39</v>
      </c>
      <c r="B238" s="84">
        <v>0.05</v>
      </c>
      <c r="C238" s="85">
        <v>0</v>
      </c>
      <c r="D238" s="132">
        <f ca="1">((100/F230)*C238)/100</f>
        <v>0</v>
      </c>
      <c r="E238" s="205"/>
      <c r="F238" s="206"/>
      <c r="G238" s="6" t="s">
        <v>30</v>
      </c>
      <c r="H238" s="10">
        <f>(IF(C230&gt;3,(F230/(C230+2)+H237),0))</f>
        <v>0</v>
      </c>
    </row>
    <row r="239" spans="1:12" hidden="1" x14ac:dyDescent="0.25">
      <c r="A239" s="81" t="s">
        <v>31</v>
      </c>
      <c r="B239" s="84">
        <v>0.05</v>
      </c>
      <c r="C239" s="85">
        <v>0</v>
      </c>
      <c r="D239" s="132">
        <f ca="1">((100/F230)*C239)/100</f>
        <v>0</v>
      </c>
      <c r="E239" s="205"/>
      <c r="F239" s="206"/>
      <c r="G239" s="6" t="s">
        <v>32</v>
      </c>
      <c r="H239" s="9">
        <f>(IF(C230&gt;4,(F230/(C230+2)+H238),0))</f>
        <v>0</v>
      </c>
    </row>
    <row r="240" spans="1:12" hidden="1" x14ac:dyDescent="0.25">
      <c r="A240" s="81" t="s">
        <v>40</v>
      </c>
      <c r="B240" s="84">
        <v>2.5000000000000001E-2</v>
      </c>
      <c r="C240" s="85">
        <v>0</v>
      </c>
      <c r="D240" s="132">
        <f ca="1">((100/(F230))*C240)/100</f>
        <v>0</v>
      </c>
      <c r="E240" s="205"/>
      <c r="F240" s="206"/>
      <c r="G240" s="6" t="s">
        <v>34</v>
      </c>
      <c r="H240" s="9">
        <f ca="1">(IF(C230=1,(F230/(C230+3)+H235),IF(C230=0,(F230*2/7+H235),IF(C230&gt;1,0))))</f>
        <v>8</v>
      </c>
    </row>
    <row r="241" spans="1:13" ht="15.75" hidden="1" thickBot="1" x14ac:dyDescent="0.3">
      <c r="A241" s="120" t="s">
        <v>35</v>
      </c>
      <c r="B241" s="121">
        <v>2.5000000000000001E-2</v>
      </c>
      <c r="C241" s="122">
        <v>0</v>
      </c>
      <c r="D241" s="133">
        <f ca="1">((100/(F230))*C241)/100</f>
        <v>0</v>
      </c>
      <c r="E241" s="207"/>
      <c r="F241" s="208"/>
      <c r="G241" s="11" t="s">
        <v>36</v>
      </c>
      <c r="H241" s="12">
        <f ca="1">F230</f>
        <v>14</v>
      </c>
    </row>
    <row r="242" spans="1:13" s="68" customFormat="1" x14ac:dyDescent="0.25">
      <c r="A242" s="189" t="s">
        <v>107</v>
      </c>
      <c r="B242" s="190"/>
      <c r="C242" s="190"/>
      <c r="D242" s="190"/>
      <c r="E242" s="193">
        <f ca="1">AVERAGE(E133,E148,E163)</f>
        <v>0.78690476190476188</v>
      </c>
      <c r="F242" s="194"/>
    </row>
    <row r="243" spans="1:13" s="68" customFormat="1" ht="15.75" thickBot="1" x14ac:dyDescent="0.3">
      <c r="A243" s="191"/>
      <c r="B243" s="192"/>
      <c r="C243" s="192"/>
      <c r="D243" s="192"/>
      <c r="E243" s="195"/>
      <c r="F243" s="196"/>
      <c r="G243" s="69"/>
      <c r="H243" s="70"/>
    </row>
    <row r="244" spans="1:13" x14ac:dyDescent="0.25">
      <c r="A244" s="287" t="s">
        <v>45</v>
      </c>
      <c r="B244" s="288"/>
      <c r="C244" s="288"/>
      <c r="D244" s="288"/>
      <c r="E244" s="288"/>
      <c r="F244" s="289"/>
    </row>
    <row r="245" spans="1:13" ht="36" x14ac:dyDescent="0.25">
      <c r="A245" s="117" t="s">
        <v>198</v>
      </c>
      <c r="B245" s="49" t="s">
        <v>199</v>
      </c>
      <c r="C245" s="49" t="s">
        <v>200</v>
      </c>
      <c r="D245" s="49" t="s">
        <v>201</v>
      </c>
      <c r="E245" s="49" t="s">
        <v>202</v>
      </c>
      <c r="F245" s="113" t="s">
        <v>203</v>
      </c>
    </row>
    <row r="246" spans="1:13" ht="49.5" customHeight="1" thickBot="1" x14ac:dyDescent="0.3">
      <c r="A246" s="71">
        <v>1</v>
      </c>
      <c r="B246" s="72">
        <v>3</v>
      </c>
      <c r="C246" s="72" t="s">
        <v>313</v>
      </c>
      <c r="D246" s="143" t="s">
        <v>376</v>
      </c>
      <c r="E246" s="72" t="s">
        <v>313</v>
      </c>
      <c r="F246" s="73">
        <f>936+61+23</f>
        <v>1020</v>
      </c>
    </row>
    <row r="247" spans="1:13" s="35" customFormat="1" ht="15.75" customHeight="1" x14ac:dyDescent="0.25">
      <c r="A247" s="316" t="s">
        <v>264</v>
      </c>
      <c r="B247" s="317"/>
      <c r="C247" s="317"/>
      <c r="D247" s="317"/>
      <c r="E247" s="317"/>
      <c r="F247" s="318"/>
      <c r="G247" s="41"/>
      <c r="H247" s="41"/>
      <c r="I247"/>
      <c r="J247"/>
      <c r="K247"/>
      <c r="L247"/>
      <c r="M247"/>
    </row>
    <row r="248" spans="1:13" s="35" customFormat="1" ht="15.75" customHeight="1" x14ac:dyDescent="0.25">
      <c r="A248" s="74" t="s">
        <v>46</v>
      </c>
      <c r="B248" s="48" t="s">
        <v>47</v>
      </c>
      <c r="C248" s="267" t="s">
        <v>48</v>
      </c>
      <c r="D248" s="267"/>
      <c r="E248" s="268" t="s">
        <v>49</v>
      </c>
      <c r="F248" s="269"/>
      <c r="G248" s="286"/>
      <c r="H248" s="286"/>
      <c r="I248" s="162"/>
      <c r="J248" s="162"/>
      <c r="K248" s="162"/>
      <c r="L248" s="162"/>
    </row>
    <row r="249" spans="1:13" s="35" customFormat="1" ht="15.75" x14ac:dyDescent="0.25">
      <c r="A249" s="88" t="s">
        <v>374</v>
      </c>
      <c r="B249" s="89">
        <f>COUNT(C270:C292)</f>
        <v>23</v>
      </c>
      <c r="C249" s="185">
        <f>SUM(C270:C292)</f>
        <v>4572.2242799999995</v>
      </c>
      <c r="D249" s="186"/>
      <c r="E249" s="185">
        <f>SUM(F270:F292)</f>
        <v>7086.9476339999992</v>
      </c>
      <c r="F249" s="186"/>
      <c r="G249" s="282"/>
      <c r="H249" s="283"/>
      <c r="I249" s="162"/>
      <c r="J249" s="162"/>
      <c r="K249" s="162"/>
      <c r="L249" s="162"/>
    </row>
    <row r="250" spans="1:13" s="35" customFormat="1" ht="15.75" x14ac:dyDescent="0.25">
      <c r="A250" s="124" t="s">
        <v>50</v>
      </c>
      <c r="B250" s="110">
        <f>SUM(B249:B249)</f>
        <v>23</v>
      </c>
      <c r="C250" s="257">
        <f>SUM(C249:C249)</f>
        <v>4572.2242799999995</v>
      </c>
      <c r="D250" s="258"/>
      <c r="E250" s="259">
        <f>SUM(E249:E249)</f>
        <v>7086.9476339999992</v>
      </c>
      <c r="F250" s="260"/>
      <c r="G250" s="284"/>
      <c r="H250" s="285"/>
      <c r="J250" s="36"/>
    </row>
    <row r="251" spans="1:13" s="35" customFormat="1" ht="15.75" hidden="1" customHeight="1" x14ac:dyDescent="0.25">
      <c r="A251" s="212" t="s">
        <v>266</v>
      </c>
      <c r="B251" s="213"/>
      <c r="C251" s="213"/>
      <c r="D251" s="213"/>
      <c r="E251" s="213"/>
      <c r="F251" s="214"/>
      <c r="G251" s="41"/>
      <c r="H251" s="41"/>
      <c r="I251"/>
      <c r="J251"/>
      <c r="K251"/>
      <c r="L251"/>
      <c r="M251"/>
    </row>
    <row r="252" spans="1:13" s="35" customFormat="1" ht="15.75" hidden="1" customHeight="1" x14ac:dyDescent="0.25">
      <c r="A252" s="74" t="s">
        <v>46</v>
      </c>
      <c r="B252" s="48" t="s">
        <v>47</v>
      </c>
      <c r="C252" s="267" t="s">
        <v>48</v>
      </c>
      <c r="D252" s="267"/>
      <c r="E252" s="268" t="s">
        <v>49</v>
      </c>
      <c r="F252" s="269"/>
      <c r="G252" s="286"/>
      <c r="H252" s="286"/>
      <c r="I252" s="162"/>
      <c r="J252" s="162"/>
      <c r="K252" s="162"/>
      <c r="L252" s="162"/>
    </row>
    <row r="253" spans="1:13" s="35" customFormat="1" ht="15.75" hidden="1" x14ac:dyDescent="0.25">
      <c r="A253" s="88" t="s">
        <v>265</v>
      </c>
      <c r="B253" s="89"/>
      <c r="C253" s="185"/>
      <c r="D253" s="186"/>
      <c r="E253" s="185"/>
      <c r="F253" s="281"/>
      <c r="G253" s="282"/>
      <c r="H253" s="283"/>
      <c r="I253" s="162"/>
      <c r="J253" s="162"/>
      <c r="K253" s="162"/>
      <c r="L253" s="162"/>
    </row>
    <row r="254" spans="1:13" s="35" customFormat="1" ht="15.75" hidden="1" customHeight="1" x14ac:dyDescent="0.25">
      <c r="A254" s="88" t="s">
        <v>267</v>
      </c>
      <c r="B254" s="89"/>
      <c r="C254" s="185"/>
      <c r="D254" s="186"/>
      <c r="E254" s="185"/>
      <c r="F254" s="281"/>
      <c r="G254" s="282"/>
      <c r="H254" s="283"/>
    </row>
    <row r="255" spans="1:13" s="35" customFormat="1" ht="15.75" hidden="1" x14ac:dyDescent="0.25">
      <c r="A255" s="124" t="s">
        <v>50</v>
      </c>
      <c r="B255" s="110">
        <f>SUM(B253:B254)</f>
        <v>0</v>
      </c>
      <c r="C255" s="257">
        <f>SUM(C253:C254)</f>
        <v>0</v>
      </c>
      <c r="D255" s="258"/>
      <c r="E255" s="259">
        <f>SUM(E253:E254)</f>
        <v>0</v>
      </c>
      <c r="F255" s="260"/>
      <c r="G255" s="284"/>
      <c r="H255" s="285"/>
      <c r="J255" s="36"/>
    </row>
    <row r="256" spans="1:13" s="35" customFormat="1" ht="15.75" customHeight="1" x14ac:dyDescent="0.25">
      <c r="A256" s="212" t="s">
        <v>271</v>
      </c>
      <c r="B256" s="213"/>
      <c r="C256" s="213"/>
      <c r="D256" s="213"/>
      <c r="E256" s="213"/>
      <c r="F256" s="214"/>
      <c r="G256" s="41"/>
      <c r="H256" s="41"/>
    </row>
    <row r="257" spans="1:14" s="35" customFormat="1" ht="15.75" customHeight="1" x14ac:dyDescent="0.25">
      <c r="A257" s="74" t="s">
        <v>46</v>
      </c>
      <c r="B257" s="48" t="s">
        <v>47</v>
      </c>
      <c r="C257" s="267" t="s">
        <v>48</v>
      </c>
      <c r="D257" s="267"/>
      <c r="E257" s="268" t="s">
        <v>49</v>
      </c>
      <c r="F257" s="269"/>
      <c r="G257" s="286"/>
      <c r="H257" s="286"/>
    </row>
    <row r="258" spans="1:14" s="35" customFormat="1" ht="29.25" customHeight="1" x14ac:dyDescent="0.25">
      <c r="A258" s="88" t="s">
        <v>268</v>
      </c>
      <c r="B258" s="89">
        <f>COUNT(C300:C325)+COUNT(C327:C352)*11+COUNT(C354:C377)*2</f>
        <v>360</v>
      </c>
      <c r="C258" s="185">
        <f>SUM(C300:C325)+SUM(C327:C352)*11+SUM(C354:C377)*2</f>
        <v>131766.86016000004</v>
      </c>
      <c r="D258" s="186"/>
      <c r="E258" s="185">
        <f>SUM(F300:F325)+SUM(F327:F352)*11+SUM(F354:F377)*2</f>
        <v>199340.53425000006</v>
      </c>
      <c r="F258" s="186"/>
      <c r="G258" s="282"/>
      <c r="H258" s="282"/>
    </row>
    <row r="259" spans="1:14" s="35" customFormat="1" ht="29.25" customHeight="1" x14ac:dyDescent="0.25">
      <c r="A259" s="88" t="s">
        <v>269</v>
      </c>
      <c r="B259" s="89">
        <f>COUNT(C383:C408)+COUNT(C410:C435)*11+COUNT(C437:C460)*2</f>
        <v>360</v>
      </c>
      <c r="C259" s="185">
        <f>SUM(C383:C408)+SUM(C410:C435)*11+SUM(C437:C460)*2</f>
        <v>129429.56520000003</v>
      </c>
      <c r="D259" s="186"/>
      <c r="E259" s="185">
        <f>SUM(F383:F408)+SUM(F410:F435)*11+SUM(F437:F460)*2</f>
        <v>195972.25888499993</v>
      </c>
      <c r="F259" s="186"/>
      <c r="G259" s="282"/>
      <c r="H259" s="282"/>
    </row>
    <row r="260" spans="1:14" s="35" customFormat="1" ht="29.25" customHeight="1" x14ac:dyDescent="0.25">
      <c r="A260" s="88" t="s">
        <v>375</v>
      </c>
      <c r="B260" s="89">
        <f>COUNT(C488:C507)+COUNT(C509:C528)*8+COUNT(C530:C547)*2</f>
        <v>216</v>
      </c>
      <c r="C260" s="185">
        <f>SUM(C488:C507)+SUM(C509:C528)*8+SUM(C530:C547)*2</f>
        <v>77899.929120000015</v>
      </c>
      <c r="D260" s="186"/>
      <c r="E260" s="185">
        <f>SUM(F488:F507)+SUM(F509:F528)*8+SUM(F530:F547)*2</f>
        <v>116849.89367999998</v>
      </c>
      <c r="F260" s="186"/>
      <c r="G260" s="282">
        <f>360+360+216</f>
        <v>936</v>
      </c>
      <c r="H260" s="282"/>
    </row>
    <row r="261" spans="1:14" s="35" customFormat="1" ht="29.25" customHeight="1" x14ac:dyDescent="0.25">
      <c r="A261" s="88" t="s">
        <v>377</v>
      </c>
      <c r="B261" s="89">
        <f>COUNT(C465)+COUNT(C467:C486)*3</f>
        <v>61</v>
      </c>
      <c r="C261" s="185">
        <f>SUM(C465)+SUM(C467:C486)*3</f>
        <v>21961.573920000006</v>
      </c>
      <c r="D261" s="186"/>
      <c r="E261" s="185">
        <f>SUM(F465)+SUM(F467:F486)*3</f>
        <v>32942.360879999993</v>
      </c>
      <c r="F261" s="186"/>
      <c r="G261" s="282"/>
      <c r="H261" s="282"/>
    </row>
    <row r="262" spans="1:14" s="35" customFormat="1" ht="15.75" x14ac:dyDescent="0.25">
      <c r="A262" s="124" t="s">
        <v>50</v>
      </c>
      <c r="B262" s="110">
        <f>SUM(B258:B261)</f>
        <v>997</v>
      </c>
      <c r="C262" s="257">
        <f>SUM(C258:D261)</f>
        <v>361057.92840000009</v>
      </c>
      <c r="D262" s="258"/>
      <c r="E262" s="259">
        <f>SUM(E258:F261)</f>
        <v>545105.04769499996</v>
      </c>
      <c r="F262" s="260"/>
      <c r="G262" s="284"/>
      <c r="H262" s="285"/>
    </row>
    <row r="263" spans="1:14" s="35" customFormat="1" ht="16.5" thickBot="1" x14ac:dyDescent="0.3">
      <c r="A263" s="90" t="s">
        <v>270</v>
      </c>
      <c r="B263" s="91">
        <f>SUM(B250,B255,B262)</f>
        <v>1020</v>
      </c>
      <c r="C263" s="262">
        <f>SUM(C250,C255,C262)</f>
        <v>365630.15268000012</v>
      </c>
      <c r="D263" s="266"/>
      <c r="E263" s="262">
        <f>SUM(E250,E255,E262)</f>
        <v>552191.99532899994</v>
      </c>
      <c r="F263" s="263"/>
      <c r="G263" s="284"/>
      <c r="H263" s="285"/>
    </row>
    <row r="264" spans="1:14" s="37" customFormat="1" ht="15.75" x14ac:dyDescent="0.25">
      <c r="A264" s="293" t="s">
        <v>51</v>
      </c>
      <c r="B264" s="293"/>
      <c r="C264" s="293"/>
      <c r="D264" s="293"/>
      <c r="E264" s="293"/>
      <c r="F264" s="293"/>
      <c r="G264" s="42"/>
      <c r="H264" s="42"/>
    </row>
    <row r="265" spans="1:14" s="38" customFormat="1" ht="15.75" x14ac:dyDescent="0.25">
      <c r="A265" s="164" t="s">
        <v>58</v>
      </c>
      <c r="B265" s="164"/>
      <c r="C265" s="164"/>
      <c r="D265" s="164"/>
      <c r="E265" s="164"/>
      <c r="F265" s="164"/>
      <c r="G265" s="42"/>
      <c r="H265" s="42"/>
    </row>
    <row r="266" spans="1:14" s="38" customFormat="1" ht="26.45" customHeight="1" x14ac:dyDescent="0.25">
      <c r="A266" s="166" t="s">
        <v>66</v>
      </c>
      <c r="B266" s="166" t="s">
        <v>53</v>
      </c>
      <c r="C266" s="166" t="s">
        <v>54</v>
      </c>
      <c r="D266" s="166" t="s">
        <v>56</v>
      </c>
      <c r="E266" s="166" t="s">
        <v>55</v>
      </c>
      <c r="F266" s="111" t="s">
        <v>57</v>
      </c>
      <c r="G266" s="172"/>
      <c r="H266" s="172"/>
    </row>
    <row r="267" spans="1:14" s="38" customFormat="1" ht="15.75" x14ac:dyDescent="0.25">
      <c r="A267" s="166"/>
      <c r="B267" s="166"/>
      <c r="C267" s="166"/>
      <c r="D267" s="166"/>
      <c r="E267" s="166"/>
      <c r="F267" s="148">
        <v>0.55000000000000004</v>
      </c>
      <c r="G267" s="172"/>
      <c r="H267" s="172"/>
      <c r="J267" s="64"/>
      <c r="K267" s="64"/>
      <c r="L267" s="64"/>
      <c r="M267" s="64"/>
    </row>
    <row r="268" spans="1:14" s="37" customFormat="1" ht="15.75" x14ac:dyDescent="0.25">
      <c r="A268" s="249" t="s">
        <v>269</v>
      </c>
      <c r="B268" s="249"/>
      <c r="C268" s="249"/>
      <c r="D268" s="249"/>
      <c r="E268" s="249"/>
      <c r="F268" s="249"/>
      <c r="G268" s="42"/>
      <c r="H268" s="42"/>
      <c r="J268" s="63"/>
      <c r="K268" s="63"/>
      <c r="L268" s="63"/>
      <c r="M268" s="63"/>
    </row>
    <row r="269" spans="1:14" s="39" customFormat="1" ht="15.75" customHeight="1" x14ac:dyDescent="0.25">
      <c r="A269" s="241" t="s">
        <v>342</v>
      </c>
      <c r="B269" s="241"/>
      <c r="C269" s="241"/>
      <c r="D269" s="241"/>
      <c r="E269" s="241"/>
      <c r="F269" s="241"/>
      <c r="G269" s="43"/>
      <c r="H269" s="43"/>
      <c r="J269" s="62"/>
      <c r="K269" s="59"/>
      <c r="L269" s="62"/>
      <c r="M269" s="62"/>
    </row>
    <row r="270" spans="1:14" s="39" customFormat="1" ht="15.75" x14ac:dyDescent="0.25">
      <c r="A270" s="129">
        <v>1</v>
      </c>
      <c r="B270" s="129" t="s">
        <v>343</v>
      </c>
      <c r="C270" s="129">
        <f>(23.83)*10.764</f>
        <v>256.50611999999995</v>
      </c>
      <c r="D270" s="130">
        <f>C270*1.2</f>
        <v>307.80734399999994</v>
      </c>
      <c r="E270" s="129">
        <v>0</v>
      </c>
      <c r="F270" s="129">
        <f>(C270+E270)*(($F$267)+1)</f>
        <v>397.58448599999991</v>
      </c>
      <c r="G270" s="173"/>
      <c r="H270" s="173"/>
      <c r="I270" s="40"/>
      <c r="J270" s="60"/>
      <c r="K270" s="62"/>
      <c r="L270" s="163"/>
      <c r="M270" s="163"/>
      <c r="N270" s="40"/>
    </row>
    <row r="271" spans="1:14" x14ac:dyDescent="0.25">
      <c r="A271" s="129">
        <f>A270+1</f>
        <v>2</v>
      </c>
      <c r="B271" s="129" t="s">
        <v>343</v>
      </c>
      <c r="C271" s="129">
        <f>(21.86)*10.764</f>
        <v>235.30103999999997</v>
      </c>
      <c r="D271" s="130">
        <f t="shared" ref="D271:D275" si="2">C271*1.2</f>
        <v>282.36124799999993</v>
      </c>
      <c r="E271" s="129">
        <v>0</v>
      </c>
      <c r="F271" s="129">
        <f t="shared" ref="F271:F275" si="3">(C271+E271)*(($F$267)+1)</f>
        <v>364.71661199999994</v>
      </c>
      <c r="J271" s="61"/>
      <c r="K271" s="61"/>
      <c r="L271" s="61"/>
      <c r="M271" s="61"/>
    </row>
    <row r="272" spans="1:14" x14ac:dyDescent="0.25">
      <c r="A272" s="129">
        <f t="shared" ref="A272:A292" si="4">A271+1</f>
        <v>3</v>
      </c>
      <c r="B272" s="129" t="s">
        <v>343</v>
      </c>
      <c r="C272" s="129">
        <f>(21.47)*10.764</f>
        <v>231.10307999999998</v>
      </c>
      <c r="D272" s="130">
        <f t="shared" si="2"/>
        <v>277.32369599999998</v>
      </c>
      <c r="E272" s="129">
        <v>0</v>
      </c>
      <c r="F272" s="129">
        <f t="shared" si="3"/>
        <v>358.20977399999998</v>
      </c>
    </row>
    <row r="273" spans="1:6" x14ac:dyDescent="0.25">
      <c r="A273" s="129">
        <f t="shared" si="4"/>
        <v>4</v>
      </c>
      <c r="B273" s="129" t="s">
        <v>343</v>
      </c>
      <c r="C273" s="129">
        <f>(6.15)*10.764</f>
        <v>66.198599999999999</v>
      </c>
      <c r="D273" s="130">
        <f t="shared" si="2"/>
        <v>79.43831999999999</v>
      </c>
      <c r="E273" s="129">
        <v>0</v>
      </c>
      <c r="F273" s="129">
        <f t="shared" si="3"/>
        <v>102.60783000000001</v>
      </c>
    </row>
    <row r="274" spans="1:6" x14ac:dyDescent="0.25">
      <c r="A274" s="129">
        <f t="shared" si="4"/>
        <v>5</v>
      </c>
      <c r="B274" s="129" t="s">
        <v>343</v>
      </c>
      <c r="C274" s="129">
        <f>(23.83)*10.764</f>
        <v>256.50611999999995</v>
      </c>
      <c r="D274" s="130">
        <f t="shared" si="2"/>
        <v>307.80734399999994</v>
      </c>
      <c r="E274" s="129">
        <v>0</v>
      </c>
      <c r="F274" s="129">
        <f t="shared" si="3"/>
        <v>397.58448599999991</v>
      </c>
    </row>
    <row r="275" spans="1:6" x14ac:dyDescent="0.25">
      <c r="A275" s="129">
        <f t="shared" si="4"/>
        <v>6</v>
      </c>
      <c r="B275" s="129" t="s">
        <v>343</v>
      </c>
      <c r="C275" s="129">
        <f>(21.86)*10.764</f>
        <v>235.30103999999997</v>
      </c>
      <c r="D275" s="130">
        <f t="shared" si="2"/>
        <v>282.36124799999993</v>
      </c>
      <c r="E275" s="129">
        <v>0</v>
      </c>
      <c r="F275" s="129">
        <f t="shared" si="3"/>
        <v>364.71661199999994</v>
      </c>
    </row>
    <row r="276" spans="1:6" x14ac:dyDescent="0.25">
      <c r="A276" s="129">
        <f t="shared" si="4"/>
        <v>7</v>
      </c>
      <c r="B276" s="129" t="s">
        <v>343</v>
      </c>
      <c r="C276" s="129">
        <f>(21.47)*10.764</f>
        <v>231.10307999999998</v>
      </c>
      <c r="D276" s="130">
        <f t="shared" ref="D276:D292" si="5">C276*1.2</f>
        <v>277.32369599999998</v>
      </c>
      <c r="E276" s="129">
        <v>0</v>
      </c>
      <c r="F276" s="129">
        <f t="shared" ref="F276:F292" si="6">(C276+E276)*(($F$267)+1)</f>
        <v>358.20977399999998</v>
      </c>
    </row>
    <row r="277" spans="1:6" x14ac:dyDescent="0.25">
      <c r="A277" s="129">
        <f t="shared" si="4"/>
        <v>8</v>
      </c>
      <c r="B277" s="129" t="s">
        <v>343</v>
      </c>
      <c r="C277" s="129">
        <f>(11.72)*10.764</f>
        <v>126.15407999999999</v>
      </c>
      <c r="D277" s="130">
        <f t="shared" si="5"/>
        <v>151.384896</v>
      </c>
      <c r="E277" s="129">
        <v>0</v>
      </c>
      <c r="F277" s="129">
        <f t="shared" si="6"/>
        <v>195.53882400000001</v>
      </c>
    </row>
    <row r="278" spans="1:6" x14ac:dyDescent="0.25">
      <c r="A278" s="129">
        <f t="shared" si="4"/>
        <v>9</v>
      </c>
      <c r="B278" s="129" t="s">
        <v>343</v>
      </c>
      <c r="C278" s="129">
        <f>(11.72)*10.764</f>
        <v>126.15407999999999</v>
      </c>
      <c r="D278" s="130">
        <f t="shared" si="5"/>
        <v>151.384896</v>
      </c>
      <c r="E278" s="129">
        <v>0</v>
      </c>
      <c r="F278" s="129">
        <f t="shared" si="6"/>
        <v>195.53882400000001</v>
      </c>
    </row>
    <row r="279" spans="1:6" x14ac:dyDescent="0.25">
      <c r="A279" s="129">
        <f t="shared" si="4"/>
        <v>10</v>
      </c>
      <c r="B279" s="129" t="s">
        <v>343</v>
      </c>
      <c r="C279" s="129">
        <f>(21.47)*10.764</f>
        <v>231.10307999999998</v>
      </c>
      <c r="D279" s="130">
        <f t="shared" si="5"/>
        <v>277.32369599999998</v>
      </c>
      <c r="E279" s="129">
        <v>0</v>
      </c>
      <c r="F279" s="129">
        <f t="shared" si="6"/>
        <v>358.20977399999998</v>
      </c>
    </row>
    <row r="280" spans="1:6" x14ac:dyDescent="0.25">
      <c r="A280" s="129">
        <f t="shared" si="4"/>
        <v>11</v>
      </c>
      <c r="B280" s="129" t="s">
        <v>343</v>
      </c>
      <c r="C280" s="129">
        <f>(21.86)*10.764</f>
        <v>235.30103999999997</v>
      </c>
      <c r="D280" s="130">
        <f t="shared" si="5"/>
        <v>282.36124799999993</v>
      </c>
      <c r="E280" s="129">
        <v>0</v>
      </c>
      <c r="F280" s="129">
        <f t="shared" si="6"/>
        <v>364.71661199999994</v>
      </c>
    </row>
    <row r="281" spans="1:6" x14ac:dyDescent="0.25">
      <c r="A281" s="129">
        <f t="shared" si="4"/>
        <v>12</v>
      </c>
      <c r="B281" s="129" t="s">
        <v>343</v>
      </c>
      <c r="C281" s="129">
        <f>(21.47)*10.764</f>
        <v>231.10307999999998</v>
      </c>
      <c r="D281" s="130">
        <f t="shared" si="5"/>
        <v>277.32369599999998</v>
      </c>
      <c r="E281" s="129">
        <v>0</v>
      </c>
      <c r="F281" s="129">
        <f t="shared" si="6"/>
        <v>358.20977399999998</v>
      </c>
    </row>
    <row r="282" spans="1:6" x14ac:dyDescent="0.25">
      <c r="A282" s="129">
        <f t="shared" si="4"/>
        <v>13</v>
      </c>
      <c r="B282" s="129" t="s">
        <v>343</v>
      </c>
      <c r="C282" s="129">
        <f>(6.15)*10.764</f>
        <v>66.198599999999999</v>
      </c>
      <c r="D282" s="130">
        <f t="shared" si="5"/>
        <v>79.43831999999999</v>
      </c>
      <c r="E282" s="129">
        <v>0</v>
      </c>
      <c r="F282" s="129">
        <f t="shared" si="6"/>
        <v>102.60783000000001</v>
      </c>
    </row>
    <row r="283" spans="1:6" x14ac:dyDescent="0.25">
      <c r="A283" s="129">
        <f t="shared" si="4"/>
        <v>14</v>
      </c>
      <c r="B283" s="129" t="s">
        <v>343</v>
      </c>
      <c r="C283" s="129">
        <f>(23.83)*10.764</f>
        <v>256.50611999999995</v>
      </c>
      <c r="D283" s="130">
        <f t="shared" si="5"/>
        <v>307.80734399999994</v>
      </c>
      <c r="E283" s="129">
        <v>0</v>
      </c>
      <c r="F283" s="129">
        <f t="shared" si="6"/>
        <v>397.58448599999991</v>
      </c>
    </row>
    <row r="284" spans="1:6" x14ac:dyDescent="0.25">
      <c r="A284" s="129">
        <f t="shared" si="4"/>
        <v>15</v>
      </c>
      <c r="B284" s="129" t="s">
        <v>343</v>
      </c>
      <c r="C284" s="129">
        <f>(21.86)*10.764</f>
        <v>235.30103999999997</v>
      </c>
      <c r="D284" s="130">
        <f t="shared" si="5"/>
        <v>282.36124799999993</v>
      </c>
      <c r="E284" s="129">
        <v>0</v>
      </c>
      <c r="F284" s="129">
        <f t="shared" si="6"/>
        <v>364.71661199999994</v>
      </c>
    </row>
    <row r="285" spans="1:6" x14ac:dyDescent="0.25">
      <c r="A285" s="129">
        <f t="shared" si="4"/>
        <v>16</v>
      </c>
      <c r="B285" s="129" t="s">
        <v>343</v>
      </c>
      <c r="C285" s="129">
        <f>(21.47)*10.764</f>
        <v>231.10307999999998</v>
      </c>
      <c r="D285" s="130">
        <f t="shared" si="5"/>
        <v>277.32369599999998</v>
      </c>
      <c r="E285" s="129">
        <v>0</v>
      </c>
      <c r="F285" s="129">
        <f t="shared" si="6"/>
        <v>358.20977399999998</v>
      </c>
    </row>
    <row r="286" spans="1:6" x14ac:dyDescent="0.25">
      <c r="A286" s="129">
        <f t="shared" si="4"/>
        <v>17</v>
      </c>
      <c r="B286" s="129" t="s">
        <v>343</v>
      </c>
      <c r="C286" s="129">
        <f>(6.15)*10.764</f>
        <v>66.198599999999999</v>
      </c>
      <c r="D286" s="130">
        <f t="shared" si="5"/>
        <v>79.43831999999999</v>
      </c>
      <c r="E286" s="129">
        <v>0</v>
      </c>
      <c r="F286" s="129">
        <f t="shared" si="6"/>
        <v>102.60783000000001</v>
      </c>
    </row>
    <row r="287" spans="1:6" x14ac:dyDescent="0.25">
      <c r="A287" s="129">
        <f t="shared" si="4"/>
        <v>18</v>
      </c>
      <c r="B287" s="129" t="s">
        <v>343</v>
      </c>
      <c r="C287" s="129">
        <f>(23.83)*10.764</f>
        <v>256.50611999999995</v>
      </c>
      <c r="D287" s="130">
        <f t="shared" si="5"/>
        <v>307.80734399999994</v>
      </c>
      <c r="E287" s="129">
        <v>0</v>
      </c>
      <c r="F287" s="129">
        <f t="shared" si="6"/>
        <v>397.58448599999991</v>
      </c>
    </row>
    <row r="288" spans="1:6" x14ac:dyDescent="0.25">
      <c r="A288" s="129">
        <f t="shared" si="4"/>
        <v>19</v>
      </c>
      <c r="B288" s="129" t="s">
        <v>343</v>
      </c>
      <c r="C288" s="129">
        <f>(21.47)*10.764</f>
        <v>231.10307999999998</v>
      </c>
      <c r="D288" s="130">
        <f t="shared" si="5"/>
        <v>277.32369599999998</v>
      </c>
      <c r="E288" s="129">
        <v>0</v>
      </c>
      <c r="F288" s="129">
        <f t="shared" si="6"/>
        <v>358.20977399999998</v>
      </c>
    </row>
    <row r="289" spans="1:14" x14ac:dyDescent="0.25">
      <c r="A289" s="129">
        <f t="shared" si="4"/>
        <v>20</v>
      </c>
      <c r="B289" s="129" t="s">
        <v>343</v>
      </c>
      <c r="C289" s="129">
        <f>(21.47)*10.764</f>
        <v>231.10307999999998</v>
      </c>
      <c r="D289" s="130">
        <f t="shared" si="5"/>
        <v>277.32369599999998</v>
      </c>
      <c r="E289" s="129">
        <v>0</v>
      </c>
      <c r="F289" s="129">
        <f t="shared" si="6"/>
        <v>358.20977399999998</v>
      </c>
    </row>
    <row r="290" spans="1:14" x14ac:dyDescent="0.25">
      <c r="A290" s="129">
        <f t="shared" si="4"/>
        <v>21</v>
      </c>
      <c r="B290" s="129" t="s">
        <v>343</v>
      </c>
      <c r="C290" s="129">
        <f>(14.04)*10.764</f>
        <v>151.12655999999998</v>
      </c>
      <c r="D290" s="130">
        <f t="shared" si="5"/>
        <v>181.35187199999999</v>
      </c>
      <c r="E290" s="129">
        <v>0</v>
      </c>
      <c r="F290" s="129">
        <f t="shared" si="6"/>
        <v>234.24616799999998</v>
      </c>
    </row>
    <row r="291" spans="1:14" x14ac:dyDescent="0.25">
      <c r="A291" s="129">
        <f t="shared" si="4"/>
        <v>22</v>
      </c>
      <c r="B291" s="129" t="s">
        <v>343</v>
      </c>
      <c r="C291" s="129">
        <f>(15.54)*10.764</f>
        <v>167.27255999999997</v>
      </c>
      <c r="D291" s="130">
        <f t="shared" si="5"/>
        <v>200.72707199999996</v>
      </c>
      <c r="E291" s="129">
        <v>0</v>
      </c>
      <c r="F291" s="129">
        <f t="shared" si="6"/>
        <v>259.27246799999995</v>
      </c>
    </row>
    <row r="292" spans="1:14" x14ac:dyDescent="0.25">
      <c r="A292" s="129">
        <f t="shared" si="4"/>
        <v>23</v>
      </c>
      <c r="B292" s="129" t="s">
        <v>343</v>
      </c>
      <c r="C292" s="129">
        <f>(20.25)*10.764</f>
        <v>217.97099999999998</v>
      </c>
      <c r="D292" s="130">
        <f t="shared" si="5"/>
        <v>261.56519999999995</v>
      </c>
      <c r="E292" s="129">
        <v>0</v>
      </c>
      <c r="F292" s="129">
        <f t="shared" si="6"/>
        <v>337.85504999999995</v>
      </c>
    </row>
    <row r="293" spans="1:14" s="38" customFormat="1" ht="15.75" x14ac:dyDescent="0.25">
      <c r="A293" s="174"/>
      <c r="B293" s="174"/>
      <c r="C293" s="174"/>
      <c r="D293" s="174"/>
      <c r="E293" s="174"/>
      <c r="F293" s="174"/>
      <c r="G293" s="42"/>
      <c r="H293" s="42"/>
    </row>
    <row r="294" spans="1:14" s="38" customFormat="1" ht="15.75" x14ac:dyDescent="0.25">
      <c r="A294" s="164" t="s">
        <v>52</v>
      </c>
      <c r="B294" s="164"/>
      <c r="C294" s="164"/>
      <c r="D294" s="164"/>
      <c r="E294" s="164"/>
      <c r="F294" s="165"/>
      <c r="G294" s="42"/>
      <c r="H294" s="42"/>
    </row>
    <row r="295" spans="1:14" s="38" customFormat="1" ht="27.6" customHeight="1" x14ac:dyDescent="0.25">
      <c r="A295" s="166" t="s">
        <v>272</v>
      </c>
      <c r="B295" s="166" t="s">
        <v>53</v>
      </c>
      <c r="C295" s="166" t="s">
        <v>54</v>
      </c>
      <c r="D295" s="166" t="s">
        <v>56</v>
      </c>
      <c r="E295" s="171" t="s">
        <v>55</v>
      </c>
      <c r="F295" s="131" t="s">
        <v>285</v>
      </c>
      <c r="G295" s="172"/>
      <c r="H295" s="172"/>
      <c r="I295" s="172"/>
      <c r="J295" s="172"/>
      <c r="K295" s="172"/>
    </row>
    <row r="296" spans="1:14" s="38" customFormat="1" ht="15.75" x14ac:dyDescent="0.25">
      <c r="A296" s="166"/>
      <c r="B296" s="166"/>
      <c r="C296" s="166"/>
      <c r="D296" s="166"/>
      <c r="E296" s="171"/>
      <c r="F296" s="149">
        <v>0.5</v>
      </c>
      <c r="G296" s="172"/>
      <c r="H296" s="172"/>
      <c r="I296" s="64"/>
      <c r="J296" s="64"/>
      <c r="K296" s="61"/>
    </row>
    <row r="297" spans="1:14" s="37" customFormat="1" ht="15.75" x14ac:dyDescent="0.25">
      <c r="A297" s="249" t="s">
        <v>268</v>
      </c>
      <c r="B297" s="249"/>
      <c r="C297" s="249"/>
      <c r="D297" s="249"/>
      <c r="E297" s="249"/>
      <c r="F297" s="250"/>
      <c r="G297" s="240"/>
      <c r="H297" s="240"/>
      <c r="I297" s="240"/>
      <c r="J297" s="240"/>
      <c r="K297" s="240"/>
    </row>
    <row r="298" spans="1:14" s="39" customFormat="1" ht="15.75" customHeight="1" x14ac:dyDescent="0.25">
      <c r="A298" s="241" t="s">
        <v>344</v>
      </c>
      <c r="B298" s="241"/>
      <c r="C298" s="241"/>
      <c r="D298" s="241"/>
      <c r="E298" s="241"/>
      <c r="F298" s="241"/>
      <c r="G298" s="43"/>
      <c r="H298" s="43"/>
      <c r="I298" s="62"/>
      <c r="J298" s="62"/>
      <c r="K298" s="59"/>
    </row>
    <row r="299" spans="1:14" s="39" customFormat="1" ht="15.75" customHeight="1" x14ac:dyDescent="0.25">
      <c r="A299" s="241" t="s">
        <v>345</v>
      </c>
      <c r="B299" s="241"/>
      <c r="C299" s="241"/>
      <c r="D299" s="241"/>
      <c r="E299" s="241"/>
      <c r="F299" s="241"/>
      <c r="G299" s="43">
        <v>1</v>
      </c>
      <c r="H299" s="43"/>
      <c r="I299" s="62"/>
      <c r="J299" s="62"/>
      <c r="K299" s="61"/>
      <c r="L299" s="62"/>
      <c r="M299" s="62"/>
    </row>
    <row r="300" spans="1:14" s="39" customFormat="1" ht="15.75" x14ac:dyDescent="0.25">
      <c r="A300" s="129">
        <v>1</v>
      </c>
      <c r="B300" s="129" t="s">
        <v>346</v>
      </c>
      <c r="C300" s="129">
        <f>(29.98+0.75*2.9)*10.764</f>
        <v>346.11642000000001</v>
      </c>
      <c r="D300" s="130">
        <f>C300*1.2</f>
        <v>415.33970399999998</v>
      </c>
      <c r="E300" s="129">
        <f>(1.65*2.75+1*2.65)*10.764</f>
        <v>77.366249999999994</v>
      </c>
      <c r="F300" s="129">
        <f>C300*(($F$296)+1)+(IF(E300&lt;101,E300,IF(E300&lt;201,E300/2,IF(E300&lt;=301,E300/3,E300/4))))</f>
        <v>596.54088000000002</v>
      </c>
      <c r="G300" s="173"/>
      <c r="H300" s="173"/>
      <c r="I300" s="59">
        <f>1600000/F300</f>
        <v>2682.1296807018489</v>
      </c>
      <c r="J300" s="60"/>
      <c r="K300" s="61"/>
      <c r="L300" s="163"/>
      <c r="M300" s="163"/>
      <c r="N300" s="40"/>
    </row>
    <row r="301" spans="1:14" x14ac:dyDescent="0.25">
      <c r="A301" s="129">
        <f>A300+1</f>
        <v>2</v>
      </c>
      <c r="B301" s="129" t="s">
        <v>346</v>
      </c>
      <c r="C301" s="129">
        <f t="shared" ref="C301:C325" si="7">(29.98+0.75*2.9)*10.764</f>
        <v>346.11642000000001</v>
      </c>
      <c r="D301" s="130">
        <f t="shared" ref="D301:D305" si="8">C301*1.2</f>
        <v>415.33970399999998</v>
      </c>
      <c r="E301" s="129">
        <f t="shared" ref="E301:E310" si="9">(1.65*2.75+1*2.65)*10.764</f>
        <v>77.366249999999994</v>
      </c>
      <c r="F301" s="129">
        <f t="shared" ref="F301:F305" si="10">C301*(($F$296)+1)+(IF(E301&lt;101,E301,IF(E301&lt;201,E301/2,IF(E301&lt;=301,E301/3,E301/4))))</f>
        <v>596.54088000000002</v>
      </c>
      <c r="I301" s="61"/>
      <c r="J301" s="61"/>
      <c r="K301" s="61"/>
      <c r="L301" s="61"/>
      <c r="M301" s="61"/>
    </row>
    <row r="302" spans="1:14" x14ac:dyDescent="0.25">
      <c r="A302" s="129">
        <f t="shared" ref="A302:A325" si="11">A301+1</f>
        <v>3</v>
      </c>
      <c r="B302" s="129" t="s">
        <v>346</v>
      </c>
      <c r="C302" s="129">
        <f t="shared" si="7"/>
        <v>346.11642000000001</v>
      </c>
      <c r="D302" s="130">
        <f t="shared" si="8"/>
        <v>415.33970399999998</v>
      </c>
      <c r="E302" s="129">
        <f t="shared" si="9"/>
        <v>77.366249999999994</v>
      </c>
      <c r="F302" s="129">
        <f t="shared" si="10"/>
        <v>596.54088000000002</v>
      </c>
      <c r="I302" s="61"/>
      <c r="J302" s="61"/>
      <c r="K302" s="61"/>
      <c r="L302" s="61"/>
      <c r="M302" s="61"/>
    </row>
    <row r="303" spans="1:14" ht="15.75" x14ac:dyDescent="0.25">
      <c r="A303" s="129">
        <f t="shared" si="11"/>
        <v>4</v>
      </c>
      <c r="B303" s="129" t="s">
        <v>346</v>
      </c>
      <c r="C303" s="129">
        <f t="shared" si="7"/>
        <v>346.11642000000001</v>
      </c>
      <c r="D303" s="130">
        <f t="shared" si="8"/>
        <v>415.33970399999998</v>
      </c>
      <c r="E303" s="129">
        <f>(1.45*0.45+3.3*3.25+1.15*2.75)*10.764</f>
        <v>156.50855999999999</v>
      </c>
      <c r="F303" s="129">
        <f t="shared" si="10"/>
        <v>597.42890999999997</v>
      </c>
      <c r="I303" s="61"/>
      <c r="J303" s="61"/>
      <c r="K303" s="59"/>
      <c r="L303" s="61"/>
      <c r="M303" s="61"/>
    </row>
    <row r="304" spans="1:14" ht="15.75" x14ac:dyDescent="0.25">
      <c r="A304" s="129">
        <f t="shared" si="11"/>
        <v>5</v>
      </c>
      <c r="B304" s="129" t="s">
        <v>346</v>
      </c>
      <c r="C304" s="129">
        <f t="shared" si="7"/>
        <v>346.11642000000001</v>
      </c>
      <c r="D304" s="130">
        <f t="shared" si="8"/>
        <v>415.33970399999998</v>
      </c>
      <c r="E304" s="129">
        <f>(1.65*2.75+1*2.65+1.65*3.2)*10.764</f>
        <v>134.20017000000001</v>
      </c>
      <c r="F304" s="129">
        <f t="shared" si="10"/>
        <v>586.27471500000001</v>
      </c>
      <c r="I304" s="61"/>
      <c r="J304" s="61"/>
      <c r="K304" s="62"/>
      <c r="L304" s="61"/>
      <c r="M304" s="61"/>
    </row>
    <row r="305" spans="1:13" x14ac:dyDescent="0.25">
      <c r="A305" s="129">
        <f t="shared" si="11"/>
        <v>6</v>
      </c>
      <c r="B305" s="129" t="s">
        <v>346</v>
      </c>
      <c r="C305" s="129">
        <f t="shared" si="7"/>
        <v>346.11642000000001</v>
      </c>
      <c r="D305" s="130">
        <f t="shared" si="8"/>
        <v>415.33970399999998</v>
      </c>
      <c r="E305" s="129">
        <f>(1.65*2.75)*10.764</f>
        <v>48.841649999999994</v>
      </c>
      <c r="F305" s="129">
        <f t="shared" si="10"/>
        <v>568.01627999999994</v>
      </c>
      <c r="I305" s="61"/>
      <c r="J305" s="61"/>
      <c r="K305" s="61"/>
      <c r="L305" s="61"/>
      <c r="M305" s="61"/>
    </row>
    <row r="306" spans="1:13" x14ac:dyDescent="0.25">
      <c r="A306" s="129">
        <f t="shared" si="11"/>
        <v>7</v>
      </c>
      <c r="B306" s="129" t="s">
        <v>346</v>
      </c>
      <c r="C306" s="129">
        <f t="shared" si="7"/>
        <v>346.11642000000001</v>
      </c>
      <c r="D306" s="130">
        <f t="shared" ref="D306:D325" si="12">C306*1.2</f>
        <v>415.33970399999998</v>
      </c>
      <c r="E306" s="129">
        <f>(1.65*2.75)*10.764</f>
        <v>48.841649999999994</v>
      </c>
      <c r="F306" s="129">
        <f t="shared" ref="F306:F325" si="13">C306*(($F$296)+1)+(IF(E306&lt;101,E306,IF(E306&lt;201,E306/2,IF(E306&lt;=301,E306/3,E306/4))))</f>
        <v>568.01627999999994</v>
      </c>
      <c r="I306" s="61"/>
      <c r="J306" s="61"/>
      <c r="K306" s="61"/>
      <c r="L306" s="61"/>
      <c r="M306" s="61"/>
    </row>
    <row r="307" spans="1:13" x14ac:dyDescent="0.25">
      <c r="A307" s="129">
        <f t="shared" si="11"/>
        <v>8</v>
      </c>
      <c r="B307" s="129" t="s">
        <v>346</v>
      </c>
      <c r="C307" s="129">
        <f t="shared" si="7"/>
        <v>346.11642000000001</v>
      </c>
      <c r="D307" s="130">
        <f t="shared" si="12"/>
        <v>415.33970399999998</v>
      </c>
      <c r="E307" s="129">
        <f>(1.65*2.75+1*1.65)*10.764</f>
        <v>66.602249999999998</v>
      </c>
      <c r="F307" s="129">
        <f t="shared" si="13"/>
        <v>585.77688000000001</v>
      </c>
      <c r="I307" s="61"/>
      <c r="J307" s="61"/>
      <c r="K307" s="61"/>
      <c r="L307" s="61"/>
      <c r="M307" s="61"/>
    </row>
    <row r="308" spans="1:13" x14ac:dyDescent="0.25">
      <c r="A308" s="129">
        <f t="shared" si="11"/>
        <v>9</v>
      </c>
      <c r="B308" s="129" t="s">
        <v>346</v>
      </c>
      <c r="C308" s="129">
        <f t="shared" si="7"/>
        <v>346.11642000000001</v>
      </c>
      <c r="D308" s="130">
        <f t="shared" si="12"/>
        <v>415.33970399999998</v>
      </c>
      <c r="E308" s="129">
        <f>(1.65*1.65+1*2.65)*10.764</f>
        <v>57.829589999999989</v>
      </c>
      <c r="F308" s="129">
        <f t="shared" si="13"/>
        <v>577.00421999999992</v>
      </c>
      <c r="I308" s="61"/>
      <c r="J308" s="61"/>
      <c r="K308" s="61"/>
      <c r="L308" s="61"/>
      <c r="M308" s="61"/>
    </row>
    <row r="309" spans="1:13" x14ac:dyDescent="0.25">
      <c r="A309" s="129">
        <f t="shared" si="11"/>
        <v>10</v>
      </c>
      <c r="B309" s="129" t="s">
        <v>346</v>
      </c>
      <c r="C309" s="129">
        <f t="shared" si="7"/>
        <v>346.11642000000001</v>
      </c>
      <c r="D309" s="130">
        <f t="shared" si="12"/>
        <v>415.33970399999998</v>
      </c>
      <c r="E309" s="129">
        <f t="shared" si="9"/>
        <v>77.366249999999994</v>
      </c>
      <c r="F309" s="129">
        <f t="shared" si="13"/>
        <v>596.54088000000002</v>
      </c>
      <c r="I309" s="61"/>
      <c r="J309" s="61"/>
      <c r="K309" s="61"/>
      <c r="L309" s="61"/>
      <c r="M309" s="61"/>
    </row>
    <row r="310" spans="1:13" x14ac:dyDescent="0.25">
      <c r="A310" s="129">
        <f t="shared" si="11"/>
        <v>11</v>
      </c>
      <c r="B310" s="129" t="s">
        <v>346</v>
      </c>
      <c r="C310" s="129">
        <f t="shared" si="7"/>
        <v>346.11642000000001</v>
      </c>
      <c r="D310" s="130">
        <f t="shared" si="12"/>
        <v>415.33970399999998</v>
      </c>
      <c r="E310" s="129">
        <f t="shared" si="9"/>
        <v>77.366249999999994</v>
      </c>
      <c r="F310" s="129">
        <f t="shared" si="13"/>
        <v>596.54088000000002</v>
      </c>
      <c r="I310" s="61"/>
      <c r="J310" s="61"/>
      <c r="K310" s="61"/>
      <c r="L310" s="61"/>
      <c r="M310" s="61"/>
    </row>
    <row r="311" spans="1:13" x14ac:dyDescent="0.25">
      <c r="A311" s="129">
        <f t="shared" si="11"/>
        <v>12</v>
      </c>
      <c r="B311" s="129" t="s">
        <v>346</v>
      </c>
      <c r="C311" s="129">
        <f>(29.98+0.75*2.9+1.8*1.2)*10.764</f>
        <v>369.36665999999997</v>
      </c>
      <c r="D311" s="130">
        <f t="shared" si="12"/>
        <v>443.23999199999997</v>
      </c>
      <c r="E311" s="129">
        <f>(1*2.65)*10.764</f>
        <v>28.524599999999996</v>
      </c>
      <c r="F311" s="129">
        <f t="shared" si="13"/>
        <v>582.57458999999994</v>
      </c>
      <c r="I311" s="61"/>
      <c r="J311" s="61"/>
      <c r="K311" s="61"/>
      <c r="L311" s="61"/>
      <c r="M311" s="61"/>
    </row>
    <row r="312" spans="1:13" x14ac:dyDescent="0.25">
      <c r="A312" s="129">
        <f t="shared" si="11"/>
        <v>13</v>
      </c>
      <c r="B312" s="129" t="s">
        <v>346</v>
      </c>
      <c r="C312" s="129">
        <f t="shared" si="7"/>
        <v>346.11642000000001</v>
      </c>
      <c r="D312" s="130">
        <f t="shared" si="12"/>
        <v>415.33970399999998</v>
      </c>
      <c r="E312" s="156">
        <f>(1.65*2.75+1*2.65+4.6*1.3)*10.764</f>
        <v>141.73497</v>
      </c>
      <c r="F312" s="129">
        <f t="shared" si="13"/>
        <v>590.04211499999997</v>
      </c>
      <c r="I312" s="61"/>
      <c r="J312" s="61"/>
      <c r="K312" s="61"/>
      <c r="L312" s="61"/>
      <c r="M312" s="61"/>
    </row>
    <row r="313" spans="1:13" x14ac:dyDescent="0.25">
      <c r="A313" s="129">
        <f t="shared" si="11"/>
        <v>14</v>
      </c>
      <c r="B313" s="129" t="s">
        <v>346</v>
      </c>
      <c r="C313" s="129">
        <f t="shared" si="7"/>
        <v>346.11642000000001</v>
      </c>
      <c r="D313" s="130">
        <f t="shared" si="12"/>
        <v>415.33970399999998</v>
      </c>
      <c r="E313" s="129">
        <f>(1.65*2.75+1*1.65)*10.764</f>
        <v>66.602249999999998</v>
      </c>
      <c r="F313" s="129">
        <f t="shared" si="13"/>
        <v>585.77688000000001</v>
      </c>
      <c r="I313" s="61"/>
      <c r="J313" s="61"/>
      <c r="K313" s="61"/>
      <c r="L313" s="61"/>
      <c r="M313" s="61"/>
    </row>
    <row r="314" spans="1:13" x14ac:dyDescent="0.25">
      <c r="A314" s="129">
        <f t="shared" si="11"/>
        <v>15</v>
      </c>
      <c r="B314" s="129" t="s">
        <v>346</v>
      </c>
      <c r="C314" s="129">
        <f t="shared" si="7"/>
        <v>346.11642000000001</v>
      </c>
      <c r="D314" s="130">
        <f t="shared" si="12"/>
        <v>415.33970399999998</v>
      </c>
      <c r="E314" s="129">
        <f>(1.65*1.65+1*2.65)*10.764</f>
        <v>57.829589999999989</v>
      </c>
      <c r="F314" s="129">
        <f t="shared" si="13"/>
        <v>577.00421999999992</v>
      </c>
      <c r="I314" s="61"/>
      <c r="J314" s="61"/>
      <c r="K314" s="61"/>
      <c r="L314" s="61"/>
      <c r="M314" s="61"/>
    </row>
    <row r="315" spans="1:13" x14ac:dyDescent="0.25">
      <c r="A315" s="129">
        <f t="shared" si="11"/>
        <v>16</v>
      </c>
      <c r="B315" s="129" t="s">
        <v>346</v>
      </c>
      <c r="C315" s="129">
        <f t="shared" si="7"/>
        <v>346.11642000000001</v>
      </c>
      <c r="D315" s="130">
        <f t="shared" si="12"/>
        <v>415.33970399999998</v>
      </c>
      <c r="E315" s="129">
        <f t="shared" ref="E315:E325" si="14">(1.65*2.75+1*2.65)*10.764</f>
        <v>77.366249999999994</v>
      </c>
      <c r="F315" s="129">
        <f t="shared" si="13"/>
        <v>596.54088000000002</v>
      </c>
      <c r="I315" s="61"/>
      <c r="J315" s="61"/>
      <c r="K315" s="61"/>
      <c r="L315" s="61"/>
      <c r="M315" s="61"/>
    </row>
    <row r="316" spans="1:13" x14ac:dyDescent="0.25">
      <c r="A316" s="129">
        <f t="shared" si="11"/>
        <v>17</v>
      </c>
      <c r="B316" s="129" t="s">
        <v>346</v>
      </c>
      <c r="C316" s="129">
        <f t="shared" si="7"/>
        <v>346.11642000000001</v>
      </c>
      <c r="D316" s="130">
        <f t="shared" si="12"/>
        <v>415.33970399999998</v>
      </c>
      <c r="E316" s="129">
        <f>(1.65*2.75)*10.764</f>
        <v>48.841649999999994</v>
      </c>
      <c r="F316" s="129">
        <f t="shared" si="13"/>
        <v>568.01627999999994</v>
      </c>
      <c r="I316" s="61"/>
      <c r="J316" s="61"/>
      <c r="K316" s="61"/>
      <c r="L316" s="61"/>
      <c r="M316" s="61"/>
    </row>
    <row r="317" spans="1:13" x14ac:dyDescent="0.25">
      <c r="A317" s="129">
        <f t="shared" si="11"/>
        <v>18</v>
      </c>
      <c r="B317" s="129" t="s">
        <v>346</v>
      </c>
      <c r="C317" s="129">
        <f t="shared" si="7"/>
        <v>346.11642000000001</v>
      </c>
      <c r="D317" s="130">
        <f t="shared" si="12"/>
        <v>415.33970399999998</v>
      </c>
      <c r="E317" s="129">
        <f>(1.65*2.75)*10.764</f>
        <v>48.841649999999994</v>
      </c>
      <c r="F317" s="129">
        <f t="shared" si="13"/>
        <v>568.01627999999994</v>
      </c>
      <c r="I317" s="61"/>
      <c r="J317" s="61"/>
      <c r="K317" s="61"/>
      <c r="L317" s="61"/>
      <c r="M317" s="61"/>
    </row>
    <row r="318" spans="1:13" x14ac:dyDescent="0.25">
      <c r="A318" s="129">
        <f t="shared" si="11"/>
        <v>19</v>
      </c>
      <c r="B318" s="129" t="s">
        <v>346</v>
      </c>
      <c r="C318" s="129">
        <f t="shared" si="7"/>
        <v>346.11642000000001</v>
      </c>
      <c r="D318" s="130">
        <f t="shared" si="12"/>
        <v>415.33970399999998</v>
      </c>
      <c r="E318" s="129">
        <f t="shared" si="14"/>
        <v>77.366249999999994</v>
      </c>
      <c r="F318" s="129">
        <f t="shared" si="13"/>
        <v>596.54088000000002</v>
      </c>
      <c r="I318" s="61"/>
      <c r="J318" s="61"/>
      <c r="K318" s="61"/>
      <c r="L318" s="61"/>
      <c r="M318" s="61"/>
    </row>
    <row r="319" spans="1:13" x14ac:dyDescent="0.25">
      <c r="A319" s="129">
        <f t="shared" si="11"/>
        <v>20</v>
      </c>
      <c r="B319" s="129" t="s">
        <v>346</v>
      </c>
      <c r="C319" s="129">
        <f t="shared" si="7"/>
        <v>346.11642000000001</v>
      </c>
      <c r="D319" s="130">
        <f t="shared" si="12"/>
        <v>415.33970399999998</v>
      </c>
      <c r="E319" s="129">
        <f>(1.65*2.75+3.3*2.65+1.5*0.45)*10.764</f>
        <v>150.23853</v>
      </c>
      <c r="F319" s="129">
        <f t="shared" si="13"/>
        <v>594.29389500000002</v>
      </c>
      <c r="I319" s="61"/>
      <c r="J319" s="61"/>
      <c r="K319" s="61"/>
      <c r="L319" s="61"/>
      <c r="M319" s="61"/>
    </row>
    <row r="320" spans="1:13" x14ac:dyDescent="0.25">
      <c r="A320" s="129">
        <f t="shared" si="11"/>
        <v>21</v>
      </c>
      <c r="B320" s="129" t="s">
        <v>346</v>
      </c>
      <c r="C320" s="129">
        <f t="shared" si="7"/>
        <v>346.11642000000001</v>
      </c>
      <c r="D320" s="130">
        <f t="shared" si="12"/>
        <v>415.33970399999998</v>
      </c>
      <c r="E320" s="129">
        <f>(1.65*2.75+3.3*2.65+1.5*0.45)*10.764</f>
        <v>150.23853</v>
      </c>
      <c r="F320" s="129">
        <f t="shared" si="13"/>
        <v>594.29389500000002</v>
      </c>
      <c r="I320" s="61"/>
      <c r="J320" s="61"/>
      <c r="K320" s="61"/>
      <c r="L320" s="61"/>
      <c r="M320" s="61"/>
    </row>
    <row r="321" spans="1:14" x14ac:dyDescent="0.25">
      <c r="A321" s="129">
        <f t="shared" si="11"/>
        <v>22</v>
      </c>
      <c r="B321" s="129" t="s">
        <v>346</v>
      </c>
      <c r="C321" s="129">
        <f t="shared" si="7"/>
        <v>346.11642000000001</v>
      </c>
      <c r="D321" s="130">
        <f t="shared" si="12"/>
        <v>415.33970399999998</v>
      </c>
      <c r="E321" s="129">
        <f t="shared" si="14"/>
        <v>77.366249999999994</v>
      </c>
      <c r="F321" s="129">
        <f t="shared" si="13"/>
        <v>596.54088000000002</v>
      </c>
      <c r="I321" s="61"/>
      <c r="J321" s="61"/>
      <c r="K321" s="61"/>
      <c r="L321" s="61"/>
      <c r="M321" s="61"/>
    </row>
    <row r="322" spans="1:14" x14ac:dyDescent="0.25">
      <c r="A322" s="129">
        <f t="shared" si="11"/>
        <v>23</v>
      </c>
      <c r="B322" s="129" t="s">
        <v>346</v>
      </c>
      <c r="C322" s="129">
        <f t="shared" si="7"/>
        <v>346.11642000000001</v>
      </c>
      <c r="D322" s="130">
        <f t="shared" si="12"/>
        <v>415.33970399999998</v>
      </c>
      <c r="E322" s="129">
        <f t="shared" si="14"/>
        <v>77.366249999999994</v>
      </c>
      <c r="F322" s="129">
        <f t="shared" si="13"/>
        <v>596.54088000000002</v>
      </c>
      <c r="I322" s="61"/>
      <c r="J322" s="61"/>
      <c r="K322" s="61"/>
      <c r="L322" s="61"/>
      <c r="M322" s="61"/>
    </row>
    <row r="323" spans="1:14" x14ac:dyDescent="0.25">
      <c r="A323" s="129">
        <f t="shared" si="11"/>
        <v>24</v>
      </c>
      <c r="B323" s="129" t="s">
        <v>346</v>
      </c>
      <c r="C323" s="129">
        <f t="shared" si="7"/>
        <v>346.11642000000001</v>
      </c>
      <c r="D323" s="130">
        <f t="shared" si="12"/>
        <v>415.33970399999998</v>
      </c>
      <c r="E323" s="129">
        <f>(1.65*2.75)*10.764</f>
        <v>48.841649999999994</v>
      </c>
      <c r="F323" s="129">
        <f t="shared" si="13"/>
        <v>568.01627999999994</v>
      </c>
      <c r="I323" s="61"/>
      <c r="J323" s="61"/>
      <c r="K323" s="61"/>
      <c r="L323" s="61"/>
      <c r="M323" s="61"/>
    </row>
    <row r="324" spans="1:14" x14ac:dyDescent="0.25">
      <c r="A324" s="129">
        <f t="shared" si="11"/>
        <v>25</v>
      </c>
      <c r="B324" s="129" t="s">
        <v>346</v>
      </c>
      <c r="C324" s="129">
        <f>(29.98+0.75*2.9+1.8*1.2)*10.764</f>
        <v>369.36665999999997</v>
      </c>
      <c r="D324" s="130">
        <f t="shared" si="12"/>
        <v>443.23999199999997</v>
      </c>
      <c r="E324" s="129">
        <f>(1*2.65)*10.764</f>
        <v>28.524599999999996</v>
      </c>
      <c r="F324" s="129">
        <f t="shared" si="13"/>
        <v>582.57458999999994</v>
      </c>
      <c r="I324" s="61"/>
      <c r="J324" s="61"/>
      <c r="K324" s="61"/>
      <c r="L324" s="61"/>
      <c r="M324" s="61"/>
    </row>
    <row r="325" spans="1:14" x14ac:dyDescent="0.25">
      <c r="A325" s="129">
        <f t="shared" si="11"/>
        <v>26</v>
      </c>
      <c r="B325" s="129" t="s">
        <v>346</v>
      </c>
      <c r="C325" s="129">
        <f t="shared" si="7"/>
        <v>346.11642000000001</v>
      </c>
      <c r="D325" s="130">
        <f t="shared" si="12"/>
        <v>415.33970399999998</v>
      </c>
      <c r="E325" s="129">
        <f t="shared" si="14"/>
        <v>77.366249999999994</v>
      </c>
      <c r="F325" s="129">
        <f t="shared" si="13"/>
        <v>596.54088000000002</v>
      </c>
      <c r="I325" s="61"/>
      <c r="J325" s="61"/>
      <c r="K325" s="61"/>
      <c r="L325" s="61"/>
      <c r="M325" s="61"/>
    </row>
    <row r="326" spans="1:14" s="138" customFormat="1" ht="15.75" customHeight="1" x14ac:dyDescent="0.25">
      <c r="A326" s="241" t="s">
        <v>347</v>
      </c>
      <c r="B326" s="241"/>
      <c r="C326" s="241"/>
      <c r="D326" s="241"/>
      <c r="E326" s="241"/>
      <c r="F326" s="241"/>
      <c r="G326" s="43">
        <f>6+4+1</f>
        <v>11</v>
      </c>
      <c r="H326" s="43"/>
      <c r="I326" s="137">
        <f>1600000</f>
        <v>1600000</v>
      </c>
      <c r="J326" s="137"/>
      <c r="K326" s="61"/>
      <c r="L326" s="137"/>
      <c r="M326" s="137"/>
    </row>
    <row r="327" spans="1:14" s="138" customFormat="1" ht="15.75" x14ac:dyDescent="0.25">
      <c r="A327" s="129">
        <v>1</v>
      </c>
      <c r="B327" s="129" t="s">
        <v>346</v>
      </c>
      <c r="C327" s="129">
        <f>(29.98+0.75*2.9+1.65*1.2)*10.764</f>
        <v>367.42913999999996</v>
      </c>
      <c r="D327" s="130">
        <f>C327*1.2</f>
        <v>440.91496799999993</v>
      </c>
      <c r="E327" s="129">
        <v>0</v>
      </c>
      <c r="F327" s="129">
        <f>C327*(($F$296)+1)+(IF(E327&lt;101,E327,IF(E327&lt;201,E327/2,IF(E327&lt;=301,E327/3,E327/4))))</f>
        <v>551.14370999999994</v>
      </c>
      <c r="G327" s="173"/>
      <c r="H327" s="173"/>
      <c r="I327" s="155">
        <f>1600000/F327</f>
        <v>2903.0540872905908</v>
      </c>
      <c r="J327" s="60">
        <f>1800000/F327</f>
        <v>3265.9358482019147</v>
      </c>
      <c r="K327" s="61"/>
      <c r="L327" s="163"/>
      <c r="M327" s="163"/>
      <c r="N327" s="40"/>
    </row>
    <row r="328" spans="1:14" ht="15.75" x14ac:dyDescent="0.25">
      <c r="A328" s="129">
        <f>A327+1</f>
        <v>2</v>
      </c>
      <c r="B328" s="129" t="s">
        <v>346</v>
      </c>
      <c r="C328" s="129">
        <f t="shared" ref="C328:C352" si="15">(29.98+0.75*2.9+1.65*1.2)*10.764</f>
        <v>367.42913999999996</v>
      </c>
      <c r="D328" s="130">
        <f t="shared" ref="D328:D352" si="16">C328*1.2</f>
        <v>440.91496799999993</v>
      </c>
      <c r="E328" s="129">
        <v>0</v>
      </c>
      <c r="F328" s="129">
        <f t="shared" ref="F328:F352" si="17">C328*(($F$296)+1)+(IF(E328&lt;101,E328,IF(E328&lt;201,E328/2,IF(E328&lt;=301,E328/3,E328/4))))</f>
        <v>551.14370999999994</v>
      </c>
      <c r="I328" s="155">
        <f t="shared" ref="I328:I337" si="18">1600000/F328</f>
        <v>2903.0540872905908</v>
      </c>
      <c r="J328" s="60">
        <f t="shared" ref="J328:J337" si="19">1800000/F328</f>
        <v>3265.9358482019147</v>
      </c>
      <c r="K328" s="61"/>
      <c r="L328" s="61"/>
      <c r="M328" s="61"/>
    </row>
    <row r="329" spans="1:14" ht="15.75" x14ac:dyDescent="0.25">
      <c r="A329" s="129">
        <f t="shared" ref="A329:A352" si="20">A328+1</f>
        <v>3</v>
      </c>
      <c r="B329" s="129" t="s">
        <v>346</v>
      </c>
      <c r="C329" s="129">
        <f t="shared" si="15"/>
        <v>367.42913999999996</v>
      </c>
      <c r="D329" s="130">
        <f t="shared" si="16"/>
        <v>440.91496799999993</v>
      </c>
      <c r="E329" s="129">
        <v>0</v>
      </c>
      <c r="F329" s="129">
        <f t="shared" si="17"/>
        <v>551.14370999999994</v>
      </c>
      <c r="I329" s="155">
        <f t="shared" si="18"/>
        <v>2903.0540872905908</v>
      </c>
      <c r="J329" s="60">
        <f t="shared" si="19"/>
        <v>3265.9358482019147</v>
      </c>
      <c r="K329" s="61"/>
      <c r="L329" s="61"/>
      <c r="M329" s="61"/>
    </row>
    <row r="330" spans="1:14" ht="15.75" x14ac:dyDescent="0.25">
      <c r="A330" s="129">
        <f t="shared" si="20"/>
        <v>4</v>
      </c>
      <c r="B330" s="129" t="s">
        <v>346</v>
      </c>
      <c r="C330" s="129">
        <f t="shared" si="15"/>
        <v>367.42913999999996</v>
      </c>
      <c r="D330" s="130">
        <f t="shared" si="16"/>
        <v>440.91496799999993</v>
      </c>
      <c r="E330" s="129">
        <v>0</v>
      </c>
      <c r="F330" s="129">
        <f t="shared" si="17"/>
        <v>551.14370999999994</v>
      </c>
      <c r="I330" s="155">
        <f t="shared" si="18"/>
        <v>2903.0540872905908</v>
      </c>
      <c r="J330" s="60">
        <f t="shared" si="19"/>
        <v>3265.9358482019147</v>
      </c>
      <c r="K330" s="59"/>
      <c r="L330" s="61"/>
      <c r="M330" s="61"/>
    </row>
    <row r="331" spans="1:14" ht="15.75" x14ac:dyDescent="0.25">
      <c r="A331" s="129">
        <f t="shared" si="20"/>
        <v>5</v>
      </c>
      <c r="B331" s="129" t="s">
        <v>346</v>
      </c>
      <c r="C331" s="129">
        <f t="shared" si="15"/>
        <v>367.42913999999996</v>
      </c>
      <c r="D331" s="130">
        <f t="shared" si="16"/>
        <v>440.91496799999993</v>
      </c>
      <c r="E331" s="129">
        <v>0</v>
      </c>
      <c r="F331" s="129">
        <f t="shared" si="17"/>
        <v>551.14370999999994</v>
      </c>
      <c r="I331" s="155">
        <f t="shared" si="18"/>
        <v>2903.0540872905908</v>
      </c>
      <c r="J331" s="60">
        <f t="shared" si="19"/>
        <v>3265.9358482019147</v>
      </c>
      <c r="K331" s="137"/>
      <c r="L331" s="61"/>
      <c r="M331" s="61"/>
    </row>
    <row r="332" spans="1:14" ht="15.75" x14ac:dyDescent="0.25">
      <c r="A332" s="129">
        <f t="shared" si="20"/>
        <v>6</v>
      </c>
      <c r="B332" s="129" t="s">
        <v>346</v>
      </c>
      <c r="C332" s="129">
        <f t="shared" si="15"/>
        <v>367.42913999999996</v>
      </c>
      <c r="D332" s="130">
        <f t="shared" si="16"/>
        <v>440.91496799999993</v>
      </c>
      <c r="E332" s="129">
        <v>0</v>
      </c>
      <c r="F332" s="129">
        <f t="shared" si="17"/>
        <v>551.14370999999994</v>
      </c>
      <c r="I332" s="155">
        <f t="shared" si="18"/>
        <v>2903.0540872905908</v>
      </c>
      <c r="J332" s="60">
        <f t="shared" si="19"/>
        <v>3265.9358482019147</v>
      </c>
      <c r="K332" s="61"/>
      <c r="L332" s="61"/>
      <c r="M332" s="61"/>
    </row>
    <row r="333" spans="1:14" ht="15.75" x14ac:dyDescent="0.25">
      <c r="A333" s="129">
        <f t="shared" si="20"/>
        <v>7</v>
      </c>
      <c r="B333" s="129" t="s">
        <v>346</v>
      </c>
      <c r="C333" s="129">
        <f t="shared" si="15"/>
        <v>367.42913999999996</v>
      </c>
      <c r="D333" s="130">
        <f t="shared" si="16"/>
        <v>440.91496799999993</v>
      </c>
      <c r="E333" s="129">
        <v>0</v>
      </c>
      <c r="F333" s="129">
        <f t="shared" si="17"/>
        <v>551.14370999999994</v>
      </c>
      <c r="I333" s="155">
        <f t="shared" si="18"/>
        <v>2903.0540872905908</v>
      </c>
      <c r="J333" s="60">
        <f t="shared" si="19"/>
        <v>3265.9358482019147</v>
      </c>
      <c r="K333" s="61"/>
      <c r="L333" s="61"/>
      <c r="M333" s="61"/>
    </row>
    <row r="334" spans="1:14" ht="15.75" x14ac:dyDescent="0.25">
      <c r="A334" s="129">
        <f t="shared" si="20"/>
        <v>8</v>
      </c>
      <c r="B334" s="129" t="s">
        <v>346</v>
      </c>
      <c r="C334" s="129">
        <f t="shared" si="15"/>
        <v>367.42913999999996</v>
      </c>
      <c r="D334" s="130">
        <f t="shared" si="16"/>
        <v>440.91496799999993</v>
      </c>
      <c r="E334" s="129">
        <v>0</v>
      </c>
      <c r="F334" s="129">
        <f t="shared" si="17"/>
        <v>551.14370999999994</v>
      </c>
      <c r="I334" s="155">
        <f t="shared" si="18"/>
        <v>2903.0540872905908</v>
      </c>
      <c r="J334" s="60">
        <f t="shared" si="19"/>
        <v>3265.9358482019147</v>
      </c>
      <c r="K334" s="61"/>
      <c r="L334" s="61"/>
      <c r="M334" s="61"/>
    </row>
    <row r="335" spans="1:14" ht="15.75" x14ac:dyDescent="0.25">
      <c r="A335" s="129">
        <f t="shared" si="20"/>
        <v>9</v>
      </c>
      <c r="B335" s="129" t="s">
        <v>346</v>
      </c>
      <c r="C335" s="129">
        <f t="shared" si="15"/>
        <v>367.42913999999996</v>
      </c>
      <c r="D335" s="130">
        <f t="shared" si="16"/>
        <v>440.91496799999993</v>
      </c>
      <c r="E335" s="129">
        <v>0</v>
      </c>
      <c r="F335" s="129">
        <f t="shared" si="17"/>
        <v>551.14370999999994</v>
      </c>
      <c r="I335" s="155">
        <f t="shared" si="18"/>
        <v>2903.0540872905908</v>
      </c>
      <c r="J335" s="60">
        <f t="shared" si="19"/>
        <v>3265.9358482019147</v>
      </c>
      <c r="K335" s="61"/>
      <c r="L335" s="61"/>
      <c r="M335" s="61"/>
    </row>
    <row r="336" spans="1:14" ht="15.75" x14ac:dyDescent="0.25">
      <c r="A336" s="129">
        <f t="shared" si="20"/>
        <v>10</v>
      </c>
      <c r="B336" s="129" t="s">
        <v>346</v>
      </c>
      <c r="C336" s="129">
        <f t="shared" si="15"/>
        <v>367.42913999999996</v>
      </c>
      <c r="D336" s="130">
        <f t="shared" si="16"/>
        <v>440.91496799999993</v>
      </c>
      <c r="E336" s="129">
        <v>0</v>
      </c>
      <c r="F336" s="129">
        <f t="shared" si="17"/>
        <v>551.14370999999994</v>
      </c>
      <c r="I336" s="155">
        <f t="shared" si="18"/>
        <v>2903.0540872905908</v>
      </c>
      <c r="J336" s="60">
        <f t="shared" si="19"/>
        <v>3265.9358482019147</v>
      </c>
      <c r="K336" s="61"/>
      <c r="L336" s="61"/>
      <c r="M336" s="61"/>
    </row>
    <row r="337" spans="1:13" ht="15.75" x14ac:dyDescent="0.25">
      <c r="A337" s="129">
        <f t="shared" si="20"/>
        <v>11</v>
      </c>
      <c r="B337" s="129" t="s">
        <v>346</v>
      </c>
      <c r="C337" s="129">
        <f t="shared" si="15"/>
        <v>367.42913999999996</v>
      </c>
      <c r="D337" s="130">
        <f t="shared" si="16"/>
        <v>440.91496799999993</v>
      </c>
      <c r="E337" s="129">
        <v>0</v>
      </c>
      <c r="F337" s="129">
        <f t="shared" si="17"/>
        <v>551.14370999999994</v>
      </c>
      <c r="I337" s="155">
        <f t="shared" si="18"/>
        <v>2903.0540872905908</v>
      </c>
      <c r="J337" s="60">
        <f t="shared" si="19"/>
        <v>3265.9358482019147</v>
      </c>
      <c r="K337" s="61"/>
      <c r="L337" s="61"/>
      <c r="M337" s="61"/>
    </row>
    <row r="338" spans="1:13" ht="15.75" x14ac:dyDescent="0.25">
      <c r="A338" s="129">
        <f t="shared" si="20"/>
        <v>12</v>
      </c>
      <c r="B338" s="129" t="s">
        <v>346</v>
      </c>
      <c r="C338" s="129">
        <f t="shared" si="15"/>
        <v>367.42913999999996</v>
      </c>
      <c r="D338" s="130">
        <f t="shared" si="16"/>
        <v>440.91496799999993</v>
      </c>
      <c r="E338" s="129">
        <v>0</v>
      </c>
      <c r="F338" s="129">
        <f t="shared" si="17"/>
        <v>551.14370999999994</v>
      </c>
      <c r="I338" s="157">
        <f>1791000/F338</f>
        <v>3249.6061689609055</v>
      </c>
      <c r="J338" s="61"/>
      <c r="K338" s="61"/>
      <c r="L338" s="61"/>
      <c r="M338" s="61"/>
    </row>
    <row r="339" spans="1:13" x14ac:dyDescent="0.25">
      <c r="A339" s="129">
        <f t="shared" si="20"/>
        <v>13</v>
      </c>
      <c r="B339" s="129" t="s">
        <v>346</v>
      </c>
      <c r="C339" s="129">
        <f t="shared" si="15"/>
        <v>367.42913999999996</v>
      </c>
      <c r="D339" s="130">
        <f t="shared" si="16"/>
        <v>440.91496799999993</v>
      </c>
      <c r="E339" s="129">
        <v>0</v>
      </c>
      <c r="F339" s="129">
        <f t="shared" si="17"/>
        <v>551.14370999999994</v>
      </c>
      <c r="I339" s="61"/>
      <c r="J339" s="61"/>
      <c r="K339" s="61"/>
      <c r="L339" s="61"/>
      <c r="M339" s="61"/>
    </row>
    <row r="340" spans="1:13" x14ac:dyDescent="0.25">
      <c r="A340" s="129">
        <f t="shared" si="20"/>
        <v>14</v>
      </c>
      <c r="B340" s="129" t="s">
        <v>346</v>
      </c>
      <c r="C340" s="129">
        <f t="shared" si="15"/>
        <v>367.42913999999996</v>
      </c>
      <c r="D340" s="130">
        <f t="shared" si="16"/>
        <v>440.91496799999993</v>
      </c>
      <c r="E340" s="129">
        <v>0</v>
      </c>
      <c r="F340" s="129">
        <f t="shared" si="17"/>
        <v>551.14370999999994</v>
      </c>
      <c r="I340" s="61"/>
      <c r="J340" s="61"/>
      <c r="K340" s="61"/>
      <c r="L340" s="61"/>
      <c r="M340" s="61"/>
    </row>
    <row r="341" spans="1:13" x14ac:dyDescent="0.25">
      <c r="A341" s="129">
        <f t="shared" si="20"/>
        <v>15</v>
      </c>
      <c r="B341" s="129" t="s">
        <v>346</v>
      </c>
      <c r="C341" s="129">
        <f t="shared" si="15"/>
        <v>367.42913999999996</v>
      </c>
      <c r="D341" s="130">
        <f t="shared" si="16"/>
        <v>440.91496799999993</v>
      </c>
      <c r="E341" s="129">
        <v>0</v>
      </c>
      <c r="F341" s="129">
        <f t="shared" si="17"/>
        <v>551.14370999999994</v>
      </c>
      <c r="I341" s="61"/>
      <c r="J341" s="61"/>
      <c r="K341" s="61"/>
      <c r="L341" s="61"/>
      <c r="M341" s="61"/>
    </row>
    <row r="342" spans="1:13" x14ac:dyDescent="0.25">
      <c r="A342" s="129">
        <f t="shared" si="20"/>
        <v>16</v>
      </c>
      <c r="B342" s="129" t="s">
        <v>346</v>
      </c>
      <c r="C342" s="129">
        <f t="shared" si="15"/>
        <v>367.42913999999996</v>
      </c>
      <c r="D342" s="130">
        <f t="shared" si="16"/>
        <v>440.91496799999993</v>
      </c>
      <c r="E342" s="129">
        <v>0</v>
      </c>
      <c r="F342" s="129">
        <f t="shared" si="17"/>
        <v>551.14370999999994</v>
      </c>
      <c r="I342" s="61"/>
      <c r="J342" s="61"/>
      <c r="K342" s="61"/>
      <c r="L342" s="61"/>
      <c r="M342" s="61"/>
    </row>
    <row r="343" spans="1:13" x14ac:dyDescent="0.25">
      <c r="A343" s="129">
        <f t="shared" si="20"/>
        <v>17</v>
      </c>
      <c r="B343" s="129" t="s">
        <v>346</v>
      </c>
      <c r="C343" s="129">
        <f t="shared" si="15"/>
        <v>367.42913999999996</v>
      </c>
      <c r="D343" s="130">
        <f t="shared" si="16"/>
        <v>440.91496799999993</v>
      </c>
      <c r="E343" s="129">
        <v>0</v>
      </c>
      <c r="F343" s="129">
        <f t="shared" si="17"/>
        <v>551.14370999999994</v>
      </c>
      <c r="I343" s="61"/>
      <c r="J343" s="61"/>
      <c r="K343" s="61"/>
      <c r="L343" s="61"/>
      <c r="M343" s="61"/>
    </row>
    <row r="344" spans="1:13" x14ac:dyDescent="0.25">
      <c r="A344" s="129">
        <f t="shared" si="20"/>
        <v>18</v>
      </c>
      <c r="B344" s="129" t="s">
        <v>346</v>
      </c>
      <c r="C344" s="129">
        <f t="shared" si="15"/>
        <v>367.42913999999996</v>
      </c>
      <c r="D344" s="130">
        <f t="shared" si="16"/>
        <v>440.91496799999993</v>
      </c>
      <c r="E344" s="129">
        <v>0</v>
      </c>
      <c r="F344" s="129">
        <f t="shared" si="17"/>
        <v>551.14370999999994</v>
      </c>
      <c r="I344" s="61"/>
      <c r="J344" s="61"/>
      <c r="K344" s="61"/>
      <c r="L344" s="61"/>
      <c r="M344" s="61"/>
    </row>
    <row r="345" spans="1:13" x14ac:dyDescent="0.25">
      <c r="A345" s="129">
        <f t="shared" si="20"/>
        <v>19</v>
      </c>
      <c r="B345" s="129" t="s">
        <v>346</v>
      </c>
      <c r="C345" s="129">
        <f t="shared" si="15"/>
        <v>367.42913999999996</v>
      </c>
      <c r="D345" s="130">
        <f t="shared" si="16"/>
        <v>440.91496799999993</v>
      </c>
      <c r="E345" s="129">
        <v>0</v>
      </c>
      <c r="F345" s="129">
        <f t="shared" si="17"/>
        <v>551.14370999999994</v>
      </c>
      <c r="I345" s="61"/>
      <c r="J345" s="61"/>
      <c r="K345" s="61"/>
      <c r="L345" s="61"/>
      <c r="M345" s="61"/>
    </row>
    <row r="346" spans="1:13" x14ac:dyDescent="0.25">
      <c r="A346" s="129">
        <f t="shared" si="20"/>
        <v>20</v>
      </c>
      <c r="B346" s="129" t="s">
        <v>346</v>
      </c>
      <c r="C346" s="129">
        <f t="shared" si="15"/>
        <v>367.42913999999996</v>
      </c>
      <c r="D346" s="130">
        <f t="shared" si="16"/>
        <v>440.91496799999993</v>
      </c>
      <c r="E346" s="129">
        <v>0</v>
      </c>
      <c r="F346" s="129">
        <f t="shared" si="17"/>
        <v>551.14370999999994</v>
      </c>
      <c r="I346" s="61"/>
      <c r="J346" s="61"/>
      <c r="K346" s="61"/>
      <c r="L346" s="61"/>
      <c r="M346" s="61"/>
    </row>
    <row r="347" spans="1:13" x14ac:dyDescent="0.25">
      <c r="A347" s="129">
        <f t="shared" si="20"/>
        <v>21</v>
      </c>
      <c r="B347" s="129" t="s">
        <v>346</v>
      </c>
      <c r="C347" s="129">
        <f t="shared" si="15"/>
        <v>367.42913999999996</v>
      </c>
      <c r="D347" s="130">
        <f t="shared" si="16"/>
        <v>440.91496799999993</v>
      </c>
      <c r="E347" s="129">
        <v>0</v>
      </c>
      <c r="F347" s="129">
        <f t="shared" si="17"/>
        <v>551.14370999999994</v>
      </c>
      <c r="I347" s="61"/>
      <c r="J347" s="61"/>
      <c r="K347" s="61"/>
      <c r="L347" s="61"/>
      <c r="M347" s="61"/>
    </row>
    <row r="348" spans="1:13" x14ac:dyDescent="0.25">
      <c r="A348" s="129">
        <f t="shared" si="20"/>
        <v>22</v>
      </c>
      <c r="B348" s="129" t="s">
        <v>346</v>
      </c>
      <c r="C348" s="129">
        <f t="shared" si="15"/>
        <v>367.42913999999996</v>
      </c>
      <c r="D348" s="130">
        <f t="shared" si="16"/>
        <v>440.91496799999993</v>
      </c>
      <c r="E348" s="129">
        <v>0</v>
      </c>
      <c r="F348" s="129">
        <f t="shared" si="17"/>
        <v>551.14370999999994</v>
      </c>
      <c r="I348" s="61"/>
      <c r="J348" s="61"/>
      <c r="K348" s="61"/>
      <c r="L348" s="61"/>
      <c r="M348" s="61"/>
    </row>
    <row r="349" spans="1:13" x14ac:dyDescent="0.25">
      <c r="A349" s="129">
        <f t="shared" si="20"/>
        <v>23</v>
      </c>
      <c r="B349" s="129" t="s">
        <v>346</v>
      </c>
      <c r="C349" s="129">
        <f t="shared" si="15"/>
        <v>367.42913999999996</v>
      </c>
      <c r="D349" s="130">
        <f t="shared" si="16"/>
        <v>440.91496799999993</v>
      </c>
      <c r="E349" s="129">
        <v>0</v>
      </c>
      <c r="F349" s="129">
        <f t="shared" si="17"/>
        <v>551.14370999999994</v>
      </c>
      <c r="I349" s="61"/>
      <c r="J349" s="61"/>
      <c r="K349" s="61"/>
      <c r="L349" s="61"/>
      <c r="M349" s="61"/>
    </row>
    <row r="350" spans="1:13" x14ac:dyDescent="0.25">
      <c r="A350" s="129">
        <f t="shared" si="20"/>
        <v>24</v>
      </c>
      <c r="B350" s="129" t="s">
        <v>346</v>
      </c>
      <c r="C350" s="129">
        <f t="shared" si="15"/>
        <v>367.42913999999996</v>
      </c>
      <c r="D350" s="130">
        <f t="shared" si="16"/>
        <v>440.91496799999993</v>
      </c>
      <c r="E350" s="129">
        <v>0</v>
      </c>
      <c r="F350" s="129">
        <f t="shared" si="17"/>
        <v>551.14370999999994</v>
      </c>
      <c r="I350" s="61"/>
      <c r="J350" s="61"/>
      <c r="K350" s="61"/>
      <c r="L350" s="61"/>
      <c r="M350" s="61"/>
    </row>
    <row r="351" spans="1:13" x14ac:dyDescent="0.25">
      <c r="A351" s="129">
        <f t="shared" si="20"/>
        <v>25</v>
      </c>
      <c r="B351" s="129" t="s">
        <v>346</v>
      </c>
      <c r="C351" s="129">
        <f t="shared" si="15"/>
        <v>367.42913999999996</v>
      </c>
      <c r="D351" s="130">
        <f t="shared" si="16"/>
        <v>440.91496799999993</v>
      </c>
      <c r="E351" s="129">
        <v>0</v>
      </c>
      <c r="F351" s="129">
        <f t="shared" si="17"/>
        <v>551.14370999999994</v>
      </c>
      <c r="I351" s="61"/>
      <c r="J351" s="61"/>
      <c r="K351" s="61"/>
      <c r="L351" s="61"/>
      <c r="M351" s="61"/>
    </row>
    <row r="352" spans="1:13" x14ac:dyDescent="0.25">
      <c r="A352" s="129">
        <f t="shared" si="20"/>
        <v>26</v>
      </c>
      <c r="B352" s="129" t="s">
        <v>346</v>
      </c>
      <c r="C352" s="129">
        <f t="shared" si="15"/>
        <v>367.42913999999996</v>
      </c>
      <c r="D352" s="130">
        <f t="shared" si="16"/>
        <v>440.91496799999993</v>
      </c>
      <c r="E352" s="129">
        <v>0</v>
      </c>
      <c r="F352" s="129">
        <f t="shared" si="17"/>
        <v>551.14370999999994</v>
      </c>
      <c r="I352" s="61"/>
      <c r="J352" s="61"/>
      <c r="K352" s="61"/>
      <c r="L352" s="61"/>
      <c r="M352" s="61"/>
    </row>
    <row r="353" spans="1:14" s="138" customFormat="1" ht="15.75" customHeight="1" x14ac:dyDescent="0.25">
      <c r="A353" s="241" t="s">
        <v>348</v>
      </c>
      <c r="B353" s="241"/>
      <c r="C353" s="241"/>
      <c r="D353" s="241"/>
      <c r="E353" s="241"/>
      <c r="F353" s="241"/>
      <c r="G353" s="43">
        <v>2</v>
      </c>
      <c r="H353" s="43"/>
      <c r="I353" s="137"/>
      <c r="J353" s="137"/>
      <c r="K353" s="61"/>
      <c r="L353" s="137"/>
      <c r="M353" s="137"/>
    </row>
    <row r="354" spans="1:14" s="138" customFormat="1" ht="15.75" x14ac:dyDescent="0.25">
      <c r="A354" s="129">
        <v>1</v>
      </c>
      <c r="B354" s="129" t="s">
        <v>346</v>
      </c>
      <c r="C354" s="129">
        <f>(29.98+0.75*2.9+1.65*1.2)*10.764</f>
        <v>367.42913999999996</v>
      </c>
      <c r="D354" s="130">
        <f>C354*1.2</f>
        <v>440.91496799999993</v>
      </c>
      <c r="E354" s="129">
        <v>0</v>
      </c>
      <c r="F354" s="129">
        <f>C354*(($F$296)+1)+(IF(E354&lt;101,E354,IF(E354&lt;201,E354/2,IF(E354&lt;=301,E354/3,E354/4))))</f>
        <v>551.14370999999994</v>
      </c>
      <c r="G354" s="173"/>
      <c r="H354" s="173"/>
      <c r="I354" s="59"/>
      <c r="J354" s="60"/>
      <c r="K354" s="61"/>
      <c r="L354" s="163"/>
      <c r="M354" s="163"/>
      <c r="N354" s="40"/>
    </row>
    <row r="355" spans="1:14" x14ac:dyDescent="0.25">
      <c r="A355" s="129">
        <f>A354+1</f>
        <v>2</v>
      </c>
      <c r="B355" s="129" t="s">
        <v>346</v>
      </c>
      <c r="C355" s="129">
        <f t="shared" ref="C355:C377" si="21">(29.98+0.75*2.9+1.65*1.2)*10.764</f>
        <v>367.42913999999996</v>
      </c>
      <c r="D355" s="130">
        <f t="shared" ref="D355:D377" si="22">C355*1.2</f>
        <v>440.91496799999993</v>
      </c>
      <c r="E355" s="129">
        <v>0</v>
      </c>
      <c r="F355" s="129">
        <f t="shared" ref="F355:F377" si="23">C355*(($F$296)+1)+(IF(E355&lt;101,E355,IF(E355&lt;201,E355/2,IF(E355&lt;=301,E355/3,E355/4))))</f>
        <v>551.14370999999994</v>
      </c>
      <c r="I355" s="61"/>
      <c r="J355" s="61"/>
      <c r="K355" s="61"/>
      <c r="L355" s="61"/>
      <c r="M355" s="61"/>
    </row>
    <row r="356" spans="1:14" x14ac:dyDescent="0.25">
      <c r="A356" s="129">
        <f t="shared" ref="A356:A379" si="24">A355+1</f>
        <v>3</v>
      </c>
      <c r="B356" s="129" t="s">
        <v>346</v>
      </c>
      <c r="C356" s="129">
        <f t="shared" si="21"/>
        <v>367.42913999999996</v>
      </c>
      <c r="D356" s="130">
        <f t="shared" si="22"/>
        <v>440.91496799999993</v>
      </c>
      <c r="E356" s="129">
        <v>0</v>
      </c>
      <c r="F356" s="129">
        <f t="shared" si="23"/>
        <v>551.14370999999994</v>
      </c>
      <c r="I356" s="61"/>
      <c r="J356" s="61"/>
      <c r="K356" s="61"/>
      <c r="L356" s="61"/>
      <c r="M356" s="61"/>
    </row>
    <row r="357" spans="1:14" ht="15.75" x14ac:dyDescent="0.25">
      <c r="A357" s="129">
        <f t="shared" si="24"/>
        <v>4</v>
      </c>
      <c r="B357" s="129" t="s">
        <v>346</v>
      </c>
      <c r="C357" s="129">
        <f t="shared" si="21"/>
        <v>367.42913999999996</v>
      </c>
      <c r="D357" s="130">
        <f t="shared" si="22"/>
        <v>440.91496799999993</v>
      </c>
      <c r="E357" s="129">
        <v>0</v>
      </c>
      <c r="F357" s="129">
        <f t="shared" si="23"/>
        <v>551.14370999999994</v>
      </c>
      <c r="I357" s="61"/>
      <c r="J357" s="61"/>
      <c r="K357" s="59"/>
      <c r="L357" s="61"/>
      <c r="M357" s="61"/>
    </row>
    <row r="358" spans="1:14" ht="15.75" x14ac:dyDescent="0.25">
      <c r="A358" s="129">
        <f t="shared" si="24"/>
        <v>5</v>
      </c>
      <c r="B358" s="129" t="s">
        <v>346</v>
      </c>
      <c r="C358" s="129">
        <f t="shared" si="21"/>
        <v>367.42913999999996</v>
      </c>
      <c r="D358" s="130">
        <f t="shared" si="22"/>
        <v>440.91496799999993</v>
      </c>
      <c r="E358" s="129">
        <v>0</v>
      </c>
      <c r="F358" s="129">
        <f t="shared" si="23"/>
        <v>551.14370999999994</v>
      </c>
      <c r="I358" s="61"/>
      <c r="J358" s="61"/>
      <c r="K358" s="137"/>
      <c r="L358" s="61"/>
      <c r="M358" s="61"/>
    </row>
    <row r="359" spans="1:14" x14ac:dyDescent="0.25">
      <c r="A359" s="129">
        <f t="shared" si="24"/>
        <v>6</v>
      </c>
      <c r="B359" s="129" t="s">
        <v>346</v>
      </c>
      <c r="C359" s="129">
        <f t="shared" si="21"/>
        <v>367.42913999999996</v>
      </c>
      <c r="D359" s="130">
        <f t="shared" si="22"/>
        <v>440.91496799999993</v>
      </c>
      <c r="E359" s="129">
        <v>0</v>
      </c>
      <c r="F359" s="129">
        <f t="shared" si="23"/>
        <v>551.14370999999994</v>
      </c>
      <c r="I359" s="61"/>
      <c r="J359" s="61"/>
      <c r="K359" s="61"/>
      <c r="L359" s="61"/>
      <c r="M359" s="61"/>
    </row>
    <row r="360" spans="1:14" x14ac:dyDescent="0.25">
      <c r="A360" s="129">
        <f t="shared" si="24"/>
        <v>7</v>
      </c>
      <c r="B360" s="129" t="s">
        <v>346</v>
      </c>
      <c r="C360" s="129">
        <f t="shared" si="21"/>
        <v>367.42913999999996</v>
      </c>
      <c r="D360" s="130">
        <f t="shared" si="22"/>
        <v>440.91496799999993</v>
      </c>
      <c r="E360" s="129">
        <v>0</v>
      </c>
      <c r="F360" s="129">
        <f t="shared" si="23"/>
        <v>551.14370999999994</v>
      </c>
      <c r="I360" s="61"/>
      <c r="J360" s="61"/>
      <c r="K360" s="61"/>
      <c r="L360" s="61"/>
      <c r="M360" s="61"/>
    </row>
    <row r="361" spans="1:14" x14ac:dyDescent="0.25">
      <c r="A361" s="129">
        <f t="shared" si="24"/>
        <v>8</v>
      </c>
      <c r="B361" s="129" t="s">
        <v>346</v>
      </c>
      <c r="C361" s="129">
        <f t="shared" si="21"/>
        <v>367.42913999999996</v>
      </c>
      <c r="D361" s="130">
        <f t="shared" si="22"/>
        <v>440.91496799999993</v>
      </c>
      <c r="E361" s="129">
        <v>0</v>
      </c>
      <c r="F361" s="129">
        <f t="shared" si="23"/>
        <v>551.14370999999994</v>
      </c>
      <c r="I361" s="61"/>
      <c r="J361" s="61"/>
      <c r="K361" s="61"/>
      <c r="L361" s="61"/>
      <c r="M361" s="61"/>
    </row>
    <row r="362" spans="1:14" x14ac:dyDescent="0.25">
      <c r="A362" s="129">
        <f t="shared" si="24"/>
        <v>9</v>
      </c>
      <c r="B362" s="129" t="s">
        <v>346</v>
      </c>
      <c r="C362" s="129">
        <f t="shared" si="21"/>
        <v>367.42913999999996</v>
      </c>
      <c r="D362" s="130">
        <f t="shared" si="22"/>
        <v>440.91496799999993</v>
      </c>
      <c r="E362" s="129">
        <v>0</v>
      </c>
      <c r="F362" s="129">
        <f t="shared" si="23"/>
        <v>551.14370999999994</v>
      </c>
      <c r="I362" s="61"/>
      <c r="J362" s="61"/>
      <c r="K362" s="61"/>
      <c r="L362" s="61"/>
      <c r="M362" s="61"/>
    </row>
    <row r="363" spans="1:14" x14ac:dyDescent="0.25">
      <c r="A363" s="129">
        <f t="shared" si="24"/>
        <v>10</v>
      </c>
      <c r="B363" s="129" t="s">
        <v>346</v>
      </c>
      <c r="C363" s="129">
        <f t="shared" si="21"/>
        <v>367.42913999999996</v>
      </c>
      <c r="D363" s="130">
        <f t="shared" si="22"/>
        <v>440.91496799999993</v>
      </c>
      <c r="E363" s="129">
        <v>0</v>
      </c>
      <c r="F363" s="129">
        <f t="shared" si="23"/>
        <v>551.14370999999994</v>
      </c>
      <c r="I363" s="61"/>
      <c r="J363" s="61"/>
      <c r="K363" s="61"/>
      <c r="L363" s="61"/>
      <c r="M363" s="61"/>
    </row>
    <row r="364" spans="1:14" x14ac:dyDescent="0.25">
      <c r="A364" s="129">
        <f t="shared" si="24"/>
        <v>11</v>
      </c>
      <c r="B364" s="129" t="s">
        <v>346</v>
      </c>
      <c r="C364" s="129">
        <f t="shared" si="21"/>
        <v>367.42913999999996</v>
      </c>
      <c r="D364" s="130">
        <f t="shared" si="22"/>
        <v>440.91496799999993</v>
      </c>
      <c r="E364" s="129">
        <v>0</v>
      </c>
      <c r="F364" s="129">
        <f t="shared" si="23"/>
        <v>551.14370999999994</v>
      </c>
      <c r="I364" s="61"/>
      <c r="J364" s="61"/>
      <c r="K364" s="61"/>
      <c r="L364" s="61"/>
      <c r="M364" s="61"/>
    </row>
    <row r="365" spans="1:14" x14ac:dyDescent="0.25">
      <c r="A365" s="129">
        <f t="shared" si="24"/>
        <v>12</v>
      </c>
      <c r="B365" s="129" t="s">
        <v>346</v>
      </c>
      <c r="C365" s="129">
        <f t="shared" si="21"/>
        <v>367.42913999999996</v>
      </c>
      <c r="D365" s="130">
        <f t="shared" si="22"/>
        <v>440.91496799999993</v>
      </c>
      <c r="E365" s="129">
        <v>0</v>
      </c>
      <c r="F365" s="129">
        <f t="shared" si="23"/>
        <v>551.14370999999994</v>
      </c>
      <c r="I365" s="61"/>
      <c r="J365" s="61"/>
      <c r="K365" s="61"/>
      <c r="L365" s="61"/>
      <c r="M365" s="61"/>
    </row>
    <row r="366" spans="1:14" x14ac:dyDescent="0.25">
      <c r="A366" s="129">
        <f t="shared" si="24"/>
        <v>13</v>
      </c>
      <c r="B366" s="129" t="s">
        <v>346</v>
      </c>
      <c r="C366" s="129">
        <f t="shared" si="21"/>
        <v>367.42913999999996</v>
      </c>
      <c r="D366" s="130">
        <f t="shared" si="22"/>
        <v>440.91496799999993</v>
      </c>
      <c r="E366" s="129">
        <v>0</v>
      </c>
      <c r="F366" s="129">
        <f t="shared" si="23"/>
        <v>551.14370999999994</v>
      </c>
      <c r="I366" s="61"/>
      <c r="J366" s="61"/>
      <c r="K366" s="61"/>
      <c r="L366" s="61"/>
      <c r="M366" s="61"/>
    </row>
    <row r="367" spans="1:14" x14ac:dyDescent="0.25">
      <c r="A367" s="129">
        <f t="shared" si="24"/>
        <v>14</v>
      </c>
      <c r="B367" s="129" t="s">
        <v>346</v>
      </c>
      <c r="C367" s="129">
        <f t="shared" si="21"/>
        <v>367.42913999999996</v>
      </c>
      <c r="D367" s="130">
        <f t="shared" si="22"/>
        <v>440.91496799999993</v>
      </c>
      <c r="E367" s="129">
        <v>0</v>
      </c>
      <c r="F367" s="129">
        <f t="shared" si="23"/>
        <v>551.14370999999994</v>
      </c>
      <c r="I367" s="61"/>
      <c r="J367" s="61"/>
      <c r="K367" s="61"/>
      <c r="L367" s="61"/>
      <c r="M367" s="61"/>
    </row>
    <row r="368" spans="1:14" x14ac:dyDescent="0.25">
      <c r="A368" s="129">
        <f t="shared" si="24"/>
        <v>15</v>
      </c>
      <c r="B368" s="129" t="s">
        <v>346</v>
      </c>
      <c r="C368" s="129">
        <f t="shared" si="21"/>
        <v>367.42913999999996</v>
      </c>
      <c r="D368" s="130">
        <f t="shared" si="22"/>
        <v>440.91496799999993</v>
      </c>
      <c r="E368" s="129">
        <v>0</v>
      </c>
      <c r="F368" s="129">
        <f t="shared" si="23"/>
        <v>551.14370999999994</v>
      </c>
      <c r="I368" s="61"/>
      <c r="J368" s="61"/>
      <c r="K368" s="61"/>
      <c r="L368" s="61"/>
      <c r="M368" s="61"/>
    </row>
    <row r="369" spans="1:14" x14ac:dyDescent="0.25">
      <c r="A369" s="129">
        <f t="shared" si="24"/>
        <v>16</v>
      </c>
      <c r="B369" s="129" t="s">
        <v>346</v>
      </c>
      <c r="C369" s="129">
        <f t="shared" si="21"/>
        <v>367.42913999999996</v>
      </c>
      <c r="D369" s="130">
        <f t="shared" si="22"/>
        <v>440.91496799999993</v>
      </c>
      <c r="E369" s="129">
        <v>0</v>
      </c>
      <c r="F369" s="129">
        <f t="shared" si="23"/>
        <v>551.14370999999994</v>
      </c>
      <c r="I369" s="61"/>
      <c r="J369" s="61"/>
      <c r="K369" s="61"/>
      <c r="L369" s="61"/>
      <c r="M369" s="61"/>
    </row>
    <row r="370" spans="1:14" x14ac:dyDescent="0.25">
      <c r="A370" s="129">
        <f t="shared" si="24"/>
        <v>17</v>
      </c>
      <c r="B370" s="129" t="s">
        <v>346</v>
      </c>
      <c r="C370" s="129">
        <f t="shared" si="21"/>
        <v>367.42913999999996</v>
      </c>
      <c r="D370" s="130">
        <f t="shared" si="22"/>
        <v>440.91496799999993</v>
      </c>
      <c r="E370" s="129">
        <v>0</v>
      </c>
      <c r="F370" s="129">
        <f t="shared" si="23"/>
        <v>551.14370999999994</v>
      </c>
      <c r="I370" s="61"/>
      <c r="J370" s="61"/>
      <c r="K370" s="61"/>
      <c r="L370" s="61"/>
      <c r="M370" s="61"/>
    </row>
    <row r="371" spans="1:14" x14ac:dyDescent="0.25">
      <c r="A371" s="129">
        <f t="shared" si="24"/>
        <v>18</v>
      </c>
      <c r="B371" s="129" t="s">
        <v>346</v>
      </c>
      <c r="C371" s="129">
        <f t="shared" si="21"/>
        <v>367.42913999999996</v>
      </c>
      <c r="D371" s="130">
        <f t="shared" si="22"/>
        <v>440.91496799999993</v>
      </c>
      <c r="E371" s="129">
        <v>0</v>
      </c>
      <c r="F371" s="129">
        <f t="shared" si="23"/>
        <v>551.14370999999994</v>
      </c>
      <c r="I371" s="61"/>
      <c r="J371" s="61"/>
      <c r="K371" s="61"/>
      <c r="L371" s="61"/>
      <c r="M371" s="61"/>
    </row>
    <row r="372" spans="1:14" x14ac:dyDescent="0.25">
      <c r="A372" s="129">
        <f t="shared" si="24"/>
        <v>19</v>
      </c>
      <c r="B372" s="129" t="s">
        <v>346</v>
      </c>
      <c r="C372" s="129">
        <f t="shared" si="21"/>
        <v>367.42913999999996</v>
      </c>
      <c r="D372" s="130">
        <f t="shared" si="22"/>
        <v>440.91496799999993</v>
      </c>
      <c r="E372" s="129">
        <v>0</v>
      </c>
      <c r="F372" s="129">
        <f t="shared" si="23"/>
        <v>551.14370999999994</v>
      </c>
      <c r="I372" s="61"/>
      <c r="J372" s="61"/>
      <c r="K372" s="61"/>
      <c r="L372" s="61"/>
      <c r="M372" s="61"/>
    </row>
    <row r="373" spans="1:14" x14ac:dyDescent="0.25">
      <c r="A373" s="129">
        <f t="shared" si="24"/>
        <v>20</v>
      </c>
      <c r="B373" s="129" t="s">
        <v>346</v>
      </c>
      <c r="C373" s="129">
        <f t="shared" si="21"/>
        <v>367.42913999999996</v>
      </c>
      <c r="D373" s="130">
        <f t="shared" si="22"/>
        <v>440.91496799999993</v>
      </c>
      <c r="E373" s="129">
        <v>0</v>
      </c>
      <c r="F373" s="129">
        <f t="shared" si="23"/>
        <v>551.14370999999994</v>
      </c>
      <c r="I373" s="61"/>
      <c r="J373" s="61"/>
      <c r="K373" s="61"/>
      <c r="L373" s="61"/>
      <c r="M373" s="61"/>
    </row>
    <row r="374" spans="1:14" x14ac:dyDescent="0.25">
      <c r="A374" s="129">
        <f t="shared" si="24"/>
        <v>21</v>
      </c>
      <c r="B374" s="129" t="s">
        <v>346</v>
      </c>
      <c r="C374" s="129">
        <f t="shared" si="21"/>
        <v>367.42913999999996</v>
      </c>
      <c r="D374" s="130">
        <f t="shared" si="22"/>
        <v>440.91496799999993</v>
      </c>
      <c r="E374" s="129">
        <v>0</v>
      </c>
      <c r="F374" s="129">
        <f t="shared" si="23"/>
        <v>551.14370999999994</v>
      </c>
      <c r="I374" s="61"/>
      <c r="J374" s="61"/>
      <c r="K374" s="61"/>
      <c r="L374" s="61"/>
      <c r="M374" s="61"/>
    </row>
    <row r="375" spans="1:14" x14ac:dyDescent="0.25">
      <c r="A375" s="129">
        <f t="shared" si="24"/>
        <v>22</v>
      </c>
      <c r="B375" s="129" t="s">
        <v>346</v>
      </c>
      <c r="C375" s="129">
        <f t="shared" si="21"/>
        <v>367.42913999999996</v>
      </c>
      <c r="D375" s="130">
        <f t="shared" si="22"/>
        <v>440.91496799999993</v>
      </c>
      <c r="E375" s="129">
        <v>0</v>
      </c>
      <c r="F375" s="129">
        <f t="shared" si="23"/>
        <v>551.14370999999994</v>
      </c>
      <c r="I375" s="61"/>
      <c r="J375" s="61"/>
      <c r="K375" s="61"/>
      <c r="L375" s="61"/>
      <c r="M375" s="61"/>
    </row>
    <row r="376" spans="1:14" x14ac:dyDescent="0.25">
      <c r="A376" s="129">
        <f t="shared" si="24"/>
        <v>23</v>
      </c>
      <c r="B376" s="129" t="s">
        <v>346</v>
      </c>
      <c r="C376" s="129">
        <f t="shared" si="21"/>
        <v>367.42913999999996</v>
      </c>
      <c r="D376" s="130">
        <f t="shared" si="22"/>
        <v>440.91496799999993</v>
      </c>
      <c r="E376" s="129">
        <v>0</v>
      </c>
      <c r="F376" s="129">
        <f t="shared" si="23"/>
        <v>551.14370999999994</v>
      </c>
      <c r="I376" s="61"/>
      <c r="J376" s="61"/>
      <c r="K376" s="61"/>
      <c r="L376" s="61"/>
      <c r="M376" s="61"/>
    </row>
    <row r="377" spans="1:14" x14ac:dyDescent="0.25">
      <c r="A377" s="129">
        <f t="shared" si="24"/>
        <v>24</v>
      </c>
      <c r="B377" s="129" t="s">
        <v>346</v>
      </c>
      <c r="C377" s="129">
        <f t="shared" si="21"/>
        <v>367.42913999999996</v>
      </c>
      <c r="D377" s="130">
        <f t="shared" si="22"/>
        <v>440.91496799999993</v>
      </c>
      <c r="E377" s="129">
        <v>0</v>
      </c>
      <c r="F377" s="129">
        <f t="shared" si="23"/>
        <v>551.14370999999994</v>
      </c>
      <c r="I377" s="61"/>
      <c r="J377" s="61"/>
      <c r="K377" s="61"/>
      <c r="L377" s="61"/>
      <c r="M377" s="61"/>
    </row>
    <row r="378" spans="1:14" x14ac:dyDescent="0.25">
      <c r="A378" s="129">
        <f t="shared" si="24"/>
        <v>25</v>
      </c>
      <c r="B378" s="242" t="s">
        <v>349</v>
      </c>
      <c r="C378" s="243"/>
      <c r="D378" s="243"/>
      <c r="E378" s="243"/>
      <c r="F378" s="244"/>
      <c r="I378" s="61"/>
      <c r="J378" s="61"/>
      <c r="K378" s="61"/>
      <c r="L378" s="61"/>
      <c r="M378" s="61"/>
    </row>
    <row r="379" spans="1:14" x14ac:dyDescent="0.25">
      <c r="A379" s="129">
        <f t="shared" si="24"/>
        <v>26</v>
      </c>
      <c r="B379" s="245"/>
      <c r="C379" s="246"/>
      <c r="D379" s="246"/>
      <c r="E379" s="246"/>
      <c r="F379" s="247"/>
      <c r="I379" s="61"/>
      <c r="J379" s="61"/>
      <c r="K379" s="61"/>
      <c r="L379" s="61"/>
      <c r="M379" s="61"/>
    </row>
    <row r="380" spans="1:14" s="37" customFormat="1" ht="15.75" x14ac:dyDescent="0.25">
      <c r="A380" s="249" t="s">
        <v>269</v>
      </c>
      <c r="B380" s="249"/>
      <c r="C380" s="249"/>
      <c r="D380" s="249"/>
      <c r="E380" s="249"/>
      <c r="F380" s="250"/>
      <c r="G380" s="240"/>
      <c r="H380" s="240"/>
      <c r="I380" s="240"/>
      <c r="J380" s="240"/>
      <c r="K380" s="240"/>
    </row>
    <row r="381" spans="1:14" s="138" customFormat="1" ht="15.75" customHeight="1" x14ac:dyDescent="0.25">
      <c r="A381" s="241" t="s">
        <v>342</v>
      </c>
      <c r="B381" s="241"/>
      <c r="C381" s="241"/>
      <c r="D381" s="241"/>
      <c r="E381" s="241"/>
      <c r="F381" s="241"/>
      <c r="G381" s="43"/>
      <c r="H381" s="43"/>
      <c r="I381" s="137"/>
      <c r="J381" s="137"/>
      <c r="K381" s="61"/>
      <c r="L381" s="137"/>
      <c r="M381" s="137"/>
    </row>
    <row r="382" spans="1:14" s="138" customFormat="1" ht="15.75" customHeight="1" x14ac:dyDescent="0.25">
      <c r="A382" s="241" t="s">
        <v>345</v>
      </c>
      <c r="B382" s="241"/>
      <c r="C382" s="241"/>
      <c r="D382" s="241"/>
      <c r="E382" s="241"/>
      <c r="F382" s="241"/>
      <c r="G382" s="43">
        <v>1</v>
      </c>
      <c r="H382" s="43"/>
      <c r="I382" s="137"/>
      <c r="J382" s="137"/>
      <c r="K382" s="61"/>
      <c r="L382" s="137"/>
      <c r="M382" s="137"/>
    </row>
    <row r="383" spans="1:14" s="138" customFormat="1" ht="15.75" x14ac:dyDescent="0.25">
      <c r="A383" s="129">
        <v>1</v>
      </c>
      <c r="B383" s="129" t="s">
        <v>346</v>
      </c>
      <c r="C383" s="129">
        <f>(29.98+0.75*2.7)*10.764</f>
        <v>344.50182000000001</v>
      </c>
      <c r="D383" s="130">
        <f>C383*1.2</f>
        <v>413.40218399999998</v>
      </c>
      <c r="E383" s="129">
        <f>(1*4+1.3*4.6)*10.764</f>
        <v>107.42471999999999</v>
      </c>
      <c r="F383" s="129">
        <f>C383*(($F$296)+1)+(IF(E383&lt;101,E383,IF(E383&lt;201,E383/2,IF(E383&lt;=301,E383/3,E383/4))))</f>
        <v>570.46509000000003</v>
      </c>
      <c r="G383" s="173"/>
      <c r="H383" s="173"/>
      <c r="I383" s="59"/>
      <c r="J383" s="60"/>
      <c r="K383" s="61"/>
      <c r="L383" s="163"/>
      <c r="M383" s="163"/>
      <c r="N383" s="40"/>
    </row>
    <row r="384" spans="1:14" x14ac:dyDescent="0.25">
      <c r="A384" s="129">
        <f>A383+1</f>
        <v>2</v>
      </c>
      <c r="B384" s="129" t="s">
        <v>346</v>
      </c>
      <c r="C384" s="129">
        <f t="shared" ref="C384:C408" si="25">(29.98+0.75*2.7)*10.764</f>
        <v>344.50182000000001</v>
      </c>
      <c r="D384" s="130">
        <f t="shared" ref="D384:D408" si="26">C384*1.2</f>
        <v>413.40218399999998</v>
      </c>
      <c r="E384" s="129">
        <f t="shared" ref="E384:E385" si="27">(1*4+1.3*4.6)*10.764</f>
        <v>107.42471999999999</v>
      </c>
      <c r="F384" s="129">
        <f t="shared" ref="F384:F408" si="28">C384*(($F$296)+1)+(IF(E384&lt;101,E384,IF(E384&lt;201,E384/2,IF(E384&lt;=301,E384/3,E384/4))))</f>
        <v>570.46509000000003</v>
      </c>
      <c r="I384" s="61"/>
      <c r="J384" s="61"/>
      <c r="K384" s="61"/>
      <c r="L384" s="61"/>
      <c r="M384" s="61"/>
    </row>
    <row r="385" spans="1:13" x14ac:dyDescent="0.25">
      <c r="A385" s="129">
        <f t="shared" ref="A385:A408" si="29">A384+1</f>
        <v>3</v>
      </c>
      <c r="B385" s="129" t="s">
        <v>346</v>
      </c>
      <c r="C385" s="129">
        <f t="shared" si="25"/>
        <v>344.50182000000001</v>
      </c>
      <c r="D385" s="130">
        <f t="shared" si="26"/>
        <v>413.40218399999998</v>
      </c>
      <c r="E385" s="129">
        <f t="shared" si="27"/>
        <v>107.42471999999999</v>
      </c>
      <c r="F385" s="129">
        <f t="shared" si="28"/>
        <v>570.46509000000003</v>
      </c>
      <c r="I385" s="61"/>
      <c r="J385" s="61"/>
      <c r="K385" s="61"/>
      <c r="L385" s="61"/>
      <c r="M385" s="61"/>
    </row>
    <row r="386" spans="1:13" ht="15.75" x14ac:dyDescent="0.25">
      <c r="A386" s="129">
        <f t="shared" si="29"/>
        <v>4</v>
      </c>
      <c r="B386" s="129" t="s">
        <v>346</v>
      </c>
      <c r="C386" s="129">
        <f t="shared" si="25"/>
        <v>344.50182000000001</v>
      </c>
      <c r="D386" s="130">
        <f t="shared" si="26"/>
        <v>413.40218399999998</v>
      </c>
      <c r="E386" s="129">
        <f>(1.3*4.5+1*4+2*5)*10.764</f>
        <v>213.66540000000001</v>
      </c>
      <c r="F386" s="129">
        <f t="shared" si="28"/>
        <v>587.97453000000007</v>
      </c>
      <c r="I386" s="61"/>
      <c r="J386" s="61"/>
      <c r="K386" s="59"/>
      <c r="L386" s="61"/>
      <c r="M386" s="61"/>
    </row>
    <row r="387" spans="1:13" ht="15.75" x14ac:dyDescent="0.25">
      <c r="A387" s="129">
        <f t="shared" si="29"/>
        <v>5</v>
      </c>
      <c r="B387" s="129" t="s">
        <v>346</v>
      </c>
      <c r="C387" s="129">
        <f t="shared" si="25"/>
        <v>344.50182000000001</v>
      </c>
      <c r="D387" s="130">
        <f t="shared" si="26"/>
        <v>413.40218399999998</v>
      </c>
      <c r="E387" s="129">
        <f>(1.3*4.5+1*4+2*5)*10.764</f>
        <v>213.66540000000001</v>
      </c>
      <c r="F387" s="129">
        <f t="shared" si="28"/>
        <v>587.97453000000007</v>
      </c>
      <c r="I387" s="61"/>
      <c r="J387" s="61"/>
      <c r="K387" s="137"/>
      <c r="L387" s="61"/>
      <c r="M387" s="61"/>
    </row>
    <row r="388" spans="1:13" x14ac:dyDescent="0.25">
      <c r="A388" s="129">
        <f t="shared" si="29"/>
        <v>6</v>
      </c>
      <c r="B388" s="129" t="s">
        <v>346</v>
      </c>
      <c r="C388" s="129">
        <f t="shared" si="25"/>
        <v>344.50182000000001</v>
      </c>
      <c r="D388" s="130">
        <f t="shared" si="26"/>
        <v>413.40218399999998</v>
      </c>
      <c r="E388" s="129">
        <f t="shared" ref="E388:E389" si="30">(1*4+1.3*4.6)*10.764</f>
        <v>107.42471999999999</v>
      </c>
      <c r="F388" s="129">
        <f t="shared" si="28"/>
        <v>570.46509000000003</v>
      </c>
      <c r="I388" s="61"/>
      <c r="J388" s="61"/>
      <c r="K388" s="61"/>
      <c r="L388" s="61"/>
      <c r="M388" s="61"/>
    </row>
    <row r="389" spans="1:13" x14ac:dyDescent="0.25">
      <c r="A389" s="129">
        <f t="shared" si="29"/>
        <v>7</v>
      </c>
      <c r="B389" s="129" t="s">
        <v>346</v>
      </c>
      <c r="C389" s="129">
        <f t="shared" si="25"/>
        <v>344.50182000000001</v>
      </c>
      <c r="D389" s="130">
        <f t="shared" si="26"/>
        <v>413.40218399999998</v>
      </c>
      <c r="E389" s="129">
        <f t="shared" si="30"/>
        <v>107.42471999999999</v>
      </c>
      <c r="F389" s="129">
        <f t="shared" si="28"/>
        <v>570.46509000000003</v>
      </c>
      <c r="I389" s="61"/>
      <c r="J389" s="61"/>
      <c r="K389" s="61"/>
      <c r="L389" s="61"/>
      <c r="M389" s="61"/>
    </row>
    <row r="390" spans="1:13" x14ac:dyDescent="0.25">
      <c r="A390" s="129">
        <f t="shared" si="29"/>
        <v>8</v>
      </c>
      <c r="B390" s="129" t="s">
        <v>346</v>
      </c>
      <c r="C390" s="129">
        <f t="shared" si="25"/>
        <v>344.50182000000001</v>
      </c>
      <c r="D390" s="130">
        <f t="shared" si="26"/>
        <v>413.40218399999998</v>
      </c>
      <c r="E390" s="129">
        <f>(1.3*4.5)*10.764</f>
        <v>62.9694</v>
      </c>
      <c r="F390" s="129">
        <f t="shared" si="28"/>
        <v>579.72212999999999</v>
      </c>
      <c r="I390" s="61"/>
      <c r="J390" s="61"/>
      <c r="K390" s="61"/>
      <c r="L390" s="61"/>
      <c r="M390" s="61"/>
    </row>
    <row r="391" spans="1:13" x14ac:dyDescent="0.25">
      <c r="A391" s="129">
        <f t="shared" si="29"/>
        <v>9</v>
      </c>
      <c r="B391" s="129" t="s">
        <v>346</v>
      </c>
      <c r="C391" s="129">
        <f t="shared" si="25"/>
        <v>344.50182000000001</v>
      </c>
      <c r="D391" s="130">
        <f t="shared" si="26"/>
        <v>413.40218399999998</v>
      </c>
      <c r="E391" s="129">
        <f>(1.3*4.5)*10.764</f>
        <v>62.9694</v>
      </c>
      <c r="F391" s="129">
        <f t="shared" si="28"/>
        <v>579.72212999999999</v>
      </c>
      <c r="I391" s="61"/>
      <c r="J391" s="61"/>
      <c r="K391" s="61"/>
      <c r="L391" s="61"/>
      <c r="M391" s="61"/>
    </row>
    <row r="392" spans="1:13" x14ac:dyDescent="0.25">
      <c r="A392" s="129">
        <f t="shared" si="29"/>
        <v>10</v>
      </c>
      <c r="B392" s="129" t="s">
        <v>346</v>
      </c>
      <c r="C392" s="129">
        <f t="shared" si="25"/>
        <v>344.50182000000001</v>
      </c>
      <c r="D392" s="130">
        <f t="shared" si="26"/>
        <v>413.40218399999998</v>
      </c>
      <c r="E392" s="129">
        <f t="shared" ref="E392:E393" si="31">(1.25*3.7+3.2)*10.764</f>
        <v>84.22829999999999</v>
      </c>
      <c r="F392" s="129">
        <f t="shared" si="28"/>
        <v>600.98103000000003</v>
      </c>
      <c r="I392" s="61"/>
      <c r="J392" s="61"/>
      <c r="K392" s="61"/>
      <c r="L392" s="61"/>
      <c r="M392" s="61"/>
    </row>
    <row r="393" spans="1:13" x14ac:dyDescent="0.25">
      <c r="A393" s="129">
        <f t="shared" si="29"/>
        <v>11</v>
      </c>
      <c r="B393" s="129" t="s">
        <v>346</v>
      </c>
      <c r="C393" s="129">
        <f t="shared" si="25"/>
        <v>344.50182000000001</v>
      </c>
      <c r="D393" s="130">
        <f t="shared" si="26"/>
        <v>413.40218399999998</v>
      </c>
      <c r="E393" s="129">
        <f t="shared" si="31"/>
        <v>84.22829999999999</v>
      </c>
      <c r="F393" s="129">
        <f t="shared" si="28"/>
        <v>600.98103000000003</v>
      </c>
      <c r="I393" s="61"/>
      <c r="J393" s="61"/>
      <c r="K393" s="61"/>
      <c r="L393" s="61"/>
      <c r="M393" s="61"/>
    </row>
    <row r="394" spans="1:13" x14ac:dyDescent="0.25">
      <c r="A394" s="129">
        <f t="shared" si="29"/>
        <v>12</v>
      </c>
      <c r="B394" s="129" t="s">
        <v>346</v>
      </c>
      <c r="C394" s="129">
        <f t="shared" si="25"/>
        <v>344.50182000000001</v>
      </c>
      <c r="D394" s="130">
        <f t="shared" si="26"/>
        <v>413.40218399999998</v>
      </c>
      <c r="E394" s="129">
        <f>(1.25*3.7+0.95*1)*10.764</f>
        <v>60.009299999999996</v>
      </c>
      <c r="F394" s="129">
        <f t="shared" si="28"/>
        <v>576.7620300000001</v>
      </c>
      <c r="I394" s="61"/>
      <c r="J394" s="61"/>
      <c r="K394" s="61"/>
      <c r="L394" s="61"/>
      <c r="M394" s="61"/>
    </row>
    <row r="395" spans="1:13" x14ac:dyDescent="0.25">
      <c r="A395" s="129">
        <f t="shared" si="29"/>
        <v>13</v>
      </c>
      <c r="B395" s="129" t="s">
        <v>346</v>
      </c>
      <c r="C395" s="129">
        <f t="shared" si="25"/>
        <v>344.50182000000001</v>
      </c>
      <c r="D395" s="130">
        <f t="shared" si="26"/>
        <v>413.40218399999998</v>
      </c>
      <c r="E395" s="129">
        <f>(1.2*2.15+1.25*3.7)*10.764</f>
        <v>77.55462</v>
      </c>
      <c r="F395" s="129">
        <f t="shared" si="28"/>
        <v>594.30735000000004</v>
      </c>
      <c r="I395" s="61"/>
      <c r="J395" s="61"/>
      <c r="K395" s="61"/>
      <c r="L395" s="61"/>
      <c r="M395" s="61"/>
    </row>
    <row r="396" spans="1:13" x14ac:dyDescent="0.25">
      <c r="A396" s="129">
        <f t="shared" si="29"/>
        <v>14</v>
      </c>
      <c r="B396" s="129" t="s">
        <v>346</v>
      </c>
      <c r="C396" s="129">
        <f t="shared" si="25"/>
        <v>344.50182000000001</v>
      </c>
      <c r="D396" s="130">
        <f t="shared" si="26"/>
        <v>413.40218399999998</v>
      </c>
      <c r="E396" s="129">
        <f>(1.25*3.7+3.2)*10.764</f>
        <v>84.22829999999999</v>
      </c>
      <c r="F396" s="129">
        <f t="shared" si="28"/>
        <v>600.98103000000003</v>
      </c>
      <c r="I396" s="61"/>
      <c r="J396" s="61"/>
      <c r="K396" s="61"/>
      <c r="L396" s="61"/>
      <c r="M396" s="61"/>
    </row>
    <row r="397" spans="1:13" x14ac:dyDescent="0.25">
      <c r="A397" s="129">
        <f t="shared" si="29"/>
        <v>15</v>
      </c>
      <c r="B397" s="129" t="s">
        <v>346</v>
      </c>
      <c r="C397" s="129">
        <f t="shared" si="25"/>
        <v>344.50182000000001</v>
      </c>
      <c r="D397" s="130">
        <f t="shared" si="26"/>
        <v>413.40218399999998</v>
      </c>
      <c r="E397" s="129">
        <f>(1.25*3.7+3.2)*10.764</f>
        <v>84.22829999999999</v>
      </c>
      <c r="F397" s="129">
        <f t="shared" si="28"/>
        <v>600.98103000000003</v>
      </c>
      <c r="I397" s="61"/>
      <c r="J397" s="61"/>
      <c r="K397" s="61"/>
      <c r="L397" s="61"/>
      <c r="M397" s="61"/>
    </row>
    <row r="398" spans="1:13" x14ac:dyDescent="0.25">
      <c r="A398" s="129">
        <f t="shared" si="29"/>
        <v>16</v>
      </c>
      <c r="B398" s="129" t="s">
        <v>346</v>
      </c>
      <c r="C398" s="129">
        <f t="shared" si="25"/>
        <v>344.50182000000001</v>
      </c>
      <c r="D398" s="130">
        <f t="shared" si="26"/>
        <v>413.40218399999998</v>
      </c>
      <c r="E398" s="129">
        <f>(1.25*3.7)*10.764</f>
        <v>49.783499999999997</v>
      </c>
      <c r="F398" s="129">
        <f t="shared" si="28"/>
        <v>566.53623000000005</v>
      </c>
      <c r="I398" s="61"/>
      <c r="J398" s="61"/>
      <c r="K398" s="61"/>
      <c r="L398" s="61"/>
      <c r="M398" s="61"/>
    </row>
    <row r="399" spans="1:13" x14ac:dyDescent="0.25">
      <c r="A399" s="129">
        <f t="shared" si="29"/>
        <v>17</v>
      </c>
      <c r="B399" s="129" t="s">
        <v>346</v>
      </c>
      <c r="C399" s="129">
        <f>(29.98+0.75*2.7+1.25*1.2)*10.764</f>
        <v>360.64782000000002</v>
      </c>
      <c r="D399" s="130">
        <f t="shared" si="26"/>
        <v>432.77738400000004</v>
      </c>
      <c r="E399" s="129">
        <f>(1.25*2.5+1.25*3.6)*10.764</f>
        <v>82.075499999999991</v>
      </c>
      <c r="F399" s="129">
        <f t="shared" si="28"/>
        <v>623.04723000000001</v>
      </c>
      <c r="I399" s="61"/>
      <c r="J399" s="61"/>
      <c r="K399" s="61"/>
      <c r="L399" s="61"/>
      <c r="M399" s="61"/>
    </row>
    <row r="400" spans="1:13" x14ac:dyDescent="0.25">
      <c r="A400" s="129">
        <f t="shared" si="29"/>
        <v>18</v>
      </c>
      <c r="B400" s="129" t="s">
        <v>346</v>
      </c>
      <c r="C400" s="129">
        <f t="shared" si="25"/>
        <v>344.50182000000001</v>
      </c>
      <c r="D400" s="130">
        <f t="shared" si="26"/>
        <v>413.40218399999998</v>
      </c>
      <c r="E400" s="129">
        <f>(1.25*3.6)*10.764</f>
        <v>48.437999999999995</v>
      </c>
      <c r="F400" s="129">
        <f t="shared" si="28"/>
        <v>565.19073000000003</v>
      </c>
      <c r="I400" s="61"/>
      <c r="J400" s="61"/>
      <c r="K400" s="61"/>
      <c r="L400" s="61"/>
      <c r="M400" s="61"/>
    </row>
    <row r="401" spans="1:14" x14ac:dyDescent="0.25">
      <c r="A401" s="129">
        <f t="shared" si="29"/>
        <v>19</v>
      </c>
      <c r="B401" s="129" t="s">
        <v>346</v>
      </c>
      <c r="C401" s="129">
        <f t="shared" si="25"/>
        <v>344.50182000000001</v>
      </c>
      <c r="D401" s="130">
        <f t="shared" si="26"/>
        <v>413.40218399999998</v>
      </c>
      <c r="E401" s="129">
        <f>(1.25*3.6)*10.764</f>
        <v>48.437999999999995</v>
      </c>
      <c r="F401" s="129">
        <f t="shared" si="28"/>
        <v>565.19073000000003</v>
      </c>
      <c r="I401" s="61"/>
      <c r="J401" s="61"/>
      <c r="K401" s="61"/>
      <c r="L401" s="61"/>
      <c r="M401" s="61"/>
    </row>
    <row r="402" spans="1:14" x14ac:dyDescent="0.25">
      <c r="A402" s="129">
        <f t="shared" si="29"/>
        <v>20</v>
      </c>
      <c r="B402" s="129" t="s">
        <v>346</v>
      </c>
      <c r="C402" s="129">
        <f t="shared" si="25"/>
        <v>344.50182000000001</v>
      </c>
      <c r="D402" s="130">
        <f t="shared" si="26"/>
        <v>413.40218399999998</v>
      </c>
      <c r="E402" s="129">
        <f t="shared" ref="E402:E405" si="32">(1.25*2.5+1.25*3.6)*10.764</f>
        <v>82.075499999999991</v>
      </c>
      <c r="F402" s="129">
        <f t="shared" si="28"/>
        <v>598.82823000000008</v>
      </c>
      <c r="I402" s="61"/>
      <c r="J402" s="61"/>
      <c r="K402" s="61"/>
      <c r="L402" s="61"/>
      <c r="M402" s="61"/>
    </row>
    <row r="403" spans="1:14" x14ac:dyDescent="0.25">
      <c r="A403" s="129">
        <f t="shared" si="29"/>
        <v>21</v>
      </c>
      <c r="B403" s="129" t="s">
        <v>346</v>
      </c>
      <c r="C403" s="129">
        <f t="shared" si="25"/>
        <v>344.50182000000001</v>
      </c>
      <c r="D403" s="130">
        <f t="shared" si="26"/>
        <v>413.40218399999998</v>
      </c>
      <c r="E403" s="129">
        <f t="shared" si="32"/>
        <v>82.075499999999991</v>
      </c>
      <c r="F403" s="129">
        <f t="shared" si="28"/>
        <v>598.82823000000008</v>
      </c>
      <c r="I403" s="61"/>
      <c r="J403" s="61"/>
      <c r="K403" s="61"/>
      <c r="L403" s="61"/>
      <c r="M403" s="61"/>
    </row>
    <row r="404" spans="1:14" x14ac:dyDescent="0.25">
      <c r="A404" s="129">
        <f t="shared" si="29"/>
        <v>22</v>
      </c>
      <c r="B404" s="129" t="s">
        <v>346</v>
      </c>
      <c r="C404" s="129">
        <f t="shared" si="25"/>
        <v>344.50182000000001</v>
      </c>
      <c r="D404" s="130">
        <f t="shared" si="26"/>
        <v>413.40218399999998</v>
      </c>
      <c r="E404" s="129">
        <f t="shared" si="32"/>
        <v>82.075499999999991</v>
      </c>
      <c r="F404" s="129">
        <f t="shared" si="28"/>
        <v>598.82823000000008</v>
      </c>
      <c r="I404" s="61"/>
      <c r="J404" s="61"/>
      <c r="K404" s="61"/>
      <c r="L404" s="61"/>
      <c r="M404" s="61"/>
    </row>
    <row r="405" spans="1:14" x14ac:dyDescent="0.25">
      <c r="A405" s="129">
        <f t="shared" si="29"/>
        <v>23</v>
      </c>
      <c r="B405" s="129" t="s">
        <v>346</v>
      </c>
      <c r="C405" s="129">
        <f t="shared" si="25"/>
        <v>344.50182000000001</v>
      </c>
      <c r="D405" s="130">
        <f t="shared" si="26"/>
        <v>413.40218399999998</v>
      </c>
      <c r="E405" s="129">
        <f t="shared" si="32"/>
        <v>82.075499999999991</v>
      </c>
      <c r="F405" s="129">
        <f t="shared" si="28"/>
        <v>598.82823000000008</v>
      </c>
      <c r="I405" s="61"/>
      <c r="J405" s="61"/>
      <c r="K405" s="61"/>
      <c r="L405" s="61"/>
      <c r="M405" s="61"/>
    </row>
    <row r="406" spans="1:14" x14ac:dyDescent="0.25">
      <c r="A406" s="129">
        <f t="shared" si="29"/>
        <v>24</v>
      </c>
      <c r="B406" s="129" t="s">
        <v>346</v>
      </c>
      <c r="C406" s="129">
        <f t="shared" si="25"/>
        <v>344.50182000000001</v>
      </c>
      <c r="D406" s="130">
        <f t="shared" si="26"/>
        <v>413.40218399999998</v>
      </c>
      <c r="E406" s="129">
        <f>(6.9*3+3*0.75+2.15*6.65+2.55*6.65)*10.764</f>
        <v>583.4626199999999</v>
      </c>
      <c r="F406" s="129">
        <f t="shared" si="28"/>
        <v>662.61838499999999</v>
      </c>
      <c r="I406" s="61"/>
      <c r="J406" s="61"/>
      <c r="K406" s="61"/>
      <c r="L406" s="61"/>
      <c r="M406" s="61"/>
    </row>
    <row r="407" spans="1:14" x14ac:dyDescent="0.25">
      <c r="A407" s="129">
        <f t="shared" si="29"/>
        <v>25</v>
      </c>
      <c r="B407" s="129" t="s">
        <v>346</v>
      </c>
      <c r="C407" s="129">
        <f t="shared" si="25"/>
        <v>344.50182000000001</v>
      </c>
      <c r="D407" s="130">
        <f t="shared" si="26"/>
        <v>413.40218399999998</v>
      </c>
      <c r="E407" s="129">
        <f>(1.25*4.45)*10.764</f>
        <v>59.874749999999999</v>
      </c>
      <c r="F407" s="129">
        <f t="shared" si="28"/>
        <v>576.62747999999999</v>
      </c>
      <c r="I407" s="61"/>
      <c r="J407" s="61"/>
      <c r="K407" s="61"/>
      <c r="L407" s="61"/>
      <c r="M407" s="61"/>
    </row>
    <row r="408" spans="1:14" x14ac:dyDescent="0.25">
      <c r="A408" s="129">
        <f t="shared" si="29"/>
        <v>26</v>
      </c>
      <c r="B408" s="129" t="s">
        <v>346</v>
      </c>
      <c r="C408" s="129">
        <f t="shared" si="25"/>
        <v>344.50182000000001</v>
      </c>
      <c r="D408" s="130">
        <f t="shared" si="26"/>
        <v>413.40218399999998</v>
      </c>
      <c r="E408" s="129">
        <f>(1*4+1.3*4.6)*10.764</f>
        <v>107.42471999999999</v>
      </c>
      <c r="F408" s="129">
        <f t="shared" si="28"/>
        <v>570.46509000000003</v>
      </c>
      <c r="I408" s="61"/>
      <c r="J408" s="61"/>
      <c r="K408" s="61"/>
      <c r="L408" s="61"/>
      <c r="M408" s="61"/>
    </row>
    <row r="409" spans="1:14" s="138" customFormat="1" ht="15.75" customHeight="1" x14ac:dyDescent="0.25">
      <c r="A409" s="241" t="s">
        <v>347</v>
      </c>
      <c r="B409" s="241"/>
      <c r="C409" s="241"/>
      <c r="D409" s="241"/>
      <c r="E409" s="241"/>
      <c r="F409" s="241"/>
      <c r="G409" s="43">
        <f>6+4+1</f>
        <v>11</v>
      </c>
      <c r="H409" s="43"/>
      <c r="I409" s="137"/>
      <c r="J409" s="137"/>
      <c r="K409" s="61"/>
      <c r="L409" s="137"/>
      <c r="M409" s="137"/>
    </row>
    <row r="410" spans="1:14" s="138" customFormat="1" ht="15.75" x14ac:dyDescent="0.25">
      <c r="A410" s="129">
        <v>1</v>
      </c>
      <c r="B410" s="129" t="s">
        <v>346</v>
      </c>
      <c r="C410" s="129">
        <f>(29.98+0.75*2.7+1.25*1.2)*10.764</f>
        <v>360.64782000000002</v>
      </c>
      <c r="D410" s="130">
        <f>C410*1.2</f>
        <v>432.77738400000004</v>
      </c>
      <c r="E410" s="129">
        <v>0</v>
      </c>
      <c r="F410" s="129">
        <f>C410*(($F$296)+1)+(IF(E410&lt;101,E410,IF(E410&lt;201,E410/2,IF(E410&lt;=301,E410/3,E410/4))))</f>
        <v>540.97172999999998</v>
      </c>
      <c r="G410" s="173"/>
      <c r="H410" s="173"/>
      <c r="I410" s="59"/>
      <c r="J410" s="60"/>
      <c r="K410" s="61"/>
      <c r="L410" s="163"/>
      <c r="M410" s="163"/>
      <c r="N410" s="40"/>
    </row>
    <row r="411" spans="1:14" x14ac:dyDescent="0.25">
      <c r="A411" s="129">
        <f>A410+1</f>
        <v>2</v>
      </c>
      <c r="B411" s="129" t="s">
        <v>346</v>
      </c>
      <c r="C411" s="129">
        <f t="shared" ref="C411:C460" si="33">(29.98+0.75*2.7+1.25*1.2)*10.764</f>
        <v>360.64782000000002</v>
      </c>
      <c r="D411" s="130">
        <f t="shared" ref="D411:D435" si="34">C411*1.2</f>
        <v>432.77738400000004</v>
      </c>
      <c r="E411" s="129">
        <v>0</v>
      </c>
      <c r="F411" s="129">
        <f t="shared" ref="F411:F435" si="35">C411*(($F$296)+1)+(IF(E411&lt;101,E411,IF(E411&lt;201,E411/2,IF(E411&lt;=301,E411/3,E411/4))))</f>
        <v>540.97172999999998</v>
      </c>
      <c r="I411" s="61"/>
      <c r="J411" s="61"/>
      <c r="K411" s="61"/>
      <c r="L411" s="61"/>
      <c r="M411" s="61"/>
    </row>
    <row r="412" spans="1:14" x14ac:dyDescent="0.25">
      <c r="A412" s="129">
        <f t="shared" ref="A412:A435" si="36">A411+1</f>
        <v>3</v>
      </c>
      <c r="B412" s="129" t="s">
        <v>346</v>
      </c>
      <c r="C412" s="129">
        <f t="shared" si="33"/>
        <v>360.64782000000002</v>
      </c>
      <c r="D412" s="130">
        <f t="shared" si="34"/>
        <v>432.77738400000004</v>
      </c>
      <c r="E412" s="129">
        <v>0</v>
      </c>
      <c r="F412" s="129">
        <f t="shared" si="35"/>
        <v>540.97172999999998</v>
      </c>
      <c r="I412" s="61"/>
      <c r="J412" s="61"/>
      <c r="K412" s="61"/>
      <c r="L412" s="61"/>
      <c r="M412" s="61"/>
    </row>
    <row r="413" spans="1:14" ht="15.75" x14ac:dyDescent="0.25">
      <c r="A413" s="129">
        <f t="shared" si="36"/>
        <v>4</v>
      </c>
      <c r="B413" s="129" t="s">
        <v>346</v>
      </c>
      <c r="C413" s="129">
        <f t="shared" si="33"/>
        <v>360.64782000000002</v>
      </c>
      <c r="D413" s="130">
        <f t="shared" si="34"/>
        <v>432.77738400000004</v>
      </c>
      <c r="E413" s="129">
        <v>0</v>
      </c>
      <c r="F413" s="129">
        <f t="shared" si="35"/>
        <v>540.97172999999998</v>
      </c>
      <c r="I413" s="61"/>
      <c r="J413" s="61"/>
      <c r="K413" s="59"/>
      <c r="L413" s="61"/>
      <c r="M413" s="61"/>
    </row>
    <row r="414" spans="1:14" ht="15.75" x14ac:dyDescent="0.25">
      <c r="A414" s="129">
        <f t="shared" si="36"/>
        <v>5</v>
      </c>
      <c r="B414" s="129" t="s">
        <v>346</v>
      </c>
      <c r="C414" s="129">
        <f t="shared" si="33"/>
        <v>360.64782000000002</v>
      </c>
      <c r="D414" s="130">
        <f t="shared" si="34"/>
        <v>432.77738400000004</v>
      </c>
      <c r="E414" s="129">
        <v>0</v>
      </c>
      <c r="F414" s="129">
        <f t="shared" si="35"/>
        <v>540.97172999999998</v>
      </c>
      <c r="I414" s="61"/>
      <c r="J414" s="61"/>
      <c r="K414" s="137"/>
      <c r="L414" s="61"/>
      <c r="M414" s="61"/>
    </row>
    <row r="415" spans="1:14" x14ac:dyDescent="0.25">
      <c r="A415" s="129">
        <f t="shared" si="36"/>
        <v>6</v>
      </c>
      <c r="B415" s="129" t="s">
        <v>346</v>
      </c>
      <c r="C415" s="129">
        <f t="shared" si="33"/>
        <v>360.64782000000002</v>
      </c>
      <c r="D415" s="130">
        <f t="shared" si="34"/>
        <v>432.77738400000004</v>
      </c>
      <c r="E415" s="129">
        <v>0</v>
      </c>
      <c r="F415" s="129">
        <f t="shared" si="35"/>
        <v>540.97172999999998</v>
      </c>
      <c r="I415" s="61"/>
      <c r="J415" s="61"/>
      <c r="K415" s="61"/>
      <c r="L415" s="61"/>
      <c r="M415" s="61"/>
    </row>
    <row r="416" spans="1:14" x14ac:dyDescent="0.25">
      <c r="A416" s="129">
        <f t="shared" si="36"/>
        <v>7</v>
      </c>
      <c r="B416" s="129" t="s">
        <v>346</v>
      </c>
      <c r="C416" s="129">
        <f t="shared" si="33"/>
        <v>360.64782000000002</v>
      </c>
      <c r="D416" s="130">
        <f t="shared" si="34"/>
        <v>432.77738400000004</v>
      </c>
      <c r="E416" s="129">
        <v>0</v>
      </c>
      <c r="F416" s="129">
        <f t="shared" si="35"/>
        <v>540.97172999999998</v>
      </c>
      <c r="I416" s="61"/>
      <c r="J416" s="61"/>
      <c r="K416" s="61"/>
      <c r="L416" s="61"/>
      <c r="M416" s="61"/>
    </row>
    <row r="417" spans="1:13" x14ac:dyDescent="0.25">
      <c r="A417" s="129">
        <f t="shared" si="36"/>
        <v>8</v>
      </c>
      <c r="B417" s="129" t="s">
        <v>346</v>
      </c>
      <c r="C417" s="129">
        <f t="shared" si="33"/>
        <v>360.64782000000002</v>
      </c>
      <c r="D417" s="130">
        <f t="shared" si="34"/>
        <v>432.77738400000004</v>
      </c>
      <c r="E417" s="129">
        <v>0</v>
      </c>
      <c r="F417" s="129">
        <f t="shared" si="35"/>
        <v>540.97172999999998</v>
      </c>
      <c r="I417" s="61"/>
      <c r="J417" s="61"/>
      <c r="K417" s="61"/>
      <c r="L417" s="61"/>
      <c r="M417" s="61"/>
    </row>
    <row r="418" spans="1:13" x14ac:dyDescent="0.25">
      <c r="A418" s="129">
        <f t="shared" si="36"/>
        <v>9</v>
      </c>
      <c r="B418" s="129" t="s">
        <v>346</v>
      </c>
      <c r="C418" s="129">
        <f t="shared" si="33"/>
        <v>360.64782000000002</v>
      </c>
      <c r="D418" s="130">
        <f t="shared" si="34"/>
        <v>432.77738400000004</v>
      </c>
      <c r="E418" s="129">
        <v>0</v>
      </c>
      <c r="F418" s="129">
        <f t="shared" si="35"/>
        <v>540.97172999999998</v>
      </c>
      <c r="I418" s="61"/>
      <c r="J418" s="61"/>
      <c r="K418" s="61"/>
      <c r="L418" s="61"/>
      <c r="M418" s="61"/>
    </row>
    <row r="419" spans="1:13" x14ac:dyDescent="0.25">
      <c r="A419" s="129">
        <f t="shared" si="36"/>
        <v>10</v>
      </c>
      <c r="B419" s="129" t="s">
        <v>346</v>
      </c>
      <c r="C419" s="129">
        <f t="shared" si="33"/>
        <v>360.64782000000002</v>
      </c>
      <c r="D419" s="130">
        <f t="shared" si="34"/>
        <v>432.77738400000004</v>
      </c>
      <c r="E419" s="129">
        <v>0</v>
      </c>
      <c r="F419" s="129">
        <f t="shared" si="35"/>
        <v>540.97172999999998</v>
      </c>
      <c r="I419" s="61"/>
      <c r="J419" s="61"/>
      <c r="K419" s="61"/>
      <c r="L419" s="61"/>
      <c r="M419" s="61"/>
    </row>
    <row r="420" spans="1:13" x14ac:dyDescent="0.25">
      <c r="A420" s="129">
        <f t="shared" si="36"/>
        <v>11</v>
      </c>
      <c r="B420" s="129" t="s">
        <v>346</v>
      </c>
      <c r="C420" s="129">
        <f t="shared" si="33"/>
        <v>360.64782000000002</v>
      </c>
      <c r="D420" s="130">
        <f t="shared" si="34"/>
        <v>432.77738400000004</v>
      </c>
      <c r="E420" s="129">
        <v>0</v>
      </c>
      <c r="F420" s="129">
        <f t="shared" si="35"/>
        <v>540.97172999999998</v>
      </c>
      <c r="I420" s="61"/>
      <c r="J420" s="61"/>
      <c r="K420" s="61"/>
      <c r="L420" s="61"/>
      <c r="M420" s="61"/>
    </row>
    <row r="421" spans="1:13" x14ac:dyDescent="0.25">
      <c r="A421" s="129">
        <f t="shared" si="36"/>
        <v>12</v>
      </c>
      <c r="B421" s="129" t="s">
        <v>346</v>
      </c>
      <c r="C421" s="129">
        <f t="shared" si="33"/>
        <v>360.64782000000002</v>
      </c>
      <c r="D421" s="130">
        <f t="shared" si="34"/>
        <v>432.77738400000004</v>
      </c>
      <c r="E421" s="129">
        <v>0</v>
      </c>
      <c r="F421" s="129">
        <f t="shared" si="35"/>
        <v>540.97172999999998</v>
      </c>
      <c r="I421" s="61"/>
      <c r="J421" s="61"/>
      <c r="K421" s="61"/>
      <c r="L421" s="61"/>
      <c r="M421" s="61"/>
    </row>
    <row r="422" spans="1:13" x14ac:dyDescent="0.25">
      <c r="A422" s="129">
        <f t="shared" si="36"/>
        <v>13</v>
      </c>
      <c r="B422" s="129" t="s">
        <v>346</v>
      </c>
      <c r="C422" s="129">
        <f t="shared" si="33"/>
        <v>360.64782000000002</v>
      </c>
      <c r="D422" s="130">
        <f t="shared" si="34"/>
        <v>432.77738400000004</v>
      </c>
      <c r="E422" s="129">
        <v>0</v>
      </c>
      <c r="F422" s="129">
        <f t="shared" si="35"/>
        <v>540.97172999999998</v>
      </c>
      <c r="I422" s="61"/>
      <c r="J422" s="61"/>
      <c r="K422" s="61"/>
      <c r="L422" s="61"/>
      <c r="M422" s="61"/>
    </row>
    <row r="423" spans="1:13" x14ac:dyDescent="0.25">
      <c r="A423" s="129">
        <f t="shared" si="36"/>
        <v>14</v>
      </c>
      <c r="B423" s="129" t="s">
        <v>346</v>
      </c>
      <c r="C423" s="129">
        <f t="shared" si="33"/>
        <v>360.64782000000002</v>
      </c>
      <c r="D423" s="130">
        <f t="shared" si="34"/>
        <v>432.77738400000004</v>
      </c>
      <c r="E423" s="129">
        <v>0</v>
      </c>
      <c r="F423" s="129">
        <f t="shared" si="35"/>
        <v>540.97172999999998</v>
      </c>
      <c r="I423" s="61"/>
      <c r="J423" s="61"/>
      <c r="K423" s="61"/>
      <c r="L423" s="61"/>
      <c r="M423" s="61"/>
    </row>
    <row r="424" spans="1:13" x14ac:dyDescent="0.25">
      <c r="A424" s="129">
        <f t="shared" si="36"/>
        <v>15</v>
      </c>
      <c r="B424" s="129" t="s">
        <v>346</v>
      </c>
      <c r="C424" s="129">
        <f t="shared" si="33"/>
        <v>360.64782000000002</v>
      </c>
      <c r="D424" s="130">
        <f t="shared" si="34"/>
        <v>432.77738400000004</v>
      </c>
      <c r="E424" s="129">
        <v>0</v>
      </c>
      <c r="F424" s="129">
        <f t="shared" si="35"/>
        <v>540.97172999999998</v>
      </c>
      <c r="I424" s="61"/>
      <c r="J424" s="61"/>
      <c r="K424" s="61"/>
      <c r="L424" s="61"/>
      <c r="M424" s="61"/>
    </row>
    <row r="425" spans="1:13" x14ac:dyDescent="0.25">
      <c r="A425" s="129">
        <f t="shared" si="36"/>
        <v>16</v>
      </c>
      <c r="B425" s="129" t="s">
        <v>346</v>
      </c>
      <c r="C425" s="129">
        <f t="shared" si="33"/>
        <v>360.64782000000002</v>
      </c>
      <c r="D425" s="130">
        <f t="shared" si="34"/>
        <v>432.77738400000004</v>
      </c>
      <c r="E425" s="129">
        <v>0</v>
      </c>
      <c r="F425" s="129">
        <f t="shared" si="35"/>
        <v>540.97172999999998</v>
      </c>
      <c r="I425" s="61"/>
      <c r="J425" s="61"/>
      <c r="K425" s="61"/>
      <c r="L425" s="61"/>
      <c r="M425" s="61"/>
    </row>
    <row r="426" spans="1:13" x14ac:dyDescent="0.25">
      <c r="A426" s="129">
        <f t="shared" si="36"/>
        <v>17</v>
      </c>
      <c r="B426" s="129" t="s">
        <v>346</v>
      </c>
      <c r="C426" s="129">
        <f t="shared" si="33"/>
        <v>360.64782000000002</v>
      </c>
      <c r="D426" s="130">
        <f t="shared" si="34"/>
        <v>432.77738400000004</v>
      </c>
      <c r="E426" s="129">
        <v>0</v>
      </c>
      <c r="F426" s="129">
        <f t="shared" si="35"/>
        <v>540.97172999999998</v>
      </c>
      <c r="I426" s="61"/>
      <c r="J426" s="61"/>
      <c r="K426" s="61"/>
      <c r="L426" s="61"/>
      <c r="M426" s="61"/>
    </row>
    <row r="427" spans="1:13" x14ac:dyDescent="0.25">
      <c r="A427" s="129">
        <f t="shared" si="36"/>
        <v>18</v>
      </c>
      <c r="B427" s="129" t="s">
        <v>346</v>
      </c>
      <c r="C427" s="129">
        <f t="shared" si="33"/>
        <v>360.64782000000002</v>
      </c>
      <c r="D427" s="130">
        <f t="shared" si="34"/>
        <v>432.77738400000004</v>
      </c>
      <c r="E427" s="129">
        <v>0</v>
      </c>
      <c r="F427" s="129">
        <f t="shared" si="35"/>
        <v>540.97172999999998</v>
      </c>
      <c r="I427" s="61"/>
      <c r="J427" s="61"/>
      <c r="K427" s="61"/>
      <c r="L427" s="61"/>
      <c r="M427" s="61"/>
    </row>
    <row r="428" spans="1:13" x14ac:dyDescent="0.25">
      <c r="A428" s="129">
        <f t="shared" si="36"/>
        <v>19</v>
      </c>
      <c r="B428" s="129" t="s">
        <v>346</v>
      </c>
      <c r="C428" s="129">
        <f t="shared" si="33"/>
        <v>360.64782000000002</v>
      </c>
      <c r="D428" s="130">
        <f t="shared" si="34"/>
        <v>432.77738400000004</v>
      </c>
      <c r="E428" s="129">
        <v>0</v>
      </c>
      <c r="F428" s="129">
        <f t="shared" si="35"/>
        <v>540.97172999999998</v>
      </c>
      <c r="I428" s="61"/>
      <c r="J428" s="61"/>
      <c r="K428" s="61"/>
      <c r="L428" s="61"/>
      <c r="M428" s="61"/>
    </row>
    <row r="429" spans="1:13" x14ac:dyDescent="0.25">
      <c r="A429" s="129">
        <f t="shared" si="36"/>
        <v>20</v>
      </c>
      <c r="B429" s="129" t="s">
        <v>346</v>
      </c>
      <c r="C429" s="129">
        <f t="shared" si="33"/>
        <v>360.64782000000002</v>
      </c>
      <c r="D429" s="130">
        <f t="shared" si="34"/>
        <v>432.77738400000004</v>
      </c>
      <c r="E429" s="129">
        <v>0</v>
      </c>
      <c r="F429" s="129">
        <f t="shared" si="35"/>
        <v>540.97172999999998</v>
      </c>
      <c r="I429" s="61"/>
      <c r="J429" s="61"/>
      <c r="K429" s="61"/>
      <c r="L429" s="61"/>
      <c r="M429" s="61"/>
    </row>
    <row r="430" spans="1:13" x14ac:dyDescent="0.25">
      <c r="A430" s="129">
        <f t="shared" si="36"/>
        <v>21</v>
      </c>
      <c r="B430" s="129" t="s">
        <v>346</v>
      </c>
      <c r="C430" s="129">
        <f t="shared" si="33"/>
        <v>360.64782000000002</v>
      </c>
      <c r="D430" s="130">
        <f t="shared" si="34"/>
        <v>432.77738400000004</v>
      </c>
      <c r="E430" s="129">
        <v>0</v>
      </c>
      <c r="F430" s="129">
        <f t="shared" si="35"/>
        <v>540.97172999999998</v>
      </c>
      <c r="I430" s="61"/>
      <c r="J430" s="61"/>
      <c r="K430" s="61"/>
      <c r="L430" s="61"/>
      <c r="M430" s="61"/>
    </row>
    <row r="431" spans="1:13" x14ac:dyDescent="0.25">
      <c r="A431" s="129">
        <f t="shared" si="36"/>
        <v>22</v>
      </c>
      <c r="B431" s="129" t="s">
        <v>346</v>
      </c>
      <c r="C431" s="129">
        <f t="shared" si="33"/>
        <v>360.64782000000002</v>
      </c>
      <c r="D431" s="130">
        <f t="shared" si="34"/>
        <v>432.77738400000004</v>
      </c>
      <c r="E431" s="129">
        <v>0</v>
      </c>
      <c r="F431" s="129">
        <f t="shared" si="35"/>
        <v>540.97172999999998</v>
      </c>
      <c r="I431" s="61"/>
      <c r="J431" s="61"/>
      <c r="K431" s="61"/>
      <c r="L431" s="61"/>
      <c r="M431" s="61"/>
    </row>
    <row r="432" spans="1:13" x14ac:dyDescent="0.25">
      <c r="A432" s="129">
        <f t="shared" si="36"/>
        <v>23</v>
      </c>
      <c r="B432" s="129" t="s">
        <v>346</v>
      </c>
      <c r="C432" s="129">
        <f t="shared" si="33"/>
        <v>360.64782000000002</v>
      </c>
      <c r="D432" s="130">
        <f t="shared" si="34"/>
        <v>432.77738400000004</v>
      </c>
      <c r="E432" s="129">
        <v>0</v>
      </c>
      <c r="F432" s="129">
        <f t="shared" si="35"/>
        <v>540.97172999999998</v>
      </c>
      <c r="I432" s="61"/>
      <c r="J432" s="61"/>
      <c r="K432" s="61"/>
      <c r="L432" s="61"/>
      <c r="M432" s="61"/>
    </row>
    <row r="433" spans="1:14" x14ac:dyDescent="0.25">
      <c r="A433" s="129">
        <f t="shared" si="36"/>
        <v>24</v>
      </c>
      <c r="B433" s="129" t="s">
        <v>346</v>
      </c>
      <c r="C433" s="129">
        <f t="shared" si="33"/>
        <v>360.64782000000002</v>
      </c>
      <c r="D433" s="130">
        <f t="shared" si="34"/>
        <v>432.77738400000004</v>
      </c>
      <c r="E433" s="129">
        <v>0</v>
      </c>
      <c r="F433" s="129">
        <f t="shared" si="35"/>
        <v>540.97172999999998</v>
      </c>
      <c r="I433" s="61"/>
      <c r="J433" s="61"/>
      <c r="K433" s="61"/>
      <c r="L433" s="61"/>
      <c r="M433" s="61"/>
    </row>
    <row r="434" spans="1:14" x14ac:dyDescent="0.25">
      <c r="A434" s="129">
        <f t="shared" si="36"/>
        <v>25</v>
      </c>
      <c r="B434" s="129" t="s">
        <v>346</v>
      </c>
      <c r="C434" s="129">
        <f t="shared" si="33"/>
        <v>360.64782000000002</v>
      </c>
      <c r="D434" s="130">
        <f t="shared" si="34"/>
        <v>432.77738400000004</v>
      </c>
      <c r="E434" s="129">
        <v>0</v>
      </c>
      <c r="F434" s="129">
        <f t="shared" si="35"/>
        <v>540.97172999999998</v>
      </c>
      <c r="I434" s="61"/>
      <c r="J434" s="61"/>
      <c r="K434" s="61"/>
      <c r="L434" s="61"/>
      <c r="M434" s="61"/>
    </row>
    <row r="435" spans="1:14" x14ac:dyDescent="0.25">
      <c r="A435" s="129">
        <f t="shared" si="36"/>
        <v>26</v>
      </c>
      <c r="B435" s="129" t="s">
        <v>346</v>
      </c>
      <c r="C435" s="129">
        <f t="shared" si="33"/>
        <v>360.64782000000002</v>
      </c>
      <c r="D435" s="130">
        <f t="shared" si="34"/>
        <v>432.77738400000004</v>
      </c>
      <c r="E435" s="129">
        <v>0</v>
      </c>
      <c r="F435" s="129">
        <f t="shared" si="35"/>
        <v>540.97172999999998</v>
      </c>
      <c r="I435" s="61"/>
      <c r="J435" s="61"/>
      <c r="K435" s="61"/>
      <c r="L435" s="61"/>
      <c r="M435" s="61"/>
    </row>
    <row r="436" spans="1:14" s="138" customFormat="1" ht="15.75" customHeight="1" x14ac:dyDescent="0.25">
      <c r="A436" s="241" t="s">
        <v>348</v>
      </c>
      <c r="B436" s="241"/>
      <c r="C436" s="241"/>
      <c r="D436" s="241"/>
      <c r="E436" s="241"/>
      <c r="F436" s="241"/>
      <c r="G436" s="43">
        <v>2</v>
      </c>
      <c r="H436" s="43"/>
      <c r="I436" s="137"/>
      <c r="J436" s="137"/>
      <c r="K436" s="61"/>
      <c r="L436" s="137"/>
      <c r="M436" s="137"/>
    </row>
    <row r="437" spans="1:14" s="138" customFormat="1" ht="15.75" x14ac:dyDescent="0.25">
      <c r="A437" s="129">
        <v>1</v>
      </c>
      <c r="B437" s="129" t="s">
        <v>346</v>
      </c>
      <c r="C437" s="129">
        <f t="shared" si="33"/>
        <v>360.64782000000002</v>
      </c>
      <c r="D437" s="130">
        <f>C437*1.2</f>
        <v>432.77738400000004</v>
      </c>
      <c r="E437" s="129">
        <v>0</v>
      </c>
      <c r="F437" s="129">
        <f>C437*(($F$296)+1)+(IF(E437&lt;101,E437,IF(E437&lt;201,E437/2,IF(E437&lt;=301,E437/3,E437/4))))</f>
        <v>540.97172999999998</v>
      </c>
      <c r="G437" s="173"/>
      <c r="H437" s="173"/>
      <c r="I437" s="59"/>
      <c r="J437" s="60"/>
      <c r="K437" s="61"/>
      <c r="L437" s="163"/>
      <c r="M437" s="163"/>
      <c r="N437" s="40"/>
    </row>
    <row r="438" spans="1:14" x14ac:dyDescent="0.25">
      <c r="A438" s="129">
        <f>A437+1</f>
        <v>2</v>
      </c>
      <c r="B438" s="129" t="s">
        <v>346</v>
      </c>
      <c r="C438" s="129">
        <f t="shared" si="33"/>
        <v>360.64782000000002</v>
      </c>
      <c r="D438" s="130">
        <f t="shared" ref="D438:D460" si="37">C438*1.2</f>
        <v>432.77738400000004</v>
      </c>
      <c r="E438" s="129">
        <v>0</v>
      </c>
      <c r="F438" s="129">
        <f t="shared" ref="F438:F460" si="38">C438*(($F$296)+1)+(IF(E438&lt;101,E438,IF(E438&lt;201,E438/2,IF(E438&lt;=301,E438/3,E438/4))))</f>
        <v>540.97172999999998</v>
      </c>
      <c r="I438" s="61"/>
      <c r="J438" s="61"/>
      <c r="K438" s="61"/>
      <c r="L438" s="61"/>
      <c r="M438" s="61"/>
    </row>
    <row r="439" spans="1:14" x14ac:dyDescent="0.25">
      <c r="A439" s="129">
        <f t="shared" ref="A439:A462" si="39">A438+1</f>
        <v>3</v>
      </c>
      <c r="B439" s="129" t="s">
        <v>346</v>
      </c>
      <c r="C439" s="129">
        <f t="shared" si="33"/>
        <v>360.64782000000002</v>
      </c>
      <c r="D439" s="130">
        <f t="shared" si="37"/>
        <v>432.77738400000004</v>
      </c>
      <c r="E439" s="129">
        <v>0</v>
      </c>
      <c r="F439" s="129">
        <f t="shared" si="38"/>
        <v>540.97172999999998</v>
      </c>
      <c r="I439" s="61"/>
      <c r="J439" s="61"/>
      <c r="K439" s="61"/>
      <c r="L439" s="61"/>
      <c r="M439" s="61"/>
    </row>
    <row r="440" spans="1:14" ht="15.75" x14ac:dyDescent="0.25">
      <c r="A440" s="129">
        <f t="shared" si="39"/>
        <v>4</v>
      </c>
      <c r="B440" s="129" t="s">
        <v>346</v>
      </c>
      <c r="C440" s="129">
        <f t="shared" si="33"/>
        <v>360.64782000000002</v>
      </c>
      <c r="D440" s="130">
        <f t="shared" si="37"/>
        <v>432.77738400000004</v>
      </c>
      <c r="E440" s="129">
        <v>0</v>
      </c>
      <c r="F440" s="129">
        <f t="shared" si="38"/>
        <v>540.97172999999998</v>
      </c>
      <c r="I440" s="61"/>
      <c r="J440" s="61"/>
      <c r="K440" s="59"/>
      <c r="L440" s="61"/>
      <c r="M440" s="61"/>
    </row>
    <row r="441" spans="1:14" ht="15.75" x14ac:dyDescent="0.25">
      <c r="A441" s="129">
        <f t="shared" si="39"/>
        <v>5</v>
      </c>
      <c r="B441" s="129" t="s">
        <v>346</v>
      </c>
      <c r="C441" s="129">
        <f t="shared" si="33"/>
        <v>360.64782000000002</v>
      </c>
      <c r="D441" s="130">
        <f t="shared" si="37"/>
        <v>432.77738400000004</v>
      </c>
      <c r="E441" s="129">
        <v>0</v>
      </c>
      <c r="F441" s="129">
        <f t="shared" si="38"/>
        <v>540.97172999999998</v>
      </c>
      <c r="I441" s="61"/>
      <c r="J441" s="61"/>
      <c r="K441" s="137"/>
      <c r="L441" s="61"/>
      <c r="M441" s="61"/>
    </row>
    <row r="442" spans="1:14" x14ac:dyDescent="0.25">
      <c r="A442" s="129">
        <f t="shared" si="39"/>
        <v>6</v>
      </c>
      <c r="B442" s="129" t="s">
        <v>346</v>
      </c>
      <c r="C442" s="129">
        <f t="shared" si="33"/>
        <v>360.64782000000002</v>
      </c>
      <c r="D442" s="130">
        <f t="shared" si="37"/>
        <v>432.77738400000004</v>
      </c>
      <c r="E442" s="129">
        <v>0</v>
      </c>
      <c r="F442" s="129">
        <f t="shared" si="38"/>
        <v>540.97172999999998</v>
      </c>
      <c r="I442" s="61"/>
      <c r="J442" s="61"/>
      <c r="K442" s="61"/>
      <c r="L442" s="61"/>
      <c r="M442" s="61"/>
    </row>
    <row r="443" spans="1:14" x14ac:dyDescent="0.25">
      <c r="A443" s="129">
        <f t="shared" si="39"/>
        <v>7</v>
      </c>
      <c r="B443" s="129" t="s">
        <v>346</v>
      </c>
      <c r="C443" s="129">
        <f t="shared" si="33"/>
        <v>360.64782000000002</v>
      </c>
      <c r="D443" s="130">
        <f t="shared" si="37"/>
        <v>432.77738400000004</v>
      </c>
      <c r="E443" s="129">
        <v>0</v>
      </c>
      <c r="F443" s="129">
        <f t="shared" si="38"/>
        <v>540.97172999999998</v>
      </c>
      <c r="I443" s="61"/>
      <c r="J443" s="61"/>
      <c r="K443" s="61"/>
      <c r="L443" s="61"/>
      <c r="M443" s="61"/>
    </row>
    <row r="444" spans="1:14" x14ac:dyDescent="0.25">
      <c r="A444" s="129">
        <f t="shared" si="39"/>
        <v>8</v>
      </c>
      <c r="B444" s="129" t="s">
        <v>346</v>
      </c>
      <c r="C444" s="129">
        <f t="shared" si="33"/>
        <v>360.64782000000002</v>
      </c>
      <c r="D444" s="130">
        <f t="shared" si="37"/>
        <v>432.77738400000004</v>
      </c>
      <c r="E444" s="129">
        <v>0</v>
      </c>
      <c r="F444" s="129">
        <f t="shared" si="38"/>
        <v>540.97172999999998</v>
      </c>
      <c r="I444" s="61"/>
      <c r="J444" s="61"/>
      <c r="K444" s="61"/>
      <c r="L444" s="61"/>
      <c r="M444" s="61"/>
    </row>
    <row r="445" spans="1:14" x14ac:dyDescent="0.25">
      <c r="A445" s="129">
        <f t="shared" si="39"/>
        <v>9</v>
      </c>
      <c r="B445" s="129" t="s">
        <v>346</v>
      </c>
      <c r="C445" s="129">
        <f t="shared" si="33"/>
        <v>360.64782000000002</v>
      </c>
      <c r="D445" s="130">
        <f t="shared" si="37"/>
        <v>432.77738400000004</v>
      </c>
      <c r="E445" s="129">
        <v>0</v>
      </c>
      <c r="F445" s="129">
        <f t="shared" si="38"/>
        <v>540.97172999999998</v>
      </c>
      <c r="I445" s="61"/>
      <c r="J445" s="61"/>
      <c r="K445" s="61"/>
      <c r="L445" s="61"/>
      <c r="M445" s="61"/>
    </row>
    <row r="446" spans="1:14" x14ac:dyDescent="0.25">
      <c r="A446" s="129">
        <f t="shared" si="39"/>
        <v>10</v>
      </c>
      <c r="B446" s="129" t="s">
        <v>346</v>
      </c>
      <c r="C446" s="129">
        <f t="shared" si="33"/>
        <v>360.64782000000002</v>
      </c>
      <c r="D446" s="130">
        <f t="shared" si="37"/>
        <v>432.77738400000004</v>
      </c>
      <c r="E446" s="129">
        <v>0</v>
      </c>
      <c r="F446" s="129">
        <f t="shared" si="38"/>
        <v>540.97172999999998</v>
      </c>
      <c r="I446" s="61"/>
      <c r="J446" s="61"/>
      <c r="K446" s="61"/>
      <c r="L446" s="61"/>
      <c r="M446" s="61"/>
    </row>
    <row r="447" spans="1:14" x14ac:dyDescent="0.25">
      <c r="A447" s="129">
        <f t="shared" si="39"/>
        <v>11</v>
      </c>
      <c r="B447" s="129" t="s">
        <v>346</v>
      </c>
      <c r="C447" s="129">
        <f t="shared" si="33"/>
        <v>360.64782000000002</v>
      </c>
      <c r="D447" s="130">
        <f t="shared" si="37"/>
        <v>432.77738400000004</v>
      </c>
      <c r="E447" s="129">
        <v>0</v>
      </c>
      <c r="F447" s="129">
        <f t="shared" si="38"/>
        <v>540.97172999999998</v>
      </c>
      <c r="I447" s="61"/>
      <c r="J447" s="61"/>
      <c r="K447" s="61"/>
      <c r="L447" s="61"/>
      <c r="M447" s="61"/>
    </row>
    <row r="448" spans="1:14" x14ac:dyDescent="0.25">
      <c r="A448" s="129">
        <f t="shared" si="39"/>
        <v>12</v>
      </c>
      <c r="B448" s="129" t="s">
        <v>346</v>
      </c>
      <c r="C448" s="129">
        <f t="shared" si="33"/>
        <v>360.64782000000002</v>
      </c>
      <c r="D448" s="130">
        <f t="shared" si="37"/>
        <v>432.77738400000004</v>
      </c>
      <c r="E448" s="129">
        <v>0</v>
      </c>
      <c r="F448" s="129">
        <f t="shared" si="38"/>
        <v>540.97172999999998</v>
      </c>
      <c r="I448" s="61"/>
      <c r="J448" s="61"/>
      <c r="K448" s="61"/>
      <c r="L448" s="61"/>
      <c r="M448" s="61"/>
    </row>
    <row r="449" spans="1:13" x14ac:dyDescent="0.25">
      <c r="A449" s="129">
        <f t="shared" si="39"/>
        <v>13</v>
      </c>
      <c r="B449" s="129" t="s">
        <v>346</v>
      </c>
      <c r="C449" s="129">
        <f t="shared" si="33"/>
        <v>360.64782000000002</v>
      </c>
      <c r="D449" s="130">
        <f t="shared" si="37"/>
        <v>432.77738400000004</v>
      </c>
      <c r="E449" s="129">
        <v>0</v>
      </c>
      <c r="F449" s="129">
        <f t="shared" si="38"/>
        <v>540.97172999999998</v>
      </c>
      <c r="I449" s="61"/>
      <c r="J449" s="61"/>
      <c r="K449" s="61"/>
      <c r="L449" s="61"/>
      <c r="M449" s="61"/>
    </row>
    <row r="450" spans="1:13" x14ac:dyDescent="0.25">
      <c r="A450" s="129">
        <f t="shared" si="39"/>
        <v>14</v>
      </c>
      <c r="B450" s="129" t="s">
        <v>346</v>
      </c>
      <c r="C450" s="129">
        <f t="shared" si="33"/>
        <v>360.64782000000002</v>
      </c>
      <c r="D450" s="130">
        <f t="shared" si="37"/>
        <v>432.77738400000004</v>
      </c>
      <c r="E450" s="129">
        <v>0</v>
      </c>
      <c r="F450" s="129">
        <f t="shared" si="38"/>
        <v>540.97172999999998</v>
      </c>
      <c r="I450" s="61"/>
      <c r="J450" s="61"/>
      <c r="K450" s="61"/>
      <c r="L450" s="61"/>
      <c r="M450" s="61"/>
    </row>
    <row r="451" spans="1:13" x14ac:dyDescent="0.25">
      <c r="A451" s="129">
        <f t="shared" si="39"/>
        <v>15</v>
      </c>
      <c r="B451" s="129" t="s">
        <v>346</v>
      </c>
      <c r="C451" s="129">
        <f t="shared" si="33"/>
        <v>360.64782000000002</v>
      </c>
      <c r="D451" s="130">
        <f t="shared" si="37"/>
        <v>432.77738400000004</v>
      </c>
      <c r="E451" s="129">
        <v>0</v>
      </c>
      <c r="F451" s="129">
        <f t="shared" si="38"/>
        <v>540.97172999999998</v>
      </c>
      <c r="I451" s="61"/>
      <c r="J451" s="61"/>
      <c r="K451" s="61"/>
      <c r="L451" s="61"/>
      <c r="M451" s="61"/>
    </row>
    <row r="452" spans="1:13" x14ac:dyDescent="0.25">
      <c r="A452" s="129">
        <f t="shared" si="39"/>
        <v>16</v>
      </c>
      <c r="B452" s="129" t="s">
        <v>346</v>
      </c>
      <c r="C452" s="129">
        <f t="shared" si="33"/>
        <v>360.64782000000002</v>
      </c>
      <c r="D452" s="130">
        <f t="shared" si="37"/>
        <v>432.77738400000004</v>
      </c>
      <c r="E452" s="129">
        <v>0</v>
      </c>
      <c r="F452" s="129">
        <f t="shared" si="38"/>
        <v>540.97172999999998</v>
      </c>
      <c r="I452" s="61"/>
      <c r="J452" s="61"/>
      <c r="K452" s="61"/>
      <c r="L452" s="61"/>
      <c r="M452" s="61"/>
    </row>
    <row r="453" spans="1:13" x14ac:dyDescent="0.25">
      <c r="A453" s="129">
        <f t="shared" si="39"/>
        <v>17</v>
      </c>
      <c r="B453" s="129" t="s">
        <v>346</v>
      </c>
      <c r="C453" s="129">
        <f t="shared" si="33"/>
        <v>360.64782000000002</v>
      </c>
      <c r="D453" s="130">
        <f t="shared" si="37"/>
        <v>432.77738400000004</v>
      </c>
      <c r="E453" s="129">
        <v>0</v>
      </c>
      <c r="F453" s="129">
        <f t="shared" si="38"/>
        <v>540.97172999999998</v>
      </c>
      <c r="I453" s="61"/>
      <c r="J453" s="61"/>
      <c r="K453" s="61"/>
      <c r="L453" s="61"/>
      <c r="M453" s="61"/>
    </row>
    <row r="454" spans="1:13" x14ac:dyDescent="0.25">
      <c r="A454" s="129">
        <f t="shared" si="39"/>
        <v>18</v>
      </c>
      <c r="B454" s="129" t="s">
        <v>346</v>
      </c>
      <c r="C454" s="129">
        <f t="shared" si="33"/>
        <v>360.64782000000002</v>
      </c>
      <c r="D454" s="130">
        <f t="shared" si="37"/>
        <v>432.77738400000004</v>
      </c>
      <c r="E454" s="129">
        <v>0</v>
      </c>
      <c r="F454" s="129">
        <f t="shared" si="38"/>
        <v>540.97172999999998</v>
      </c>
      <c r="I454" s="61"/>
      <c r="J454" s="61"/>
      <c r="K454" s="61"/>
      <c r="L454" s="61"/>
      <c r="M454" s="61"/>
    </row>
    <row r="455" spans="1:13" x14ac:dyDescent="0.25">
      <c r="A455" s="129">
        <f t="shared" si="39"/>
        <v>19</v>
      </c>
      <c r="B455" s="129" t="s">
        <v>346</v>
      </c>
      <c r="C455" s="129">
        <f t="shared" si="33"/>
        <v>360.64782000000002</v>
      </c>
      <c r="D455" s="130">
        <f t="shared" si="37"/>
        <v>432.77738400000004</v>
      </c>
      <c r="E455" s="129">
        <v>0</v>
      </c>
      <c r="F455" s="129">
        <f t="shared" si="38"/>
        <v>540.97172999999998</v>
      </c>
      <c r="I455" s="61"/>
      <c r="J455" s="61"/>
      <c r="K455" s="61"/>
      <c r="L455" s="61"/>
      <c r="M455" s="61"/>
    </row>
    <row r="456" spans="1:13" x14ac:dyDescent="0.25">
      <c r="A456" s="129">
        <f t="shared" si="39"/>
        <v>20</v>
      </c>
      <c r="B456" s="129" t="s">
        <v>346</v>
      </c>
      <c r="C456" s="129">
        <f t="shared" si="33"/>
        <v>360.64782000000002</v>
      </c>
      <c r="D456" s="130">
        <f t="shared" si="37"/>
        <v>432.77738400000004</v>
      </c>
      <c r="E456" s="129">
        <v>0</v>
      </c>
      <c r="F456" s="129">
        <f t="shared" si="38"/>
        <v>540.97172999999998</v>
      </c>
      <c r="I456" s="61"/>
      <c r="J456" s="61"/>
      <c r="K456" s="61"/>
      <c r="L456" s="61"/>
      <c r="M456" s="61"/>
    </row>
    <row r="457" spans="1:13" x14ac:dyDescent="0.25">
      <c r="A457" s="129">
        <f t="shared" si="39"/>
        <v>21</v>
      </c>
      <c r="B457" s="129" t="s">
        <v>346</v>
      </c>
      <c r="C457" s="129">
        <f t="shared" si="33"/>
        <v>360.64782000000002</v>
      </c>
      <c r="D457" s="130">
        <f t="shared" si="37"/>
        <v>432.77738400000004</v>
      </c>
      <c r="E457" s="129">
        <v>0</v>
      </c>
      <c r="F457" s="129">
        <f t="shared" si="38"/>
        <v>540.97172999999998</v>
      </c>
      <c r="I457" s="61"/>
      <c r="J457" s="61"/>
      <c r="K457" s="61"/>
      <c r="L457" s="61"/>
      <c r="M457" s="61"/>
    </row>
    <row r="458" spans="1:13" x14ac:dyDescent="0.25">
      <c r="A458" s="129">
        <f t="shared" si="39"/>
        <v>22</v>
      </c>
      <c r="B458" s="129" t="s">
        <v>346</v>
      </c>
      <c r="C458" s="129">
        <f t="shared" si="33"/>
        <v>360.64782000000002</v>
      </c>
      <c r="D458" s="130">
        <f t="shared" si="37"/>
        <v>432.77738400000004</v>
      </c>
      <c r="E458" s="129">
        <v>0</v>
      </c>
      <c r="F458" s="129">
        <f t="shared" si="38"/>
        <v>540.97172999999998</v>
      </c>
      <c r="I458" s="61"/>
      <c r="J458" s="61"/>
      <c r="K458" s="61"/>
      <c r="L458" s="61"/>
      <c r="M458" s="61"/>
    </row>
    <row r="459" spans="1:13" x14ac:dyDescent="0.25">
      <c r="A459" s="129">
        <f t="shared" si="39"/>
        <v>23</v>
      </c>
      <c r="B459" s="129" t="s">
        <v>346</v>
      </c>
      <c r="C459" s="129">
        <f t="shared" si="33"/>
        <v>360.64782000000002</v>
      </c>
      <c r="D459" s="130">
        <f t="shared" si="37"/>
        <v>432.77738400000004</v>
      </c>
      <c r="E459" s="129">
        <v>0</v>
      </c>
      <c r="F459" s="129">
        <f t="shared" si="38"/>
        <v>540.97172999999998</v>
      </c>
      <c r="I459" s="61"/>
      <c r="J459" s="61"/>
      <c r="K459" s="61"/>
      <c r="L459" s="61"/>
      <c r="M459" s="61"/>
    </row>
    <row r="460" spans="1:13" x14ac:dyDescent="0.25">
      <c r="A460" s="129">
        <f t="shared" si="39"/>
        <v>24</v>
      </c>
      <c r="B460" s="129" t="s">
        <v>346</v>
      </c>
      <c r="C460" s="129">
        <f t="shared" si="33"/>
        <v>360.64782000000002</v>
      </c>
      <c r="D460" s="130">
        <f t="shared" si="37"/>
        <v>432.77738400000004</v>
      </c>
      <c r="E460" s="129">
        <v>0</v>
      </c>
      <c r="F460" s="129">
        <f t="shared" si="38"/>
        <v>540.97172999999998</v>
      </c>
      <c r="I460" s="61"/>
      <c r="J460" s="61"/>
      <c r="K460" s="61"/>
      <c r="L460" s="61"/>
      <c r="M460" s="61"/>
    </row>
    <row r="461" spans="1:13" x14ac:dyDescent="0.25">
      <c r="A461" s="129">
        <f t="shared" si="39"/>
        <v>25</v>
      </c>
      <c r="B461" s="242" t="s">
        <v>349</v>
      </c>
      <c r="C461" s="243"/>
      <c r="D461" s="243"/>
      <c r="E461" s="243"/>
      <c r="F461" s="244"/>
      <c r="I461" s="61"/>
      <c r="J461" s="61"/>
      <c r="K461" s="61"/>
      <c r="L461" s="61"/>
      <c r="M461" s="61"/>
    </row>
    <row r="462" spans="1:13" x14ac:dyDescent="0.25">
      <c r="A462" s="129">
        <f t="shared" si="39"/>
        <v>26</v>
      </c>
      <c r="B462" s="245"/>
      <c r="C462" s="246"/>
      <c r="D462" s="246"/>
      <c r="E462" s="246"/>
      <c r="F462" s="247"/>
      <c r="I462" s="61"/>
      <c r="J462" s="61"/>
      <c r="K462" s="61"/>
      <c r="L462" s="61"/>
      <c r="M462" s="61"/>
    </row>
    <row r="463" spans="1:13" s="37" customFormat="1" ht="15.75" x14ac:dyDescent="0.25">
      <c r="A463" s="249" t="s">
        <v>350</v>
      </c>
      <c r="B463" s="249"/>
      <c r="C463" s="249"/>
      <c r="D463" s="249"/>
      <c r="E463" s="249"/>
      <c r="F463" s="250"/>
      <c r="G463" s="240"/>
      <c r="H463" s="240"/>
      <c r="I463" s="240"/>
      <c r="J463" s="240"/>
      <c r="K463" s="240"/>
    </row>
    <row r="464" spans="1:13" s="138" customFormat="1" ht="15.75" customHeight="1" x14ac:dyDescent="0.25">
      <c r="A464" s="241" t="s">
        <v>351</v>
      </c>
      <c r="B464" s="241"/>
      <c r="C464" s="241"/>
      <c r="D464" s="241"/>
      <c r="E464" s="241"/>
      <c r="F464" s="241"/>
      <c r="G464" s="43"/>
      <c r="H464" s="43"/>
      <c r="I464" s="137"/>
      <c r="J464" s="137"/>
      <c r="K464" s="61"/>
      <c r="L464" s="137"/>
      <c r="M464" s="137"/>
    </row>
    <row r="465" spans="1:14" s="138" customFormat="1" ht="15.75" x14ac:dyDescent="0.25">
      <c r="A465" s="129" t="s">
        <v>352</v>
      </c>
      <c r="B465" s="129" t="s">
        <v>346</v>
      </c>
      <c r="C465" s="129">
        <f>(29.98)*10.764</f>
        <v>322.70472000000001</v>
      </c>
      <c r="D465" s="130">
        <f>C465*1.2</f>
        <v>387.24566399999998</v>
      </c>
      <c r="E465" s="129">
        <v>0</v>
      </c>
      <c r="F465" s="129">
        <f>C465*(($F$296)+1)+(IF(E465&lt;101,E465,IF(E465&lt;201,E465/2,IF(E465&lt;=301,E465/3,E465/4))))</f>
        <v>484.05708000000004</v>
      </c>
      <c r="G465" s="173"/>
      <c r="H465" s="173"/>
      <c r="I465" s="59"/>
      <c r="J465" s="60"/>
      <c r="K465" s="61"/>
      <c r="L465" s="163"/>
      <c r="M465" s="163"/>
      <c r="N465" s="40"/>
    </row>
    <row r="466" spans="1:14" s="138" customFormat="1" ht="32.25" customHeight="1" x14ac:dyDescent="0.25">
      <c r="A466" s="241" t="s">
        <v>353</v>
      </c>
      <c r="B466" s="241"/>
      <c r="C466" s="241"/>
      <c r="D466" s="241"/>
      <c r="E466" s="241"/>
      <c r="F466" s="241"/>
      <c r="G466" s="43">
        <v>3</v>
      </c>
      <c r="H466" s="43"/>
      <c r="I466" s="137"/>
      <c r="J466" s="137"/>
      <c r="K466" s="61"/>
      <c r="L466" s="137"/>
      <c r="M466" s="137"/>
    </row>
    <row r="467" spans="1:14" s="138" customFormat="1" ht="15.75" x14ac:dyDescent="0.25">
      <c r="A467" s="129" t="s">
        <v>352</v>
      </c>
      <c r="B467" s="129" t="s">
        <v>346</v>
      </c>
      <c r="C467" s="129">
        <f>(29.98+0.75*2.7+1.2*1.25)*10.764</f>
        <v>360.64782000000002</v>
      </c>
      <c r="D467" s="130">
        <f>C467*1.2</f>
        <v>432.77738400000004</v>
      </c>
      <c r="E467" s="129">
        <v>0</v>
      </c>
      <c r="F467" s="129">
        <f t="shared" ref="F467:F486" si="40">C467*(($F$296)+1)+(IF(E467&lt;101,E467,IF(E467&lt;201,E467/2,IF(E467&lt;=301,E467/3,E467/4))))</f>
        <v>540.97172999999998</v>
      </c>
      <c r="G467" s="173"/>
      <c r="H467" s="173"/>
      <c r="I467" s="59"/>
      <c r="J467" s="60"/>
      <c r="K467" s="61"/>
      <c r="L467" s="163"/>
      <c r="M467" s="163"/>
      <c r="N467" s="40"/>
    </row>
    <row r="468" spans="1:14" x14ac:dyDescent="0.25">
      <c r="A468" s="129" t="s">
        <v>354</v>
      </c>
      <c r="B468" s="129" t="s">
        <v>346</v>
      </c>
      <c r="C468" s="129">
        <f t="shared" ref="C468:C525" si="41">(29.98+0.75*2.7+1.2*1.25)*10.764</f>
        <v>360.64782000000002</v>
      </c>
      <c r="D468" s="130">
        <f t="shared" ref="D468:D486" si="42">C468*1.2</f>
        <v>432.77738400000004</v>
      </c>
      <c r="E468" s="129">
        <v>0</v>
      </c>
      <c r="F468" s="129">
        <f t="shared" si="40"/>
        <v>540.97172999999998</v>
      </c>
      <c r="I468" s="61"/>
      <c r="J468" s="61"/>
      <c r="K468" s="61"/>
      <c r="L468" s="61"/>
      <c r="M468" s="61"/>
    </row>
    <row r="469" spans="1:14" x14ac:dyDescent="0.25">
      <c r="A469" s="129" t="s">
        <v>355</v>
      </c>
      <c r="B469" s="129" t="s">
        <v>346</v>
      </c>
      <c r="C469" s="129">
        <f t="shared" si="41"/>
        <v>360.64782000000002</v>
      </c>
      <c r="D469" s="130">
        <f t="shared" si="42"/>
        <v>432.77738400000004</v>
      </c>
      <c r="E469" s="129">
        <v>0</v>
      </c>
      <c r="F469" s="129">
        <f t="shared" si="40"/>
        <v>540.97172999999998</v>
      </c>
      <c r="I469" s="61"/>
      <c r="J469" s="61"/>
      <c r="K469" s="61"/>
      <c r="L469" s="61"/>
      <c r="M469" s="61"/>
    </row>
    <row r="470" spans="1:14" ht="15.75" x14ac:dyDescent="0.25">
      <c r="A470" s="129" t="s">
        <v>356</v>
      </c>
      <c r="B470" s="129" t="s">
        <v>346</v>
      </c>
      <c r="C470" s="129">
        <f t="shared" si="41"/>
        <v>360.64782000000002</v>
      </c>
      <c r="D470" s="130">
        <f t="shared" si="42"/>
        <v>432.77738400000004</v>
      </c>
      <c r="E470" s="129">
        <v>0</v>
      </c>
      <c r="F470" s="129">
        <f t="shared" si="40"/>
        <v>540.97172999999998</v>
      </c>
      <c r="I470" s="61"/>
      <c r="J470" s="61"/>
      <c r="K470" s="59"/>
      <c r="L470" s="61"/>
      <c r="M470" s="61"/>
    </row>
    <row r="471" spans="1:14" ht="15.75" x14ac:dyDescent="0.25">
      <c r="A471" s="129" t="s">
        <v>357</v>
      </c>
      <c r="B471" s="129" t="s">
        <v>346</v>
      </c>
      <c r="C471" s="129">
        <f t="shared" si="41"/>
        <v>360.64782000000002</v>
      </c>
      <c r="D471" s="130">
        <f t="shared" si="42"/>
        <v>432.77738400000004</v>
      </c>
      <c r="E471" s="129">
        <v>0</v>
      </c>
      <c r="F471" s="129">
        <f t="shared" si="40"/>
        <v>540.97172999999998</v>
      </c>
      <c r="I471" s="61"/>
      <c r="J471" s="61"/>
      <c r="K471" s="137"/>
      <c r="L471" s="61"/>
      <c r="M471" s="61"/>
    </row>
    <row r="472" spans="1:14" x14ac:dyDescent="0.25">
      <c r="A472" s="129" t="s">
        <v>358</v>
      </c>
      <c r="B472" s="129" t="s">
        <v>346</v>
      </c>
      <c r="C472" s="129">
        <f t="shared" si="41"/>
        <v>360.64782000000002</v>
      </c>
      <c r="D472" s="130">
        <f t="shared" si="42"/>
        <v>432.77738400000004</v>
      </c>
      <c r="E472" s="129">
        <v>0</v>
      </c>
      <c r="F472" s="129">
        <f t="shared" si="40"/>
        <v>540.97172999999998</v>
      </c>
      <c r="I472" s="61"/>
      <c r="J472" s="61"/>
      <c r="K472" s="61"/>
      <c r="L472" s="61"/>
      <c r="M472" s="61"/>
    </row>
    <row r="473" spans="1:14" x14ac:dyDescent="0.25">
      <c r="A473" s="129" t="s">
        <v>359</v>
      </c>
      <c r="B473" s="129" t="s">
        <v>346</v>
      </c>
      <c r="C473" s="129">
        <f t="shared" si="41"/>
        <v>360.64782000000002</v>
      </c>
      <c r="D473" s="130">
        <f t="shared" si="42"/>
        <v>432.77738400000004</v>
      </c>
      <c r="E473" s="129">
        <v>0</v>
      </c>
      <c r="F473" s="129">
        <f t="shared" si="40"/>
        <v>540.97172999999998</v>
      </c>
      <c r="I473" s="61"/>
      <c r="J473" s="61"/>
      <c r="K473" s="61"/>
      <c r="L473" s="61"/>
      <c r="M473" s="61"/>
    </row>
    <row r="474" spans="1:14" x14ac:dyDescent="0.25">
      <c r="A474" s="129" t="s">
        <v>360</v>
      </c>
      <c r="B474" s="129" t="s">
        <v>346</v>
      </c>
      <c r="C474" s="129">
        <f t="shared" si="41"/>
        <v>360.64782000000002</v>
      </c>
      <c r="D474" s="130">
        <f t="shared" si="42"/>
        <v>432.77738400000004</v>
      </c>
      <c r="E474" s="129">
        <v>0</v>
      </c>
      <c r="F474" s="129">
        <f t="shared" si="40"/>
        <v>540.97172999999998</v>
      </c>
      <c r="I474" s="61"/>
      <c r="J474" s="61"/>
      <c r="K474" s="61"/>
      <c r="L474" s="61"/>
      <c r="M474" s="61"/>
    </row>
    <row r="475" spans="1:14" x14ac:dyDescent="0.25">
      <c r="A475" s="129" t="s">
        <v>361</v>
      </c>
      <c r="B475" s="129" t="s">
        <v>346</v>
      </c>
      <c r="C475" s="129">
        <f t="shared" si="41"/>
        <v>360.64782000000002</v>
      </c>
      <c r="D475" s="130">
        <f t="shared" si="42"/>
        <v>432.77738400000004</v>
      </c>
      <c r="E475" s="129">
        <v>0</v>
      </c>
      <c r="F475" s="129">
        <f t="shared" si="40"/>
        <v>540.97172999999998</v>
      </c>
      <c r="I475" s="61"/>
      <c r="J475" s="61"/>
      <c r="K475" s="61"/>
      <c r="L475" s="61"/>
      <c r="M475" s="61"/>
    </row>
    <row r="476" spans="1:14" x14ac:dyDescent="0.25">
      <c r="A476" s="129" t="s">
        <v>362</v>
      </c>
      <c r="B476" s="129" t="s">
        <v>346</v>
      </c>
      <c r="C476" s="129">
        <f t="shared" si="41"/>
        <v>360.64782000000002</v>
      </c>
      <c r="D476" s="130">
        <f t="shared" si="42"/>
        <v>432.77738400000004</v>
      </c>
      <c r="E476" s="129">
        <v>0</v>
      </c>
      <c r="F476" s="129">
        <f t="shared" si="40"/>
        <v>540.97172999999998</v>
      </c>
      <c r="I476" s="61"/>
      <c r="J476" s="61"/>
      <c r="K476" s="61"/>
      <c r="L476" s="61"/>
      <c r="M476" s="61"/>
    </row>
    <row r="477" spans="1:14" x14ac:dyDescent="0.25">
      <c r="A477" s="129" t="s">
        <v>363</v>
      </c>
      <c r="B477" s="129" t="s">
        <v>346</v>
      </c>
      <c r="C477" s="129">
        <f t="shared" si="41"/>
        <v>360.64782000000002</v>
      </c>
      <c r="D477" s="130">
        <f t="shared" si="42"/>
        <v>432.77738400000004</v>
      </c>
      <c r="E477" s="129">
        <v>0</v>
      </c>
      <c r="F477" s="129">
        <f t="shared" si="40"/>
        <v>540.97172999999998</v>
      </c>
      <c r="I477" s="61"/>
      <c r="J477" s="61"/>
      <c r="K477" s="61"/>
      <c r="L477" s="61"/>
      <c r="M477" s="61"/>
    </row>
    <row r="478" spans="1:14" x14ac:dyDescent="0.25">
      <c r="A478" s="129" t="s">
        <v>364</v>
      </c>
      <c r="B478" s="129" t="s">
        <v>346</v>
      </c>
      <c r="C478" s="129">
        <f t="shared" si="41"/>
        <v>360.64782000000002</v>
      </c>
      <c r="D478" s="130">
        <f t="shared" si="42"/>
        <v>432.77738400000004</v>
      </c>
      <c r="E478" s="129">
        <v>0</v>
      </c>
      <c r="F478" s="129">
        <f t="shared" si="40"/>
        <v>540.97172999999998</v>
      </c>
      <c r="I478" s="61"/>
      <c r="J478" s="61"/>
      <c r="K478" s="61"/>
      <c r="L478" s="61"/>
      <c r="M478" s="61"/>
    </row>
    <row r="479" spans="1:14" x14ac:dyDescent="0.25">
      <c r="A479" s="129" t="s">
        <v>365</v>
      </c>
      <c r="B479" s="129" t="s">
        <v>346</v>
      </c>
      <c r="C479" s="129">
        <f t="shared" si="41"/>
        <v>360.64782000000002</v>
      </c>
      <c r="D479" s="130">
        <f t="shared" si="42"/>
        <v>432.77738400000004</v>
      </c>
      <c r="E479" s="129">
        <v>0</v>
      </c>
      <c r="F479" s="129">
        <f t="shared" si="40"/>
        <v>540.97172999999998</v>
      </c>
      <c r="I479" s="61"/>
      <c r="J479" s="61"/>
      <c r="K479" s="61"/>
      <c r="L479" s="61"/>
      <c r="M479" s="61"/>
    </row>
    <row r="480" spans="1:14" x14ac:dyDescent="0.25">
      <c r="A480" s="129" t="s">
        <v>366</v>
      </c>
      <c r="B480" s="129" t="s">
        <v>346</v>
      </c>
      <c r="C480" s="129">
        <f t="shared" si="41"/>
        <v>360.64782000000002</v>
      </c>
      <c r="D480" s="130">
        <f t="shared" si="42"/>
        <v>432.77738400000004</v>
      </c>
      <c r="E480" s="129">
        <v>0</v>
      </c>
      <c r="F480" s="129">
        <f t="shared" si="40"/>
        <v>540.97172999999998</v>
      </c>
      <c r="I480" s="61"/>
      <c r="J480" s="61"/>
      <c r="K480" s="61"/>
      <c r="L480" s="61"/>
      <c r="M480" s="61"/>
    </row>
    <row r="481" spans="1:14" x14ac:dyDescent="0.25">
      <c r="A481" s="129" t="s">
        <v>367</v>
      </c>
      <c r="B481" s="129" t="s">
        <v>346</v>
      </c>
      <c r="C481" s="129">
        <f t="shared" si="41"/>
        <v>360.64782000000002</v>
      </c>
      <c r="D481" s="130">
        <f t="shared" si="42"/>
        <v>432.77738400000004</v>
      </c>
      <c r="E481" s="129">
        <v>0</v>
      </c>
      <c r="F481" s="129">
        <f t="shared" si="40"/>
        <v>540.97172999999998</v>
      </c>
      <c r="I481" s="61"/>
      <c r="J481" s="61"/>
      <c r="K481" s="61"/>
      <c r="L481" s="61"/>
      <c r="M481" s="61"/>
    </row>
    <row r="482" spans="1:14" x14ac:dyDescent="0.25">
      <c r="A482" s="129" t="s">
        <v>368</v>
      </c>
      <c r="B482" s="129" t="s">
        <v>346</v>
      </c>
      <c r="C482" s="129">
        <f t="shared" si="41"/>
        <v>360.64782000000002</v>
      </c>
      <c r="D482" s="130">
        <f t="shared" si="42"/>
        <v>432.77738400000004</v>
      </c>
      <c r="E482" s="129">
        <v>0</v>
      </c>
      <c r="F482" s="129">
        <f t="shared" si="40"/>
        <v>540.97172999999998</v>
      </c>
      <c r="I482" s="61"/>
      <c r="J482" s="61"/>
      <c r="K482" s="61"/>
      <c r="L482" s="61"/>
      <c r="M482" s="61"/>
    </row>
    <row r="483" spans="1:14" x14ac:dyDescent="0.25">
      <c r="A483" s="129" t="s">
        <v>369</v>
      </c>
      <c r="B483" s="129" t="s">
        <v>346</v>
      </c>
      <c r="C483" s="129">
        <f t="shared" si="41"/>
        <v>360.64782000000002</v>
      </c>
      <c r="D483" s="130">
        <f t="shared" si="42"/>
        <v>432.77738400000004</v>
      </c>
      <c r="E483" s="129">
        <v>0</v>
      </c>
      <c r="F483" s="129">
        <f t="shared" si="40"/>
        <v>540.97172999999998</v>
      </c>
      <c r="I483" s="61"/>
      <c r="J483" s="61"/>
      <c r="K483" s="61"/>
      <c r="L483" s="61"/>
      <c r="M483" s="61"/>
    </row>
    <row r="484" spans="1:14" x14ac:dyDescent="0.25">
      <c r="A484" s="129" t="s">
        <v>370</v>
      </c>
      <c r="B484" s="129" t="s">
        <v>346</v>
      </c>
      <c r="C484" s="129">
        <f t="shared" si="41"/>
        <v>360.64782000000002</v>
      </c>
      <c r="D484" s="130">
        <f t="shared" si="42"/>
        <v>432.77738400000004</v>
      </c>
      <c r="E484" s="129">
        <v>0</v>
      </c>
      <c r="F484" s="129">
        <f t="shared" si="40"/>
        <v>540.97172999999998</v>
      </c>
      <c r="I484" s="61"/>
      <c r="J484" s="61"/>
      <c r="K484" s="61"/>
      <c r="L484" s="61"/>
      <c r="M484" s="61"/>
    </row>
    <row r="485" spans="1:14" x14ac:dyDescent="0.25">
      <c r="A485" s="129" t="s">
        <v>371</v>
      </c>
      <c r="B485" s="129" t="s">
        <v>346</v>
      </c>
      <c r="C485" s="129">
        <f t="shared" si="41"/>
        <v>360.64782000000002</v>
      </c>
      <c r="D485" s="130">
        <f t="shared" si="42"/>
        <v>432.77738400000004</v>
      </c>
      <c r="E485" s="129">
        <v>0</v>
      </c>
      <c r="F485" s="129">
        <f t="shared" si="40"/>
        <v>540.97172999999998</v>
      </c>
      <c r="I485" s="61"/>
      <c r="J485" s="61"/>
      <c r="K485" s="61"/>
      <c r="L485" s="61"/>
      <c r="M485" s="61"/>
    </row>
    <row r="486" spans="1:14" x14ac:dyDescent="0.25">
      <c r="A486" s="129" t="s">
        <v>372</v>
      </c>
      <c r="B486" s="129" t="s">
        <v>346</v>
      </c>
      <c r="C486" s="129">
        <f t="shared" si="41"/>
        <v>360.64782000000002</v>
      </c>
      <c r="D486" s="130">
        <f t="shared" si="42"/>
        <v>432.77738400000004</v>
      </c>
      <c r="E486" s="129">
        <v>0</v>
      </c>
      <c r="F486" s="129">
        <f t="shared" si="40"/>
        <v>540.97172999999998</v>
      </c>
      <c r="I486" s="61"/>
      <c r="J486" s="61"/>
      <c r="K486" s="61"/>
      <c r="L486" s="61"/>
      <c r="M486" s="61"/>
    </row>
    <row r="487" spans="1:14" s="138" customFormat="1" ht="15.75" hidden="1" customHeight="1" x14ac:dyDescent="0.25">
      <c r="A487" s="241" t="s">
        <v>373</v>
      </c>
      <c r="B487" s="241"/>
      <c r="C487" s="241"/>
      <c r="D487" s="241"/>
      <c r="E487" s="241"/>
      <c r="F487" s="241"/>
      <c r="G487" s="43">
        <v>1</v>
      </c>
      <c r="H487" s="43"/>
      <c r="I487" s="137"/>
      <c r="J487" s="137"/>
      <c r="K487" s="61"/>
      <c r="L487" s="137"/>
      <c r="M487" s="137"/>
    </row>
    <row r="488" spans="1:14" s="138" customFormat="1" ht="15.75" hidden="1" x14ac:dyDescent="0.25">
      <c r="A488" s="129">
        <v>1</v>
      </c>
      <c r="B488" s="129" t="s">
        <v>346</v>
      </c>
      <c r="C488" s="129">
        <f t="shared" si="41"/>
        <v>360.64782000000002</v>
      </c>
      <c r="D488" s="130">
        <f>C488*1.2</f>
        <v>432.77738400000004</v>
      </c>
      <c r="E488" s="129">
        <v>0</v>
      </c>
      <c r="F488" s="129">
        <f t="shared" ref="F488:F507" si="43">C488*(($F$296)+1)+(IF(E488&lt;101,E488,IF(E488&lt;201,E488/2,IF(E488&lt;=301,E488/3,E488/4))))</f>
        <v>540.97172999999998</v>
      </c>
      <c r="G488" s="173"/>
      <c r="H488" s="173"/>
      <c r="I488" s="59"/>
      <c r="J488" s="60"/>
      <c r="K488" s="61"/>
      <c r="L488" s="163"/>
      <c r="M488" s="163"/>
      <c r="N488" s="40"/>
    </row>
    <row r="489" spans="1:14" hidden="1" x14ac:dyDescent="0.25">
      <c r="A489" s="129">
        <f>A488+1</f>
        <v>2</v>
      </c>
      <c r="B489" s="129" t="s">
        <v>346</v>
      </c>
      <c r="C489" s="129">
        <f t="shared" si="41"/>
        <v>360.64782000000002</v>
      </c>
      <c r="D489" s="130">
        <f t="shared" ref="D489:D507" si="44">C489*1.2</f>
        <v>432.77738400000004</v>
      </c>
      <c r="E489" s="129">
        <v>0</v>
      </c>
      <c r="F489" s="129">
        <f t="shared" si="43"/>
        <v>540.97172999999998</v>
      </c>
      <c r="I489" s="61"/>
      <c r="J489" s="61"/>
      <c r="K489" s="61"/>
      <c r="L489" s="61"/>
      <c r="M489" s="61"/>
    </row>
    <row r="490" spans="1:14" hidden="1" x14ac:dyDescent="0.25">
      <c r="A490" s="129">
        <f t="shared" ref="A490:A507" si="45">A489+1</f>
        <v>3</v>
      </c>
      <c r="B490" s="129" t="s">
        <v>346</v>
      </c>
      <c r="C490" s="129">
        <f t="shared" si="41"/>
        <v>360.64782000000002</v>
      </c>
      <c r="D490" s="130">
        <f t="shared" si="44"/>
        <v>432.77738400000004</v>
      </c>
      <c r="E490" s="129">
        <v>0</v>
      </c>
      <c r="F490" s="129">
        <f t="shared" si="43"/>
        <v>540.97172999999998</v>
      </c>
      <c r="I490" s="61"/>
      <c r="J490" s="61"/>
      <c r="K490" s="61"/>
      <c r="L490" s="61"/>
      <c r="M490" s="61"/>
    </row>
    <row r="491" spans="1:14" ht="15.75" hidden="1" x14ac:dyDescent="0.25">
      <c r="A491" s="129">
        <f t="shared" si="45"/>
        <v>4</v>
      </c>
      <c r="B491" s="129" t="s">
        <v>346</v>
      </c>
      <c r="C491" s="129">
        <f t="shared" si="41"/>
        <v>360.64782000000002</v>
      </c>
      <c r="D491" s="130">
        <f t="shared" si="44"/>
        <v>432.77738400000004</v>
      </c>
      <c r="E491" s="129">
        <v>0</v>
      </c>
      <c r="F491" s="129">
        <f t="shared" si="43"/>
        <v>540.97172999999998</v>
      </c>
      <c r="I491" s="61"/>
      <c r="J491" s="61"/>
      <c r="K491" s="59"/>
      <c r="L491" s="61"/>
      <c r="M491" s="61"/>
    </row>
    <row r="492" spans="1:14" ht="15.75" hidden="1" x14ac:dyDescent="0.25">
      <c r="A492" s="129">
        <f t="shared" si="45"/>
        <v>5</v>
      </c>
      <c r="B492" s="129" t="s">
        <v>346</v>
      </c>
      <c r="C492" s="129">
        <f t="shared" si="41"/>
        <v>360.64782000000002</v>
      </c>
      <c r="D492" s="130">
        <f t="shared" si="44"/>
        <v>432.77738400000004</v>
      </c>
      <c r="E492" s="129">
        <v>0</v>
      </c>
      <c r="F492" s="129">
        <f t="shared" si="43"/>
        <v>540.97172999999998</v>
      </c>
      <c r="I492" s="61"/>
      <c r="J492" s="61"/>
      <c r="K492" s="137"/>
      <c r="L492" s="61"/>
      <c r="M492" s="61"/>
    </row>
    <row r="493" spans="1:14" hidden="1" x14ac:dyDescent="0.25">
      <c r="A493" s="129">
        <f t="shared" si="45"/>
        <v>6</v>
      </c>
      <c r="B493" s="129" t="s">
        <v>346</v>
      </c>
      <c r="C493" s="129">
        <f t="shared" si="41"/>
        <v>360.64782000000002</v>
      </c>
      <c r="D493" s="130">
        <f t="shared" si="44"/>
        <v>432.77738400000004</v>
      </c>
      <c r="E493" s="129">
        <v>0</v>
      </c>
      <c r="F493" s="129">
        <f t="shared" si="43"/>
        <v>540.97172999999998</v>
      </c>
      <c r="I493" s="61"/>
      <c r="J493" s="61"/>
      <c r="K493" s="61"/>
      <c r="L493" s="61"/>
      <c r="M493" s="61"/>
    </row>
    <row r="494" spans="1:14" hidden="1" x14ac:dyDescent="0.25">
      <c r="A494" s="129">
        <f t="shared" si="45"/>
        <v>7</v>
      </c>
      <c r="B494" s="129" t="s">
        <v>346</v>
      </c>
      <c r="C494" s="129">
        <f t="shared" si="41"/>
        <v>360.64782000000002</v>
      </c>
      <c r="D494" s="130">
        <f t="shared" si="44"/>
        <v>432.77738400000004</v>
      </c>
      <c r="E494" s="129">
        <v>0</v>
      </c>
      <c r="F494" s="129">
        <f t="shared" si="43"/>
        <v>540.97172999999998</v>
      </c>
      <c r="I494" s="61"/>
      <c r="J494" s="61"/>
      <c r="K494" s="61"/>
      <c r="L494" s="61"/>
      <c r="M494" s="61"/>
    </row>
    <row r="495" spans="1:14" hidden="1" x14ac:dyDescent="0.25">
      <c r="A495" s="129">
        <f t="shared" si="45"/>
        <v>8</v>
      </c>
      <c r="B495" s="129" t="s">
        <v>346</v>
      </c>
      <c r="C495" s="129">
        <f t="shared" si="41"/>
        <v>360.64782000000002</v>
      </c>
      <c r="D495" s="130">
        <f t="shared" si="44"/>
        <v>432.77738400000004</v>
      </c>
      <c r="E495" s="129">
        <v>0</v>
      </c>
      <c r="F495" s="129">
        <f t="shared" si="43"/>
        <v>540.97172999999998</v>
      </c>
      <c r="I495" s="61"/>
      <c r="J495" s="61"/>
      <c r="K495" s="61"/>
      <c r="L495" s="61"/>
      <c r="M495" s="61"/>
    </row>
    <row r="496" spans="1:14" hidden="1" x14ac:dyDescent="0.25">
      <c r="A496" s="129">
        <f t="shared" si="45"/>
        <v>9</v>
      </c>
      <c r="B496" s="129" t="s">
        <v>346</v>
      </c>
      <c r="C496" s="129">
        <f t="shared" si="41"/>
        <v>360.64782000000002</v>
      </c>
      <c r="D496" s="130">
        <f t="shared" si="44"/>
        <v>432.77738400000004</v>
      </c>
      <c r="E496" s="129">
        <v>0</v>
      </c>
      <c r="F496" s="129">
        <f t="shared" si="43"/>
        <v>540.97172999999998</v>
      </c>
      <c r="I496" s="61"/>
      <c r="J496" s="61"/>
      <c r="K496" s="61"/>
      <c r="L496" s="61"/>
      <c r="M496" s="61"/>
    </row>
    <row r="497" spans="1:14" hidden="1" x14ac:dyDescent="0.25">
      <c r="A497" s="129">
        <f t="shared" si="45"/>
        <v>10</v>
      </c>
      <c r="B497" s="129" t="s">
        <v>346</v>
      </c>
      <c r="C497" s="129">
        <f t="shared" si="41"/>
        <v>360.64782000000002</v>
      </c>
      <c r="D497" s="130">
        <f t="shared" si="44"/>
        <v>432.77738400000004</v>
      </c>
      <c r="E497" s="129">
        <v>0</v>
      </c>
      <c r="F497" s="129">
        <f t="shared" si="43"/>
        <v>540.97172999999998</v>
      </c>
      <c r="I497" s="61"/>
      <c r="J497" s="61"/>
      <c r="K497" s="61"/>
      <c r="L497" s="61"/>
      <c r="M497" s="61"/>
    </row>
    <row r="498" spans="1:14" hidden="1" x14ac:dyDescent="0.25">
      <c r="A498" s="129">
        <f t="shared" si="45"/>
        <v>11</v>
      </c>
      <c r="B498" s="129" t="s">
        <v>346</v>
      </c>
      <c r="C498" s="129">
        <f t="shared" si="41"/>
        <v>360.64782000000002</v>
      </c>
      <c r="D498" s="130">
        <f t="shared" si="44"/>
        <v>432.77738400000004</v>
      </c>
      <c r="E498" s="129">
        <v>0</v>
      </c>
      <c r="F498" s="129">
        <f t="shared" si="43"/>
        <v>540.97172999999998</v>
      </c>
      <c r="I498" s="61"/>
      <c r="J498" s="61"/>
      <c r="K498" s="61"/>
      <c r="L498" s="61"/>
      <c r="M498" s="61"/>
    </row>
    <row r="499" spans="1:14" hidden="1" x14ac:dyDescent="0.25">
      <c r="A499" s="129">
        <f t="shared" si="45"/>
        <v>12</v>
      </c>
      <c r="B499" s="129" t="s">
        <v>346</v>
      </c>
      <c r="C499" s="129">
        <f t="shared" si="41"/>
        <v>360.64782000000002</v>
      </c>
      <c r="D499" s="130">
        <f t="shared" si="44"/>
        <v>432.77738400000004</v>
      </c>
      <c r="E499" s="129">
        <v>0</v>
      </c>
      <c r="F499" s="129">
        <f t="shared" si="43"/>
        <v>540.97172999999998</v>
      </c>
      <c r="I499" s="61"/>
      <c r="J499" s="61"/>
      <c r="K499" s="61"/>
      <c r="L499" s="61"/>
      <c r="M499" s="61"/>
    </row>
    <row r="500" spans="1:14" hidden="1" x14ac:dyDescent="0.25">
      <c r="A500" s="129">
        <f t="shared" si="45"/>
        <v>13</v>
      </c>
      <c r="B500" s="129" t="s">
        <v>346</v>
      </c>
      <c r="C500" s="129">
        <f t="shared" si="41"/>
        <v>360.64782000000002</v>
      </c>
      <c r="D500" s="130">
        <f t="shared" si="44"/>
        <v>432.77738400000004</v>
      </c>
      <c r="E500" s="129">
        <v>0</v>
      </c>
      <c r="F500" s="129">
        <f t="shared" si="43"/>
        <v>540.97172999999998</v>
      </c>
      <c r="I500" s="61"/>
      <c r="J500" s="61"/>
      <c r="K500" s="61"/>
      <c r="L500" s="61"/>
      <c r="M500" s="61"/>
    </row>
    <row r="501" spans="1:14" hidden="1" x14ac:dyDescent="0.25">
      <c r="A501" s="129">
        <f t="shared" si="45"/>
        <v>14</v>
      </c>
      <c r="B501" s="129" t="s">
        <v>346</v>
      </c>
      <c r="C501" s="129">
        <f t="shared" si="41"/>
        <v>360.64782000000002</v>
      </c>
      <c r="D501" s="130">
        <f t="shared" si="44"/>
        <v>432.77738400000004</v>
      </c>
      <c r="E501" s="129">
        <v>0</v>
      </c>
      <c r="F501" s="129">
        <f t="shared" si="43"/>
        <v>540.97172999999998</v>
      </c>
      <c r="I501" s="61"/>
      <c r="J501" s="61"/>
      <c r="K501" s="61"/>
      <c r="L501" s="61"/>
      <c r="M501" s="61"/>
    </row>
    <row r="502" spans="1:14" hidden="1" x14ac:dyDescent="0.25">
      <c r="A502" s="129">
        <f t="shared" si="45"/>
        <v>15</v>
      </c>
      <c r="B502" s="129" t="s">
        <v>346</v>
      </c>
      <c r="C502" s="129">
        <f t="shared" si="41"/>
        <v>360.64782000000002</v>
      </c>
      <c r="D502" s="130">
        <f t="shared" si="44"/>
        <v>432.77738400000004</v>
      </c>
      <c r="E502" s="129">
        <v>0</v>
      </c>
      <c r="F502" s="129">
        <f t="shared" si="43"/>
        <v>540.97172999999998</v>
      </c>
      <c r="I502" s="61"/>
      <c r="J502" s="61"/>
      <c r="K502" s="61"/>
      <c r="L502" s="61"/>
      <c r="M502" s="61"/>
    </row>
    <row r="503" spans="1:14" hidden="1" x14ac:dyDescent="0.25">
      <c r="A503" s="129">
        <f t="shared" si="45"/>
        <v>16</v>
      </c>
      <c r="B503" s="129" t="s">
        <v>346</v>
      </c>
      <c r="C503" s="129">
        <f t="shared" si="41"/>
        <v>360.64782000000002</v>
      </c>
      <c r="D503" s="130">
        <f t="shared" si="44"/>
        <v>432.77738400000004</v>
      </c>
      <c r="E503" s="129">
        <v>0</v>
      </c>
      <c r="F503" s="129">
        <f t="shared" si="43"/>
        <v>540.97172999999998</v>
      </c>
      <c r="I503" s="61"/>
      <c r="J503" s="61"/>
      <c r="K503" s="61"/>
      <c r="L503" s="61"/>
      <c r="M503" s="61"/>
    </row>
    <row r="504" spans="1:14" hidden="1" x14ac:dyDescent="0.25">
      <c r="A504" s="129">
        <f t="shared" si="45"/>
        <v>17</v>
      </c>
      <c r="B504" s="129" t="s">
        <v>346</v>
      </c>
      <c r="C504" s="129">
        <f t="shared" si="41"/>
        <v>360.64782000000002</v>
      </c>
      <c r="D504" s="130">
        <f t="shared" si="44"/>
        <v>432.77738400000004</v>
      </c>
      <c r="E504" s="129">
        <v>0</v>
      </c>
      <c r="F504" s="129">
        <f t="shared" si="43"/>
        <v>540.97172999999998</v>
      </c>
      <c r="I504" s="61"/>
      <c r="J504" s="61"/>
      <c r="K504" s="61"/>
      <c r="L504" s="61"/>
      <c r="M504" s="61"/>
    </row>
    <row r="505" spans="1:14" hidden="1" x14ac:dyDescent="0.25">
      <c r="A505" s="129">
        <f t="shared" si="45"/>
        <v>18</v>
      </c>
      <c r="B505" s="129" t="s">
        <v>346</v>
      </c>
      <c r="C505" s="129">
        <f t="shared" si="41"/>
        <v>360.64782000000002</v>
      </c>
      <c r="D505" s="130">
        <f t="shared" si="44"/>
        <v>432.77738400000004</v>
      </c>
      <c r="E505" s="129">
        <v>0</v>
      </c>
      <c r="F505" s="129">
        <f t="shared" si="43"/>
        <v>540.97172999999998</v>
      </c>
      <c r="I505" s="61"/>
      <c r="J505" s="61"/>
      <c r="K505" s="61"/>
      <c r="L505" s="61"/>
      <c r="M505" s="61"/>
    </row>
    <row r="506" spans="1:14" hidden="1" x14ac:dyDescent="0.25">
      <c r="A506" s="129">
        <f t="shared" si="45"/>
        <v>19</v>
      </c>
      <c r="B506" s="129" t="s">
        <v>346</v>
      </c>
      <c r="C506" s="129">
        <f t="shared" si="41"/>
        <v>360.64782000000002</v>
      </c>
      <c r="D506" s="130">
        <f t="shared" si="44"/>
        <v>432.77738400000004</v>
      </c>
      <c r="E506" s="129">
        <v>0</v>
      </c>
      <c r="F506" s="129">
        <f t="shared" si="43"/>
        <v>540.97172999999998</v>
      </c>
      <c r="I506" s="61"/>
      <c r="J506" s="61"/>
      <c r="K506" s="61"/>
      <c r="L506" s="61"/>
      <c r="M506" s="61"/>
    </row>
    <row r="507" spans="1:14" hidden="1" x14ac:dyDescent="0.25">
      <c r="A507" s="129">
        <f t="shared" si="45"/>
        <v>20</v>
      </c>
      <c r="B507" s="129" t="s">
        <v>346</v>
      </c>
      <c r="C507" s="129">
        <f t="shared" si="41"/>
        <v>360.64782000000002</v>
      </c>
      <c r="D507" s="130">
        <f t="shared" si="44"/>
        <v>432.77738400000004</v>
      </c>
      <c r="E507" s="129">
        <v>0</v>
      </c>
      <c r="F507" s="129">
        <f t="shared" si="43"/>
        <v>540.97172999999998</v>
      </c>
      <c r="I507" s="61"/>
      <c r="J507" s="61"/>
      <c r="K507" s="61"/>
      <c r="L507" s="61"/>
      <c r="M507" s="61"/>
    </row>
    <row r="508" spans="1:14" s="138" customFormat="1" ht="15.75" customHeight="1" x14ac:dyDescent="0.25">
      <c r="A508" s="241" t="s">
        <v>387</v>
      </c>
      <c r="B508" s="241"/>
      <c r="C508" s="241"/>
      <c r="D508" s="241"/>
      <c r="E508" s="241"/>
      <c r="F508" s="241"/>
      <c r="G508" s="43">
        <f>3+4+1</f>
        <v>8</v>
      </c>
      <c r="H508" s="43"/>
      <c r="I508" s="137"/>
      <c r="J508" s="137"/>
      <c r="K508" s="61"/>
      <c r="L508" s="137"/>
      <c r="M508" s="137"/>
    </row>
    <row r="509" spans="1:14" s="138" customFormat="1" ht="15.75" x14ac:dyDescent="0.25">
      <c r="A509" s="129">
        <v>1</v>
      </c>
      <c r="B509" s="129" t="s">
        <v>346</v>
      </c>
      <c r="C509" s="129">
        <f t="shared" si="41"/>
        <v>360.64782000000002</v>
      </c>
      <c r="D509" s="130">
        <f>C509*1.2</f>
        <v>432.77738400000004</v>
      </c>
      <c r="E509" s="129">
        <v>0</v>
      </c>
      <c r="F509" s="129">
        <f t="shared" ref="F509:F528" si="46">C509*(($F$296)+1)+(IF(E509&lt;101,E509,IF(E509&lt;201,E509/2,IF(E509&lt;=301,E509/3,E509/4))))</f>
        <v>540.97172999999998</v>
      </c>
      <c r="G509" s="173"/>
      <c r="H509" s="173"/>
      <c r="I509" s="59"/>
      <c r="J509" s="60"/>
      <c r="K509" s="61"/>
      <c r="L509" s="163"/>
      <c r="M509" s="163"/>
      <c r="N509" s="40"/>
    </row>
    <row r="510" spans="1:14" x14ac:dyDescent="0.25">
      <c r="A510" s="129">
        <f>A509+1</f>
        <v>2</v>
      </c>
      <c r="B510" s="129" t="s">
        <v>346</v>
      </c>
      <c r="C510" s="129">
        <f t="shared" si="41"/>
        <v>360.64782000000002</v>
      </c>
      <c r="D510" s="130">
        <f t="shared" ref="D510:D528" si="47">C510*1.2</f>
        <v>432.77738400000004</v>
      </c>
      <c r="E510" s="129">
        <v>0</v>
      </c>
      <c r="F510" s="129">
        <f t="shared" si="46"/>
        <v>540.97172999999998</v>
      </c>
      <c r="I510" s="61"/>
      <c r="J510" s="61"/>
      <c r="K510" s="61"/>
      <c r="L510" s="61"/>
      <c r="M510" s="61"/>
    </row>
    <row r="511" spans="1:14" x14ac:dyDescent="0.25">
      <c r="A511" s="129">
        <f t="shared" ref="A511:A528" si="48">A510+1</f>
        <v>3</v>
      </c>
      <c r="B511" s="129" t="s">
        <v>346</v>
      </c>
      <c r="C511" s="129">
        <f t="shared" si="41"/>
        <v>360.64782000000002</v>
      </c>
      <c r="D511" s="130">
        <f t="shared" si="47"/>
        <v>432.77738400000004</v>
      </c>
      <c r="E511" s="129">
        <v>0</v>
      </c>
      <c r="F511" s="129">
        <f t="shared" si="46"/>
        <v>540.97172999999998</v>
      </c>
      <c r="I511" s="61"/>
      <c r="J511" s="61"/>
      <c r="K511" s="61"/>
      <c r="L511" s="61"/>
      <c r="M511" s="61"/>
    </row>
    <row r="512" spans="1:14" ht="15.75" x14ac:dyDescent="0.25">
      <c r="A512" s="129">
        <f t="shared" si="48"/>
        <v>4</v>
      </c>
      <c r="B512" s="129" t="s">
        <v>346</v>
      </c>
      <c r="C512" s="129">
        <f t="shared" si="41"/>
        <v>360.64782000000002</v>
      </c>
      <c r="D512" s="130">
        <f t="shared" si="47"/>
        <v>432.77738400000004</v>
      </c>
      <c r="E512" s="129">
        <v>0</v>
      </c>
      <c r="F512" s="129">
        <f t="shared" si="46"/>
        <v>540.97172999999998</v>
      </c>
      <c r="I512" s="61"/>
      <c r="J512" s="61"/>
      <c r="K512" s="59"/>
      <c r="L512" s="61"/>
      <c r="M512" s="61"/>
    </row>
    <row r="513" spans="1:13" ht="15.75" x14ac:dyDescent="0.25">
      <c r="A513" s="129">
        <f t="shared" si="48"/>
        <v>5</v>
      </c>
      <c r="B513" s="129" t="s">
        <v>346</v>
      </c>
      <c r="C513" s="129">
        <f t="shared" si="41"/>
        <v>360.64782000000002</v>
      </c>
      <c r="D513" s="130">
        <f t="shared" si="47"/>
        <v>432.77738400000004</v>
      </c>
      <c r="E513" s="129">
        <v>0</v>
      </c>
      <c r="F513" s="129">
        <f t="shared" si="46"/>
        <v>540.97172999999998</v>
      </c>
      <c r="I513" s="61"/>
      <c r="J513" s="61"/>
      <c r="K513" s="137"/>
      <c r="L513" s="61"/>
      <c r="M513" s="61"/>
    </row>
    <row r="514" spans="1:13" x14ac:dyDescent="0.25">
      <c r="A514" s="129">
        <f t="shared" si="48"/>
        <v>6</v>
      </c>
      <c r="B514" s="129" t="s">
        <v>346</v>
      </c>
      <c r="C514" s="129">
        <f t="shared" si="41"/>
        <v>360.64782000000002</v>
      </c>
      <c r="D514" s="130">
        <f t="shared" si="47"/>
        <v>432.77738400000004</v>
      </c>
      <c r="E514" s="129">
        <v>0</v>
      </c>
      <c r="F514" s="129">
        <f t="shared" si="46"/>
        <v>540.97172999999998</v>
      </c>
      <c r="I514" s="61"/>
      <c r="J514" s="61"/>
      <c r="K514" s="61"/>
      <c r="L514" s="61"/>
      <c r="M514" s="61"/>
    </row>
    <row r="515" spans="1:13" x14ac:dyDescent="0.25">
      <c r="A515" s="129">
        <f t="shared" si="48"/>
        <v>7</v>
      </c>
      <c r="B515" s="129" t="s">
        <v>346</v>
      </c>
      <c r="C515" s="129">
        <f t="shared" si="41"/>
        <v>360.64782000000002</v>
      </c>
      <c r="D515" s="130">
        <f t="shared" si="47"/>
        <v>432.77738400000004</v>
      </c>
      <c r="E515" s="129">
        <v>0</v>
      </c>
      <c r="F515" s="129">
        <f t="shared" si="46"/>
        <v>540.97172999999998</v>
      </c>
      <c r="I515" s="61"/>
      <c r="J515" s="61"/>
      <c r="K515" s="61"/>
      <c r="L515" s="61"/>
      <c r="M515" s="61"/>
    </row>
    <row r="516" spans="1:13" x14ac:dyDescent="0.25">
      <c r="A516" s="129">
        <f t="shared" si="48"/>
        <v>8</v>
      </c>
      <c r="B516" s="129" t="s">
        <v>346</v>
      </c>
      <c r="C516" s="129">
        <f t="shared" si="41"/>
        <v>360.64782000000002</v>
      </c>
      <c r="D516" s="130">
        <f t="shared" si="47"/>
        <v>432.77738400000004</v>
      </c>
      <c r="E516" s="129">
        <v>0</v>
      </c>
      <c r="F516" s="129">
        <f t="shared" si="46"/>
        <v>540.97172999999998</v>
      </c>
      <c r="I516" s="61"/>
      <c r="J516" s="61"/>
      <c r="K516" s="61"/>
      <c r="L516" s="61"/>
      <c r="M516" s="61"/>
    </row>
    <row r="517" spans="1:13" x14ac:dyDescent="0.25">
      <c r="A517" s="129">
        <f t="shared" si="48"/>
        <v>9</v>
      </c>
      <c r="B517" s="129" t="s">
        <v>346</v>
      </c>
      <c r="C517" s="129">
        <f t="shared" si="41"/>
        <v>360.64782000000002</v>
      </c>
      <c r="D517" s="130">
        <f t="shared" si="47"/>
        <v>432.77738400000004</v>
      </c>
      <c r="E517" s="129">
        <v>0</v>
      </c>
      <c r="F517" s="129">
        <f t="shared" si="46"/>
        <v>540.97172999999998</v>
      </c>
      <c r="I517" s="61"/>
      <c r="J517" s="61"/>
      <c r="K517" s="61"/>
      <c r="L517" s="61"/>
      <c r="M517" s="61"/>
    </row>
    <row r="518" spans="1:13" x14ac:dyDescent="0.25">
      <c r="A518" s="129">
        <f t="shared" si="48"/>
        <v>10</v>
      </c>
      <c r="B518" s="129" t="s">
        <v>346</v>
      </c>
      <c r="C518" s="129">
        <f t="shared" si="41"/>
        <v>360.64782000000002</v>
      </c>
      <c r="D518" s="130">
        <f t="shared" si="47"/>
        <v>432.77738400000004</v>
      </c>
      <c r="E518" s="129">
        <v>0</v>
      </c>
      <c r="F518" s="129">
        <f t="shared" si="46"/>
        <v>540.97172999999998</v>
      </c>
      <c r="I518" s="61"/>
      <c r="J518" s="61"/>
      <c r="K518" s="61"/>
      <c r="L518" s="61"/>
      <c r="M518" s="61"/>
    </row>
    <row r="519" spans="1:13" x14ac:dyDescent="0.25">
      <c r="A519" s="129">
        <f t="shared" si="48"/>
        <v>11</v>
      </c>
      <c r="B519" s="129" t="s">
        <v>346</v>
      </c>
      <c r="C519" s="129">
        <f t="shared" si="41"/>
        <v>360.64782000000002</v>
      </c>
      <c r="D519" s="130">
        <f t="shared" si="47"/>
        <v>432.77738400000004</v>
      </c>
      <c r="E519" s="129">
        <v>0</v>
      </c>
      <c r="F519" s="129">
        <f t="shared" si="46"/>
        <v>540.97172999999998</v>
      </c>
      <c r="I519" s="61"/>
      <c r="J519" s="61"/>
      <c r="K519" s="61"/>
      <c r="L519" s="61"/>
      <c r="M519" s="61"/>
    </row>
    <row r="520" spans="1:13" x14ac:dyDescent="0.25">
      <c r="A520" s="129">
        <f t="shared" si="48"/>
        <v>12</v>
      </c>
      <c r="B520" s="129" t="s">
        <v>346</v>
      </c>
      <c r="C520" s="129">
        <f t="shared" si="41"/>
        <v>360.64782000000002</v>
      </c>
      <c r="D520" s="130">
        <f t="shared" si="47"/>
        <v>432.77738400000004</v>
      </c>
      <c r="E520" s="129">
        <v>0</v>
      </c>
      <c r="F520" s="129">
        <f t="shared" si="46"/>
        <v>540.97172999999998</v>
      </c>
      <c r="I520" s="61"/>
      <c r="J520" s="61"/>
      <c r="K520" s="61"/>
      <c r="L520" s="61"/>
      <c r="M520" s="61"/>
    </row>
    <row r="521" spans="1:13" x14ac:dyDescent="0.25">
      <c r="A521" s="129">
        <f t="shared" si="48"/>
        <v>13</v>
      </c>
      <c r="B521" s="129" t="s">
        <v>346</v>
      </c>
      <c r="C521" s="129">
        <f t="shared" si="41"/>
        <v>360.64782000000002</v>
      </c>
      <c r="D521" s="130">
        <f t="shared" si="47"/>
        <v>432.77738400000004</v>
      </c>
      <c r="E521" s="129">
        <v>0</v>
      </c>
      <c r="F521" s="129">
        <f t="shared" si="46"/>
        <v>540.97172999999998</v>
      </c>
      <c r="I521" s="61"/>
      <c r="J521" s="61"/>
      <c r="K521" s="61"/>
      <c r="L521" s="61"/>
      <c r="M521" s="61"/>
    </row>
    <row r="522" spans="1:13" x14ac:dyDescent="0.25">
      <c r="A522" s="129">
        <f t="shared" si="48"/>
        <v>14</v>
      </c>
      <c r="B522" s="129" t="s">
        <v>346</v>
      </c>
      <c r="C522" s="129">
        <f t="shared" si="41"/>
        <v>360.64782000000002</v>
      </c>
      <c r="D522" s="130">
        <f t="shared" si="47"/>
        <v>432.77738400000004</v>
      </c>
      <c r="E522" s="129">
        <v>0</v>
      </c>
      <c r="F522" s="129">
        <f t="shared" si="46"/>
        <v>540.97172999999998</v>
      </c>
      <c r="I522" s="61"/>
      <c r="J522" s="61"/>
      <c r="K522" s="61"/>
      <c r="L522" s="61"/>
      <c r="M522" s="61"/>
    </row>
    <row r="523" spans="1:13" x14ac:dyDescent="0.25">
      <c r="A523" s="129">
        <f t="shared" si="48"/>
        <v>15</v>
      </c>
      <c r="B523" s="129" t="s">
        <v>346</v>
      </c>
      <c r="C523" s="129">
        <f t="shared" si="41"/>
        <v>360.64782000000002</v>
      </c>
      <c r="D523" s="130">
        <f t="shared" si="47"/>
        <v>432.77738400000004</v>
      </c>
      <c r="E523" s="129">
        <v>0</v>
      </c>
      <c r="F523" s="129">
        <f t="shared" si="46"/>
        <v>540.97172999999998</v>
      </c>
      <c r="I523" s="61"/>
      <c r="J523" s="61"/>
      <c r="K523" s="61"/>
      <c r="L523" s="61"/>
      <c r="M523" s="61"/>
    </row>
    <row r="524" spans="1:13" x14ac:dyDescent="0.25">
      <c r="A524" s="129">
        <f t="shared" si="48"/>
        <v>16</v>
      </c>
      <c r="B524" s="129" t="s">
        <v>346</v>
      </c>
      <c r="C524" s="129">
        <f t="shared" si="41"/>
        <v>360.64782000000002</v>
      </c>
      <c r="D524" s="130">
        <f t="shared" si="47"/>
        <v>432.77738400000004</v>
      </c>
      <c r="E524" s="129">
        <v>0</v>
      </c>
      <c r="F524" s="129">
        <f t="shared" si="46"/>
        <v>540.97172999999998</v>
      </c>
      <c r="I524" s="61"/>
      <c r="J524" s="61"/>
      <c r="K524" s="61"/>
      <c r="L524" s="61"/>
      <c r="M524" s="61"/>
    </row>
    <row r="525" spans="1:13" x14ac:dyDescent="0.25">
      <c r="A525" s="129">
        <f t="shared" si="48"/>
        <v>17</v>
      </c>
      <c r="B525" s="129" t="s">
        <v>346</v>
      </c>
      <c r="C525" s="129">
        <f t="shared" si="41"/>
        <v>360.64782000000002</v>
      </c>
      <c r="D525" s="130">
        <f t="shared" si="47"/>
        <v>432.77738400000004</v>
      </c>
      <c r="E525" s="129">
        <v>0</v>
      </c>
      <c r="F525" s="129">
        <f t="shared" si="46"/>
        <v>540.97172999999998</v>
      </c>
      <c r="I525" s="61"/>
      <c r="J525" s="61"/>
      <c r="K525" s="61"/>
      <c r="L525" s="61"/>
      <c r="M525" s="61"/>
    </row>
    <row r="526" spans="1:13" x14ac:dyDescent="0.25">
      <c r="A526" s="129">
        <f t="shared" si="48"/>
        <v>18</v>
      </c>
      <c r="B526" s="129" t="s">
        <v>346</v>
      </c>
      <c r="C526" s="129">
        <f t="shared" ref="C526:C528" si="49">(29.98+0.75*2.7+1.2*1.25)*10.764</f>
        <v>360.64782000000002</v>
      </c>
      <c r="D526" s="130">
        <f t="shared" si="47"/>
        <v>432.77738400000004</v>
      </c>
      <c r="E526" s="129">
        <v>0</v>
      </c>
      <c r="F526" s="129">
        <f t="shared" si="46"/>
        <v>540.97172999999998</v>
      </c>
      <c r="I526" s="61"/>
      <c r="J526" s="61"/>
      <c r="K526" s="61"/>
      <c r="L526" s="61"/>
      <c r="M526" s="61"/>
    </row>
    <row r="527" spans="1:13" x14ac:dyDescent="0.25">
      <c r="A527" s="129">
        <f t="shared" si="48"/>
        <v>19</v>
      </c>
      <c r="B527" s="129" t="s">
        <v>346</v>
      </c>
      <c r="C527" s="129">
        <f t="shared" si="49"/>
        <v>360.64782000000002</v>
      </c>
      <c r="D527" s="130">
        <f t="shared" si="47"/>
        <v>432.77738400000004</v>
      </c>
      <c r="E527" s="129">
        <v>0</v>
      </c>
      <c r="F527" s="129">
        <f t="shared" si="46"/>
        <v>540.97172999999998</v>
      </c>
      <c r="I527" s="61"/>
      <c r="J527" s="61"/>
      <c r="K527" s="61"/>
      <c r="L527" s="61"/>
      <c r="M527" s="61"/>
    </row>
    <row r="528" spans="1:13" x14ac:dyDescent="0.25">
      <c r="A528" s="129">
        <f t="shared" si="48"/>
        <v>20</v>
      </c>
      <c r="B528" s="129" t="s">
        <v>346</v>
      </c>
      <c r="C528" s="129">
        <f t="shared" si="49"/>
        <v>360.64782000000002</v>
      </c>
      <c r="D528" s="130">
        <f t="shared" si="47"/>
        <v>432.77738400000004</v>
      </c>
      <c r="E528" s="129">
        <v>0</v>
      </c>
      <c r="F528" s="129">
        <f t="shared" si="46"/>
        <v>540.97172999999998</v>
      </c>
      <c r="I528" s="61"/>
      <c r="J528" s="61"/>
      <c r="K528" s="61"/>
      <c r="L528" s="61"/>
      <c r="M528" s="61"/>
    </row>
    <row r="529" spans="1:14" s="138" customFormat="1" ht="15.75" customHeight="1" x14ac:dyDescent="0.25">
      <c r="A529" s="241" t="s">
        <v>348</v>
      </c>
      <c r="B529" s="241"/>
      <c r="C529" s="241"/>
      <c r="D529" s="241"/>
      <c r="E529" s="241"/>
      <c r="F529" s="241"/>
      <c r="G529" s="43">
        <v>2</v>
      </c>
      <c r="H529" s="43"/>
      <c r="I529" s="137"/>
      <c r="J529" s="137"/>
      <c r="K529" s="61"/>
      <c r="L529" s="137"/>
      <c r="M529" s="137"/>
    </row>
    <row r="530" spans="1:14" s="138" customFormat="1" ht="15.75" x14ac:dyDescent="0.25">
      <c r="A530" s="129">
        <v>1</v>
      </c>
      <c r="B530" s="129" t="s">
        <v>346</v>
      </c>
      <c r="C530" s="129">
        <f t="shared" ref="C530:C547" si="50">(29.98+0.75*2.7+1.25*1.2)*10.764</f>
        <v>360.64782000000002</v>
      </c>
      <c r="D530" s="130">
        <f>C530*1.2</f>
        <v>432.77738400000004</v>
      </c>
      <c r="E530" s="129">
        <v>0</v>
      </c>
      <c r="F530" s="129">
        <f t="shared" ref="F530:F547" si="51">C530*(($F$296)+1)+(IF(E530&lt;101,E530,IF(E530&lt;201,E530/2,IF(E530&lt;=301,E530/3,E530/4))))</f>
        <v>540.97172999999998</v>
      </c>
      <c r="G530" s="173"/>
      <c r="H530" s="173"/>
      <c r="I530" s="59"/>
      <c r="J530" s="60"/>
      <c r="K530" s="61"/>
      <c r="L530" s="163"/>
      <c r="M530" s="163"/>
      <c r="N530" s="40"/>
    </row>
    <row r="531" spans="1:14" x14ac:dyDescent="0.25">
      <c r="A531" s="129">
        <f>A530+1</f>
        <v>2</v>
      </c>
      <c r="B531" s="129" t="s">
        <v>346</v>
      </c>
      <c r="C531" s="129">
        <f t="shared" si="50"/>
        <v>360.64782000000002</v>
      </c>
      <c r="D531" s="130">
        <f t="shared" ref="D531:D547" si="52">C531*1.2</f>
        <v>432.77738400000004</v>
      </c>
      <c r="E531" s="129">
        <v>0</v>
      </c>
      <c r="F531" s="129">
        <f t="shared" si="51"/>
        <v>540.97172999999998</v>
      </c>
      <c r="I531" s="61"/>
      <c r="J531" s="61"/>
      <c r="K531" s="61"/>
      <c r="L531" s="61"/>
      <c r="M531" s="61"/>
    </row>
    <row r="532" spans="1:14" x14ac:dyDescent="0.25">
      <c r="A532" s="129">
        <f t="shared" ref="A532:A549" si="53">A531+1</f>
        <v>3</v>
      </c>
      <c r="B532" s="129" t="s">
        <v>346</v>
      </c>
      <c r="C532" s="129">
        <f t="shared" si="50"/>
        <v>360.64782000000002</v>
      </c>
      <c r="D532" s="130">
        <f t="shared" si="52"/>
        <v>432.77738400000004</v>
      </c>
      <c r="E532" s="129">
        <v>0</v>
      </c>
      <c r="F532" s="129">
        <f t="shared" si="51"/>
        <v>540.97172999999998</v>
      </c>
      <c r="I532" s="61"/>
      <c r="J532" s="61"/>
      <c r="K532" s="61"/>
      <c r="L532" s="61"/>
      <c r="M532" s="61"/>
    </row>
    <row r="533" spans="1:14" ht="15.75" x14ac:dyDescent="0.25">
      <c r="A533" s="129">
        <f t="shared" si="53"/>
        <v>4</v>
      </c>
      <c r="B533" s="129" t="s">
        <v>346</v>
      </c>
      <c r="C533" s="129">
        <f t="shared" si="50"/>
        <v>360.64782000000002</v>
      </c>
      <c r="D533" s="130">
        <f t="shared" si="52"/>
        <v>432.77738400000004</v>
      </c>
      <c r="E533" s="129">
        <v>0</v>
      </c>
      <c r="F533" s="129">
        <f t="shared" si="51"/>
        <v>540.97172999999998</v>
      </c>
      <c r="I533" s="61"/>
      <c r="J533" s="61"/>
      <c r="K533" s="59"/>
      <c r="L533" s="61"/>
      <c r="M533" s="61"/>
    </row>
    <row r="534" spans="1:14" ht="15.75" x14ac:dyDescent="0.25">
      <c r="A534" s="129">
        <f t="shared" si="53"/>
        <v>5</v>
      </c>
      <c r="B534" s="129" t="s">
        <v>346</v>
      </c>
      <c r="C534" s="129">
        <f t="shared" si="50"/>
        <v>360.64782000000002</v>
      </c>
      <c r="D534" s="130">
        <f t="shared" si="52"/>
        <v>432.77738400000004</v>
      </c>
      <c r="E534" s="129">
        <v>0</v>
      </c>
      <c r="F534" s="129">
        <f t="shared" si="51"/>
        <v>540.97172999999998</v>
      </c>
      <c r="I534" s="61"/>
      <c r="J534" s="61"/>
      <c r="K534" s="137"/>
      <c r="L534" s="61"/>
      <c r="M534" s="61"/>
    </row>
    <row r="535" spans="1:14" x14ac:dyDescent="0.25">
      <c r="A535" s="129">
        <f t="shared" si="53"/>
        <v>6</v>
      </c>
      <c r="B535" s="129" t="s">
        <v>346</v>
      </c>
      <c r="C535" s="129">
        <f t="shared" si="50"/>
        <v>360.64782000000002</v>
      </c>
      <c r="D535" s="130">
        <f t="shared" si="52"/>
        <v>432.77738400000004</v>
      </c>
      <c r="E535" s="129">
        <v>0</v>
      </c>
      <c r="F535" s="129">
        <f t="shared" si="51"/>
        <v>540.97172999999998</v>
      </c>
      <c r="I535" s="61"/>
      <c r="J535" s="61"/>
      <c r="K535" s="61"/>
      <c r="L535" s="61"/>
      <c r="M535" s="61"/>
    </row>
    <row r="536" spans="1:14" x14ac:dyDescent="0.25">
      <c r="A536" s="129">
        <f t="shared" si="53"/>
        <v>7</v>
      </c>
      <c r="B536" s="129" t="s">
        <v>346</v>
      </c>
      <c r="C536" s="129">
        <f t="shared" si="50"/>
        <v>360.64782000000002</v>
      </c>
      <c r="D536" s="130">
        <f t="shared" si="52"/>
        <v>432.77738400000004</v>
      </c>
      <c r="E536" s="129">
        <v>0</v>
      </c>
      <c r="F536" s="129">
        <f t="shared" si="51"/>
        <v>540.97172999999998</v>
      </c>
      <c r="I536" s="61"/>
      <c r="J536" s="61"/>
      <c r="K536" s="61"/>
      <c r="L536" s="61"/>
      <c r="M536" s="61"/>
    </row>
    <row r="537" spans="1:14" x14ac:dyDescent="0.25">
      <c r="A537" s="129">
        <f t="shared" si="53"/>
        <v>8</v>
      </c>
      <c r="B537" s="129" t="s">
        <v>346</v>
      </c>
      <c r="C537" s="129">
        <f t="shared" si="50"/>
        <v>360.64782000000002</v>
      </c>
      <c r="D537" s="130">
        <f t="shared" si="52"/>
        <v>432.77738400000004</v>
      </c>
      <c r="E537" s="129">
        <v>0</v>
      </c>
      <c r="F537" s="129">
        <f t="shared" si="51"/>
        <v>540.97172999999998</v>
      </c>
      <c r="I537" s="61"/>
      <c r="J537" s="61"/>
      <c r="K537" s="61"/>
      <c r="L537" s="61"/>
      <c r="M537" s="61"/>
    </row>
    <row r="538" spans="1:14" x14ac:dyDescent="0.25">
      <c r="A538" s="129">
        <f t="shared" si="53"/>
        <v>9</v>
      </c>
      <c r="B538" s="129" t="s">
        <v>346</v>
      </c>
      <c r="C538" s="129">
        <f t="shared" si="50"/>
        <v>360.64782000000002</v>
      </c>
      <c r="D538" s="130">
        <f t="shared" si="52"/>
        <v>432.77738400000004</v>
      </c>
      <c r="E538" s="129">
        <v>0</v>
      </c>
      <c r="F538" s="129">
        <f t="shared" si="51"/>
        <v>540.97172999999998</v>
      </c>
      <c r="H538">
        <f>1719000/F538</f>
        <v>3177.615214754383</v>
      </c>
      <c r="I538" s="61"/>
      <c r="J538" s="61"/>
      <c r="K538" s="61"/>
      <c r="L538" s="61"/>
      <c r="M538" s="61"/>
    </row>
    <row r="539" spans="1:14" x14ac:dyDescent="0.25">
      <c r="A539" s="129">
        <f t="shared" si="53"/>
        <v>10</v>
      </c>
      <c r="B539" s="129" t="s">
        <v>346</v>
      </c>
      <c r="C539" s="129">
        <f t="shared" si="50"/>
        <v>360.64782000000002</v>
      </c>
      <c r="D539" s="130">
        <f t="shared" si="52"/>
        <v>432.77738400000004</v>
      </c>
      <c r="E539" s="129">
        <v>0</v>
      </c>
      <c r="F539" s="129">
        <f t="shared" si="51"/>
        <v>540.97172999999998</v>
      </c>
      <c r="I539" s="61"/>
      <c r="J539" s="61"/>
      <c r="K539" s="61"/>
      <c r="L539" s="61"/>
      <c r="M539" s="61"/>
    </row>
    <row r="540" spans="1:14" x14ac:dyDescent="0.25">
      <c r="A540" s="129">
        <f t="shared" si="53"/>
        <v>11</v>
      </c>
      <c r="B540" s="129" t="s">
        <v>346</v>
      </c>
      <c r="C540" s="129">
        <f t="shared" si="50"/>
        <v>360.64782000000002</v>
      </c>
      <c r="D540" s="130">
        <f t="shared" si="52"/>
        <v>432.77738400000004</v>
      </c>
      <c r="E540" s="129">
        <v>0</v>
      </c>
      <c r="F540" s="129">
        <f t="shared" si="51"/>
        <v>540.97172999999998</v>
      </c>
      <c r="I540" s="61"/>
      <c r="J540" s="61"/>
      <c r="K540" s="61"/>
      <c r="L540" s="61"/>
      <c r="M540" s="61"/>
    </row>
    <row r="541" spans="1:14" x14ac:dyDescent="0.25">
      <c r="A541" s="129">
        <f t="shared" si="53"/>
        <v>12</v>
      </c>
      <c r="B541" s="129" t="s">
        <v>346</v>
      </c>
      <c r="C541" s="129">
        <f t="shared" si="50"/>
        <v>360.64782000000002</v>
      </c>
      <c r="D541" s="130">
        <f t="shared" si="52"/>
        <v>432.77738400000004</v>
      </c>
      <c r="E541" s="129">
        <v>0</v>
      </c>
      <c r="F541" s="129">
        <f t="shared" si="51"/>
        <v>540.97172999999998</v>
      </c>
      <c r="I541" s="61"/>
      <c r="J541" s="61"/>
      <c r="K541" s="61"/>
      <c r="L541" s="61"/>
      <c r="M541" s="61"/>
    </row>
    <row r="542" spans="1:14" x14ac:dyDescent="0.25">
      <c r="A542" s="129">
        <f t="shared" si="53"/>
        <v>13</v>
      </c>
      <c r="B542" s="129" t="s">
        <v>346</v>
      </c>
      <c r="C542" s="129">
        <f t="shared" si="50"/>
        <v>360.64782000000002</v>
      </c>
      <c r="D542" s="130">
        <f t="shared" si="52"/>
        <v>432.77738400000004</v>
      </c>
      <c r="E542" s="129">
        <v>0</v>
      </c>
      <c r="F542" s="129">
        <f t="shared" si="51"/>
        <v>540.97172999999998</v>
      </c>
      <c r="I542" s="61"/>
      <c r="J542" s="61"/>
      <c r="K542" s="61"/>
      <c r="L542" s="61"/>
      <c r="M542" s="61"/>
    </row>
    <row r="543" spans="1:14" x14ac:dyDescent="0.25">
      <c r="A543" s="129">
        <f t="shared" si="53"/>
        <v>14</v>
      </c>
      <c r="B543" s="129" t="s">
        <v>346</v>
      </c>
      <c r="C543" s="129">
        <f t="shared" si="50"/>
        <v>360.64782000000002</v>
      </c>
      <c r="D543" s="130">
        <f t="shared" si="52"/>
        <v>432.77738400000004</v>
      </c>
      <c r="E543" s="129">
        <v>0</v>
      </c>
      <c r="F543" s="129">
        <f t="shared" si="51"/>
        <v>540.97172999999998</v>
      </c>
      <c r="I543" s="61"/>
      <c r="J543" s="61"/>
      <c r="K543" s="61"/>
      <c r="L543" s="61"/>
      <c r="M543" s="61"/>
    </row>
    <row r="544" spans="1:14" x14ac:dyDescent="0.25">
      <c r="A544" s="129">
        <f t="shared" si="53"/>
        <v>15</v>
      </c>
      <c r="B544" s="129" t="s">
        <v>346</v>
      </c>
      <c r="C544" s="129">
        <f t="shared" si="50"/>
        <v>360.64782000000002</v>
      </c>
      <c r="D544" s="130">
        <f t="shared" si="52"/>
        <v>432.77738400000004</v>
      </c>
      <c r="E544" s="129">
        <v>0</v>
      </c>
      <c r="F544" s="129">
        <f t="shared" si="51"/>
        <v>540.97172999999998</v>
      </c>
      <c r="I544" s="61"/>
      <c r="J544" s="61"/>
      <c r="K544" s="61"/>
      <c r="L544" s="61"/>
      <c r="M544" s="61"/>
    </row>
    <row r="545" spans="1:13" x14ac:dyDescent="0.25">
      <c r="A545" s="129">
        <f t="shared" si="53"/>
        <v>16</v>
      </c>
      <c r="B545" s="129" t="s">
        <v>346</v>
      </c>
      <c r="C545" s="129">
        <f t="shared" si="50"/>
        <v>360.64782000000002</v>
      </c>
      <c r="D545" s="130">
        <f t="shared" si="52"/>
        <v>432.77738400000004</v>
      </c>
      <c r="E545" s="129">
        <v>0</v>
      </c>
      <c r="F545" s="129">
        <f t="shared" si="51"/>
        <v>540.97172999999998</v>
      </c>
      <c r="I545" s="61"/>
      <c r="J545" s="61"/>
      <c r="K545" s="61"/>
      <c r="L545" s="61"/>
      <c r="M545" s="61"/>
    </row>
    <row r="546" spans="1:13" x14ac:dyDescent="0.25">
      <c r="A546" s="129">
        <f t="shared" si="53"/>
        <v>17</v>
      </c>
      <c r="B546" s="129" t="s">
        <v>346</v>
      </c>
      <c r="C546" s="129">
        <f t="shared" si="50"/>
        <v>360.64782000000002</v>
      </c>
      <c r="D546" s="130">
        <f t="shared" si="52"/>
        <v>432.77738400000004</v>
      </c>
      <c r="E546" s="129">
        <v>0</v>
      </c>
      <c r="F546" s="129">
        <f t="shared" si="51"/>
        <v>540.97172999999998</v>
      </c>
      <c r="I546" s="61"/>
      <c r="J546" s="61"/>
      <c r="K546" s="61"/>
      <c r="L546" s="61"/>
      <c r="M546" s="61"/>
    </row>
    <row r="547" spans="1:13" x14ac:dyDescent="0.25">
      <c r="A547" s="129">
        <f t="shared" si="53"/>
        <v>18</v>
      </c>
      <c r="B547" s="129" t="s">
        <v>346</v>
      </c>
      <c r="C547" s="129">
        <f t="shared" si="50"/>
        <v>360.64782000000002</v>
      </c>
      <c r="D547" s="130">
        <f t="shared" si="52"/>
        <v>432.77738400000004</v>
      </c>
      <c r="E547" s="129">
        <v>0</v>
      </c>
      <c r="F547" s="129">
        <f t="shared" si="51"/>
        <v>540.97172999999998</v>
      </c>
      <c r="I547" s="61"/>
      <c r="J547" s="61"/>
      <c r="K547" s="61"/>
      <c r="L547" s="61"/>
      <c r="M547" s="61"/>
    </row>
    <row r="548" spans="1:13" x14ac:dyDescent="0.25">
      <c r="A548" s="129">
        <f t="shared" si="53"/>
        <v>19</v>
      </c>
      <c r="B548" s="242" t="s">
        <v>349</v>
      </c>
      <c r="C548" s="243"/>
      <c r="D548" s="243"/>
      <c r="E548" s="243"/>
      <c r="F548" s="244"/>
      <c r="I548" s="61"/>
      <c r="J548" s="61"/>
      <c r="K548" s="61"/>
      <c r="L548" s="61"/>
      <c r="M548" s="61"/>
    </row>
    <row r="549" spans="1:13" ht="15.75" thickBot="1" x14ac:dyDescent="0.3">
      <c r="A549" s="129">
        <f t="shared" si="53"/>
        <v>20</v>
      </c>
      <c r="B549" s="245"/>
      <c r="C549" s="246"/>
      <c r="D549" s="246"/>
      <c r="E549" s="246"/>
      <c r="F549" s="247"/>
      <c r="I549" s="61"/>
      <c r="J549" s="61"/>
      <c r="K549" s="61"/>
      <c r="L549" s="61"/>
      <c r="M549" s="61"/>
    </row>
    <row r="550" spans="1:13" x14ac:dyDescent="0.25">
      <c r="A550" s="175" t="s">
        <v>59</v>
      </c>
      <c r="B550" s="176"/>
      <c r="C550" s="176"/>
      <c r="D550" s="176"/>
      <c r="E550" s="176"/>
      <c r="F550" s="177"/>
      <c r="I550" s="61"/>
      <c r="J550" s="61"/>
      <c r="K550" s="56"/>
    </row>
    <row r="551" spans="1:13" s="1" customFormat="1" ht="32.25" customHeight="1" x14ac:dyDescent="0.2">
      <c r="A551" s="117" t="s">
        <v>211</v>
      </c>
      <c r="B551" s="168" t="s">
        <v>273</v>
      </c>
      <c r="C551" s="168"/>
      <c r="D551" s="49" t="s">
        <v>212</v>
      </c>
      <c r="E551" s="168" t="s">
        <v>274</v>
      </c>
      <c r="F551" s="248"/>
      <c r="G551" s="53"/>
      <c r="H551" s="169"/>
      <c r="I551" s="169"/>
      <c r="J551" s="53"/>
      <c r="L551" s="55"/>
    </row>
    <row r="552" spans="1:13" s="1" customFormat="1" ht="12.75" x14ac:dyDescent="0.2">
      <c r="A552" s="117">
        <v>1</v>
      </c>
      <c r="B552" s="167" t="s">
        <v>388</v>
      </c>
      <c r="C552" s="167"/>
      <c r="D552" s="92">
        <v>3300</v>
      </c>
      <c r="E552" s="167" t="s">
        <v>275</v>
      </c>
      <c r="F552" s="170"/>
    </row>
    <row r="553" spans="1:13" s="1" customFormat="1" ht="12.75" hidden="1" x14ac:dyDescent="0.2">
      <c r="A553" s="117">
        <v>2</v>
      </c>
      <c r="B553" s="167"/>
      <c r="C553" s="167"/>
      <c r="D553" s="92"/>
      <c r="E553" s="167" t="s">
        <v>275</v>
      </c>
      <c r="F553" s="170"/>
      <c r="K553" s="54"/>
    </row>
    <row r="554" spans="1:13" s="1" customFormat="1" ht="12.75" hidden="1" x14ac:dyDescent="0.2">
      <c r="A554" s="117">
        <v>3</v>
      </c>
      <c r="B554" s="167"/>
      <c r="C554" s="167"/>
      <c r="D554" s="92"/>
      <c r="E554" s="167" t="s">
        <v>275</v>
      </c>
      <c r="F554" s="170"/>
    </row>
    <row r="555" spans="1:13" s="1" customFormat="1" ht="12.75" hidden="1" x14ac:dyDescent="0.2">
      <c r="A555" s="117">
        <v>4</v>
      </c>
      <c r="B555" s="167"/>
      <c r="C555" s="167"/>
      <c r="D555" s="92"/>
      <c r="E555" s="167" t="s">
        <v>275</v>
      </c>
      <c r="F555" s="170"/>
    </row>
    <row r="556" spans="1:13" s="1" customFormat="1" ht="12.75" hidden="1" x14ac:dyDescent="0.2">
      <c r="A556" s="117">
        <v>5</v>
      </c>
      <c r="B556" s="167"/>
      <c r="C556" s="167"/>
      <c r="D556" s="92"/>
      <c r="E556" s="167" t="s">
        <v>275</v>
      </c>
      <c r="F556" s="170"/>
      <c r="G556" s="56"/>
      <c r="H556" s="56"/>
      <c r="I556" s="56"/>
      <c r="J556" s="56"/>
      <c r="K556" s="56"/>
      <c r="L556" s="56"/>
    </row>
    <row r="557" spans="1:13" s="1" customFormat="1" ht="12.75" hidden="1" x14ac:dyDescent="0.2">
      <c r="A557" s="117">
        <v>6</v>
      </c>
      <c r="B557" s="167"/>
      <c r="C557" s="167"/>
      <c r="D557" s="92"/>
      <c r="E557" s="167" t="s">
        <v>275</v>
      </c>
      <c r="F557" s="170"/>
      <c r="G557" s="56"/>
      <c r="H557" s="56"/>
      <c r="I557" s="56"/>
      <c r="J557" s="56"/>
      <c r="K557" s="57"/>
      <c r="L557" s="56"/>
    </row>
    <row r="558" spans="1:13" s="1" customFormat="1" ht="61.5" customHeight="1" x14ac:dyDescent="0.2">
      <c r="A558" s="117" t="s">
        <v>213</v>
      </c>
      <c r="B558" s="49" t="s">
        <v>214</v>
      </c>
      <c r="C558" s="49" t="s">
        <v>215</v>
      </c>
      <c r="D558" s="49" t="s">
        <v>216</v>
      </c>
      <c r="E558" s="49" t="s">
        <v>217</v>
      </c>
      <c r="F558" s="113" t="s">
        <v>218</v>
      </c>
      <c r="G558" s="58"/>
      <c r="H558" s="58"/>
      <c r="I558" s="58"/>
      <c r="J558" s="58"/>
      <c r="K558" s="56"/>
      <c r="L558" s="58"/>
    </row>
    <row r="559" spans="1:13" s="1" customFormat="1" ht="12.75" x14ac:dyDescent="0.2">
      <c r="A559" s="117" t="s">
        <v>219</v>
      </c>
      <c r="B559" s="92" t="s">
        <v>247</v>
      </c>
      <c r="C559" s="92" t="s">
        <v>247</v>
      </c>
      <c r="D559" s="92"/>
      <c r="E559" s="92"/>
      <c r="F559" s="125"/>
      <c r="G559" s="56"/>
      <c r="H559" s="56"/>
      <c r="I559" s="56"/>
      <c r="J559" s="56"/>
      <c r="K559" s="56"/>
      <c r="L559" s="56"/>
    </row>
    <row r="560" spans="1:13" s="1" customFormat="1" ht="12.75" hidden="1" x14ac:dyDescent="0.2">
      <c r="A560" s="117" t="s">
        <v>220</v>
      </c>
      <c r="B560" s="92"/>
      <c r="C560" s="92"/>
      <c r="D560" s="92"/>
      <c r="E560" s="92"/>
      <c r="F560" s="125"/>
      <c r="G560" s="56"/>
      <c r="H560" s="56"/>
      <c r="I560" s="56"/>
      <c r="J560" s="56"/>
      <c r="K560" s="56"/>
      <c r="L560" s="56"/>
    </row>
    <row r="561" spans="1:12" s="1" customFormat="1" ht="12.75" hidden="1" x14ac:dyDescent="0.2">
      <c r="A561" s="117" t="s">
        <v>221</v>
      </c>
      <c r="B561" s="92"/>
      <c r="C561" s="92"/>
      <c r="D561" s="92"/>
      <c r="E561" s="92"/>
      <c r="F561" s="125"/>
    </row>
    <row r="562" spans="1:12" s="1" customFormat="1" ht="12.75" hidden="1" x14ac:dyDescent="0.2">
      <c r="A562" s="117" t="s">
        <v>222</v>
      </c>
      <c r="B562" s="92"/>
      <c r="C562" s="92"/>
      <c r="D562" s="92"/>
      <c r="E562" s="92"/>
      <c r="F562" s="125"/>
    </row>
    <row r="563" spans="1:12" s="1" customFormat="1" ht="60.75" customHeight="1" x14ac:dyDescent="0.2">
      <c r="A563" s="117" t="s">
        <v>223</v>
      </c>
      <c r="B563" s="49" t="s">
        <v>214</v>
      </c>
      <c r="C563" s="49" t="s">
        <v>215</v>
      </c>
      <c r="D563" s="168" t="s">
        <v>224</v>
      </c>
      <c r="E563" s="168"/>
      <c r="F563" s="113" t="s">
        <v>225</v>
      </c>
      <c r="G563" s="54"/>
      <c r="H563" s="54"/>
      <c r="I563" s="54"/>
      <c r="J563" s="54"/>
      <c r="L563" s="54"/>
    </row>
    <row r="564" spans="1:12" s="1" customFormat="1" ht="12.75" x14ac:dyDescent="0.2">
      <c r="A564" s="117" t="s">
        <v>226</v>
      </c>
      <c r="B564" s="151" t="s">
        <v>247</v>
      </c>
      <c r="C564" s="151" t="s">
        <v>247</v>
      </c>
      <c r="D564" s="167"/>
      <c r="E564" s="167"/>
      <c r="F564" s="125"/>
    </row>
    <row r="565" spans="1:12" s="1" customFormat="1" ht="12.75" hidden="1" x14ac:dyDescent="0.2">
      <c r="A565" s="117" t="s">
        <v>227</v>
      </c>
      <c r="B565" s="92"/>
      <c r="C565" s="92"/>
      <c r="D565" s="167"/>
      <c r="E565" s="167"/>
      <c r="F565" s="125"/>
    </row>
    <row r="566" spans="1:12" s="1" customFormat="1" ht="12.75" hidden="1" x14ac:dyDescent="0.2">
      <c r="A566" s="117" t="s">
        <v>228</v>
      </c>
      <c r="B566" s="92"/>
      <c r="C566" s="92"/>
      <c r="D566" s="167"/>
      <c r="E566" s="167"/>
      <c r="F566" s="125"/>
    </row>
    <row r="567" spans="1:12" s="1" customFormat="1" ht="60.75" customHeight="1" x14ac:dyDescent="0.25">
      <c r="A567" s="117" t="s">
        <v>229</v>
      </c>
      <c r="B567" s="49" t="s">
        <v>214</v>
      </c>
      <c r="C567" s="49" t="s">
        <v>215</v>
      </c>
      <c r="D567" s="168" t="s">
        <v>230</v>
      </c>
      <c r="E567" s="168"/>
      <c r="F567" s="113" t="s">
        <v>231</v>
      </c>
      <c r="G567" s="53"/>
      <c r="H567" s="53"/>
      <c r="I567" s="53"/>
      <c r="J567" s="55"/>
      <c r="K567" s="44"/>
      <c r="L567" s="53"/>
    </row>
    <row r="568" spans="1:12" s="1" customFormat="1" x14ac:dyDescent="0.25">
      <c r="A568" s="117" t="s">
        <v>149</v>
      </c>
      <c r="B568" s="92" t="s">
        <v>247</v>
      </c>
      <c r="C568" s="92">
        <v>100000</v>
      </c>
      <c r="D568" s="167"/>
      <c r="E568" s="167"/>
      <c r="F568" s="125"/>
      <c r="G568" s="53"/>
      <c r="K568"/>
    </row>
    <row r="569" spans="1:12" s="1" customFormat="1" x14ac:dyDescent="0.25">
      <c r="A569" s="152" t="s">
        <v>389</v>
      </c>
      <c r="B569" s="153" t="s">
        <v>247</v>
      </c>
      <c r="C569" s="153">
        <v>30000</v>
      </c>
      <c r="D569" s="167"/>
      <c r="E569" s="167"/>
      <c r="F569" s="154"/>
      <c r="G569" s="53"/>
      <c r="K569" s="44"/>
    </row>
    <row r="570" spans="1:12" s="1" customFormat="1" x14ac:dyDescent="0.25">
      <c r="A570" s="117" t="s">
        <v>390</v>
      </c>
      <c r="B570" s="151" t="s">
        <v>247</v>
      </c>
      <c r="C570" s="92">
        <v>33000</v>
      </c>
      <c r="D570" s="167"/>
      <c r="E570" s="167"/>
      <c r="F570" s="125"/>
      <c r="G570" s="53"/>
      <c r="K570" s="44"/>
    </row>
    <row r="571" spans="1:12" s="1" customFormat="1" ht="24" hidden="1" x14ac:dyDescent="0.25">
      <c r="A571" s="117" t="s">
        <v>232</v>
      </c>
      <c r="B571" s="151" t="s">
        <v>247</v>
      </c>
      <c r="C571" s="92"/>
      <c r="D571" s="167"/>
      <c r="E571" s="167"/>
      <c r="F571" s="125"/>
      <c r="G571" s="53"/>
      <c r="K571"/>
    </row>
    <row r="572" spans="1:12" s="1" customFormat="1" hidden="1" x14ac:dyDescent="0.25">
      <c r="A572" s="117" t="s">
        <v>233</v>
      </c>
      <c r="B572" s="151" t="s">
        <v>247</v>
      </c>
      <c r="C572" s="92"/>
      <c r="D572" s="167"/>
      <c r="E572" s="167"/>
      <c r="F572" s="125"/>
      <c r="G572" s="53"/>
      <c r="K572"/>
    </row>
    <row r="573" spans="1:12" s="1" customFormat="1" x14ac:dyDescent="0.25">
      <c r="A573" s="117" t="s">
        <v>234</v>
      </c>
      <c r="B573" s="151" t="s">
        <v>247</v>
      </c>
      <c r="C573" s="92">
        <v>75000</v>
      </c>
      <c r="D573" s="167"/>
      <c r="E573" s="167"/>
      <c r="F573" s="125"/>
      <c r="G573" s="53"/>
      <c r="K573"/>
    </row>
    <row r="574" spans="1:12" s="1" customFormat="1" x14ac:dyDescent="0.25">
      <c r="A574" s="117" t="s">
        <v>235</v>
      </c>
      <c r="B574" s="151" t="s">
        <v>247</v>
      </c>
      <c r="C574" s="92">
        <v>14000</v>
      </c>
      <c r="D574" s="167"/>
      <c r="E574" s="167"/>
      <c r="F574" s="125"/>
      <c r="G574" s="53"/>
      <c r="K574"/>
    </row>
    <row r="575" spans="1:12" s="1" customFormat="1" ht="30" hidden="1" customHeight="1" x14ac:dyDescent="0.25">
      <c r="A575" s="117" t="s">
        <v>236</v>
      </c>
      <c r="B575" s="151" t="s">
        <v>247</v>
      </c>
      <c r="C575" s="92"/>
      <c r="D575" s="167"/>
      <c r="E575" s="167"/>
      <c r="F575" s="125"/>
      <c r="G575" s="53"/>
      <c r="K575"/>
    </row>
    <row r="576" spans="1:12" s="1" customFormat="1" ht="30" hidden="1" customHeight="1" x14ac:dyDescent="0.25">
      <c r="A576" s="117" t="s">
        <v>237</v>
      </c>
      <c r="B576" s="92"/>
      <c r="C576" s="92"/>
      <c r="D576" s="167"/>
      <c r="E576" s="167"/>
      <c r="F576" s="125"/>
      <c r="G576" s="53"/>
      <c r="K576"/>
    </row>
    <row r="577" spans="1:11" s="1" customFormat="1" ht="30" hidden="1" customHeight="1" thickBot="1" x14ac:dyDescent="0.3">
      <c r="A577" s="126" t="s">
        <v>238</v>
      </c>
      <c r="B577" s="127"/>
      <c r="C577" s="127"/>
      <c r="D577" s="270"/>
      <c r="E577" s="270"/>
      <c r="F577" s="128"/>
      <c r="G577" s="53"/>
      <c r="K577"/>
    </row>
    <row r="578" spans="1:11" s="44" customFormat="1" x14ac:dyDescent="0.25">
      <c r="A578" s="253" t="s">
        <v>60</v>
      </c>
      <c r="B578" s="253"/>
      <c r="C578" s="253"/>
      <c r="D578" s="253"/>
      <c r="E578" s="253"/>
      <c r="F578" s="253"/>
      <c r="K578"/>
    </row>
    <row r="579" spans="1:11" s="44" customFormat="1" x14ac:dyDescent="0.25">
      <c r="A579" s="102">
        <v>1</v>
      </c>
      <c r="B579" s="254" t="s">
        <v>276</v>
      </c>
      <c r="C579" s="254"/>
      <c r="D579" s="254"/>
      <c r="E579" s="254"/>
      <c r="F579" s="254"/>
      <c r="K579"/>
    </row>
    <row r="580" spans="1:11" s="44" customFormat="1" x14ac:dyDescent="0.25">
      <c r="A580" s="102">
        <f t="shared" ref="A580:A588" si="54">A579+1</f>
        <v>2</v>
      </c>
      <c r="B580" s="254" t="s">
        <v>284</v>
      </c>
      <c r="C580" s="254"/>
      <c r="D580" s="254"/>
      <c r="E580" s="254"/>
      <c r="F580" s="254"/>
      <c r="K580"/>
    </row>
    <row r="581" spans="1:11" s="44" customFormat="1" x14ac:dyDescent="0.25">
      <c r="A581" s="102">
        <f t="shared" si="54"/>
        <v>3</v>
      </c>
      <c r="B581" s="255" t="str">
        <f>(IF(F295="Saleable area Loading :","We have considered Saleable area of Flats as per our Calculation.","We considered Saleable area of Flat as per Builder area Sheet."))</f>
        <v>We have considered Saleable area of Flats as per our Calculation.</v>
      </c>
      <c r="C581" s="256"/>
      <c r="D581" s="256"/>
      <c r="E581" s="256"/>
      <c r="F581" s="256"/>
      <c r="K581"/>
    </row>
    <row r="582" spans="1:11" s="44" customFormat="1" x14ac:dyDescent="0.25">
      <c r="A582" s="102">
        <f t="shared" si="54"/>
        <v>4</v>
      </c>
      <c r="B582" s="256" t="s">
        <v>379</v>
      </c>
      <c r="C582" s="256"/>
      <c r="D582" s="256"/>
      <c r="E582" s="256"/>
      <c r="F582" s="256"/>
      <c r="K582"/>
    </row>
    <row r="583" spans="1:11" s="44" customFormat="1" x14ac:dyDescent="0.25">
      <c r="A583" s="102">
        <f t="shared" si="54"/>
        <v>5</v>
      </c>
      <c r="B583" s="254" t="s">
        <v>277</v>
      </c>
      <c r="C583" s="254"/>
      <c r="D583" s="254"/>
      <c r="E583" s="254"/>
      <c r="F583" s="254"/>
      <c r="K583"/>
    </row>
    <row r="584" spans="1:11" s="44" customFormat="1" x14ac:dyDescent="0.25">
      <c r="A584" s="102">
        <f t="shared" si="54"/>
        <v>6</v>
      </c>
      <c r="B584" s="256" t="s">
        <v>380</v>
      </c>
      <c r="C584" s="256"/>
      <c r="D584" s="256"/>
      <c r="E584" s="256"/>
      <c r="F584" s="256"/>
      <c r="K584"/>
    </row>
    <row r="585" spans="1:11" s="44" customFormat="1" x14ac:dyDescent="0.25">
      <c r="A585" s="102">
        <f t="shared" si="54"/>
        <v>7</v>
      </c>
      <c r="B585" s="254" t="s">
        <v>278</v>
      </c>
      <c r="C585" s="254"/>
      <c r="D585" s="254"/>
      <c r="E585" s="254"/>
      <c r="F585" s="254"/>
      <c r="K585"/>
    </row>
    <row r="586" spans="1:11" s="44" customFormat="1" ht="30" hidden="1" customHeight="1" x14ac:dyDescent="0.25">
      <c r="A586" s="102">
        <f t="shared" si="54"/>
        <v>8</v>
      </c>
      <c r="B586" s="261" t="s">
        <v>279</v>
      </c>
      <c r="C586" s="261"/>
      <c r="D586" s="261"/>
      <c r="E586" s="261"/>
      <c r="F586" s="261"/>
      <c r="K586"/>
    </row>
    <row r="587" spans="1:11" s="44" customFormat="1" x14ac:dyDescent="0.25">
      <c r="A587" s="102">
        <v>8</v>
      </c>
      <c r="B587" s="261" t="s">
        <v>381</v>
      </c>
      <c r="C587" s="261"/>
      <c r="D587" s="261"/>
      <c r="E587" s="261"/>
      <c r="F587" s="261"/>
      <c r="K587"/>
    </row>
    <row r="588" spans="1:11" s="44" customFormat="1" ht="30.75" hidden="1" customHeight="1" x14ac:dyDescent="0.25">
      <c r="A588" s="102">
        <f t="shared" si="54"/>
        <v>9</v>
      </c>
      <c r="B588" s="261" t="s">
        <v>382</v>
      </c>
      <c r="C588" s="261"/>
      <c r="D588" s="261"/>
      <c r="E588" s="261"/>
      <c r="F588" s="261"/>
      <c r="K588"/>
    </row>
    <row r="589" spans="1:11" s="44" customFormat="1" hidden="1" x14ac:dyDescent="0.25">
      <c r="A589" s="102">
        <v>9</v>
      </c>
      <c r="B589" s="261" t="s">
        <v>396</v>
      </c>
      <c r="C589" s="261"/>
      <c r="D589" s="261"/>
      <c r="E589" s="261"/>
      <c r="F589" s="261"/>
      <c r="K589"/>
    </row>
    <row r="590" spans="1:11" x14ac:dyDescent="0.25">
      <c r="A590" s="264" t="s">
        <v>61</v>
      </c>
      <c r="B590" s="264"/>
      <c r="C590" s="265" t="str">
        <f>B2</f>
        <v>Usha Residency</v>
      </c>
      <c r="D590" s="265"/>
      <c r="E590" s="265"/>
      <c r="F590" s="265"/>
    </row>
    <row r="639" spans="1:1" x14ac:dyDescent="0.25">
      <c r="A639" s="50" t="s">
        <v>62</v>
      </c>
    </row>
    <row r="685" spans="1:1" x14ac:dyDescent="0.25">
      <c r="A685" s="50" t="s">
        <v>63</v>
      </c>
    </row>
    <row r="686" spans="1:1" x14ac:dyDescent="0.25">
      <c r="A686" s="50"/>
    </row>
    <row r="727" spans="1:6" ht="57" customHeight="1" x14ac:dyDescent="0.25">
      <c r="A727" s="51" t="s">
        <v>64</v>
      </c>
      <c r="B727" s="150" t="s">
        <v>391</v>
      </c>
      <c r="C727" s="251" t="s">
        <v>65</v>
      </c>
      <c r="D727" s="251"/>
      <c r="E727" s="252"/>
      <c r="F727" s="252"/>
    </row>
  </sheetData>
  <dataConsolidate/>
  <mergeCells count="447">
    <mergeCell ref="B160:C160"/>
    <mergeCell ref="D160:E160"/>
    <mergeCell ref="B161:F161"/>
    <mergeCell ref="E162:F162"/>
    <mergeCell ref="E163:F171"/>
    <mergeCell ref="B145:C145"/>
    <mergeCell ref="D145:E145"/>
    <mergeCell ref="B146:F146"/>
    <mergeCell ref="E147:F147"/>
    <mergeCell ref="E148:F156"/>
    <mergeCell ref="A157:F157"/>
    <mergeCell ref="B158:F158"/>
    <mergeCell ref="B159:C159"/>
    <mergeCell ref="D159:E159"/>
    <mergeCell ref="B589:F589"/>
    <mergeCell ref="D569:E569"/>
    <mergeCell ref="B588:F588"/>
    <mergeCell ref="E260:F260"/>
    <mergeCell ref="G260:H260"/>
    <mergeCell ref="C261:D261"/>
    <mergeCell ref="E261:F261"/>
    <mergeCell ref="G261:H261"/>
    <mergeCell ref="A228:D228"/>
    <mergeCell ref="E228:F228"/>
    <mergeCell ref="G267:H267"/>
    <mergeCell ref="C260:D260"/>
    <mergeCell ref="A409:F409"/>
    <mergeCell ref="G410:H410"/>
    <mergeCell ref="A487:F487"/>
    <mergeCell ref="G488:H488"/>
    <mergeCell ref="A529:F529"/>
    <mergeCell ref="G530:H530"/>
    <mergeCell ref="A464:F464"/>
    <mergeCell ref="G465:H465"/>
    <mergeCell ref="A508:F508"/>
    <mergeCell ref="G509:H509"/>
    <mergeCell ref="A247:F247"/>
    <mergeCell ref="G258:H258"/>
    <mergeCell ref="G252:H252"/>
    <mergeCell ref="G47:H47"/>
    <mergeCell ref="A45:B45"/>
    <mergeCell ref="C45:F45"/>
    <mergeCell ref="G45:H45"/>
    <mergeCell ref="A46:B46"/>
    <mergeCell ref="C46:F46"/>
    <mergeCell ref="G46:H46"/>
    <mergeCell ref="A202:B203"/>
    <mergeCell ref="E106:F106"/>
    <mergeCell ref="B98:F98"/>
    <mergeCell ref="A99:F99"/>
    <mergeCell ref="A103:F103"/>
    <mergeCell ref="B102:C102"/>
    <mergeCell ref="E102:F102"/>
    <mergeCell ref="E105:F105"/>
    <mergeCell ref="G110:H110"/>
    <mergeCell ref="G64:H64"/>
    <mergeCell ref="G65:H65"/>
    <mergeCell ref="G66:H66"/>
    <mergeCell ref="G67:H67"/>
    <mergeCell ref="D84:F84"/>
    <mergeCell ref="D85:F85"/>
    <mergeCell ref="D86:F86"/>
    <mergeCell ref="G249:H249"/>
    <mergeCell ref="C257:D257"/>
    <mergeCell ref="E257:F257"/>
    <mergeCell ref="G257:H257"/>
    <mergeCell ref="C258:D258"/>
    <mergeCell ref="E258:F258"/>
    <mergeCell ref="B175:F175"/>
    <mergeCell ref="A266:A267"/>
    <mergeCell ref="A125:B125"/>
    <mergeCell ref="A126:B126"/>
    <mergeCell ref="C125:F125"/>
    <mergeCell ref="C126:F126"/>
    <mergeCell ref="C254:D254"/>
    <mergeCell ref="A187:B188"/>
    <mergeCell ref="B189:F189"/>
    <mergeCell ref="E190:F190"/>
    <mergeCell ref="E191:F199"/>
    <mergeCell ref="A200:B201"/>
    <mergeCell ref="C200:D201"/>
    <mergeCell ref="E200:F201"/>
    <mergeCell ref="G266:H266"/>
    <mergeCell ref="C259:D259"/>
    <mergeCell ref="E259:F259"/>
    <mergeCell ref="G259:H259"/>
    <mergeCell ref="G262:H262"/>
    <mergeCell ref="A264:F264"/>
    <mergeCell ref="A265:F265"/>
    <mergeCell ref="G263:H263"/>
    <mergeCell ref="E254:F254"/>
    <mergeCell ref="G254:H254"/>
    <mergeCell ref="C255:D255"/>
    <mergeCell ref="E255:F255"/>
    <mergeCell ref="G255:H255"/>
    <mergeCell ref="D93:F93"/>
    <mergeCell ref="D94:F94"/>
    <mergeCell ref="D95:F95"/>
    <mergeCell ref="D90:F90"/>
    <mergeCell ref="A71:F71"/>
    <mergeCell ref="B81:F81"/>
    <mergeCell ref="A65:B65"/>
    <mergeCell ref="E248:F248"/>
    <mergeCell ref="C262:D262"/>
    <mergeCell ref="E262:F262"/>
    <mergeCell ref="A186:F186"/>
    <mergeCell ref="A127:F127"/>
    <mergeCell ref="B128:F128"/>
    <mergeCell ref="B129:C129"/>
    <mergeCell ref="D129:E129"/>
    <mergeCell ref="B130:C130"/>
    <mergeCell ref="D130:E130"/>
    <mergeCell ref="B131:F131"/>
    <mergeCell ref="E132:F132"/>
    <mergeCell ref="E133:F141"/>
    <mergeCell ref="A142:F142"/>
    <mergeCell ref="B143:F143"/>
    <mergeCell ref="B144:C144"/>
    <mergeCell ref="D144:E144"/>
    <mergeCell ref="J84:L84"/>
    <mergeCell ref="A67:F67"/>
    <mergeCell ref="C253:D253"/>
    <mergeCell ref="E253:F253"/>
    <mergeCell ref="G253:H253"/>
    <mergeCell ref="G250:H250"/>
    <mergeCell ref="A215:B216"/>
    <mergeCell ref="B217:F217"/>
    <mergeCell ref="E218:F218"/>
    <mergeCell ref="G248:H248"/>
    <mergeCell ref="B109:C109"/>
    <mergeCell ref="D91:F91"/>
    <mergeCell ref="B204:F204"/>
    <mergeCell ref="E205:F205"/>
    <mergeCell ref="E206:F214"/>
    <mergeCell ref="G124:H124"/>
    <mergeCell ref="G125:H125"/>
    <mergeCell ref="G126:H126"/>
    <mergeCell ref="E176:F176"/>
    <mergeCell ref="A244:F244"/>
    <mergeCell ref="B107:C107"/>
    <mergeCell ref="E107:F107"/>
    <mergeCell ref="E108:F108"/>
    <mergeCell ref="B108:C108"/>
    <mergeCell ref="A110:B110"/>
    <mergeCell ref="C110:F110"/>
    <mergeCell ref="A66:B66"/>
    <mergeCell ref="C64:F64"/>
    <mergeCell ref="C65:F65"/>
    <mergeCell ref="C66:F66"/>
    <mergeCell ref="A80:F80"/>
    <mergeCell ref="D88:F88"/>
    <mergeCell ref="A87:A88"/>
    <mergeCell ref="B87:B88"/>
    <mergeCell ref="C87:C88"/>
    <mergeCell ref="D97:F97"/>
    <mergeCell ref="E109:F109"/>
    <mergeCell ref="B105:C105"/>
    <mergeCell ref="B104:C104"/>
    <mergeCell ref="E104:F104"/>
    <mergeCell ref="B106:C106"/>
    <mergeCell ref="D96:F96"/>
    <mergeCell ref="D87:F87"/>
    <mergeCell ref="D89:F89"/>
    <mergeCell ref="A64:B64"/>
    <mergeCell ref="B101:C101"/>
    <mergeCell ref="E101:F101"/>
    <mergeCell ref="D92:F92"/>
    <mergeCell ref="G111:H111"/>
    <mergeCell ref="G123:H123"/>
    <mergeCell ref="G57:H57"/>
    <mergeCell ref="G58:H58"/>
    <mergeCell ref="G59:H59"/>
    <mergeCell ref="G60:H60"/>
    <mergeCell ref="C111:F111"/>
    <mergeCell ref="A123:B123"/>
    <mergeCell ref="C123:F123"/>
    <mergeCell ref="A115:D115"/>
    <mergeCell ref="E115:F115"/>
    <mergeCell ref="A116:F116"/>
    <mergeCell ref="A119:B119"/>
    <mergeCell ref="C119:F119"/>
    <mergeCell ref="G122:H122"/>
    <mergeCell ref="A120:B122"/>
    <mergeCell ref="C122:F122"/>
    <mergeCell ref="G61:H61"/>
    <mergeCell ref="A62:B62"/>
    <mergeCell ref="C62:F62"/>
    <mergeCell ref="G62:H62"/>
    <mergeCell ref="A61:B61"/>
    <mergeCell ref="C61:F61"/>
    <mergeCell ref="A63:F63"/>
    <mergeCell ref="A590:B590"/>
    <mergeCell ref="C590:F590"/>
    <mergeCell ref="B586:F586"/>
    <mergeCell ref="E219:F227"/>
    <mergeCell ref="E233:F241"/>
    <mergeCell ref="B553:C553"/>
    <mergeCell ref="E553:F553"/>
    <mergeCell ref="B554:C554"/>
    <mergeCell ref="E554:F554"/>
    <mergeCell ref="B266:B267"/>
    <mergeCell ref="C266:C267"/>
    <mergeCell ref="D266:D267"/>
    <mergeCell ref="E266:E267"/>
    <mergeCell ref="A268:F268"/>
    <mergeCell ref="A269:F269"/>
    <mergeCell ref="C263:D263"/>
    <mergeCell ref="A251:F251"/>
    <mergeCell ref="C252:D252"/>
    <mergeCell ref="E252:F252"/>
    <mergeCell ref="D577:E577"/>
    <mergeCell ref="C248:D248"/>
    <mergeCell ref="B556:C556"/>
    <mergeCell ref="E556:F556"/>
    <mergeCell ref="A436:F436"/>
    <mergeCell ref="C727:D727"/>
    <mergeCell ref="E727:F727"/>
    <mergeCell ref="A173:B174"/>
    <mergeCell ref="D573:E573"/>
    <mergeCell ref="D574:E574"/>
    <mergeCell ref="B557:C557"/>
    <mergeCell ref="E557:F557"/>
    <mergeCell ref="A578:F578"/>
    <mergeCell ref="B579:F579"/>
    <mergeCell ref="B580:F580"/>
    <mergeCell ref="B581:F581"/>
    <mergeCell ref="B582:F582"/>
    <mergeCell ref="B583:F583"/>
    <mergeCell ref="D568:E568"/>
    <mergeCell ref="D571:E571"/>
    <mergeCell ref="D572:E572"/>
    <mergeCell ref="C250:D250"/>
    <mergeCell ref="E250:F250"/>
    <mergeCell ref="E249:F249"/>
    <mergeCell ref="B584:F584"/>
    <mergeCell ref="B585:F585"/>
    <mergeCell ref="B587:F587"/>
    <mergeCell ref="E263:F263"/>
    <mergeCell ref="B555:C555"/>
    <mergeCell ref="B548:F549"/>
    <mergeCell ref="B551:C551"/>
    <mergeCell ref="E551:F551"/>
    <mergeCell ref="B552:C552"/>
    <mergeCell ref="E552:F552"/>
    <mergeCell ref="A298:F298"/>
    <mergeCell ref="A297:F297"/>
    <mergeCell ref="A299:F299"/>
    <mergeCell ref="L410:M410"/>
    <mergeCell ref="G437:H437"/>
    <mergeCell ref="L437:M437"/>
    <mergeCell ref="B461:F462"/>
    <mergeCell ref="A463:F463"/>
    <mergeCell ref="G463:K463"/>
    <mergeCell ref="L327:M327"/>
    <mergeCell ref="A353:F353"/>
    <mergeCell ref="G354:H354"/>
    <mergeCell ref="L354:M354"/>
    <mergeCell ref="B378:F379"/>
    <mergeCell ref="A380:F380"/>
    <mergeCell ref="G380:K380"/>
    <mergeCell ref="A381:F381"/>
    <mergeCell ref="A382:F382"/>
    <mergeCell ref="L383:M383"/>
    <mergeCell ref="L488:M488"/>
    <mergeCell ref="L530:M530"/>
    <mergeCell ref="L465:M465"/>
    <mergeCell ref="L509:M509"/>
    <mergeCell ref="G297:K297"/>
    <mergeCell ref="G300:H300"/>
    <mergeCell ref="A326:F326"/>
    <mergeCell ref="G327:H327"/>
    <mergeCell ref="G383:H383"/>
    <mergeCell ref="A466:F466"/>
    <mergeCell ref="G467:H467"/>
    <mergeCell ref="L467:M467"/>
    <mergeCell ref="A38:B38"/>
    <mergeCell ref="A1:F1"/>
    <mergeCell ref="B2:D2"/>
    <mergeCell ref="A3:F3"/>
    <mergeCell ref="A10:F10"/>
    <mergeCell ref="A4:B4"/>
    <mergeCell ref="A82:F82"/>
    <mergeCell ref="B83:F83"/>
    <mergeCell ref="A42:F42"/>
    <mergeCell ref="C4:F4"/>
    <mergeCell ref="A5:B5"/>
    <mergeCell ref="A6:B6"/>
    <mergeCell ref="C5:F5"/>
    <mergeCell ref="C6:F6"/>
    <mergeCell ref="A7:B7"/>
    <mergeCell ref="A14:F14"/>
    <mergeCell ref="C12:D12"/>
    <mergeCell ref="E12:F12"/>
    <mergeCell ref="C13:D13"/>
    <mergeCell ref="E13:F13"/>
    <mergeCell ref="A37:B37"/>
    <mergeCell ref="A33:B33"/>
    <mergeCell ref="C33:F33"/>
    <mergeCell ref="A34:B34"/>
    <mergeCell ref="A8:B8"/>
    <mergeCell ref="B24:C24"/>
    <mergeCell ref="C37:F37"/>
    <mergeCell ref="A36:B36"/>
    <mergeCell ref="C36:F36"/>
    <mergeCell ref="A28:B28"/>
    <mergeCell ref="A29:B29"/>
    <mergeCell ref="A30:B30"/>
    <mergeCell ref="A31:B31"/>
    <mergeCell ref="B18:F18"/>
    <mergeCell ref="B25:F25"/>
    <mergeCell ref="C34:F34"/>
    <mergeCell ref="C7:F7"/>
    <mergeCell ref="C8:F8"/>
    <mergeCell ref="A9:B9"/>
    <mergeCell ref="C9:F9"/>
    <mergeCell ref="A15:B15"/>
    <mergeCell ref="A44:B44"/>
    <mergeCell ref="C44:F44"/>
    <mergeCell ref="A43:B43"/>
    <mergeCell ref="C43:F43"/>
    <mergeCell ref="C15:F15"/>
    <mergeCell ref="B26:C26"/>
    <mergeCell ref="E26:F26"/>
    <mergeCell ref="B21:C21"/>
    <mergeCell ref="E21:F21"/>
    <mergeCell ref="E20:F20"/>
    <mergeCell ref="B22:C22"/>
    <mergeCell ref="E22:F22"/>
    <mergeCell ref="B23:C23"/>
    <mergeCell ref="E23:F23"/>
    <mergeCell ref="A35:B35"/>
    <mergeCell ref="C35:F35"/>
    <mergeCell ref="A39:B39"/>
    <mergeCell ref="C39:F39"/>
    <mergeCell ref="E24:F24"/>
    <mergeCell ref="I12:J12"/>
    <mergeCell ref="I13:J13"/>
    <mergeCell ref="G29:H29"/>
    <mergeCell ref="G30:H30"/>
    <mergeCell ref="G31:H31"/>
    <mergeCell ref="G32:H32"/>
    <mergeCell ref="G35:H35"/>
    <mergeCell ref="G33:H34"/>
    <mergeCell ref="A256:F256"/>
    <mergeCell ref="A16:F16"/>
    <mergeCell ref="A27:F27"/>
    <mergeCell ref="A32:F32"/>
    <mergeCell ref="B17:F17"/>
    <mergeCell ref="B19:C19"/>
    <mergeCell ref="E19:F19"/>
    <mergeCell ref="B20:C20"/>
    <mergeCell ref="A124:B124"/>
    <mergeCell ref="C124:F124"/>
    <mergeCell ref="A112:F112"/>
    <mergeCell ref="A113:D113"/>
    <mergeCell ref="E113:F113"/>
    <mergeCell ref="A114:D114"/>
    <mergeCell ref="E114:F114"/>
    <mergeCell ref="A111:B111"/>
    <mergeCell ref="G48:H48"/>
    <mergeCell ref="G49:H49"/>
    <mergeCell ref="G50:H50"/>
    <mergeCell ref="C49:F49"/>
    <mergeCell ref="A50:B50"/>
    <mergeCell ref="C50:F50"/>
    <mergeCell ref="A51:B51"/>
    <mergeCell ref="C51:F51"/>
    <mergeCell ref="A58:B58"/>
    <mergeCell ref="C58:F58"/>
    <mergeCell ref="A52:B52"/>
    <mergeCell ref="C52:F52"/>
    <mergeCell ref="A48:B48"/>
    <mergeCell ref="G53:H53"/>
    <mergeCell ref="G54:H54"/>
    <mergeCell ref="G55:H55"/>
    <mergeCell ref="G56:H56"/>
    <mergeCell ref="G51:H51"/>
    <mergeCell ref="G52:H52"/>
    <mergeCell ref="C56:F56"/>
    <mergeCell ref="A54:F54"/>
    <mergeCell ref="A55:B55"/>
    <mergeCell ref="C55:F55"/>
    <mergeCell ref="A56:B56"/>
    <mergeCell ref="G36:H36"/>
    <mergeCell ref="G37:H37"/>
    <mergeCell ref="G38:H38"/>
    <mergeCell ref="G39:H39"/>
    <mergeCell ref="G40:H40"/>
    <mergeCell ref="G41:H41"/>
    <mergeCell ref="G42:H42"/>
    <mergeCell ref="I248:L249"/>
    <mergeCell ref="C249:D249"/>
    <mergeCell ref="C38:F38"/>
    <mergeCell ref="G119:H119"/>
    <mergeCell ref="C120:F120"/>
    <mergeCell ref="G120:H120"/>
    <mergeCell ref="C121:F121"/>
    <mergeCell ref="G121:H121"/>
    <mergeCell ref="G43:H43"/>
    <mergeCell ref="G44:H44"/>
    <mergeCell ref="A242:D243"/>
    <mergeCell ref="E242:F243"/>
    <mergeCell ref="A229:B230"/>
    <mergeCell ref="B231:F231"/>
    <mergeCell ref="E232:F232"/>
    <mergeCell ref="A172:F172"/>
    <mergeCell ref="E177:F185"/>
    <mergeCell ref="A40:B40"/>
    <mergeCell ref="C40:F40"/>
    <mergeCell ref="A41:B41"/>
    <mergeCell ref="C41:F41"/>
    <mergeCell ref="A53:B53"/>
    <mergeCell ref="C53:F53"/>
    <mergeCell ref="A59:B59"/>
    <mergeCell ref="C59:F59"/>
    <mergeCell ref="A60:B60"/>
    <mergeCell ref="A57:B57"/>
    <mergeCell ref="C57:F57"/>
    <mergeCell ref="C48:F48"/>
    <mergeCell ref="A49:B49"/>
    <mergeCell ref="A47:B47"/>
    <mergeCell ref="C47:F47"/>
    <mergeCell ref="C60:F60"/>
    <mergeCell ref="I252:L253"/>
    <mergeCell ref="L270:M270"/>
    <mergeCell ref="A294:F294"/>
    <mergeCell ref="A295:A296"/>
    <mergeCell ref="B295:B296"/>
    <mergeCell ref="D575:E575"/>
    <mergeCell ref="D576:E576"/>
    <mergeCell ref="D563:E563"/>
    <mergeCell ref="D567:E567"/>
    <mergeCell ref="D564:E564"/>
    <mergeCell ref="D565:E565"/>
    <mergeCell ref="D566:E566"/>
    <mergeCell ref="D570:E570"/>
    <mergeCell ref="H551:I551"/>
    <mergeCell ref="E555:F555"/>
    <mergeCell ref="C295:C296"/>
    <mergeCell ref="D295:D296"/>
    <mergeCell ref="E295:E296"/>
    <mergeCell ref="G296:H296"/>
    <mergeCell ref="G270:H270"/>
    <mergeCell ref="G295:K295"/>
    <mergeCell ref="L300:M300"/>
    <mergeCell ref="A293:F293"/>
    <mergeCell ref="A550:F550"/>
  </mergeCells>
  <dataValidations count="18">
    <dataValidation type="list" allowBlank="1" showInputMessage="1" showErrorMessage="1" sqref="B40:B41 B37:B38 B34:B35">
      <formula1>$C$594:$C$599</formula1>
    </dataValidation>
    <dataValidation type="list" allowBlank="1" showInputMessage="1" showErrorMessage="1" sqref="F34:F35 F37:F38 F41">
      <formula1>$G$590:$G$592</formula1>
    </dataValidation>
    <dataValidation type="list" allowBlank="1" showInputMessage="1" showErrorMessage="1" sqref="F2">
      <formula1>"Airoli,Goregaon"</formula1>
    </dataValidation>
    <dataValidation type="list" allowBlank="1" showInputMessage="1" showErrorMessage="1" sqref="D11">
      <formula1>"Mr. Abhishek Manjrekar,Mr. Rushabh Kakade,Miss. Bharti,Mr. Ajinkya Oturkar"</formula1>
    </dataValidation>
    <dataValidation type="list" allowBlank="1" showInputMessage="1" showErrorMessage="1" sqref="E13:F13">
      <formula1>"Kunal Kadam,Sachin Sawant,Shruti Fule,Hitakshi Mhatre,Anjali Kamble,Shruti Tathare,Pooja Kawale,Mansee Mohite"</formula1>
    </dataValidation>
    <dataValidation type="list" allowBlank="1" showInputMessage="1" showErrorMessage="1" sqref="A19">
      <formula1>"Plot No.,Survey No.,CTS No.,Gut No."</formula1>
    </dataValidation>
    <dataValidation type="list" allowBlank="1" showInputMessage="1" showErrorMessage="1" sqref="D20">
      <formula1>"Ward No.,Existing Builidng Name &amp; No.,City"</formula1>
    </dataValidation>
    <dataValidation type="list" allowBlank="1" showInputMessage="1" showErrorMessage="1" sqref="E22:F22">
      <formula1>"Mumbai,Thane,Palghar,Raigad,Pune"</formula1>
    </dataValidation>
    <dataValidation type="list" allowBlank="1" showInputMessage="1" showErrorMessage="1" sqref="C123:F124 B100 C73:F73 B75:F75 B78:F78 B105:C109 E106:F109 E104:F104 B102:C102 C110:F111">
      <formula1>"Yes,No"</formula1>
    </dataValidation>
    <dataValidation type="list" allowBlank="1" showInputMessage="1" showErrorMessage="1" sqref="B85:B87 B89:B92 B94:B97">
      <formula1>"Applicable and Received,Applicable and Not Received,Not Applicable"</formula1>
    </dataValidation>
    <dataValidation type="list" allowBlank="1" showInputMessage="1" showErrorMessage="1" sqref="D100">
      <formula1>"Registered,Not Registered"</formula1>
    </dataValidation>
    <dataValidation type="list" allowBlank="1" showInputMessage="1" showErrorMessage="1" sqref="B104:C104">
      <formula1>"Zone II,Zone III,Zone IV,Zone V"</formula1>
    </dataValidation>
    <dataValidation type="list" allowBlank="1" showInputMessage="1" showErrorMessage="1" sqref="E105:F105">
      <formula1>"Not Appicable,Zone I,Zone II,Zone III,Zone IV"</formula1>
    </dataValidation>
    <dataValidation type="list" allowBlank="1" showInputMessage="1" showErrorMessage="1" sqref="E552:F557">
      <formula1>"Carpet Area,Buildup Area,Saleable Area"</formula1>
    </dataValidation>
    <dataValidation type="list" allowBlank="1" showInputMessage="1" showErrorMessage="1" sqref="B579:F579">
      <formula1>"Construction Work is active at the time of visit.,Construction Work is not active at the time of visit.,Work not yet Started, All work Completed"</formula1>
    </dataValidation>
    <dataValidation type="list" allowBlank="1" showInputMessage="1" showErrorMessage="1" sqref="B73">
      <formula1>"Yes &amp; 0.15m, No"</formula1>
    </dataValidation>
    <dataValidation type="list" allowBlank="1" showInputMessage="1" showErrorMessage="1" sqref="B93">
      <formula1>"Applicable and Received,Applicable and Not Received,Not Applicable,To be obtained"</formula1>
    </dataValidation>
    <dataValidation type="list" allowBlank="1" showInputMessage="1" showErrorMessage="1" sqref="F267">
      <formula1>"45%,50%,55%,60%"</formula1>
    </dataValidation>
  </dataValidations>
  <hyperlinks>
    <hyperlink ref="C6" r:id="rId1"/>
    <hyperlink ref="B25" r:id="rId2"/>
    <hyperlink ref="H81" r:id="rId3"/>
  </hyperlinks>
  <pageMargins left="0.39370078740157483" right="0.39370078740157483" top="0.78740157480314965" bottom="0.78740157480314965" header="0.31496062992125984" footer="0.31496062992125984"/>
  <pageSetup scale="93" fitToHeight="0" orientation="portrait" r:id="rId4"/>
  <headerFooter>
    <oddHeader>&amp;C&amp;G</oddHeader>
    <oddFooter>&amp;L&amp;"-,Bold"Ref No: &amp;F&amp;R&amp;"-,Bold"&amp;P</oddFooter>
  </headerFooter>
  <rowBreaks count="4" manualBreakCount="4">
    <brk id="255" max="5" man="1"/>
    <brk id="589" max="16383" man="1"/>
    <brk id="638" max="16383" man="1"/>
    <brk id="684" max="16383" man="1"/>
  </rowBreaks>
  <drawing r:id="rId5"/>
  <legacyDrawing r:id="rId6"/>
  <legacyDrawingHF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04:K131"/>
  <sheetViews>
    <sheetView topLeftCell="A123" workbookViewId="0">
      <selection activeCell="B131" sqref="B131"/>
    </sheetView>
  </sheetViews>
  <sheetFormatPr defaultRowHeight="15" x14ac:dyDescent="0.25"/>
  <sheetData>
    <row r="104" spans="2:11" ht="15.75" thickBot="1" x14ac:dyDescent="0.3"/>
    <row r="105" spans="2:11" ht="15.75" x14ac:dyDescent="0.25">
      <c r="B105" s="319" t="s">
        <v>4</v>
      </c>
      <c r="C105" s="320"/>
      <c r="D105" s="321" t="s">
        <v>44</v>
      </c>
      <c r="E105" s="322"/>
      <c r="F105" s="322"/>
      <c r="G105" s="322"/>
      <c r="H105" s="322"/>
      <c r="I105" s="323"/>
      <c r="J105" s="13" t="str">
        <f ca="1">(IF(F109&gt;99%,"All work completed. Please provide OC.",IF(F109&gt;89.8%,"Plinth, RCC, Brick, Plaster, Flooring, Painting work Completed. Finishing work is in process.",IF(F109&lt;94%,(IF(D109=0,"Work not yet Started.",IF(E109=25%,"Piling work in process",IF(E109=50%,"Excavation work in process",IF(E109=100%,"Excavation work Completed. ","0")))&amp;(IF(D110=0%,"",IF(D110=K111,"Footing work is process",IF(D110=K112,"Footing work Completed",IF(D110=K113,"1st Basement Completed",IF(D110=K114,"1st &amp; 2nd Basement Completed",IF(D110=K115,"1st to 3rd Basement Completed",IF(D110=K116,"1st to 4th Basement Completed",IF(D110=K117,"Plinth work is process",IF(D110=K118,"Plinth work completed","0")))))))))))&amp;(IF(D111=(D106+E106+F106),", RCC Slab",IF(D111&gt;0,", RCC upto "&amp;D111&amp;" Slab",""))&amp;(IF(D112=F106,", Brickwork",IF(D112&gt;0,", Brickwork upto "&amp;D112&amp;" Floor",""))&amp;(IF(D113=F106,", Internal Plaster",IF(D113&gt;0,", Internal Plaster upto "&amp;D113&amp;" Floor",""))&amp;(IF(D114=F106,", External Plaster",IF(D114&gt;0,", External Plaster upto "&amp;D114&amp;" Floor",""))&amp;(IF(D115=F106,", Flooring",IF(D115&gt;0,", Flooring upto "&amp;D115&amp;" Floor",""))&amp;(IF(D116=F106,", Painting",IF(D116&gt;0,", Painting upto "&amp;D116&amp;" Floor",""))&amp;(IF(D117&gt;0,", Finishing upto "&amp;D117&amp;" Floor","")&amp;(IF(D111&gt;0.5," Completed",""))))))))))))))</f>
        <v>All work completed. Please provide OC.</v>
      </c>
      <c r="K105" s="14"/>
    </row>
    <row r="106" spans="2:11" ht="15.75" x14ac:dyDescent="0.25">
      <c r="B106" s="15" t="s">
        <v>5</v>
      </c>
      <c r="C106" s="16">
        <v>0</v>
      </c>
      <c r="D106" s="32">
        <v>1</v>
      </c>
      <c r="E106" s="33">
        <v>0</v>
      </c>
      <c r="F106" s="33">
        <f ca="1">--TRIM(RIGHT(SUBSTITUTE(LEFT(D105,_xlfn.AGGREGATE(16,6,FIND({0,1,2,3,4,5,6,7,8,9},D105,ROW(INDIRECT("1:"&amp;LEN(D105)))),1))," ",REPT(" ",LEN(D105))),LEN(D105)))</f>
        <v>7</v>
      </c>
      <c r="G106" s="33"/>
      <c r="H106" s="33"/>
      <c r="I106" s="34"/>
      <c r="J106" s="17"/>
      <c r="K106" s="18"/>
    </row>
    <row r="107" spans="2:11" ht="15.75" x14ac:dyDescent="0.25">
      <c r="B107" s="324" t="s">
        <v>9</v>
      </c>
      <c r="C107" s="325"/>
      <c r="D107" s="326" t="str">
        <f>J107</f>
        <v>All work Completed. OC Received.</v>
      </c>
      <c r="E107" s="326"/>
      <c r="F107" s="326"/>
      <c r="G107" s="326"/>
      <c r="H107" s="326"/>
      <c r="I107" s="327"/>
      <c r="J107" s="17" t="s">
        <v>10</v>
      </c>
      <c r="K107" s="18"/>
    </row>
    <row r="108" spans="2:11" ht="31.5" x14ac:dyDescent="0.25">
      <c r="B108" s="328" t="s">
        <v>11</v>
      </c>
      <c r="C108" s="329"/>
      <c r="D108" s="19" t="s">
        <v>13</v>
      </c>
      <c r="E108" s="19" t="s">
        <v>14</v>
      </c>
      <c r="F108" s="329" t="s">
        <v>15</v>
      </c>
      <c r="G108" s="329"/>
      <c r="H108" s="329" t="s">
        <v>41</v>
      </c>
      <c r="I108" s="330"/>
      <c r="J108" s="20" t="s">
        <v>16</v>
      </c>
      <c r="K108" s="21">
        <f ca="1">F106*25%</f>
        <v>1.75</v>
      </c>
    </row>
    <row r="109" spans="2:11" ht="15.75" x14ac:dyDescent="0.25">
      <c r="B109" s="328" t="s">
        <v>17</v>
      </c>
      <c r="C109" s="329"/>
      <c r="D109" s="22">
        <f ca="1">K110</f>
        <v>7</v>
      </c>
      <c r="E109" s="23">
        <f ca="1">((100/F106)*D109)/100</f>
        <v>1</v>
      </c>
      <c r="F109" s="333">
        <f ca="1">(((D110/F106*10)+(40/(D106+E106+F106)*D111)+(7.5/(F106)*D112)+(7.5/(F106)*D113)+(10/F106*D114)+(10/F106*D115)+(5/F106*D116)+(5/F106*D117)+(5/F106*D118))/100)</f>
        <v>1</v>
      </c>
      <c r="G109" s="333"/>
      <c r="H109" s="333">
        <f ca="1">((((D109/F106)*20)+((D110/F106)*25)+(30/(F106+E106+D106)*D111)+(5/F106*D112)+(5/F106*D113)+(5/F106*D114)+(5/F106*D115)+(0/F106*D116)+(0/F106*D117)+(5/F106*D118))/100)</f>
        <v>1</v>
      </c>
      <c r="I109" s="335"/>
      <c r="J109" s="20" t="s">
        <v>18</v>
      </c>
      <c r="K109" s="24">
        <f ca="1">F106*50%</f>
        <v>3.5</v>
      </c>
    </row>
    <row r="110" spans="2:11" ht="15.75" x14ac:dyDescent="0.25">
      <c r="B110" s="328" t="s">
        <v>19</v>
      </c>
      <c r="C110" s="329"/>
      <c r="D110" s="25">
        <f ca="1">K118</f>
        <v>7</v>
      </c>
      <c r="E110" s="23">
        <f ca="1">((100/F106)*D110)/100</f>
        <v>1</v>
      </c>
      <c r="F110" s="333"/>
      <c r="G110" s="333"/>
      <c r="H110" s="333"/>
      <c r="I110" s="335"/>
      <c r="J110" s="20" t="s">
        <v>20</v>
      </c>
      <c r="K110" s="24">
        <f ca="1">F106</f>
        <v>7</v>
      </c>
    </row>
    <row r="111" spans="2:11" ht="15.75" x14ac:dyDescent="0.25">
      <c r="B111" s="337" t="s">
        <v>21</v>
      </c>
      <c r="C111" s="338"/>
      <c r="D111" s="25">
        <v>8</v>
      </c>
      <c r="E111" s="23">
        <f ca="1">((100/(D106+E106+F106))*D111)/100</f>
        <v>1</v>
      </c>
      <c r="F111" s="333"/>
      <c r="G111" s="333"/>
      <c r="H111" s="333"/>
      <c r="I111" s="335"/>
      <c r="J111" s="20" t="s">
        <v>22</v>
      </c>
      <c r="K111" s="26">
        <f ca="1">(IF(C106&gt;1,(F106/(C106+2)),F106/4))</f>
        <v>1.75</v>
      </c>
    </row>
    <row r="112" spans="2:11" ht="15.75" x14ac:dyDescent="0.25">
      <c r="B112" s="328" t="s">
        <v>23</v>
      </c>
      <c r="C112" s="329" t="s">
        <v>42</v>
      </c>
      <c r="D112" s="22">
        <v>7</v>
      </c>
      <c r="E112" s="23">
        <f ca="1">((100/F106)*D112)/100</f>
        <v>1</v>
      </c>
      <c r="F112" s="333"/>
      <c r="G112" s="333"/>
      <c r="H112" s="333"/>
      <c r="I112" s="335"/>
      <c r="J112" s="20" t="s">
        <v>24</v>
      </c>
      <c r="K112" s="26">
        <f ca="1">(IF(C106&gt;1,(F106/(C106+2)+K111),F106/4+K111))</f>
        <v>3.5</v>
      </c>
    </row>
    <row r="113" spans="2:11" ht="15.75" x14ac:dyDescent="0.25">
      <c r="B113" s="328" t="s">
        <v>25</v>
      </c>
      <c r="C113" s="329" t="s">
        <v>42</v>
      </c>
      <c r="D113" s="22">
        <v>7</v>
      </c>
      <c r="E113" s="23">
        <f ca="1">((100/F106)*D113)/100</f>
        <v>1</v>
      </c>
      <c r="F113" s="333"/>
      <c r="G113" s="333"/>
      <c r="H113" s="333"/>
      <c r="I113" s="335"/>
      <c r="J113" s="20" t="s">
        <v>26</v>
      </c>
      <c r="K113" s="26">
        <f>(IF(C106&gt;1,(F106/(C106+2)+K112),0))</f>
        <v>0</v>
      </c>
    </row>
    <row r="114" spans="2:11" ht="15.75" x14ac:dyDescent="0.25">
      <c r="B114" s="328" t="s">
        <v>27</v>
      </c>
      <c r="C114" s="329" t="s">
        <v>43</v>
      </c>
      <c r="D114" s="22">
        <v>7</v>
      </c>
      <c r="E114" s="23">
        <f ca="1">((100/(F106))*D114)/100</f>
        <v>1</v>
      </c>
      <c r="F114" s="333"/>
      <c r="G114" s="333"/>
      <c r="H114" s="333"/>
      <c r="I114" s="335"/>
      <c r="J114" s="20" t="s">
        <v>28</v>
      </c>
      <c r="K114" s="26">
        <f>(IF(C106&gt;2,(F106/(C106+2)+K113),0))</f>
        <v>0</v>
      </c>
    </row>
    <row r="115" spans="2:11" ht="15.75" x14ac:dyDescent="0.25">
      <c r="B115" s="328" t="s">
        <v>29</v>
      </c>
      <c r="C115" s="329" t="s">
        <v>29</v>
      </c>
      <c r="D115" s="22">
        <v>7</v>
      </c>
      <c r="E115" s="23">
        <f ca="1">((100/F106)*D115)/100</f>
        <v>1</v>
      </c>
      <c r="F115" s="333"/>
      <c r="G115" s="333"/>
      <c r="H115" s="333"/>
      <c r="I115" s="335"/>
      <c r="J115" s="20" t="s">
        <v>30</v>
      </c>
      <c r="K115" s="27">
        <f>(IF(C106&gt;3,(F106/(C106+2)+K114),0))</f>
        <v>0</v>
      </c>
    </row>
    <row r="116" spans="2:11" ht="15.75" x14ac:dyDescent="0.25">
      <c r="B116" s="328" t="s">
        <v>31</v>
      </c>
      <c r="C116" s="329"/>
      <c r="D116" s="22">
        <v>7</v>
      </c>
      <c r="E116" s="23">
        <f ca="1">((100/F106)*D116)/100</f>
        <v>1</v>
      </c>
      <c r="F116" s="333"/>
      <c r="G116" s="333"/>
      <c r="H116" s="333"/>
      <c r="I116" s="335"/>
      <c r="J116" s="20" t="s">
        <v>32</v>
      </c>
      <c r="K116" s="26">
        <f>(IF(C106&gt;4,(F106/(C106+2)+K115),0))</f>
        <v>0</v>
      </c>
    </row>
    <row r="117" spans="2:11" ht="15.75" x14ac:dyDescent="0.25">
      <c r="B117" s="328" t="s">
        <v>33</v>
      </c>
      <c r="C117" s="329" t="s">
        <v>33</v>
      </c>
      <c r="D117" s="22">
        <v>7</v>
      </c>
      <c r="E117" s="23">
        <f ca="1">((100/(F106))*D117)/100</f>
        <v>1</v>
      </c>
      <c r="F117" s="333"/>
      <c r="G117" s="333"/>
      <c r="H117" s="333"/>
      <c r="I117" s="335"/>
      <c r="J117" s="20" t="s">
        <v>34</v>
      </c>
      <c r="K117" s="26">
        <f ca="1">(IF(C106=1,(F106/(C106+3)+K112),IF(C106=0,(F106/4+K112),IF(C106&gt;1,0))))</f>
        <v>5.25</v>
      </c>
    </row>
    <row r="118" spans="2:11" ht="16.5" thickBot="1" x14ac:dyDescent="0.3">
      <c r="B118" s="331" t="s">
        <v>35</v>
      </c>
      <c r="C118" s="332"/>
      <c r="D118" s="28">
        <v>7</v>
      </c>
      <c r="E118" s="29">
        <f ca="1">((100/(F106))*D118)/100</f>
        <v>1</v>
      </c>
      <c r="F118" s="334"/>
      <c r="G118" s="334"/>
      <c r="H118" s="334"/>
      <c r="I118" s="336"/>
      <c r="J118" s="30" t="s">
        <v>36</v>
      </c>
      <c r="K118" s="31">
        <f ca="1">(IF(C106&gt;1.5,(F106/(C106+2)+K112+MAX(0,K113-K112)+MAX(0,K114-K113)+MAX(0,K115-K114)+MAX(0,K116-K115)+MAX(0,K117-K116)),IF(C106=1,(F106/(C106+3)+K117),IF(C106=0,F106/4+K117))))</f>
        <v>7</v>
      </c>
    </row>
    <row r="124" spans="2:11" x14ac:dyDescent="0.25">
      <c r="B124" t="str">
        <f>(IF(E125&gt;99%,"All work completed. Please provide OC.",IF(E125&gt;89.8%,"Plinth, RCC, Brick, Plaster, Flooring, Painting work Completed. Finishing work is in process.",IF(E125&lt;94%,(IF(C125=0,"Work not yet Started.",IF(D125=25%,"Piling work in process",IF(D125=50%,"Excavation work in process",IF(D125=100%,"Excavation work Completed. ","0")))&amp;(IF(C126=0%,"",IF(C126=H127,"Footing work is process",IF(C126=H128,"Footing work Completed",IF(C126=H129,"1st Basement Completed",IF(C126=H130,"1st &amp; 2nd Basement Completed",IF(C126=H131,"1st to 3rd Basement Completed",IF(C126=H132,"1st to 4th Basement Completed",IF(C126=H133,"Plinth work is process",IF(C126=H134,"Plinth work completed","0")))))))))))&amp;(IF(C127=(D122+E122+F122),", RCC Slab",IF(C127&gt;0,", RCC upto "&amp;C127&amp;" Slab",""))&amp;(IF(C128=F122,", Brickwork",IF(C128&gt;0,", Brickwork upto "&amp;C128&amp;" Floor",""))&amp;(IF(C129=F122,", Internal Plaster",IF(C129&gt;0,", Internal Plaster upto "&amp;C129&amp;" Floor",""))&amp;(IF(C130=F122,", External Plaster",IF(C130&gt;0,", External Plaster upto "&amp;C130&amp;" Floor",""))&amp;(IF(C131=F122,", Flooring",IF(C131&gt;0,", Flooring upto "&amp;C131&amp;" Floor",""))&amp;(IF(C132=F122,", Painting",IF(C132&gt;0,", Painting upto "&amp;C132&amp;" Floor",""))&amp;(IF(C133&gt;0,", Finishing upto "&amp;C133&amp;" Floor","")&amp;(IF(C127&gt;0.5," Completed",""))))))))))))))</f>
        <v>Work not yet Started., RCC Slab, Brickwork, Internal Plaster, External Plaster, Flooring, Painting</v>
      </c>
    </row>
    <row r="131" spans="2:2" x14ac:dyDescent="0.25">
      <c r="B131" t="str">
        <f>(IF(E128&gt;99%,"All work completed. Please provide OC.",IF(E128&gt;89.8%,"Plinth, RCC, Brick, Plaster, Flooring, Painting work Completed. Finishing work is in process.",IF(E128&lt;94%,(IF(C128=0,"Work not yet Started.",IF(D128=25%,"Piling work in process",IF(D128=50%,"Excavation work in process",IF(D128=100%,"Excavation work Completed. ","0")))&amp;(IF(C129=0%,"",IF(C129=H130,"Footing work is process",IF(C129=H131,"Footing work Completed",IF(C129=H132,"1st Basement Completed",IF(C129=H133,"1st &amp; 2nd Basement Completed",IF(C129=H134,"1st to 3rd Basement Completed",IF(C129=H135,"1st to 4th Basement Completed",IF(C129=H136,"Plinth work is process",IF(C129=H137,"Plinth work completed","0")))))))))))&amp;(IF(C130=(D125+E125+F125),", RCC Slab",IF(C130&gt;0,", RCC upto "&amp;C130&amp;" Slab",""))&amp;(IF(C131=F125,", Brickwork",IF(C131&gt;0,", Brickwork upto "&amp;C131&amp;" Floor",""))&amp;(IF(C132=F125,", Internal Plaster",IF(C132&gt;0,", Internal Plaster upto "&amp;C132&amp;" Floor",""))&amp;(IF(C133=F125,", External Plaster",IF(C133&gt;0,", External Plaster upto "&amp;C133&amp;" Floor",""))&amp;(IF(C134=F125,", Flooring",IF(C134&gt;0,", Flooring upto "&amp;C134&amp;" Floor",""))&amp;(IF(C135=F125,", Painting",IF(C135&gt;0,", Painting upto "&amp;C135&amp;" Floor",""))&amp;(IF(C136&gt;0,", Finishing upto "&amp;C136&amp;" Floor","")&amp;(IF(C130&gt;0.5," Completed",""))))))))))))))</f>
        <v>Work not yet Started., RCC Slab, Brickwork, Internal Plaster, External Plaster, Flooring, Painting</v>
      </c>
    </row>
  </sheetData>
  <mergeCells count="19">
    <mergeCell ref="B117:C117"/>
    <mergeCell ref="B118:C118"/>
    <mergeCell ref="B109:C109"/>
    <mergeCell ref="F109:G118"/>
    <mergeCell ref="H109:I118"/>
    <mergeCell ref="B110:C110"/>
    <mergeCell ref="B111:C111"/>
    <mergeCell ref="B112:C112"/>
    <mergeCell ref="B113:C113"/>
    <mergeCell ref="B114:C114"/>
    <mergeCell ref="B115:C115"/>
    <mergeCell ref="B116:C116"/>
    <mergeCell ref="B105:C105"/>
    <mergeCell ref="D105:I105"/>
    <mergeCell ref="B107:C107"/>
    <mergeCell ref="D107:I107"/>
    <mergeCell ref="B108:C108"/>
    <mergeCell ref="F108:G108"/>
    <mergeCell ref="H108:I10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SACHIN</dc:creator>
  <cp:lastModifiedBy>VSJC</cp:lastModifiedBy>
  <cp:lastPrinted>2025-09-30T05:36:02Z</cp:lastPrinted>
  <dcterms:created xsi:type="dcterms:W3CDTF">2023-05-19T08:34:56Z</dcterms:created>
  <dcterms:modified xsi:type="dcterms:W3CDTF">2025-09-30T05:39:20Z</dcterms:modified>
</cp:coreProperties>
</file>