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Checking\23251 - Lodha Vikhroli (Tower C1 &amp; C3)\"/>
    </mc:Choice>
  </mc:AlternateContent>
  <xr:revisionPtr revIDLastSave="0" documentId="13_ncr:1_{B95047BA-F982-43A9-B1F2-A5478649C3C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Report!$A$1:$H$735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 l="1"/>
  <c r="D335" i="1"/>
  <c r="D262" i="1"/>
  <c r="D261" i="1"/>
  <c r="D260" i="1"/>
  <c r="D259" i="1"/>
  <c r="A229" i="1"/>
  <c r="A230" i="1" s="1"/>
  <c r="A231" i="1" s="1"/>
  <c r="A221" i="1"/>
  <c r="A222" i="1" s="1"/>
  <c r="A223" i="1" s="1"/>
  <c r="A213" i="1"/>
  <c r="A214" i="1" s="1"/>
  <c r="A215" i="1" s="1"/>
  <c r="A203" i="1"/>
  <c r="A204" i="1" s="1"/>
  <c r="A205" i="1" s="1"/>
  <c r="D201" i="1"/>
  <c r="A193" i="1"/>
  <c r="A194" i="1" s="1"/>
  <c r="A195" i="1" s="1"/>
  <c r="A183" i="1"/>
  <c r="A184" i="1" s="1"/>
  <c r="A185" i="1" s="1"/>
  <c r="A173" i="1"/>
  <c r="A174" i="1" s="1"/>
  <c r="A175" i="1" s="1"/>
  <c r="D171" i="1"/>
  <c r="D139" i="1"/>
  <c r="C81" i="1"/>
  <c r="J440" i="1"/>
  <c r="D440" i="1"/>
  <c r="F440" i="1" s="1"/>
  <c r="J431" i="1" s="1"/>
  <c r="J439" i="1"/>
  <c r="D439" i="1"/>
  <c r="F439" i="1" s="1"/>
  <c r="J438" i="1"/>
  <c r="D438" i="1"/>
  <c r="F438" i="1" s="1"/>
  <c r="J437" i="1"/>
  <c r="D437" i="1"/>
  <c r="F437" i="1" s="1"/>
  <c r="D436" i="1"/>
  <c r="F436" i="1" s="1"/>
  <c r="D435" i="1"/>
  <c r="F435" i="1" s="1"/>
  <c r="D434" i="1"/>
  <c r="F434" i="1" s="1"/>
  <c r="J433" i="1"/>
  <c r="D433" i="1"/>
  <c r="F433" i="1" s="1"/>
  <c r="A433" i="1"/>
  <c r="A434" i="1" s="1"/>
  <c r="A435" i="1" s="1"/>
  <c r="A436" i="1" s="1"/>
  <c r="A437" i="1" s="1"/>
  <c r="A438" i="1" s="1"/>
  <c r="A439" i="1" s="1"/>
  <c r="A440" i="1" s="1"/>
  <c r="G432" i="1"/>
  <c r="D432" i="1"/>
  <c r="F432" i="1" s="1"/>
  <c r="J430" i="1"/>
  <c r="D430" i="1"/>
  <c r="F430" i="1" s="1"/>
  <c r="J421" i="1" s="1"/>
  <c r="J429" i="1"/>
  <c r="D429" i="1"/>
  <c r="F429" i="1" s="1"/>
  <c r="J428" i="1"/>
  <c r="D428" i="1"/>
  <c r="F428" i="1" s="1"/>
  <c r="J427" i="1"/>
  <c r="D427" i="1"/>
  <c r="F427" i="1" s="1"/>
  <c r="D426" i="1"/>
  <c r="F426" i="1" s="1"/>
  <c r="D425" i="1"/>
  <c r="F425" i="1" s="1"/>
  <c r="D424" i="1"/>
  <c r="F424" i="1" s="1"/>
  <c r="J423" i="1"/>
  <c r="D423" i="1"/>
  <c r="F423" i="1" s="1"/>
  <c r="A423" i="1"/>
  <c r="A424" i="1" s="1"/>
  <c r="A425" i="1" s="1"/>
  <c r="A426" i="1" s="1"/>
  <c r="A427" i="1" s="1"/>
  <c r="A428" i="1" s="1"/>
  <c r="A429" i="1" s="1"/>
  <c r="A430" i="1" s="1"/>
  <c r="G422" i="1"/>
  <c r="D422" i="1"/>
  <c r="F422" i="1" s="1"/>
  <c r="D420" i="1"/>
  <c r="F420" i="1" s="1"/>
  <c r="J412" i="1" s="1"/>
  <c r="D419" i="1"/>
  <c r="F419" i="1" s="1"/>
  <c r="D418" i="1"/>
  <c r="F418" i="1" s="1"/>
  <c r="D417" i="1"/>
  <c r="F417" i="1" s="1"/>
  <c r="D416" i="1"/>
  <c r="F416" i="1" s="1"/>
  <c r="D415" i="1"/>
  <c r="F415" i="1" s="1"/>
  <c r="A415" i="1"/>
  <c r="A416" i="1" s="1"/>
  <c r="A417" i="1" s="1"/>
  <c r="A418" i="1" s="1"/>
  <c r="A419" i="1" s="1"/>
  <c r="A420" i="1" s="1"/>
  <c r="D414" i="1"/>
  <c r="F414" i="1" s="1"/>
  <c r="G413" i="1"/>
  <c r="D413" i="1"/>
  <c r="F413" i="1" s="1"/>
  <c r="D411" i="1"/>
  <c r="F411" i="1" s="1"/>
  <c r="J403" i="1" s="1"/>
  <c r="D410" i="1"/>
  <c r="F410" i="1" s="1"/>
  <c r="D409" i="1"/>
  <c r="F409" i="1" s="1"/>
  <c r="D408" i="1"/>
  <c r="F408" i="1" s="1"/>
  <c r="D407" i="1"/>
  <c r="F407" i="1" s="1"/>
  <c r="D406" i="1"/>
  <c r="F406" i="1" s="1"/>
  <c r="A406" i="1"/>
  <c r="A407" i="1" s="1"/>
  <c r="A408" i="1" s="1"/>
  <c r="A409" i="1" s="1"/>
  <c r="A410" i="1" s="1"/>
  <c r="A411" i="1" s="1"/>
  <c r="D405" i="1"/>
  <c r="F405" i="1" s="1"/>
  <c r="G404" i="1"/>
  <c r="D404" i="1"/>
  <c r="F404" i="1" s="1"/>
  <c r="J402" i="1"/>
  <c r="D402" i="1"/>
  <c r="F402" i="1" s="1"/>
  <c r="J393" i="1" s="1"/>
  <c r="J401" i="1"/>
  <c r="D401" i="1"/>
  <c r="F401" i="1" s="1"/>
  <c r="D400" i="1"/>
  <c r="F400" i="1" s="1"/>
  <c r="D399" i="1"/>
  <c r="F399" i="1" s="1"/>
  <c r="D398" i="1"/>
  <c r="F398" i="1" s="1"/>
  <c r="D397" i="1"/>
  <c r="F397" i="1" s="1"/>
  <c r="D396" i="1"/>
  <c r="F396" i="1" s="1"/>
  <c r="J395" i="1"/>
  <c r="D395" i="1"/>
  <c r="F395" i="1" s="1"/>
  <c r="A395" i="1"/>
  <c r="A396" i="1" s="1"/>
  <c r="A397" i="1" s="1"/>
  <c r="A398" i="1" s="1"/>
  <c r="A399" i="1" s="1"/>
  <c r="A400" i="1" s="1"/>
  <c r="A401" i="1" s="1"/>
  <c r="A402" i="1" s="1"/>
  <c r="G394" i="1"/>
  <c r="D394" i="1"/>
  <c r="F394" i="1" s="1"/>
  <c r="D388" i="1" l="1"/>
  <c r="F388" i="1" s="1"/>
  <c r="D387" i="1"/>
  <c r="F387" i="1" s="1"/>
  <c r="J392" i="1"/>
  <c r="I392" i="1"/>
  <c r="D392" i="1"/>
  <c r="F392" i="1" s="1"/>
  <c r="J383" i="1" s="1"/>
  <c r="D391" i="1"/>
  <c r="F391" i="1" s="1"/>
  <c r="D390" i="1"/>
  <c r="F390" i="1" s="1"/>
  <c r="D389" i="1"/>
  <c r="F389" i="1" s="1"/>
  <c r="A385" i="1"/>
  <c r="A386" i="1" s="1"/>
  <c r="A387" i="1" s="1"/>
  <c r="A388" i="1" s="1"/>
  <c r="A389" i="1" s="1"/>
  <c r="A390" i="1" s="1"/>
  <c r="A391" i="1" s="1"/>
  <c r="A392" i="1" s="1"/>
  <c r="I384" i="1"/>
  <c r="G384" i="1"/>
  <c r="D384" i="1"/>
  <c r="F384" i="1" s="1"/>
  <c r="D382" i="1"/>
  <c r="F382" i="1" s="1"/>
  <c r="D381" i="1"/>
  <c r="F381" i="1" s="1"/>
  <c r="D380" i="1"/>
  <c r="F380" i="1" s="1"/>
  <c r="A380" i="1"/>
  <c r="A381" i="1" s="1"/>
  <c r="A382" i="1" s="1"/>
  <c r="D379" i="1"/>
  <c r="F379" i="1" s="1"/>
  <c r="D378" i="1"/>
  <c r="F378" i="1" s="1"/>
  <c r="D377" i="1"/>
  <c r="F377" i="1" s="1"/>
  <c r="D376" i="1"/>
  <c r="F376" i="1" s="1"/>
  <c r="A376" i="1"/>
  <c r="A377" i="1" s="1"/>
  <c r="G375" i="1"/>
  <c r="D375" i="1"/>
  <c r="F375" i="1" s="1"/>
  <c r="D373" i="1"/>
  <c r="F373" i="1" s="1"/>
  <c r="D372" i="1"/>
  <c r="F372" i="1" s="1"/>
  <c r="D371" i="1"/>
  <c r="F371" i="1" s="1"/>
  <c r="A371" i="1"/>
  <c r="A372" i="1" s="1"/>
  <c r="A373" i="1" s="1"/>
  <c r="D370" i="1"/>
  <c r="F370" i="1" s="1"/>
  <c r="D369" i="1"/>
  <c r="F369" i="1" s="1"/>
  <c r="D368" i="1"/>
  <c r="F368" i="1" s="1"/>
  <c r="G367" i="1"/>
  <c r="D367" i="1"/>
  <c r="F367" i="1" s="1"/>
  <c r="D365" i="1"/>
  <c r="F365" i="1" s="1"/>
  <c r="D364" i="1"/>
  <c r="F364" i="1" s="1"/>
  <c r="D363" i="1"/>
  <c r="F363" i="1" s="1"/>
  <c r="A363" i="1"/>
  <c r="A364" i="1" s="1"/>
  <c r="A365" i="1" s="1"/>
  <c r="D362" i="1"/>
  <c r="F362" i="1" s="1"/>
  <c r="D361" i="1"/>
  <c r="F361" i="1" s="1"/>
  <c r="D360" i="1"/>
  <c r="F360" i="1" s="1"/>
  <c r="D359" i="1"/>
  <c r="F359" i="1" s="1"/>
  <c r="A359" i="1"/>
  <c r="A360" i="1" s="1"/>
  <c r="G358" i="1"/>
  <c r="D358" i="1"/>
  <c r="F358" i="1" s="1"/>
  <c r="D349" i="1"/>
  <c r="F349" i="1" s="1"/>
  <c r="D356" i="1"/>
  <c r="F356" i="1" s="1"/>
  <c r="J348" i="1" s="1"/>
  <c r="D355" i="1"/>
  <c r="F355" i="1" s="1"/>
  <c r="D354" i="1"/>
  <c r="F354" i="1" s="1"/>
  <c r="D353" i="1"/>
  <c r="F353" i="1" s="1"/>
  <c r="D352" i="1"/>
  <c r="F352" i="1" s="1"/>
  <c r="D351" i="1"/>
  <c r="F351" i="1" s="1"/>
  <c r="D350" i="1"/>
  <c r="F350" i="1" s="1"/>
  <c r="A351" i="1"/>
  <c r="A352" i="1" s="1"/>
  <c r="A353" i="1" s="1"/>
  <c r="A354" i="1" s="1"/>
  <c r="A355" i="1" s="1"/>
  <c r="A356" i="1" s="1"/>
  <c r="G349" i="1"/>
  <c r="D347" i="1"/>
  <c r="F347" i="1" s="1"/>
  <c r="J339" i="1" s="1"/>
  <c r="D346" i="1"/>
  <c r="F346" i="1" s="1"/>
  <c r="D345" i="1"/>
  <c r="F345" i="1" s="1"/>
  <c r="A345" i="1"/>
  <c r="A346" i="1" s="1"/>
  <c r="A347" i="1" s="1"/>
  <c r="D344" i="1"/>
  <c r="F344" i="1" s="1"/>
  <c r="D343" i="1"/>
  <c r="F343" i="1" s="1"/>
  <c r="D342" i="1"/>
  <c r="F342" i="1" s="1"/>
  <c r="D341" i="1"/>
  <c r="F341" i="1" s="1"/>
  <c r="A341" i="1"/>
  <c r="A342" i="1" s="1"/>
  <c r="G340" i="1"/>
  <c r="D340" i="1"/>
  <c r="F340" i="1" s="1"/>
  <c r="D332" i="1"/>
  <c r="F332" i="1" s="1"/>
  <c r="D338" i="1"/>
  <c r="F338" i="1" s="1"/>
  <c r="J331" i="1" s="1"/>
  <c r="D337" i="1"/>
  <c r="F337" i="1" s="1"/>
  <c r="D336" i="1"/>
  <c r="F336" i="1" s="1"/>
  <c r="A336" i="1"/>
  <c r="A337" i="1" s="1"/>
  <c r="A338" i="1" s="1"/>
  <c r="F335" i="1"/>
  <c r="D334" i="1"/>
  <c r="F334" i="1" s="1"/>
  <c r="D333" i="1"/>
  <c r="F333" i="1" s="1"/>
  <c r="G332" i="1"/>
  <c r="I262" i="1"/>
  <c r="F262" i="1"/>
  <c r="J253" i="1" s="1"/>
  <c r="F261" i="1"/>
  <c r="F260" i="1"/>
  <c r="F259" i="1"/>
  <c r="D258" i="1"/>
  <c r="F258" i="1" s="1"/>
  <c r="A255" i="1"/>
  <c r="A256" i="1" s="1"/>
  <c r="A257" i="1" s="1"/>
  <c r="A258" i="1" s="1"/>
  <c r="A259" i="1" s="1"/>
  <c r="A260" i="1" s="1"/>
  <c r="A261" i="1" s="1"/>
  <c r="A262" i="1" s="1"/>
  <c r="I254" i="1"/>
  <c r="G254" i="1"/>
  <c r="D254" i="1"/>
  <c r="F254" i="1" s="1"/>
  <c r="D320" i="1"/>
  <c r="F320" i="1" s="1"/>
  <c r="J312" i="1" s="1"/>
  <c r="D319" i="1"/>
  <c r="F319" i="1" s="1"/>
  <c r="D318" i="1"/>
  <c r="F318" i="1" s="1"/>
  <c r="A318" i="1"/>
  <c r="A319" i="1" s="1"/>
  <c r="A320" i="1" s="1"/>
  <c r="D317" i="1"/>
  <c r="F317" i="1" s="1"/>
  <c r="D316" i="1"/>
  <c r="F316" i="1" s="1"/>
  <c r="D315" i="1"/>
  <c r="F315" i="1" s="1"/>
  <c r="J314" i="1"/>
  <c r="D314" i="1"/>
  <c r="F314" i="1" s="1"/>
  <c r="A314" i="1"/>
  <c r="A315" i="1" s="1"/>
  <c r="G313" i="1"/>
  <c r="D313" i="1"/>
  <c r="F313" i="1" s="1"/>
  <c r="D311" i="1"/>
  <c r="F311" i="1" s="1"/>
  <c r="J302" i="1" s="1"/>
  <c r="D310" i="1"/>
  <c r="F310" i="1" s="1"/>
  <c r="D309" i="1"/>
  <c r="F309" i="1" s="1"/>
  <c r="D308" i="1"/>
  <c r="F308" i="1" s="1"/>
  <c r="D307" i="1"/>
  <c r="F307" i="1" s="1"/>
  <c r="D306" i="1"/>
  <c r="F306" i="1" s="1"/>
  <c r="D305" i="1"/>
  <c r="F305" i="1" s="1"/>
  <c r="D304" i="1"/>
  <c r="F304" i="1" s="1"/>
  <c r="A304" i="1"/>
  <c r="A305" i="1" s="1"/>
  <c r="A306" i="1" s="1"/>
  <c r="A307" i="1" s="1"/>
  <c r="A308" i="1" s="1"/>
  <c r="A309" i="1" s="1"/>
  <c r="A310" i="1" s="1"/>
  <c r="A311" i="1" s="1"/>
  <c r="G303" i="1"/>
  <c r="D303" i="1"/>
  <c r="F303" i="1" s="1"/>
  <c r="I225" i="1"/>
  <c r="I217" i="1"/>
  <c r="D227" i="1"/>
  <c r="F227" i="1" s="1"/>
  <c r="D225" i="1"/>
  <c r="F225" i="1" s="1"/>
  <c r="D219" i="1"/>
  <c r="F219" i="1" s="1"/>
  <c r="D217" i="1"/>
  <c r="F217" i="1" s="1"/>
  <c r="D297" i="1"/>
  <c r="F297" i="1" s="1"/>
  <c r="D301" i="1"/>
  <c r="F301" i="1" s="1"/>
  <c r="J293" i="1" s="1"/>
  <c r="D300" i="1"/>
  <c r="F300" i="1" s="1"/>
  <c r="D299" i="1"/>
  <c r="F299" i="1" s="1"/>
  <c r="D298" i="1"/>
  <c r="F298" i="1" s="1"/>
  <c r="D296" i="1"/>
  <c r="F296" i="1" s="1"/>
  <c r="D295" i="1"/>
  <c r="F295" i="1" s="1"/>
  <c r="A295" i="1"/>
  <c r="A296" i="1" s="1"/>
  <c r="A299" i="1" s="1"/>
  <c r="A300" i="1" s="1"/>
  <c r="A301" i="1" s="1"/>
  <c r="G294" i="1"/>
  <c r="D294" i="1"/>
  <c r="D292" i="1"/>
  <c r="F292" i="1" s="1"/>
  <c r="J283" i="1" s="1"/>
  <c r="D291" i="1"/>
  <c r="F291" i="1" s="1"/>
  <c r="D290" i="1"/>
  <c r="F290" i="1" s="1"/>
  <c r="D289" i="1"/>
  <c r="F289" i="1" s="1"/>
  <c r="D288" i="1"/>
  <c r="F288" i="1" s="1"/>
  <c r="D287" i="1"/>
  <c r="F287" i="1" s="1"/>
  <c r="D286" i="1"/>
  <c r="F286" i="1" s="1"/>
  <c r="D285" i="1"/>
  <c r="F285" i="1" s="1"/>
  <c r="A285" i="1"/>
  <c r="A286" i="1" s="1"/>
  <c r="A287" i="1" s="1"/>
  <c r="A288" i="1" s="1"/>
  <c r="A289" i="1" s="1"/>
  <c r="A290" i="1" s="1"/>
  <c r="A291" i="1" s="1"/>
  <c r="A292" i="1" s="1"/>
  <c r="G284" i="1"/>
  <c r="D284" i="1"/>
  <c r="F284" i="1" s="1"/>
  <c r="D282" i="1"/>
  <c r="F282" i="1" s="1"/>
  <c r="J273" i="1" s="1"/>
  <c r="D281" i="1"/>
  <c r="F281" i="1" s="1"/>
  <c r="J262" i="1" s="1"/>
  <c r="D280" i="1"/>
  <c r="F280" i="1" s="1"/>
  <c r="J261" i="1" s="1"/>
  <c r="D279" i="1"/>
  <c r="F279" i="1" s="1"/>
  <c r="J260" i="1" s="1"/>
  <c r="D278" i="1"/>
  <c r="F278" i="1" s="1"/>
  <c r="J259" i="1" s="1"/>
  <c r="D277" i="1"/>
  <c r="F277" i="1" s="1"/>
  <c r="J258" i="1" s="1"/>
  <c r="D276" i="1"/>
  <c r="F276" i="1" s="1"/>
  <c r="J257" i="1" s="1"/>
  <c r="D275" i="1"/>
  <c r="F275" i="1" s="1"/>
  <c r="J256" i="1" s="1"/>
  <c r="A275" i="1"/>
  <c r="A276" i="1" s="1"/>
  <c r="A277" i="1" s="1"/>
  <c r="A278" i="1" s="1"/>
  <c r="A279" i="1" s="1"/>
  <c r="A280" i="1" s="1"/>
  <c r="A281" i="1" s="1"/>
  <c r="A282" i="1" s="1"/>
  <c r="G274" i="1"/>
  <c r="D274" i="1"/>
  <c r="F274" i="1" s="1"/>
  <c r="J255" i="1" s="1"/>
  <c r="J292" i="1"/>
  <c r="J291" i="1"/>
  <c r="J290" i="1"/>
  <c r="J289" i="1"/>
  <c r="J285" i="1"/>
  <c r="D252" i="1"/>
  <c r="F252" i="1" s="1"/>
  <c r="J243" i="1" s="1"/>
  <c r="D251" i="1"/>
  <c r="F251" i="1" s="1"/>
  <c r="D250" i="1"/>
  <c r="F250" i="1" s="1"/>
  <c r="D249" i="1"/>
  <c r="F249" i="1" s="1"/>
  <c r="D248" i="1"/>
  <c r="F248" i="1" s="1"/>
  <c r="D247" i="1"/>
  <c r="F247" i="1" s="1"/>
  <c r="D246" i="1"/>
  <c r="F246" i="1" s="1"/>
  <c r="D245" i="1"/>
  <c r="F245" i="1" s="1"/>
  <c r="A245" i="1"/>
  <c r="A246" i="1" s="1"/>
  <c r="A247" i="1" s="1"/>
  <c r="A248" i="1" s="1"/>
  <c r="A249" i="1" s="1"/>
  <c r="A250" i="1" s="1"/>
  <c r="A251" i="1" s="1"/>
  <c r="A252" i="1" s="1"/>
  <c r="G244" i="1"/>
  <c r="D244" i="1"/>
  <c r="F244" i="1" s="1"/>
  <c r="D328" i="1"/>
  <c r="D329" i="1"/>
  <c r="D330" i="1"/>
  <c r="D327" i="1"/>
  <c r="I330" i="1"/>
  <c r="D326" i="1"/>
  <c r="D322" i="1"/>
  <c r="I322" i="1"/>
  <c r="D272" i="1"/>
  <c r="D271" i="1"/>
  <c r="D270" i="1"/>
  <c r="D269" i="1"/>
  <c r="D268" i="1"/>
  <c r="D267" i="1"/>
  <c r="D266" i="1"/>
  <c r="D265" i="1"/>
  <c r="D264" i="1"/>
  <c r="I242" i="1"/>
  <c r="D242" i="1"/>
  <c r="D241" i="1"/>
  <c r="D240" i="1"/>
  <c r="D238" i="1"/>
  <c r="D237" i="1"/>
  <c r="D236" i="1"/>
  <c r="D235" i="1"/>
  <c r="D234" i="1"/>
  <c r="D142" i="1"/>
  <c r="D141" i="1"/>
  <c r="D140" i="1"/>
  <c r="D152" i="1"/>
  <c r="F152" i="1" s="1"/>
  <c r="D151" i="1"/>
  <c r="F151" i="1" s="1"/>
  <c r="D150" i="1"/>
  <c r="F150" i="1" s="1"/>
  <c r="D149" i="1"/>
  <c r="F149" i="1" s="1"/>
  <c r="D148" i="1"/>
  <c r="D162" i="1"/>
  <c r="F162" i="1" s="1"/>
  <c r="D161" i="1"/>
  <c r="F161" i="1" s="1"/>
  <c r="D160" i="1"/>
  <c r="F160" i="1" s="1"/>
  <c r="D159" i="1"/>
  <c r="F159" i="1" s="1"/>
  <c r="D158" i="1"/>
  <c r="F158" i="1" s="1"/>
  <c r="F171" i="1"/>
  <c r="D170" i="1"/>
  <c r="F170" i="1" s="1"/>
  <c r="D169" i="1"/>
  <c r="F169" i="1" s="1"/>
  <c r="D168" i="1"/>
  <c r="F168" i="1" s="1"/>
  <c r="D181" i="1"/>
  <c r="F181" i="1" s="1"/>
  <c r="D180" i="1"/>
  <c r="F180" i="1" s="1"/>
  <c r="D179" i="1"/>
  <c r="F179" i="1" s="1"/>
  <c r="D178" i="1"/>
  <c r="F178" i="1" s="1"/>
  <c r="D177" i="1"/>
  <c r="F177" i="1" s="1"/>
  <c r="D191" i="1"/>
  <c r="F191" i="1" s="1"/>
  <c r="D190" i="1"/>
  <c r="F190" i="1" s="1"/>
  <c r="D189" i="1"/>
  <c r="F189" i="1" s="1"/>
  <c r="D188" i="1"/>
  <c r="F188" i="1" s="1"/>
  <c r="D187" i="1"/>
  <c r="F187" i="1" s="1"/>
  <c r="D211" i="1"/>
  <c r="F211" i="1" s="1"/>
  <c r="D210" i="1"/>
  <c r="F210" i="1" s="1"/>
  <c r="D209" i="1"/>
  <c r="F209" i="1" s="1"/>
  <c r="D208" i="1"/>
  <c r="F208" i="1" s="1"/>
  <c r="D207" i="1"/>
  <c r="F207" i="1" s="1"/>
  <c r="I207" i="1"/>
  <c r="D218" i="1"/>
  <c r="F218" i="1" s="1"/>
  <c r="D226" i="1"/>
  <c r="F226" i="1" s="1"/>
  <c r="I234" i="1"/>
  <c r="K225" i="1"/>
  <c r="G225" i="1"/>
  <c r="K217" i="1"/>
  <c r="G217" i="1"/>
  <c r="I211" i="1"/>
  <c r="J209" i="1"/>
  <c r="A208" i="1"/>
  <c r="A209" i="1" s="1"/>
  <c r="A210" i="1" s="1"/>
  <c r="A211" i="1" s="1"/>
  <c r="G207" i="1"/>
  <c r="D197" i="1"/>
  <c r="K197" i="1"/>
  <c r="I197" i="1"/>
  <c r="A188" i="1"/>
  <c r="A189" i="1" s="1"/>
  <c r="A190" i="1" s="1"/>
  <c r="A191" i="1" s="1"/>
  <c r="G187" i="1"/>
  <c r="A178" i="1"/>
  <c r="A179" i="1" s="1"/>
  <c r="A180" i="1" s="1"/>
  <c r="A181" i="1" s="1"/>
  <c r="G177" i="1"/>
  <c r="A169" i="1"/>
  <c r="A170" i="1" s="1"/>
  <c r="G168" i="1"/>
  <c r="A159" i="1"/>
  <c r="A160" i="1" s="1"/>
  <c r="A161" i="1" s="1"/>
  <c r="A162" i="1" s="1"/>
  <c r="A163" i="1" s="1"/>
  <c r="A164" i="1" s="1"/>
  <c r="A165" i="1" s="1"/>
  <c r="A166" i="1" s="1"/>
  <c r="G158" i="1"/>
  <c r="A149" i="1"/>
  <c r="A150" i="1" s="1"/>
  <c r="A151" i="1" s="1"/>
  <c r="A152" i="1" s="1"/>
  <c r="A153" i="1" s="1"/>
  <c r="A154" i="1" s="1"/>
  <c r="A155" i="1" s="1"/>
  <c r="A156" i="1" s="1"/>
  <c r="G148" i="1"/>
  <c r="K139" i="1"/>
  <c r="I139" i="1"/>
  <c r="E124" i="1" l="1"/>
  <c r="C124" i="1"/>
  <c r="E118" i="1"/>
  <c r="E126" i="1" s="1"/>
  <c r="C118" i="1"/>
  <c r="C126" i="1" s="1"/>
  <c r="F148" i="1"/>
  <c r="F294" i="1"/>
  <c r="I257" i="1"/>
  <c r="I259" i="1"/>
  <c r="C95" i="1"/>
  <c r="C97" i="1" s="1"/>
  <c r="K80" i="1"/>
  <c r="C96" i="1" l="1"/>
  <c r="M78" i="1"/>
  <c r="M79" i="1" s="1"/>
  <c r="A514" i="1" l="1"/>
  <c r="C83" i="1" l="1"/>
  <c r="C54" i="1" l="1"/>
  <c r="I117" i="1"/>
  <c r="D534" i="1"/>
  <c r="F534" i="1" s="1"/>
  <c r="D533" i="1"/>
  <c r="F533" i="1" s="1"/>
  <c r="D532" i="1"/>
  <c r="F532" i="1" s="1"/>
  <c r="D531" i="1"/>
  <c r="F531" i="1" s="1"/>
  <c r="D530" i="1"/>
  <c r="F530" i="1" s="1"/>
  <c r="D529" i="1"/>
  <c r="F529" i="1" s="1"/>
  <c r="D527" i="1"/>
  <c r="F527" i="1" s="1"/>
  <c r="D526" i="1"/>
  <c r="F526" i="1" s="1"/>
  <c r="D525" i="1"/>
  <c r="F525" i="1" s="1"/>
  <c r="D524" i="1"/>
  <c r="F524" i="1" s="1"/>
  <c r="D523" i="1"/>
  <c r="F523" i="1" s="1"/>
  <c r="D522" i="1"/>
  <c r="D519" i="1"/>
  <c r="F519" i="1" s="1"/>
  <c r="J400" i="1" s="1"/>
  <c r="D518" i="1"/>
  <c r="F518" i="1" s="1"/>
  <c r="J399" i="1" s="1"/>
  <c r="D517" i="1"/>
  <c r="F517" i="1" s="1"/>
  <c r="D511" i="1"/>
  <c r="D510" i="1"/>
  <c r="F510" i="1" s="1"/>
  <c r="D509" i="1"/>
  <c r="F509" i="1" s="1"/>
  <c r="D508" i="1"/>
  <c r="F508" i="1" s="1"/>
  <c r="D507" i="1"/>
  <c r="F507" i="1" s="1"/>
  <c r="D506" i="1"/>
  <c r="F506" i="1" s="1"/>
  <c r="D505" i="1"/>
  <c r="F505" i="1" s="1"/>
  <c r="D502" i="1"/>
  <c r="F502" i="1" s="1"/>
  <c r="J382" i="1" s="1"/>
  <c r="D501" i="1"/>
  <c r="F501" i="1" s="1"/>
  <c r="J381" i="1" s="1"/>
  <c r="D500" i="1"/>
  <c r="F500" i="1" s="1"/>
  <c r="J380" i="1" s="1"/>
  <c r="D499" i="1"/>
  <c r="F499" i="1" s="1"/>
  <c r="J379" i="1" s="1"/>
  <c r="D498" i="1"/>
  <c r="F498" i="1" s="1"/>
  <c r="D497" i="1"/>
  <c r="F497" i="1" s="1"/>
  <c r="D496" i="1"/>
  <c r="F496" i="1" s="1"/>
  <c r="D495" i="1"/>
  <c r="F495" i="1" s="1"/>
  <c r="J376" i="1" s="1"/>
  <c r="D494" i="1"/>
  <c r="F494" i="1" s="1"/>
  <c r="D487" i="1"/>
  <c r="F487" i="1" s="1"/>
  <c r="D486" i="1"/>
  <c r="F486" i="1" s="1"/>
  <c r="D485" i="1"/>
  <c r="F485" i="1" s="1"/>
  <c r="D484" i="1"/>
  <c r="F484" i="1" s="1"/>
  <c r="D482" i="1"/>
  <c r="F482" i="1" s="1"/>
  <c r="J391" i="1" s="1"/>
  <c r="D481" i="1"/>
  <c r="F481" i="1" s="1"/>
  <c r="J390" i="1" s="1"/>
  <c r="D480" i="1"/>
  <c r="F480" i="1" s="1"/>
  <c r="D479" i="1"/>
  <c r="F479" i="1" s="1"/>
  <c r="J388" i="1" s="1"/>
  <c r="D478" i="1"/>
  <c r="D477" i="1"/>
  <c r="F477" i="1" s="1"/>
  <c r="J386" i="1" s="1"/>
  <c r="D476" i="1"/>
  <c r="F476" i="1" s="1"/>
  <c r="J385" i="1" s="1"/>
  <c r="D475" i="1"/>
  <c r="F475" i="1" s="1"/>
  <c r="D474" i="1"/>
  <c r="F474" i="1" s="1"/>
  <c r="D473" i="1"/>
  <c r="F473" i="1" s="1"/>
  <c r="D472" i="1"/>
  <c r="F472" i="1" s="1"/>
  <c r="D471" i="1"/>
  <c r="F471" i="1" s="1"/>
  <c r="D470" i="1"/>
  <c r="F470" i="1" s="1"/>
  <c r="D469" i="1"/>
  <c r="F469" i="1" s="1"/>
  <c r="D468" i="1"/>
  <c r="F468" i="1" s="1"/>
  <c r="D467" i="1"/>
  <c r="F467" i="1" s="1"/>
  <c r="J347" i="1" s="1"/>
  <c r="D466" i="1"/>
  <c r="F466" i="1" s="1"/>
  <c r="J346" i="1" s="1"/>
  <c r="D465" i="1"/>
  <c r="F465" i="1" s="1"/>
  <c r="J345" i="1" s="1"/>
  <c r="D464" i="1"/>
  <c r="F464" i="1" s="1"/>
  <c r="J344" i="1" s="1"/>
  <c r="D462" i="1"/>
  <c r="F462" i="1" s="1"/>
  <c r="D461" i="1"/>
  <c r="F461" i="1" s="1"/>
  <c r="D460" i="1"/>
  <c r="F460" i="1" s="1"/>
  <c r="J341" i="1" s="1"/>
  <c r="D459" i="1"/>
  <c r="F459" i="1" s="1"/>
  <c r="J338" i="1" s="1"/>
  <c r="D458" i="1"/>
  <c r="F458" i="1" s="1"/>
  <c r="J337" i="1" s="1"/>
  <c r="D457" i="1"/>
  <c r="F457" i="1" s="1"/>
  <c r="J336" i="1" s="1"/>
  <c r="D456" i="1"/>
  <c r="F456" i="1" s="1"/>
  <c r="J335" i="1" s="1"/>
  <c r="D455" i="1"/>
  <c r="F455" i="1" s="1"/>
  <c r="D454" i="1"/>
  <c r="F454" i="1" s="1"/>
  <c r="D453" i="1"/>
  <c r="F453" i="1" s="1"/>
  <c r="D452" i="1"/>
  <c r="F452" i="1" s="1"/>
  <c r="D451" i="1"/>
  <c r="F451" i="1" s="1"/>
  <c r="D450" i="1"/>
  <c r="F450" i="1" s="1"/>
  <c r="D449" i="1"/>
  <c r="F449" i="1" s="1"/>
  <c r="D448" i="1"/>
  <c r="D447" i="1"/>
  <c r="D446" i="1"/>
  <c r="D445" i="1"/>
  <c r="D444" i="1"/>
  <c r="A532" i="1"/>
  <c r="A533" i="1" s="1"/>
  <c r="A534" i="1" s="1"/>
  <c r="A530" i="1"/>
  <c r="G529" i="1"/>
  <c r="A525" i="1"/>
  <c r="A526" i="1" s="1"/>
  <c r="A527" i="1" s="1"/>
  <c r="A523" i="1"/>
  <c r="G522" i="1"/>
  <c r="A516" i="1"/>
  <c r="A517" i="1" s="1"/>
  <c r="A518" i="1" s="1"/>
  <c r="A519" i="1" s="1"/>
  <c r="G513" i="1"/>
  <c r="I496" i="1"/>
  <c r="G505" i="1"/>
  <c r="A467" i="1"/>
  <c r="A468" i="1" s="1"/>
  <c r="A469" i="1" s="1"/>
  <c r="A470" i="1" s="1"/>
  <c r="A471" i="1" s="1"/>
  <c r="A472" i="1" s="1"/>
  <c r="A473" i="1" s="1"/>
  <c r="A474" i="1" s="1"/>
  <c r="A475" i="1" s="1"/>
  <c r="A476" i="1" s="1"/>
  <c r="A477" i="1" s="1"/>
  <c r="A478" i="1" s="1"/>
  <c r="A479" i="1" s="1"/>
  <c r="A480" i="1" s="1"/>
  <c r="A481" i="1" s="1"/>
  <c r="A482" i="1" s="1"/>
  <c r="A465" i="1"/>
  <c r="G464" i="1"/>
  <c r="A508" i="1"/>
  <c r="A509" i="1" s="1"/>
  <c r="A510" i="1" s="1"/>
  <c r="A506" i="1"/>
  <c r="A487" i="1"/>
  <c r="A488" i="1" s="1"/>
  <c r="A489" i="1" s="1"/>
  <c r="A490" i="1" s="1"/>
  <c r="A491" i="1" s="1"/>
  <c r="A492" i="1" s="1"/>
  <c r="A493" i="1" s="1"/>
  <c r="A494" i="1" s="1"/>
  <c r="A495" i="1" s="1"/>
  <c r="A496" i="1" s="1"/>
  <c r="A497" i="1" s="1"/>
  <c r="A498" i="1" s="1"/>
  <c r="A499" i="1" s="1"/>
  <c r="A500" i="1" s="1"/>
  <c r="A501" i="1" s="1"/>
  <c r="A502" i="1" s="1"/>
  <c r="A485" i="1"/>
  <c r="G484" i="1"/>
  <c r="G444" i="1"/>
  <c r="A447" i="1"/>
  <c r="A448" i="1" s="1"/>
  <c r="A449" i="1" s="1"/>
  <c r="A450" i="1" s="1"/>
  <c r="A451" i="1" s="1"/>
  <c r="A452" i="1" s="1"/>
  <c r="A453" i="1" s="1"/>
  <c r="A454" i="1" s="1"/>
  <c r="A455" i="1" s="1"/>
  <c r="A456" i="1" s="1"/>
  <c r="A457" i="1" s="1"/>
  <c r="A458" i="1" s="1"/>
  <c r="A459" i="1" s="1"/>
  <c r="A460" i="1" s="1"/>
  <c r="A461" i="1" s="1"/>
  <c r="A462" i="1" s="1"/>
  <c r="C125" i="1" l="1"/>
  <c r="J389" i="1"/>
  <c r="I389" i="1"/>
  <c r="F478" i="1"/>
  <c r="J387" i="1" s="1"/>
  <c r="I387" i="1"/>
  <c r="C120" i="1"/>
  <c r="E125" i="1"/>
  <c r="E120" i="1"/>
  <c r="F511" i="1"/>
  <c r="F522" i="1"/>
  <c r="G120" i="1" s="1"/>
  <c r="E119" i="1"/>
  <c r="C119" i="1"/>
  <c r="A511" i="1"/>
  <c r="J100" i="1"/>
  <c r="F448" i="1"/>
  <c r="F447" i="1"/>
  <c r="F446" i="1"/>
  <c r="F445" i="1"/>
  <c r="A445" i="1"/>
  <c r="F444" i="1"/>
  <c r="C88" i="1"/>
  <c r="J96" i="1"/>
  <c r="E127" i="1" l="1"/>
  <c r="E128" i="1" s="1"/>
  <c r="C127" i="1"/>
  <c r="C128" i="1" s="1"/>
  <c r="C121" i="1"/>
  <c r="E121" i="1"/>
  <c r="G125" i="1"/>
  <c r="G119" i="1"/>
  <c r="J308" i="1"/>
  <c r="I325" i="1"/>
  <c r="J324" i="1"/>
  <c r="K115" i="1"/>
  <c r="K114" i="1"/>
  <c r="G127" i="1" l="1"/>
  <c r="J309" i="1"/>
  <c r="J304" i="1"/>
  <c r="J310" i="1"/>
  <c r="J311" i="1"/>
  <c r="J330" i="1"/>
  <c r="J301" i="1"/>
  <c r="J323" i="1"/>
  <c r="J295" i="1"/>
  <c r="J329" i="1"/>
  <c r="J300" i="1"/>
  <c r="J326" i="1"/>
  <c r="J298" i="1"/>
  <c r="J328" i="1"/>
  <c r="J299" i="1"/>
  <c r="I327" i="1"/>
  <c r="J327" i="1"/>
  <c r="E3" i="1"/>
  <c r="J325" i="1" l="1"/>
  <c r="K108" i="1" l="1"/>
  <c r="K110" i="1"/>
  <c r="K111" i="1"/>
  <c r="K131" i="1"/>
  <c r="J317" i="1" l="1"/>
  <c r="F330" i="1"/>
  <c r="J321" i="1" s="1"/>
  <c r="F329" i="1"/>
  <c r="J282" i="1" s="1"/>
  <c r="F328" i="1"/>
  <c r="J281" i="1" s="1"/>
  <c r="F327" i="1"/>
  <c r="J280" i="1" s="1"/>
  <c r="F326" i="1"/>
  <c r="J279" i="1" s="1"/>
  <c r="F322" i="1"/>
  <c r="F272" i="1"/>
  <c r="J263" i="1" s="1"/>
  <c r="F271" i="1"/>
  <c r="F270" i="1"/>
  <c r="F269" i="1"/>
  <c r="F268" i="1"/>
  <c r="F267" i="1"/>
  <c r="F265" i="1"/>
  <c r="J236" i="1" s="1"/>
  <c r="F264" i="1"/>
  <c r="F242" i="1"/>
  <c r="K134" i="1" s="1"/>
  <c r="F241" i="1"/>
  <c r="I232" i="1" s="1"/>
  <c r="F240" i="1"/>
  <c r="F238" i="1"/>
  <c r="F237" i="1"/>
  <c r="F236" i="1"/>
  <c r="F235" i="1"/>
  <c r="F234" i="1"/>
  <c r="F201" i="1"/>
  <c r="K113" i="1" s="1"/>
  <c r="F197" i="1"/>
  <c r="K107" i="1"/>
  <c r="F142" i="1"/>
  <c r="F140" i="1"/>
  <c r="A323" i="1"/>
  <c r="A324" i="1" s="1"/>
  <c r="A325" i="1" s="1"/>
  <c r="A326" i="1" s="1"/>
  <c r="A327" i="1" s="1"/>
  <c r="A328" i="1" s="1"/>
  <c r="A329" i="1" s="1"/>
  <c r="A330" i="1" s="1"/>
  <c r="G322" i="1"/>
  <c r="A265" i="1"/>
  <c r="A266" i="1" s="1"/>
  <c r="A267" i="1" s="1"/>
  <c r="A268" i="1" s="1"/>
  <c r="A269" i="1" s="1"/>
  <c r="A270" i="1" s="1"/>
  <c r="A271" i="1" s="1"/>
  <c r="A272" i="1" s="1"/>
  <c r="G264" i="1"/>
  <c r="A235" i="1"/>
  <c r="A236" i="1" s="1"/>
  <c r="A237" i="1" s="1"/>
  <c r="A238" i="1" s="1"/>
  <c r="A239" i="1" s="1"/>
  <c r="A240" i="1" s="1"/>
  <c r="A241" i="1" s="1"/>
  <c r="A242" i="1" s="1"/>
  <c r="G234" i="1"/>
  <c r="A198" i="1"/>
  <c r="A199" i="1" s="1"/>
  <c r="A200" i="1" s="1"/>
  <c r="A201" i="1" s="1"/>
  <c r="G197" i="1"/>
  <c r="J43" i="1"/>
  <c r="C17" i="1"/>
  <c r="G118" i="1" l="1"/>
  <c r="J318" i="1"/>
  <c r="J319" i="1"/>
  <c r="J320" i="1"/>
  <c r="J265" i="1"/>
  <c r="J275" i="1"/>
  <c r="J241" i="1"/>
  <c r="J251" i="1"/>
  <c r="I251" i="1"/>
  <c r="J235" i="1"/>
  <c r="J245" i="1"/>
  <c r="J238" i="1"/>
  <c r="I248" i="1"/>
  <c r="J249" i="1"/>
  <c r="I249" i="1"/>
  <c r="J250" i="1"/>
  <c r="I250" i="1"/>
  <c r="J242" i="1"/>
  <c r="J252" i="1"/>
  <c r="I252" i="1"/>
  <c r="I201" i="1"/>
  <c r="J136" i="1"/>
  <c r="F266" i="1"/>
  <c r="J237" i="1" s="1"/>
  <c r="J270" i="1"/>
  <c r="J272" i="1"/>
  <c r="J271" i="1"/>
  <c r="J269" i="1"/>
  <c r="J233" i="1"/>
  <c r="J135" i="1"/>
  <c r="K103" i="1"/>
  <c r="K129" i="1"/>
  <c r="J137" i="1"/>
  <c r="K105" i="1"/>
  <c r="J141" i="1"/>
  <c r="K109" i="1"/>
  <c r="K132" i="1"/>
  <c r="J240" i="1"/>
  <c r="J239" i="1"/>
  <c r="K130" i="1"/>
  <c r="J138" i="1"/>
  <c r="K106" i="1"/>
  <c r="K112" i="1"/>
  <c r="J232" i="1"/>
  <c r="K133" i="1"/>
  <c r="J133" i="1"/>
  <c r="J139" i="1"/>
  <c r="E32" i="1"/>
  <c r="G121" i="1" l="1"/>
  <c r="K104" i="1"/>
  <c r="F139" i="1"/>
  <c r="F141" i="1"/>
  <c r="A139" i="1"/>
  <c r="A140" i="1" s="1"/>
  <c r="A141" i="1" s="1"/>
  <c r="A142" i="1" s="1"/>
  <c r="A143" i="1" s="1"/>
  <c r="A144" i="1" s="1"/>
  <c r="A145" i="1" s="1"/>
  <c r="A146" i="1" s="1"/>
  <c r="G138" i="1"/>
  <c r="G124" i="1" l="1"/>
  <c r="G126" i="1" s="1"/>
  <c r="G128" i="1" s="1"/>
  <c r="I130" i="1"/>
  <c r="J132" i="1"/>
  <c r="J131" i="1"/>
  <c r="J130" i="1"/>
  <c r="F115" i="1"/>
  <c r="B537" i="1" l="1"/>
  <c r="F11" i="5" l="1"/>
  <c r="G11" i="5" s="1"/>
  <c r="F10" i="5"/>
  <c r="G10" i="5" s="1"/>
  <c r="F9" i="5"/>
  <c r="G9" i="5" s="1"/>
  <c r="F8" i="5"/>
  <c r="G8" i="5" s="1"/>
  <c r="F7" i="5"/>
  <c r="G7" i="5" s="1"/>
  <c r="F6" i="5"/>
  <c r="G6" i="5" s="1"/>
  <c r="F5" i="5"/>
  <c r="G5" i="5" s="1"/>
  <c r="G12" i="5" s="1"/>
  <c r="D568" i="1"/>
  <c r="J82" i="1"/>
  <c r="C74" i="1"/>
  <c r="E45" i="1"/>
  <c r="E46" i="1" s="1"/>
  <c r="E29" i="1"/>
  <c r="E27" i="1"/>
  <c r="E7" i="1"/>
  <c r="H75" i="1"/>
  <c r="D68" i="1" l="1"/>
  <c r="D87" i="1"/>
  <c r="D85" i="1"/>
  <c r="D84" i="1"/>
  <c r="D83" i="1"/>
  <c r="D81" i="1"/>
  <c r="J71" i="1"/>
  <c r="D86" i="1"/>
  <c r="D82" i="1"/>
  <c r="J75" i="1"/>
  <c r="J76" i="1"/>
  <c r="C78" i="1" s="1"/>
  <c r="J74" i="1"/>
  <c r="J77" i="1"/>
  <c r="J78" i="1" l="1"/>
  <c r="D80" i="1"/>
  <c r="J73" i="1"/>
  <c r="D78" i="1"/>
  <c r="H89" i="1"/>
  <c r="J91" i="1" l="1"/>
  <c r="J92" i="1" s="1"/>
  <c r="D100" i="1"/>
  <c r="D98" i="1"/>
  <c r="D96" i="1"/>
  <c r="D94" i="1"/>
  <c r="J89" i="1"/>
  <c r="J85" i="1"/>
  <c r="J87" i="1" s="1"/>
  <c r="J90" i="1"/>
  <c r="J88" i="1"/>
  <c r="D101" i="1"/>
  <c r="D99" i="1"/>
  <c r="D97" i="1"/>
  <c r="D95" i="1"/>
  <c r="J83" i="1"/>
  <c r="J79" i="1"/>
  <c r="J97" i="1" l="1"/>
  <c r="C92" i="1"/>
  <c r="D92" i="1" s="1"/>
  <c r="J93" i="1"/>
  <c r="J94" i="1" s="1"/>
  <c r="J95" i="1" s="1"/>
  <c r="J80" i="1"/>
  <c r="J98" i="1" l="1"/>
  <c r="C93" i="1" s="1"/>
  <c r="J81" i="1"/>
  <c r="E92" i="1" l="1"/>
  <c r="G92" i="1"/>
  <c r="J84" i="1"/>
  <c r="C79" i="1" s="1"/>
  <c r="E78" i="1" s="1"/>
  <c r="D93" i="1" l="1"/>
  <c r="I86" i="1" s="1"/>
  <c r="I87" i="1" s="1"/>
  <c r="J86" i="1"/>
  <c r="D79" i="1"/>
  <c r="J72" i="1"/>
  <c r="G78" i="1"/>
  <c r="D72" i="1" s="1"/>
  <c r="D73" i="1" s="1"/>
  <c r="I85" i="1" l="1"/>
  <c r="C90" i="1" s="1"/>
  <c r="I72" i="1"/>
  <c r="I73" i="1" s="1"/>
  <c r="F73" i="1"/>
  <c r="J99" i="1" l="1"/>
  <c r="J101" i="1" s="1"/>
  <c r="I71" i="1"/>
  <c r="C76" i="1" s="1"/>
  <c r="I100" i="1" l="1"/>
  <c r="I101" i="1" s="1"/>
  <c r="I99" i="1" l="1"/>
</calcChain>
</file>

<file path=xl/sharedStrings.xml><?xml version="1.0" encoding="utf-8"?>
<sst xmlns="http://schemas.openxmlformats.org/spreadsheetml/2006/main" count="743" uniqueCount="321">
  <si>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</si>
  <si>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</si>
  <si>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</si>
  <si>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</si>
  <si>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</si>
  <si>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</si>
  <si>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</si>
  <si>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</si>
  <si>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</si>
  <si>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</si>
  <si>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</si>
  <si>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</si>
  <si>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</si>
  <si>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</si>
  <si>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</si>
  <si>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</si>
  <si>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</si>
  <si>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</si>
  <si>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</si>
  <si>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</si>
  <si>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</si>
  <si>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</si>
  <si>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</si>
  <si>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</si>
  <si>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</si>
  <si>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</si>
  <si>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</si>
  <si>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</si>
  <si>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</si>
  <si>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</si>
  <si>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</si>
  <si>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</si>
  <si>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</si>
  <si>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</si>
  <si>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</si>
  <si>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</si>
  <si>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</si>
  <si>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</si>
  <si>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</si>
  <si>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</si>
  <si>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</si>
  <si>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</si>
  <si>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</si>
  <si>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</si>
  <si>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</si>
  <si>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</si>
  <si>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</si>
  <si>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</si>
  <si>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</si>
  <si>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</si>
  <si>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</si>
  <si>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</si>
  <si>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</si>
  <si>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</si>
  <si>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</si>
  <si>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</si>
  <si>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</si>
  <si>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</si>
  <si>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</si>
  <si>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</si>
  <si>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</si>
  <si>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</si>
  <si>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</si>
  <si>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</si>
  <si>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</si>
  <si>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</si>
  <si>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</si>
  <si>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</si>
  <si>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</si>
  <si>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</si>
  <si>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</si>
  <si>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</si>
  <si>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</si>
  <si>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</si>
  <si>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</si>
  <si>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</si>
  <si>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</si>
  <si>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</si>
  <si>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</si>
  <si>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</si>
  <si>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</si>
  <si>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</si>
  <si>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</si>
  <si>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</si>
  <si>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</si>
  <si>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</si>
  <si>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</si>
  <si>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</si>
  <si>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</si>
  <si>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</si>
  <si>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</si>
  <si>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</si>
  <si>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</si>
  <si>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</si>
  <si>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</si>
  <si>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</si>
  <si>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</si>
  <si>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</si>
  <si>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</si>
  <si>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</si>
  <si>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</si>
  <si>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</si>
  <si>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</si>
  <si>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</si>
  <si>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</si>
  <si>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</si>
  <si>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</si>
  <si>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</si>
  <si>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</si>
  <si>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</si>
  <si>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</si>
  <si>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</si>
  <si>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</si>
  <si>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</si>
  <si>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</si>
  <si>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</si>
  <si>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</si>
  <si>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</si>
  <si>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</si>
  <si>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</si>
  <si>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</si>
  <si>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</si>
  <si>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</si>
  <si>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</si>
  <si>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</si>
  <si>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</si>
  <si>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</si>
  <si>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</si>
  <si>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</si>
  <si>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</si>
  <si>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</si>
  <si>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</si>
  <si>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</si>
  <si>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</si>
  <si>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</si>
  <si>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</si>
  <si>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</si>
  <si>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</si>
  <si>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</si>
  <si>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</si>
  <si>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</si>
  <si>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</si>
  <si>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</si>
  <si>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</si>
  <si>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</si>
  <si>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</si>
  <si>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</si>
  <si>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</si>
  <si>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</si>
  <si>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</si>
  <si>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</si>
  <si>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</si>
  <si>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</si>
  <si>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</si>
  <si>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</si>
  <si>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</si>
  <si>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</si>
  <si>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</si>
  <si>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</si>
  <si>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</si>
  <si>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</si>
  <si>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Axis Thane</t>
  </si>
  <si>
    <t>Macrotech Developers Limited</t>
  </si>
  <si>
    <t>Lodha Vikhroli - Tower C1</t>
  </si>
  <si>
    <t>P51800046322</t>
  </si>
  <si>
    <t>Lodha Signet U/C</t>
  </si>
  <si>
    <t>Lodha Signet</t>
  </si>
  <si>
    <t>Slum Area</t>
  </si>
  <si>
    <t>1.2KM from Vikhroli Railway Station</t>
  </si>
  <si>
    <t>Tower C1</t>
  </si>
  <si>
    <t>Approved Plans, CC</t>
  </si>
  <si>
    <t>Slum Rehabilitation Authority (SRA)</t>
  </si>
  <si>
    <t>N/PVT/0106/20220718/AP/C-1</t>
  </si>
  <si>
    <t>CTS No</t>
  </si>
  <si>
    <t>Vikhroli</t>
  </si>
  <si>
    <t>Mumbai</t>
  </si>
  <si>
    <t>Vikhroli (W)</t>
  </si>
  <si>
    <t>Kurla</t>
  </si>
  <si>
    <t>2BHK</t>
  </si>
  <si>
    <t>8th Floor (Part Refuge Area)</t>
  </si>
  <si>
    <t>Refuge Area</t>
  </si>
  <si>
    <t>Below Transfer Lobby</t>
  </si>
  <si>
    <t>Refuge Floor</t>
  </si>
  <si>
    <t>13th Floor (14th Floor As per Builder)</t>
  </si>
  <si>
    <t>29th Floor (Part Refuge Area)
(30th Floor as per Builder)</t>
  </si>
  <si>
    <t>MIS</t>
  </si>
  <si>
    <t>Building</t>
  </si>
  <si>
    <t>4th to 1st Basement Floor for Parking</t>
  </si>
  <si>
    <t>rate sheet</t>
  </si>
  <si>
    <t>No. of Flats</t>
  </si>
  <si>
    <t>SRA/ ENG/N/PVT/0106/20220718/ AP/C-1</t>
  </si>
  <si>
    <t>2.5BHK</t>
  </si>
  <si>
    <t>26th Floor (27th Floor as per Builder)</t>
  </si>
  <si>
    <t>Lodha Vikhroli (Tower C1 &amp; C3)</t>
  </si>
  <si>
    <t>Mr.Rajendra Giri 9820248856</t>
  </si>
  <si>
    <t>RERA Name &amp; No.</t>
  </si>
  <si>
    <t>Tower C3</t>
  </si>
  <si>
    <t xml:space="preserve">P51800054475
</t>
  </si>
  <si>
    <t>67(Pt), 67A, 67/1 to 5, 67/9 to 18, 67/22 to 25, 67/29 to 39 &amp; 67/41</t>
  </si>
  <si>
    <t>L.B.S. Road</t>
  </si>
  <si>
    <t>Harishchandra Compound</t>
  </si>
  <si>
    <t>Latitude &amp; Longitude</t>
  </si>
  <si>
    <t>Wing C1</t>
  </si>
  <si>
    <t>As per Layout</t>
  </si>
  <si>
    <t>19.106583,72.923806</t>
  </si>
  <si>
    <t>https://maps.app.goo.gl/Y6idob9XenHyx1Q98</t>
  </si>
  <si>
    <t>Wing S2/30.50 Mtrs Wide LBS Road</t>
  </si>
  <si>
    <t>Plot Kept in Abeyance</t>
  </si>
  <si>
    <t>Sale Building No.1</t>
  </si>
  <si>
    <t>Plot Kept in Abeyance/Access Road/(Composite Building No.5 - Sale C3)</t>
  </si>
  <si>
    <t>02 Towers</t>
  </si>
  <si>
    <t xml:space="preserve">Approved Builtup Area of Tower C3 (Sq.Mt)
</t>
  </si>
  <si>
    <t xml:space="preserve">Total Approved Builtup Area of Tower C1 (Sq.Mt) </t>
  </si>
  <si>
    <t>https://housing.com/in/buy/projects/page/279843-lodha-vikhroli-tower-c1-by-lodha-group-in-vikhroli-west</t>
  </si>
  <si>
    <t>Landscaping &amp; Tree Planting, Lift(s), Recreation Facilities, 24X7 Water Supply, Car Parking, Community Buildings, Children's Play Area etc.</t>
  </si>
  <si>
    <t>SRA/ ENG/N/PVT/0106/20220718/ AP/C-2</t>
  </si>
  <si>
    <t>Ground Floor For Community Hall, Society Office, Meter Room, Welfare Center, Balwadi, Health Care Center &amp; Skill Development 1</t>
  </si>
  <si>
    <t>1BHK</t>
  </si>
  <si>
    <t>Sale/PTC</t>
  </si>
  <si>
    <t>Wing A</t>
  </si>
  <si>
    <t>Tower C3 (Composite Building No.5)</t>
  </si>
  <si>
    <t>14th Sale Floor (15th Sale Floor as per Builder)
 16th to 21st Sale Floor (17th to 22nd Sale Floor as per Builder)
23rd to 26th Sale Floor (24th to 27th Sale Floor as per Builder)</t>
  </si>
  <si>
    <t xml:space="preserve"> Refuge Area</t>
  </si>
  <si>
    <t>Wing B</t>
  </si>
  <si>
    <t>15th &amp; 22nd Floor (16th &amp; 23rd Floor as per Builder)</t>
  </si>
  <si>
    <t>Residential Area Details :Sale Flat</t>
  </si>
  <si>
    <t>Total</t>
  </si>
  <si>
    <t>Grand Total</t>
  </si>
  <si>
    <t>We considered Gross carpet area = Net carpet + Deck Area</t>
  </si>
  <si>
    <t xml:space="preserve">Approved Floor plan No.
(Tower C1)  </t>
  </si>
  <si>
    <t xml:space="preserve">Approved Floor plan No.
(Tower C3)    </t>
  </si>
  <si>
    <t>Commencement-CC No
Valid Up to: 
(Tower C1)</t>
  </si>
  <si>
    <t>This C.C is granted for work upto plinth level</t>
  </si>
  <si>
    <t>We have updated revised approved floor plan for Tower C1 (on 28/03/2023).</t>
  </si>
  <si>
    <t>Commencement-CC No
Valid Up to: 
(Tower C3)    
Composite Building No.5</t>
  </si>
  <si>
    <t>Tower C1 = 4B + Gr/Stilt + 1st to 33rd Floors 
Tower C3 = Gr + 1st to 13th Floor (PTC) + 14th to 26th Floor (Sale)</t>
  </si>
  <si>
    <t>13th Floor  (14th Floor as per Builder) for PTC Flats</t>
  </si>
  <si>
    <t>1st to 7th &amp; 9th to 12th Floor For for PTC Flats</t>
  </si>
  <si>
    <t>8th Floor (Part Refuge Area) for PTC Flats</t>
  </si>
  <si>
    <t>15th &amp; 22nd Floor (16th &amp; 23rd Floor as per Builder) (Part Refuge Area)</t>
  </si>
  <si>
    <t>We have updated revised approved floor plan  &amp; CC for Tower C3 (on 16/03/2024).</t>
  </si>
  <si>
    <t>As per approved Floor Plan, Tower C3 is bifurfacted into two wings (Wing A &amp; B) from 14th to 26th Floor for Sale Flats.</t>
  </si>
  <si>
    <t>Mr. Jay 9819115602</t>
  </si>
  <si>
    <t>Please provide revised approved CC.</t>
  </si>
  <si>
    <t>As per Approved Plans</t>
  </si>
  <si>
    <t xml:space="preserve">Tower C1 </t>
  </si>
  <si>
    <t>Tower C3 (Composite Building No.5 - Sale C3)</t>
  </si>
  <si>
    <r>
      <rPr>
        <b/>
        <sz val="12"/>
        <rFont val="Times New Roman"/>
        <family val="1"/>
      </rPr>
      <t xml:space="preserve">Tower C3
 (Composite Building No. 5) </t>
    </r>
    <r>
      <rPr>
        <sz val="12"/>
        <rFont val="Times New Roman"/>
        <family val="1"/>
      </rPr>
      <t xml:space="preserve">
Wing A 
Wing B</t>
    </r>
  </si>
  <si>
    <t>Lodha Codename Evergreen C3</t>
  </si>
  <si>
    <t xml:space="preserve">Tower C3 (Composite Building No. 5) </t>
  </si>
  <si>
    <t>Wing E</t>
  </si>
  <si>
    <t>Wing D</t>
  </si>
  <si>
    <r>
      <rPr>
        <b/>
        <sz val="12"/>
        <rFont val="Times New Roman"/>
        <family val="1"/>
      </rPr>
      <t>Lodha Codename Evergreen C3</t>
    </r>
    <r>
      <rPr>
        <sz val="12"/>
        <rFont val="Times New Roman"/>
        <family val="1"/>
      </rPr>
      <t xml:space="preserve">
Wing E
Wing D</t>
    </r>
  </si>
  <si>
    <t>Architecture letter is provided by bank officials on Mail for Building Nomenclature which states that (Documents attached below)</t>
  </si>
  <si>
    <t xml:space="preserve">Architecture Letter: </t>
  </si>
  <si>
    <t>As per Builder</t>
  </si>
  <si>
    <t>construction work of C3 is given as per RERA Architect letter as information was not provided on site17/12/2024</t>
  </si>
  <si>
    <t>This C.C. is further extended for sale residential wing C1 upto top of 13th floor of composite building as per approved plans dated 15/03/2023.</t>
  </si>
  <si>
    <t>As per RERA - Tower C1 (31/12/2027)
                          Tower C3 (31/12/2028)</t>
  </si>
  <si>
    <t>Since internal visit were not permitted, we were unable to determine building progress from an external visit; so, we are maintaining the same progress as in the previous report.</t>
  </si>
  <si>
    <t xml:space="preserve">Office No. 1031, Wing J, Akshar Business Park, Plot No. 03 Sector 25, Near APMC Market, Vashi, Navi Mumbai, Maharashtra 400703 TEL: 022-46090378/79/8
E mail : vsjcapf@gmail.com. Web site : www.vsjadon.com
</t>
  </si>
  <si>
    <t>Tower C1 = 4B + Gr/Stilt + 1st to 34th Floors 
Tower C3 = Gr + 1st to 13th Floor (PTC) + 14th to 34th Floor (Sale)</t>
  </si>
  <si>
    <t>N/PVT/0106/2022718/AP/C-2</t>
  </si>
  <si>
    <t xml:space="preserve">Tower C1 = 4B + Gr/Stilt + 1st to 34th Floors
</t>
  </si>
  <si>
    <t>Tower C3 = Gr + 1st to 13th Floor (PTC) + 14th to 34h Floor (Sale)</t>
  </si>
  <si>
    <t xml:space="preserve">Ground Floor for Entrance Lobby, Society Office, Meter Room &amp; Parking </t>
  </si>
  <si>
    <t>BOH/ Store</t>
  </si>
  <si>
    <t>1st Floor for Residential, Fire Control Room &amp; Parking</t>
  </si>
  <si>
    <t>2nd Floor</t>
  </si>
  <si>
    <t>9th Floor</t>
  </si>
  <si>
    <t>7th Floor</t>
  </si>
  <si>
    <t>5th &amp; 6th Floor</t>
  </si>
  <si>
    <t xml:space="preserve">4th Floor </t>
  </si>
  <si>
    <t xml:space="preserve">3rd Floor </t>
  </si>
  <si>
    <t>10th Floor</t>
  </si>
  <si>
    <t>1 + 2</t>
  </si>
  <si>
    <t>4 + 5</t>
  </si>
  <si>
    <t>Sheet No, 20/58 Flats 1 &amp; 2 , 4 &amp; 5 are Merged</t>
  </si>
  <si>
    <t>Sheet No, 21/58 Flats 1 &amp; 2 , 4 &amp; 5 are Merged</t>
  </si>
  <si>
    <t>11th Floor</t>
  </si>
  <si>
    <t>12th Floor for Amenities (Fitness Center &amp; Landscaped Garden)</t>
  </si>
  <si>
    <t>14th Floor (15th Floor as per Builder)</t>
  </si>
  <si>
    <t>16th Floor (17th Floor as per Builder)</t>
  </si>
  <si>
    <t>17th Floor (18th Floor as per Builder)</t>
  </si>
  <si>
    <t>18th Floor (19th Floor as per Builder)</t>
  </si>
  <si>
    <t>19th Floor (20th Floor as per Builder)</t>
  </si>
  <si>
    <t>Flat 4 &amp; 5 Merged</t>
  </si>
  <si>
    <t>20th Floor (21st Floor as per Builder)</t>
  </si>
  <si>
    <t>21st Floor (22nd Floor as per Builder)</t>
  </si>
  <si>
    <t>15th Floor (Part Refuge Area)
(16th Floor as per Builder)</t>
  </si>
  <si>
    <t>22nd Floor (Part Refuge Area)
(23rd Floor as per Builder)</t>
  </si>
  <si>
    <t>23rd Floor (24th Floor as per Builder)</t>
  </si>
  <si>
    <t>Flat 1 &amp; 2 Merged</t>
  </si>
  <si>
    <t>24th Floor (25th Floor as per Builder)</t>
  </si>
  <si>
    <t>25th Floor (26th Floor as per Builder)</t>
  </si>
  <si>
    <t>27th Floor (28th Floor as per Builder)</t>
  </si>
  <si>
    <t>28th Floor (29th Floor as per Builder)</t>
  </si>
  <si>
    <t>30th Floor (31st Floor as per Builder)</t>
  </si>
  <si>
    <t>31st Floor (32nd Floor as per Builder)</t>
  </si>
  <si>
    <t>32nd Floor (33rd Floor as per Builder)</t>
  </si>
  <si>
    <t>33rd Floor (34th Floor as per Builder)</t>
  </si>
  <si>
    <t>34th Floor (35th Floor as per Builder)</t>
  </si>
  <si>
    <t>As per Revised approved floor plan dtd. 10/09/2025
Flat No. 1 &amp; 2 is merged on 10th, 11th, 23rd, 25th, 27th, 31st &amp; 32nd Floor
Flat No. 4 &amp; 5 is merged on 10th, 11th,  19th, 21st, 23rd, 24th, 26th, 27th &amp; 28th Floor</t>
  </si>
  <si>
    <t>Gaurav Panchal</t>
  </si>
  <si>
    <t>Nainesh Tambe</t>
  </si>
  <si>
    <t>We have updated Revised Approved layout &amp; floor plans for Wing C1. (On 30/09/2025)</t>
  </si>
  <si>
    <t>Transfer Lobby</t>
  </si>
  <si>
    <t>Void</t>
  </si>
  <si>
    <t>IBS room</t>
  </si>
  <si>
    <t>Fire Control Room</t>
  </si>
  <si>
    <t>Parking</t>
  </si>
  <si>
    <t>2BHK
(I to R)</t>
  </si>
  <si>
    <t>4+5</t>
  </si>
  <si>
    <t>Tower C1&amp; C3 = Construction work is in process at the time of Visit. Internal visit was not allowed. Construction details taken from Mr. Rajendra Giri.</t>
  </si>
  <si>
    <t xml:space="preserve">Residential Area Details : </t>
  </si>
  <si>
    <t>Tower C3 (PTC Flat)</t>
  </si>
  <si>
    <t>Tower C1 (I to R Flats)</t>
  </si>
  <si>
    <t>Total C1 Flats</t>
  </si>
  <si>
    <t>Total C3 Flats</t>
  </si>
  <si>
    <t>Sale Flats - 267, PTC Flat - 241, I to R Flats = 117</t>
  </si>
  <si>
    <t>Proposed structure of Tower C1 has changed. Hence construction percentage reduced.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</si>
</sst>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7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8" fillId="0" borderId="3"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64" fontId="7" fillId="0" borderId="0" xfId="1" applyNumberFormat="1" applyFont="1"/>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0" fontId="15" fillId="0" borderId="0" xfId="1" applyFont="1" applyAlignment="1">
      <alignment horizontal="center" vertical="center"/>
    </xf>
    <xf numFmtId="0" fontId="12" fillId="0" borderId="0" xfId="0" applyFont="1" applyAlignment="1">
      <alignment horizontal="center" vertical="center"/>
    </xf>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6"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24" fillId="2" borderId="15" xfId="0" applyFont="1" applyFill="1" applyBorder="1"/>
    <xf numFmtId="0" fontId="25" fillId="0" borderId="9" xfId="0" applyFont="1" applyBorder="1"/>
    <xf numFmtId="0" fontId="7" fillId="0" borderId="0" xfId="1" applyFont="1" applyAlignment="1">
      <alignment vertical="center"/>
    </xf>
    <xf numFmtId="0" fontId="15" fillId="0" borderId="0" xfId="1" applyFont="1" applyAlignment="1">
      <alignment vertical="center"/>
    </xf>
    <xf numFmtId="1" fontId="15" fillId="0" borderId="0" xfId="1" applyNumberFormat="1" applyFont="1" applyAlignment="1">
      <alignment horizontal="center" vertical="center"/>
    </xf>
    <xf numFmtId="1" fontId="27" fillId="0" borderId="8" xfId="0" applyNumberFormat="1" applyFont="1" applyBorder="1" applyAlignment="1" applyProtection="1">
      <alignment vertical="top" wrapText="1"/>
      <protection locked="0"/>
    </xf>
    <xf numFmtId="1" fontId="27" fillId="0" borderId="21" xfId="0" applyNumberFormat="1" applyFont="1" applyBorder="1" applyAlignment="1" applyProtection="1">
      <alignment vertical="top" wrapText="1"/>
      <protection locked="0"/>
    </xf>
    <xf numFmtId="1" fontId="27"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1" fontId="6" fillId="0" borderId="32"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6" xfId="0" applyFont="1" applyBorder="1" applyAlignment="1" applyProtection="1">
      <alignment horizontal="center" vertical="center"/>
      <protection locked="0"/>
    </xf>
    <xf numFmtId="1" fontId="7" fillId="0" borderId="16"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0" fillId="0" borderId="34" xfId="0" applyNumberFormat="1"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8" fillId="0" borderId="33" xfId="0" applyNumberFormat="1" applyFont="1" applyBorder="1" applyAlignment="1" applyProtection="1">
      <alignment horizontal="center" vertical="center" wrapText="1"/>
      <protection locked="0"/>
    </xf>
    <xf numFmtId="1" fontId="8" fillId="0" borderId="34" xfId="0"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7" fillId="0" borderId="8" xfId="1" applyFont="1" applyBorder="1" applyAlignment="1" applyProtection="1">
      <alignment horizontal="left"/>
      <protection locked="0"/>
    </xf>
    <xf numFmtId="0" fontId="7" fillId="0" borderId="21" xfId="1" applyFont="1" applyBorder="1" applyAlignment="1" applyProtection="1">
      <alignment horizontal="left"/>
      <protection locked="0"/>
    </xf>
    <xf numFmtId="0" fontId="7" fillId="0" borderId="9" xfId="1" applyFont="1" applyBorder="1" applyAlignment="1" applyProtection="1">
      <alignment horizontal="left"/>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6" fillId="0" borderId="3"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12" fillId="0" borderId="9" xfId="1" applyFont="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9"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9" fillId="0" borderId="1" xfId="5" applyFont="1" applyBorder="1" applyAlignment="1">
      <alignment horizontal="left"/>
    </xf>
    <xf numFmtId="0" fontId="8" fillId="3" borderId="1" xfId="1" applyFont="1" applyFill="1" applyBorder="1" applyAlignment="1" applyProtection="1">
      <alignment horizontal="center" vertical="top"/>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1" fontId="6" fillId="0" borderId="9"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lignment horizontal="center" vertical="center"/>
    </xf>
    <xf numFmtId="1" fontId="6" fillId="0" borderId="25" xfId="1" applyNumberFormat="1" applyFont="1" applyFill="1" applyBorder="1" applyAlignment="1" applyProtection="1">
      <alignment horizontal="center" vertical="center" wrapText="1"/>
      <protection locked="0"/>
    </xf>
    <xf numFmtId="1" fontId="6" fillId="0" borderId="26"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protection locked="0"/>
    </xf>
    <xf numFmtId="1" fontId="6" fillId="0" borderId="1"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protection locked="0"/>
    </xf>
    <xf numFmtId="1" fontId="6" fillId="0" borderId="24" xfId="1" applyNumberFormat="1" applyFont="1" applyFill="1" applyBorder="1" applyAlignment="1" applyProtection="1">
      <alignment horizontal="center" vertical="center"/>
      <protection locked="0"/>
    </xf>
    <xf numFmtId="1" fontId="6" fillId="0" borderId="18" xfId="1" applyNumberFormat="1" applyFont="1" applyFill="1" applyBorder="1" applyAlignment="1" applyProtection="1">
      <alignment horizontal="center" vertical="center"/>
      <protection locked="0"/>
    </xf>
    <xf numFmtId="1" fontId="6" fillId="0" borderId="25" xfId="1" applyNumberFormat="1" applyFont="1" applyFill="1" applyBorder="1" applyAlignment="1" applyProtection="1">
      <alignment horizontal="center" vertical="center"/>
      <protection locked="0"/>
    </xf>
    <xf numFmtId="1" fontId="6" fillId="0" borderId="0" xfId="1" applyNumberFormat="1" applyFont="1" applyFill="1" applyBorder="1" applyAlignment="1" applyProtection="1">
      <alignment horizontal="center" vertical="center"/>
      <protection locked="0"/>
    </xf>
    <xf numFmtId="1" fontId="6" fillId="0" borderId="26" xfId="1" applyNumberFormat="1" applyFont="1" applyFill="1" applyBorder="1" applyAlignment="1" applyProtection="1">
      <alignment horizontal="center" vertical="center"/>
      <protection locked="0"/>
    </xf>
    <xf numFmtId="1" fontId="6" fillId="0" borderId="19" xfId="1" applyNumberFormat="1" applyFont="1" applyFill="1" applyBorder="1" applyAlignment="1" applyProtection="1">
      <alignment horizontal="center" vertical="center"/>
      <protection locked="0"/>
    </xf>
    <xf numFmtId="1" fontId="6" fillId="0" borderId="2" xfId="1" applyNumberFormat="1" applyFont="1" applyFill="1" applyBorder="1" applyAlignment="1" applyProtection="1">
      <alignment horizontal="center" vertical="center"/>
      <protection locked="0"/>
    </xf>
    <xf numFmtId="1" fontId="6" fillId="0" borderId="20" xfId="1" applyNumberFormat="1" applyFont="1" applyFill="1" applyBorder="1" applyAlignment="1" applyProtection="1">
      <alignment horizontal="center" vertical="center"/>
      <protection locked="0"/>
    </xf>
    <xf numFmtId="1" fontId="13" fillId="0" borderId="8" xfId="1" applyNumberFormat="1" applyFont="1" applyFill="1" applyBorder="1" applyAlignment="1" applyProtection="1">
      <alignment horizontal="center" vertical="center" wrapText="1"/>
      <protection locked="0"/>
    </xf>
    <xf numFmtId="1" fontId="13" fillId="0" borderId="21" xfId="1" applyNumberFormat="1" applyFont="1" applyFill="1" applyBorder="1" applyAlignment="1" applyProtection="1">
      <alignment horizontal="center" vertical="center" wrapText="1"/>
      <protection locked="0"/>
    </xf>
    <xf numFmtId="1" fontId="13" fillId="0" borderId="9"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 fontId="13" fillId="0" borderId="1" xfId="1" applyNumberFormat="1" applyFont="1" applyFill="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0" xfId="1" applyNumberFormat="1" applyFont="1" applyFill="1" applyBorder="1" applyAlignment="1" applyProtection="1">
      <alignment horizontal="center" vertical="center" wrapText="1"/>
      <protection locked="0"/>
    </xf>
    <xf numFmtId="1" fontId="6" fillId="0" borderId="2"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wrapText="1"/>
      <protection locked="0"/>
    </xf>
    <xf numFmtId="1" fontId="12" fillId="0" borderId="1" xfId="0" applyNumberFormat="1" applyFont="1" applyFill="1" applyBorder="1" applyAlignment="1">
      <alignment horizontal="center" vertical="center"/>
    </xf>
    <xf numFmtId="1" fontId="6" fillId="0" borderId="8" xfId="1" applyNumberFormat="1" applyFont="1" applyFill="1" applyBorder="1" applyAlignment="1" applyProtection="1">
      <alignment horizontal="center" wrapText="1"/>
      <protection locked="0"/>
    </xf>
    <xf numFmtId="1" fontId="6" fillId="0" borderId="9" xfId="1" applyNumberFormat="1" applyFont="1" applyFill="1" applyBorder="1" applyAlignment="1" applyProtection="1">
      <alignment horizontal="center" wrapText="1"/>
      <protection locked="0"/>
    </xf>
    <xf numFmtId="1" fontId="6" fillId="0" borderId="17" xfId="1" applyNumberFormat="1" applyFont="1" applyFill="1" applyBorder="1" applyAlignment="1" applyProtection="1">
      <alignment horizontal="center" wrapText="1"/>
      <protection locked="0"/>
    </xf>
    <xf numFmtId="1" fontId="6" fillId="0" borderId="18" xfId="1" applyNumberFormat="1" applyFont="1" applyFill="1" applyBorder="1" applyAlignment="1" applyProtection="1">
      <alignment horizontal="center" wrapText="1"/>
      <protection locked="0"/>
    </xf>
    <xf numFmtId="1" fontId="7" fillId="0" borderId="3" xfId="1" applyNumberFormat="1" applyFont="1" applyFill="1" applyBorder="1" applyAlignment="1">
      <alignment horizontal="center" vertical="center"/>
    </xf>
    <xf numFmtId="1" fontId="6" fillId="0" borderId="3"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left" vertical="top" wrapText="1"/>
      <protection locked="0"/>
    </xf>
    <xf numFmtId="1" fontId="12" fillId="0" borderId="1" xfId="0" applyNumberFormat="1" applyFont="1" applyFill="1" applyBorder="1" applyAlignment="1" applyProtection="1">
      <alignment horizontal="center" vertical="center" wrapText="1"/>
      <protection locked="0"/>
    </xf>
    <xf numFmtId="1" fontId="13" fillId="0" borderId="8" xfId="0" applyNumberFormat="1" applyFont="1" applyFill="1" applyBorder="1" applyAlignment="1" applyProtection="1">
      <alignment vertical="top" wrapText="1"/>
      <protection locked="0"/>
    </xf>
    <xf numFmtId="1" fontId="13" fillId="0" borderId="21" xfId="0" applyNumberFormat="1" applyFont="1" applyFill="1" applyBorder="1" applyAlignment="1" applyProtection="1">
      <alignment vertical="top" wrapText="1"/>
      <protection locked="0"/>
    </xf>
    <xf numFmtId="1" fontId="13" fillId="0" borderId="9" xfId="0" applyNumberFormat="1" applyFont="1" applyFill="1" applyBorder="1" applyAlignment="1" applyProtection="1">
      <alignment vertical="top" wrapText="1"/>
      <protection locked="0"/>
    </xf>
    <xf numFmtId="1" fontId="6" fillId="0" borderId="1" xfId="0" applyNumberFormat="1" applyFont="1" applyFill="1" applyBorder="1" applyAlignment="1" applyProtection="1">
      <alignment horizontal="center" vertical="center" wrapText="1"/>
      <protection locked="0"/>
    </xf>
    <xf numFmtId="1" fontId="8" fillId="0" borderId="8" xfId="0" applyNumberFormat="1" applyFont="1" applyFill="1" applyBorder="1" applyAlignment="1" applyProtection="1">
      <alignment vertical="top" wrapText="1"/>
      <protection locked="0"/>
    </xf>
    <xf numFmtId="1" fontId="8" fillId="0" borderId="21" xfId="0" applyNumberFormat="1" applyFont="1" applyFill="1" applyBorder="1" applyAlignment="1" applyProtection="1">
      <alignment vertical="top" wrapText="1"/>
      <protection locked="0"/>
    </xf>
    <xf numFmtId="1" fontId="8" fillId="0" borderId="9" xfId="0" applyNumberFormat="1" applyFont="1" applyFill="1" applyBorder="1" applyAlignment="1" applyProtection="1">
      <alignment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jpeg"/><Relationship Id="rId18" Type="http://schemas.openxmlformats.org/officeDocument/2006/relationships/image" Target="../media/image16.jpeg"/><Relationship Id="rId26" Type="http://schemas.openxmlformats.org/officeDocument/2006/relationships/image" Target="../media/image24.jpeg"/><Relationship Id="rId3" Type="http://schemas.openxmlformats.org/officeDocument/2006/relationships/image" Target="../media/image3.jpeg"/><Relationship Id="rId21" Type="http://schemas.openxmlformats.org/officeDocument/2006/relationships/image" Target="../media/image19.jpeg"/><Relationship Id="rId7" Type="http://schemas.openxmlformats.org/officeDocument/2006/relationships/image" Target="../media/image6.png"/><Relationship Id="rId12" Type="http://schemas.openxmlformats.org/officeDocument/2006/relationships/image" Target="../media/image10.jpeg"/><Relationship Id="rId17" Type="http://schemas.openxmlformats.org/officeDocument/2006/relationships/image" Target="../media/image15.jpeg"/><Relationship Id="rId25" Type="http://schemas.openxmlformats.org/officeDocument/2006/relationships/image" Target="../media/image23.jpe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jpe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9.jpeg"/><Relationship Id="rId24" Type="http://schemas.openxmlformats.org/officeDocument/2006/relationships/image" Target="../media/image22.jpeg"/><Relationship Id="rId5" Type="http://schemas.openxmlformats.org/officeDocument/2006/relationships/image" Target="../media/image5.png"/><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png"/><Relationship Id="rId10" Type="http://schemas.openxmlformats.org/officeDocument/2006/relationships/image" Target="../media/image8.jpeg"/><Relationship Id="rId19" Type="http://schemas.openxmlformats.org/officeDocument/2006/relationships/image" Target="../media/image17.jpeg"/><Relationship Id="rId4" Type="http://schemas.openxmlformats.org/officeDocument/2006/relationships/image" Target="../media/image4.png"/><Relationship Id="rId9" Type="http://schemas.openxmlformats.org/officeDocument/2006/relationships/image" Target="../media/image7.emf"/><Relationship Id="rId14" Type="http://schemas.openxmlformats.org/officeDocument/2006/relationships/image" Target="../media/image12.jpeg"/><Relationship Id="rId22" Type="http://schemas.openxmlformats.org/officeDocument/2006/relationships/image" Target="../media/image20.jpeg"/><Relationship Id="rId27" Type="http://schemas.openxmlformats.org/officeDocument/2006/relationships/image" Target="../media/image2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100797</xdr:colOff>
      <xdr:row>694</xdr:row>
      <xdr:rowOff>85812</xdr:rowOff>
    </xdr:from>
    <xdr:to>
      <xdr:col>6</xdr:col>
      <xdr:colOff>539609</xdr:colOff>
      <xdr:row>711</xdr:row>
      <xdr:rowOff>118172</xdr:rowOff>
    </xdr:to>
    <xdr:pic>
      <xdr:nvPicPr>
        <xdr:cNvPr id="3" name="Picture 2">
          <a:extLst>
            <a:ext uri="{FF2B5EF4-FFF2-40B4-BE49-F238E27FC236}">
              <a16:creationId xmlns:a16="http://schemas.microsoft.com/office/drawing/2014/main" id="{F0FD55EB-6650-D896-D863-6E268242EBAB}"/>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62797" y="62578095"/>
          <a:ext cx="4588399" cy="3411663"/>
        </a:xfrm>
        <a:prstGeom prst="rect">
          <a:avLst/>
        </a:prstGeom>
        <a:ln>
          <a:solidFill>
            <a:schemeClr val="tx1"/>
          </a:solidFill>
        </a:ln>
      </xdr:spPr>
    </xdr:pic>
    <xdr:clientData/>
  </xdr:twoCellAnchor>
  <xdr:twoCellAnchor>
    <xdr:from>
      <xdr:col>16</xdr:col>
      <xdr:colOff>42863</xdr:colOff>
      <xdr:row>484</xdr:row>
      <xdr:rowOff>95250</xdr:rowOff>
    </xdr:from>
    <xdr:to>
      <xdr:col>16</xdr:col>
      <xdr:colOff>390525</xdr:colOff>
      <xdr:row>486</xdr:row>
      <xdr:rowOff>0</xdr:rowOff>
    </xdr:to>
    <xdr:cxnSp macro="">
      <xdr:nvCxnSpPr>
        <xdr:cNvPr id="8" name="Straight Arrow Connector 7">
          <a:extLst>
            <a:ext uri="{FF2B5EF4-FFF2-40B4-BE49-F238E27FC236}">
              <a16:creationId xmlns:a16="http://schemas.microsoft.com/office/drawing/2014/main" id="{B060AA52-2654-7428-568D-502C8C4BC75A}"/>
            </a:ext>
          </a:extLst>
        </xdr:cNvPr>
        <xdr:cNvCxnSpPr/>
      </xdr:nvCxnSpPr>
      <xdr:spPr>
        <a:xfrm flipH="1">
          <a:off x="13044488" y="54578250"/>
          <a:ext cx="347662" cy="28575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438958</xdr:colOff>
      <xdr:row>15</xdr:row>
      <xdr:rowOff>323501</xdr:rowOff>
    </xdr:from>
    <xdr:to>
      <xdr:col>15</xdr:col>
      <xdr:colOff>368791</xdr:colOff>
      <xdr:row>19</xdr:row>
      <xdr:rowOff>178587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971987" y="3539589"/>
          <a:ext cx="5566392" cy="1279914"/>
        </a:xfrm>
        <a:prstGeom prst="rect">
          <a:avLst/>
        </a:prstGeom>
      </xdr:spPr>
    </xdr:pic>
    <xdr:clientData/>
  </xdr:twoCellAnchor>
  <xdr:twoCellAnchor editAs="oneCell">
    <xdr:from>
      <xdr:col>13</xdr:col>
      <xdr:colOff>333376</xdr:colOff>
      <xdr:row>470</xdr:row>
      <xdr:rowOff>142875</xdr:rowOff>
    </xdr:from>
    <xdr:to>
      <xdr:col>22</xdr:col>
      <xdr:colOff>310108</xdr:colOff>
      <xdr:row>503</xdr:row>
      <xdr:rowOff>379518</xdr:rowOff>
    </xdr:to>
    <xdr:pic>
      <xdr:nvPicPr>
        <xdr:cNvPr id="15" name="Picture 14">
          <a:extLst>
            <a:ext uri="{FF2B5EF4-FFF2-40B4-BE49-F238E27FC236}">
              <a16:creationId xmlns:a16="http://schemas.microsoft.com/office/drawing/2014/main" id="{E4C8E5DB-9A3D-E334-996D-188231A3C72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1049001" y="51958875"/>
          <a:ext cx="5977482" cy="6516151"/>
        </a:xfrm>
        <a:prstGeom prst="rect">
          <a:avLst/>
        </a:prstGeom>
        <a:ln w="28575">
          <a:solidFill>
            <a:schemeClr val="tx1"/>
          </a:solidFill>
        </a:ln>
      </xdr:spPr>
    </xdr:pic>
    <xdr:clientData/>
  </xdr:twoCellAnchor>
  <xdr:twoCellAnchor>
    <xdr:from>
      <xdr:col>17</xdr:col>
      <xdr:colOff>220255</xdr:colOff>
      <xdr:row>483</xdr:row>
      <xdr:rowOff>8240</xdr:rowOff>
    </xdr:from>
    <xdr:to>
      <xdr:col>20</xdr:col>
      <xdr:colOff>136133</xdr:colOff>
      <xdr:row>487</xdr:row>
      <xdr:rowOff>91022</xdr:rowOff>
    </xdr:to>
    <xdr:sp macro="" textlink="">
      <xdr:nvSpPr>
        <xdr:cNvPr id="22" name="Rectangle 21">
          <a:extLst>
            <a:ext uri="{FF2B5EF4-FFF2-40B4-BE49-F238E27FC236}">
              <a16:creationId xmlns:a16="http://schemas.microsoft.com/office/drawing/2014/main" id="{5206F987-08C4-00AB-104D-CF48AB973E5F}"/>
            </a:ext>
          </a:extLst>
        </xdr:cNvPr>
        <xdr:cNvSpPr/>
      </xdr:nvSpPr>
      <xdr:spPr>
        <a:xfrm rot="858592">
          <a:off x="13841005" y="54300740"/>
          <a:ext cx="1773253" cy="84478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oneCellAnchor>
    <xdr:from>
      <xdr:col>20</xdr:col>
      <xdr:colOff>342901</xdr:colOff>
      <xdr:row>479</xdr:row>
      <xdr:rowOff>152400</xdr:rowOff>
    </xdr:from>
    <xdr:ext cx="1085850" cy="358431"/>
    <xdr:sp macro="" textlink="">
      <xdr:nvSpPr>
        <xdr:cNvPr id="23" name="TextBox 22">
          <a:extLst>
            <a:ext uri="{FF2B5EF4-FFF2-40B4-BE49-F238E27FC236}">
              <a16:creationId xmlns:a16="http://schemas.microsoft.com/office/drawing/2014/main" id="{8E879F56-60AF-3EAB-D6A2-3A5813474FD7}"/>
            </a:ext>
          </a:extLst>
        </xdr:cNvPr>
        <xdr:cNvSpPr txBox="1"/>
      </xdr:nvSpPr>
      <xdr:spPr>
        <a:xfrm>
          <a:off x="15821026" y="53682900"/>
          <a:ext cx="1085850" cy="358431"/>
        </a:xfrm>
        <a:prstGeom prst="rect">
          <a:avLst/>
        </a:prstGeom>
        <a:solidFill>
          <a:schemeClr val="accent2">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700" b="1"/>
            <a:t>Tower C1</a:t>
          </a:r>
          <a:endParaRPr lang="x-none" sz="1700" b="1"/>
        </a:p>
      </xdr:txBody>
    </xdr:sp>
    <xdr:clientData/>
  </xdr:oneCellAnchor>
  <xdr:twoCellAnchor>
    <xdr:from>
      <xdr:col>0</xdr:col>
      <xdr:colOff>478843</xdr:colOff>
      <xdr:row>712</xdr:row>
      <xdr:rowOff>13447</xdr:rowOff>
    </xdr:from>
    <xdr:to>
      <xdr:col>7</xdr:col>
      <xdr:colOff>237901</xdr:colOff>
      <xdr:row>733</xdr:row>
      <xdr:rowOff>123825</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78843" y="169162207"/>
          <a:ext cx="5618838" cy="4270898"/>
          <a:chOff x="459793" y="66516997"/>
          <a:chExt cx="5455008" cy="4310903"/>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459793" y="66516997"/>
            <a:ext cx="5455008" cy="4310903"/>
          </a:xfrm>
          <a:prstGeom prst="rect">
            <a:avLst/>
          </a:prstGeom>
          <a:ln>
            <a:solidFill>
              <a:sysClr val="windowText" lastClr="000000"/>
            </a:solidFill>
          </a:ln>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rot="945198">
            <a:off x="2542350" y="68060639"/>
            <a:ext cx="585104" cy="251078"/>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rot="945198">
            <a:off x="4101268" y="68540685"/>
            <a:ext cx="685147" cy="268005"/>
          </a:xfrm>
          <a:prstGeom prst="rect">
            <a:avLst/>
          </a:prstGeom>
          <a:noFill/>
          <a:ln w="19050">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TextBox 10">
            <a:extLst>
              <a:ext uri="{FF2B5EF4-FFF2-40B4-BE49-F238E27FC236}">
                <a16:creationId xmlns:a16="http://schemas.microsoft.com/office/drawing/2014/main" id="{00000000-0008-0000-0000-00000B000000}"/>
              </a:ext>
            </a:extLst>
          </xdr:cNvPr>
          <xdr:cNvSpPr txBox="1"/>
        </xdr:nvSpPr>
        <xdr:spPr>
          <a:xfrm rot="801801">
            <a:off x="2442466" y="67819590"/>
            <a:ext cx="9810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Tower C1</a:t>
            </a:r>
          </a:p>
        </xdr:txBody>
      </xdr:sp>
      <xdr:sp macro="" textlink="">
        <xdr:nvSpPr>
          <xdr:cNvPr id="26" name="TextBox 25">
            <a:extLst>
              <a:ext uri="{FF2B5EF4-FFF2-40B4-BE49-F238E27FC236}">
                <a16:creationId xmlns:a16="http://schemas.microsoft.com/office/drawing/2014/main" id="{00000000-0008-0000-0000-00001A000000}"/>
              </a:ext>
            </a:extLst>
          </xdr:cNvPr>
          <xdr:cNvSpPr txBox="1"/>
        </xdr:nvSpPr>
        <xdr:spPr>
          <a:xfrm rot="801801">
            <a:off x="4133850" y="68265674"/>
            <a:ext cx="9810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00FF00"/>
                </a:solidFill>
              </a:rPr>
              <a:t>Tower C3</a:t>
            </a:r>
          </a:p>
        </xdr:txBody>
      </xdr:sp>
    </xdr:grpSp>
    <xdr:clientData/>
  </xdr:twoCellAnchor>
  <xdr:twoCellAnchor>
    <xdr:from>
      <xdr:col>0</xdr:col>
      <xdr:colOff>324971</xdr:colOff>
      <xdr:row>624</xdr:row>
      <xdr:rowOff>190501</xdr:rowOff>
    </xdr:from>
    <xdr:to>
      <xdr:col>7</xdr:col>
      <xdr:colOff>478472</xdr:colOff>
      <xdr:row>650</xdr:row>
      <xdr:rowOff>0</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324971" y="151904701"/>
          <a:ext cx="6013281" cy="4960619"/>
          <a:chOff x="450272" y="58650060"/>
          <a:chExt cx="5626047" cy="4890122"/>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colorTemperature colorTemp="4700"/>
                    </a14:imgEffect>
                    <a14:imgEffect>
                      <a14:brightnessContrast bright="20000" contrast="20000"/>
                    </a14:imgEffect>
                  </a14:imgLayer>
                </a14:imgProps>
              </a:ext>
            </a:extLst>
          </a:blip>
          <a:stretch>
            <a:fillRect/>
          </a:stretch>
        </xdr:blipFill>
        <xdr:spPr>
          <a:xfrm>
            <a:off x="450272" y="58650060"/>
            <a:ext cx="5626047" cy="4890122"/>
          </a:xfrm>
          <a:prstGeom prst="rect">
            <a:avLst/>
          </a:prstGeom>
          <a:ln>
            <a:solidFill>
              <a:schemeClr val="tx1"/>
            </a:solidFill>
          </a:ln>
        </xdr:spPr>
      </xdr:pic>
      <xdr:sp macro="" textlink="">
        <xdr:nvSpPr>
          <xdr:cNvPr id="32" name="Rectangle 31">
            <a:extLst>
              <a:ext uri="{FF2B5EF4-FFF2-40B4-BE49-F238E27FC236}">
                <a16:creationId xmlns:a16="http://schemas.microsoft.com/office/drawing/2014/main" id="{00000000-0008-0000-0000-000020000000}"/>
              </a:ext>
            </a:extLst>
          </xdr:cNvPr>
          <xdr:cNvSpPr/>
        </xdr:nvSpPr>
        <xdr:spPr>
          <a:xfrm rot="1062105">
            <a:off x="2148891" y="59846565"/>
            <a:ext cx="932445" cy="383403"/>
          </a:xfrm>
          <a:prstGeom prst="rect">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rot="1062105">
            <a:off x="4268654" y="60527230"/>
            <a:ext cx="1219014" cy="469884"/>
          </a:xfrm>
          <a:prstGeom prst="rect">
            <a:avLst/>
          </a:prstGeom>
          <a:noFill/>
          <a:ln>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8">
            <a:extLst>
              <a:ext uri="{FF2B5EF4-FFF2-40B4-BE49-F238E27FC236}">
                <a16:creationId xmlns:a16="http://schemas.microsoft.com/office/drawing/2014/main" id="{00000000-0008-0000-0000-000022000000}"/>
              </a:ext>
            </a:extLst>
          </xdr:cNvPr>
          <xdr:cNvSpPr txBox="1"/>
        </xdr:nvSpPr>
        <xdr:spPr>
          <a:xfrm rot="854689">
            <a:off x="2123536" y="60254966"/>
            <a:ext cx="118872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50" b="1">
                <a:solidFill>
                  <a:srgbClr val="C00000"/>
                </a:solidFill>
                <a:latin typeface="Times New Roman" panose="02020603050405020304" pitchFamily="18" charset="0"/>
                <a:cs typeface="Times New Roman" panose="02020603050405020304" pitchFamily="18" charset="0"/>
              </a:rPr>
              <a:t>Wing C1</a:t>
            </a:r>
          </a:p>
        </xdr:txBody>
      </xdr:sp>
      <xdr:sp macro="" textlink="">
        <xdr:nvSpPr>
          <xdr:cNvPr id="35" name="TextBox 9">
            <a:extLst>
              <a:ext uri="{FF2B5EF4-FFF2-40B4-BE49-F238E27FC236}">
                <a16:creationId xmlns:a16="http://schemas.microsoft.com/office/drawing/2014/main" id="{00000000-0008-0000-0000-000023000000}"/>
              </a:ext>
            </a:extLst>
          </xdr:cNvPr>
          <xdr:cNvSpPr txBox="1"/>
        </xdr:nvSpPr>
        <xdr:spPr>
          <a:xfrm rot="1230212">
            <a:off x="4155937" y="60331543"/>
            <a:ext cx="1723747" cy="22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rgbClr val="C00000"/>
                </a:solidFill>
                <a:latin typeface="Times New Roman" panose="02020603050405020304" pitchFamily="18" charset="0"/>
                <a:cs typeface="Times New Roman" panose="02020603050405020304" pitchFamily="18" charset="0"/>
              </a:rPr>
              <a:t>Composite Building No 5 </a:t>
            </a:r>
            <a:endParaRPr lang="en-IN" sz="1000" b="1">
              <a:solidFill>
                <a:srgbClr val="C00000"/>
              </a:solidFill>
              <a:latin typeface="Times New Roman" panose="02020603050405020304" pitchFamily="18" charset="0"/>
              <a:cs typeface="Times New Roman" panose="02020603050405020304" pitchFamily="18" charset="0"/>
            </a:endParaRPr>
          </a:p>
        </xdr:txBody>
      </xdr:sp>
    </xdr:grpSp>
    <xdr:clientData/>
  </xdr:twoCellAnchor>
  <xdr:twoCellAnchor>
    <xdr:from>
      <xdr:col>1</xdr:col>
      <xdr:colOff>724082</xdr:colOff>
      <xdr:row>610</xdr:row>
      <xdr:rowOff>80476</xdr:rowOff>
    </xdr:from>
    <xdr:to>
      <xdr:col>5</xdr:col>
      <xdr:colOff>708170</xdr:colOff>
      <xdr:row>624</xdr:row>
      <xdr:rowOff>89646</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1508942" y="149020996"/>
          <a:ext cx="3458808" cy="2782850"/>
          <a:chOff x="1542111" y="54529859"/>
          <a:chExt cx="3357059" cy="2833052"/>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4700"/>
                    </a14:imgEffect>
                    <a14:imgEffect>
                      <a14:brightnessContrast bright="20000" contrast="40000"/>
                    </a14:imgEffect>
                  </a14:imgLayer>
                </a14:imgProps>
              </a:ext>
            </a:extLst>
          </a:blip>
          <a:stretch>
            <a:fillRect/>
          </a:stretch>
        </xdr:blipFill>
        <xdr:spPr>
          <a:xfrm>
            <a:off x="1542111" y="54529859"/>
            <a:ext cx="3357059" cy="2833052"/>
          </a:xfrm>
          <a:prstGeom prst="rect">
            <a:avLst/>
          </a:prstGeom>
          <a:ln>
            <a:solidFill>
              <a:schemeClr val="tx1"/>
            </a:solidFill>
          </a:ln>
        </xdr:spPr>
      </xdr:pic>
      <xdr:grpSp>
        <xdr:nvGrpSpPr>
          <xdr:cNvPr id="38" name="Group 37">
            <a:extLst>
              <a:ext uri="{FF2B5EF4-FFF2-40B4-BE49-F238E27FC236}">
                <a16:creationId xmlns:a16="http://schemas.microsoft.com/office/drawing/2014/main" id="{00000000-0008-0000-0000-000026000000}"/>
              </a:ext>
            </a:extLst>
          </xdr:cNvPr>
          <xdr:cNvGrpSpPr/>
        </xdr:nvGrpSpPr>
        <xdr:grpSpPr>
          <a:xfrm>
            <a:off x="1916205" y="56634529"/>
            <a:ext cx="336177" cy="604146"/>
            <a:chOff x="0" y="0"/>
            <a:chExt cx="336177" cy="604146"/>
          </a:xfrm>
        </xdr:grpSpPr>
        <xdr:sp macro="" textlink="">
          <xdr:nvSpPr>
            <xdr:cNvPr id="39" name="TextBox 7">
              <a:extLst>
                <a:ext uri="{FF2B5EF4-FFF2-40B4-BE49-F238E27FC236}">
                  <a16:creationId xmlns:a16="http://schemas.microsoft.com/office/drawing/2014/main" id="{00000000-0008-0000-0000-000027000000}"/>
                </a:ext>
              </a:extLst>
            </xdr:cNvPr>
            <xdr:cNvSpPr txBox="1"/>
          </xdr:nvSpPr>
          <xdr:spPr>
            <a:xfrm>
              <a:off x="0" y="0"/>
              <a:ext cx="33617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solidFill>
                    <a:srgbClr val="0070C0"/>
                  </a:solidFill>
                </a:rPr>
                <a:t>N</a:t>
              </a:r>
            </a:p>
          </xdr:txBody>
        </xdr:sp>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flipV="1">
              <a:off x="156883" y="280146"/>
              <a:ext cx="0" cy="3240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523875</xdr:colOff>
      <xdr:row>653</xdr:row>
      <xdr:rowOff>161925</xdr:rowOff>
    </xdr:from>
    <xdr:to>
      <xdr:col>7</xdr:col>
      <xdr:colOff>204481</xdr:colOff>
      <xdr:row>692</xdr:row>
      <xdr:rowOff>22860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23875" y="92447745"/>
          <a:ext cx="5563246" cy="7587615"/>
        </a:xfrm>
        <a:prstGeom prst="rect">
          <a:avLst/>
        </a:prstGeom>
        <a:ln>
          <a:solidFill>
            <a:schemeClr val="tx1"/>
          </a:solidFill>
        </a:ln>
      </xdr:spPr>
    </xdr:pic>
    <xdr:clientData/>
  </xdr:twoCellAnchor>
  <xdr:oneCellAnchor>
    <xdr:from>
      <xdr:col>9</xdr:col>
      <xdr:colOff>0</xdr:colOff>
      <xdr:row>567</xdr:row>
      <xdr:rowOff>0</xdr:rowOff>
    </xdr:from>
    <xdr:ext cx="734625"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8064500" y="75425300"/>
          <a:ext cx="7346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Tower C1</a:t>
          </a:r>
        </a:p>
      </xdr:txBody>
    </xdr:sp>
    <xdr:clientData/>
  </xdr:oneCellAnchor>
  <xdr:twoCellAnchor>
    <xdr:from>
      <xdr:col>8</xdr:col>
      <xdr:colOff>1075690</xdr:colOff>
      <xdr:row>566</xdr:row>
      <xdr:rowOff>16510</xdr:rowOff>
    </xdr:from>
    <xdr:to>
      <xdr:col>15</xdr:col>
      <xdr:colOff>446971</xdr:colOff>
      <xdr:row>606</xdr:row>
      <xdr:rowOff>119380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788910" y="140239750"/>
          <a:ext cx="5124381" cy="8027670"/>
          <a:chOff x="831850" y="75730100"/>
          <a:chExt cx="5217091" cy="7975600"/>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921229" y="80278874"/>
            <a:ext cx="3200000"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31850" y="75730100"/>
            <a:ext cx="1215000"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833941" y="78004487"/>
            <a:ext cx="1215000"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921229" y="82193261"/>
            <a:ext cx="3200000" cy="1512439"/>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208941" y="75730100"/>
            <a:ext cx="3840000"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31850" y="78004487"/>
            <a:ext cx="3840000" cy="2160000"/>
          </a:xfrm>
          <a:prstGeom prst="rect">
            <a:avLst/>
          </a:prstGeom>
          <a:ln>
            <a:solidFill>
              <a:schemeClr val="tx1"/>
            </a:solidFill>
          </a:ln>
        </xdr:spPr>
      </xdr:pic>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927100" y="75939650"/>
            <a:ext cx="7346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Tower C1</a:t>
            </a:r>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2932841" y="75958700"/>
            <a:ext cx="7346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Tower C1</a:t>
            </a:r>
          </a:p>
        </xdr:txBody>
      </xdr:sp>
    </xdr:grpSp>
    <xdr:clientData/>
  </xdr:twoCellAnchor>
  <xdr:twoCellAnchor>
    <xdr:from>
      <xdr:col>10</xdr:col>
      <xdr:colOff>419100</xdr:colOff>
      <xdr:row>67</xdr:row>
      <xdr:rowOff>137160</xdr:rowOff>
    </xdr:from>
    <xdr:to>
      <xdr:col>16</xdr:col>
      <xdr:colOff>182880</xdr:colOff>
      <xdr:row>76</xdr:row>
      <xdr:rowOff>10148</xdr:rowOff>
    </xdr:to>
    <xdr:grpSp>
      <xdr:nvGrpSpPr>
        <xdr:cNvPr id="13" name="Group 12">
          <a:extLst>
            <a:ext uri="{FF2B5EF4-FFF2-40B4-BE49-F238E27FC236}">
              <a16:creationId xmlns:a16="http://schemas.microsoft.com/office/drawing/2014/main" id="{0698F9D4-88C5-C389-9B2F-041FCE48FEC6}"/>
            </a:ext>
          </a:extLst>
        </xdr:cNvPr>
        <xdr:cNvGrpSpPr/>
      </xdr:nvGrpSpPr>
      <xdr:grpSpPr>
        <a:xfrm>
          <a:off x="9113520" y="18166080"/>
          <a:ext cx="4335780" cy="2509508"/>
          <a:chOff x="8183880" y="18188940"/>
          <a:chExt cx="4358640" cy="2296148"/>
        </a:xfrm>
      </xdr:grpSpPr>
      <xdr:pic>
        <xdr:nvPicPr>
          <xdr:cNvPr id="5" name="Picture 4">
            <a:extLst>
              <a:ext uri="{FF2B5EF4-FFF2-40B4-BE49-F238E27FC236}">
                <a16:creationId xmlns:a16="http://schemas.microsoft.com/office/drawing/2014/main" id="{2A062091-0EDE-A31C-55DD-439353E73C98}"/>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8183880" y="18219420"/>
            <a:ext cx="4358640" cy="2265668"/>
          </a:xfrm>
          <a:prstGeom prst="rect">
            <a:avLst/>
          </a:prstGeom>
        </xdr:spPr>
      </xdr:pic>
      <xdr:sp macro="" textlink="">
        <xdr:nvSpPr>
          <xdr:cNvPr id="6" name="TextBox 5">
            <a:extLst>
              <a:ext uri="{FF2B5EF4-FFF2-40B4-BE49-F238E27FC236}">
                <a16:creationId xmlns:a16="http://schemas.microsoft.com/office/drawing/2014/main" id="{8B5C59AB-279D-1F71-5FC8-A9616F1B0C53}"/>
              </a:ext>
            </a:extLst>
          </xdr:cNvPr>
          <xdr:cNvSpPr txBox="1"/>
        </xdr:nvSpPr>
        <xdr:spPr>
          <a:xfrm>
            <a:off x="8465820" y="18188940"/>
            <a:ext cx="8778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15/07/2025</a:t>
            </a:r>
          </a:p>
        </xdr:txBody>
      </xdr:sp>
    </xdr:grpSp>
    <xdr:clientData/>
  </xdr:twoCellAnchor>
  <xdr:twoCellAnchor>
    <xdr:from>
      <xdr:col>8</xdr:col>
      <xdr:colOff>878205</xdr:colOff>
      <xdr:row>567</xdr:row>
      <xdr:rowOff>140970</xdr:rowOff>
    </xdr:from>
    <xdr:to>
      <xdr:col>16</xdr:col>
      <xdr:colOff>243664</xdr:colOff>
      <xdr:row>605</xdr:row>
      <xdr:rowOff>5789</xdr:rowOff>
    </xdr:to>
    <xdr:grpSp>
      <xdr:nvGrpSpPr>
        <xdr:cNvPr id="14" name="Group 13">
          <a:extLst>
            <a:ext uri="{FF2B5EF4-FFF2-40B4-BE49-F238E27FC236}">
              <a16:creationId xmlns:a16="http://schemas.microsoft.com/office/drawing/2014/main" id="{FDF57DF0-53B1-71A2-EE6D-702741BB9B2D}"/>
            </a:ext>
          </a:extLst>
        </xdr:cNvPr>
        <xdr:cNvGrpSpPr/>
      </xdr:nvGrpSpPr>
      <xdr:grpSpPr>
        <a:xfrm>
          <a:off x="7591425" y="140562330"/>
          <a:ext cx="5918659" cy="7393379"/>
          <a:chOff x="435256" y="148671"/>
          <a:chExt cx="5924374" cy="7395284"/>
        </a:xfrm>
      </xdr:grpSpPr>
      <xdr:pic>
        <xdr:nvPicPr>
          <xdr:cNvPr id="16" name="Picture 15">
            <a:extLst>
              <a:ext uri="{FF2B5EF4-FFF2-40B4-BE49-F238E27FC236}">
                <a16:creationId xmlns:a16="http://schemas.microsoft.com/office/drawing/2014/main" id="{16A967D1-567D-83B5-6346-F59DEE326F68}"/>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17173" y="148671"/>
            <a:ext cx="5560541" cy="3127804"/>
          </a:xfrm>
          <a:prstGeom prst="rect">
            <a:avLst/>
          </a:prstGeom>
          <a:ln>
            <a:solidFill>
              <a:schemeClr val="tx1"/>
            </a:solidFill>
          </a:ln>
        </xdr:spPr>
      </xdr:pic>
      <xdr:grpSp>
        <xdr:nvGrpSpPr>
          <xdr:cNvPr id="17" name="Group 16">
            <a:extLst>
              <a:ext uri="{FF2B5EF4-FFF2-40B4-BE49-F238E27FC236}">
                <a16:creationId xmlns:a16="http://schemas.microsoft.com/office/drawing/2014/main" id="{2D48A7C3-8CBD-DC2A-C1A7-46ADA12EC345}"/>
              </a:ext>
            </a:extLst>
          </xdr:cNvPr>
          <xdr:cNvGrpSpPr/>
        </xdr:nvGrpSpPr>
        <xdr:grpSpPr>
          <a:xfrm>
            <a:off x="435256" y="3430215"/>
            <a:ext cx="5924374" cy="2160000"/>
            <a:chOff x="435256" y="3492000"/>
            <a:chExt cx="5924374" cy="2160000"/>
          </a:xfrm>
        </xdr:grpSpPr>
        <xdr:pic>
          <xdr:nvPicPr>
            <xdr:cNvPr id="27" name="Picture 26">
              <a:extLst>
                <a:ext uri="{FF2B5EF4-FFF2-40B4-BE49-F238E27FC236}">
                  <a16:creationId xmlns:a16="http://schemas.microsoft.com/office/drawing/2014/main" id="{70E182F6-06CD-6D26-10D2-3F33DA833001}"/>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479630" y="3492000"/>
              <a:ext cx="2880000"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888F9F74-7E87-3938-B701-028BAD975D1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35256" y="3492000"/>
              <a:ext cx="2880000" cy="216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7F48724F-8600-0894-DBA0-7570D821A92D}"/>
              </a:ext>
            </a:extLst>
          </xdr:cNvPr>
          <xdr:cNvGrpSpPr/>
        </xdr:nvGrpSpPr>
        <xdr:grpSpPr>
          <a:xfrm>
            <a:off x="1209006" y="5743955"/>
            <a:ext cx="4376874" cy="1800000"/>
            <a:chOff x="2302756" y="5867525"/>
            <a:chExt cx="4376874" cy="1800000"/>
          </a:xfrm>
        </xdr:grpSpPr>
        <xdr:pic>
          <xdr:nvPicPr>
            <xdr:cNvPr id="21" name="Picture 20">
              <a:extLst>
                <a:ext uri="{FF2B5EF4-FFF2-40B4-BE49-F238E27FC236}">
                  <a16:creationId xmlns:a16="http://schemas.microsoft.com/office/drawing/2014/main" id="{FAB837AA-B4AE-D5C5-8101-826EB6DDDB55}"/>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479630" y="5867525"/>
              <a:ext cx="3200000"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E79A8ECF-1753-DA2D-1CE5-322FBE3F94B3}"/>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302756" y="5867525"/>
              <a:ext cx="1012500" cy="1800000"/>
            </a:xfrm>
            <a:prstGeom prst="rect">
              <a:avLst/>
            </a:prstGeom>
            <a:ln>
              <a:solidFill>
                <a:schemeClr val="tx1"/>
              </a:solidFill>
            </a:ln>
          </xdr:spPr>
        </xdr:pic>
      </xdr:grpSp>
      <xdr:sp macro="" textlink="">
        <xdr:nvSpPr>
          <xdr:cNvPr id="19" name="TextBox 23">
            <a:extLst>
              <a:ext uri="{FF2B5EF4-FFF2-40B4-BE49-F238E27FC236}">
                <a16:creationId xmlns:a16="http://schemas.microsoft.com/office/drawing/2014/main" id="{0BD92BF0-E407-80F9-4FE7-A80774CEF0A7}"/>
              </a:ext>
            </a:extLst>
          </xdr:cNvPr>
          <xdr:cNvSpPr txBox="1"/>
        </xdr:nvSpPr>
        <xdr:spPr>
          <a:xfrm>
            <a:off x="850905" y="3400012"/>
            <a:ext cx="10601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Tower C1</a:t>
            </a:r>
            <a:endParaRPr lang="en-IN" b="1"/>
          </a:p>
        </xdr:txBody>
      </xdr:sp>
      <xdr:sp macro="" textlink="">
        <xdr:nvSpPr>
          <xdr:cNvPr id="20" name="TextBox 24">
            <a:extLst>
              <a:ext uri="{FF2B5EF4-FFF2-40B4-BE49-F238E27FC236}">
                <a16:creationId xmlns:a16="http://schemas.microsoft.com/office/drawing/2014/main" id="{CA0C1299-C660-27CF-78C2-22A8FB371F56}"/>
              </a:ext>
            </a:extLst>
          </xdr:cNvPr>
          <xdr:cNvSpPr txBox="1"/>
        </xdr:nvSpPr>
        <xdr:spPr>
          <a:xfrm>
            <a:off x="1720175" y="333632"/>
            <a:ext cx="10601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Tower C1</a:t>
            </a:r>
            <a:endParaRPr lang="en-IN" b="1"/>
          </a:p>
        </xdr:txBody>
      </xdr:sp>
    </xdr:grpSp>
    <xdr:clientData/>
  </xdr:twoCellAnchor>
  <xdr:twoCellAnchor>
    <xdr:from>
      <xdr:col>0</xdr:col>
      <xdr:colOff>466725</xdr:colOff>
      <xdr:row>569</xdr:row>
      <xdr:rowOff>28575</xdr:rowOff>
    </xdr:from>
    <xdr:to>
      <xdr:col>7</xdr:col>
      <xdr:colOff>312028</xdr:colOff>
      <xdr:row>598</xdr:row>
      <xdr:rowOff>153027</xdr:rowOff>
    </xdr:to>
    <xdr:grpSp>
      <xdr:nvGrpSpPr>
        <xdr:cNvPr id="56" name="Group 55">
          <a:extLst>
            <a:ext uri="{FF2B5EF4-FFF2-40B4-BE49-F238E27FC236}">
              <a16:creationId xmlns:a16="http://schemas.microsoft.com/office/drawing/2014/main" id="{845BC290-768B-4931-B8EA-4C217B59AFF3}"/>
            </a:ext>
          </a:extLst>
        </xdr:cNvPr>
        <xdr:cNvGrpSpPr/>
      </xdr:nvGrpSpPr>
      <xdr:grpSpPr>
        <a:xfrm>
          <a:off x="466725" y="140846175"/>
          <a:ext cx="5705083" cy="5869932"/>
          <a:chOff x="578222" y="627529"/>
          <a:chExt cx="5550778" cy="5925177"/>
        </a:xfrm>
      </xdr:grpSpPr>
      <xdr:grpSp>
        <xdr:nvGrpSpPr>
          <xdr:cNvPr id="57" name="Group 56">
            <a:extLst>
              <a:ext uri="{FF2B5EF4-FFF2-40B4-BE49-F238E27FC236}">
                <a16:creationId xmlns:a16="http://schemas.microsoft.com/office/drawing/2014/main" id="{96D434DF-48F8-410E-B64D-74F75FC736E2}"/>
              </a:ext>
            </a:extLst>
          </xdr:cNvPr>
          <xdr:cNvGrpSpPr/>
        </xdr:nvGrpSpPr>
        <xdr:grpSpPr>
          <a:xfrm>
            <a:off x="578222" y="627529"/>
            <a:ext cx="5550778" cy="5925177"/>
            <a:chOff x="578222" y="627529"/>
            <a:chExt cx="5550778" cy="5925177"/>
          </a:xfrm>
        </xdr:grpSpPr>
        <xdr:pic>
          <xdr:nvPicPr>
            <xdr:cNvPr id="61" name="Picture 60">
              <a:extLst>
                <a:ext uri="{FF2B5EF4-FFF2-40B4-BE49-F238E27FC236}">
                  <a16:creationId xmlns:a16="http://schemas.microsoft.com/office/drawing/2014/main" id="{56F7DF8C-5E7E-4CD3-8B03-B61A74BD288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78222" y="627529"/>
              <a:ext cx="2700000" cy="3600000"/>
            </a:xfrm>
            <a:prstGeom prst="rect">
              <a:avLst/>
            </a:prstGeom>
            <a:ln>
              <a:solidFill>
                <a:schemeClr val="tx1"/>
              </a:solidFill>
            </a:ln>
          </xdr:spPr>
        </xdr:pic>
        <xdr:pic>
          <xdr:nvPicPr>
            <xdr:cNvPr id="62" name="Picture 61">
              <a:extLst>
                <a:ext uri="{FF2B5EF4-FFF2-40B4-BE49-F238E27FC236}">
                  <a16:creationId xmlns:a16="http://schemas.microsoft.com/office/drawing/2014/main" id="{D87A53CD-451E-4D21-B3FC-CC073D717A1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627529"/>
              <a:ext cx="2700000" cy="3600000"/>
            </a:xfrm>
            <a:prstGeom prst="rect">
              <a:avLst/>
            </a:prstGeom>
            <a:ln>
              <a:solidFill>
                <a:schemeClr val="tx1"/>
              </a:solidFill>
            </a:ln>
          </xdr:spPr>
        </xdr:pic>
        <xdr:pic>
          <xdr:nvPicPr>
            <xdr:cNvPr id="63" name="Picture 62">
              <a:extLst>
                <a:ext uri="{FF2B5EF4-FFF2-40B4-BE49-F238E27FC236}">
                  <a16:creationId xmlns:a16="http://schemas.microsoft.com/office/drawing/2014/main" id="{F5F23F94-30B1-484B-A14E-35DB6C1B9567}"/>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743169" y="4392706"/>
              <a:ext cx="1620000"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B1C0E3AE-0DAA-4043-B363-5A17F6CDF3C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520748" y="4392706"/>
              <a:ext cx="1620000"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FA56CE33-7F02-47C0-B6BD-A2992F651A75}"/>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298328" y="4392706"/>
              <a:ext cx="1620000" cy="2160000"/>
            </a:xfrm>
            <a:prstGeom prst="rect">
              <a:avLst/>
            </a:prstGeom>
            <a:ln>
              <a:solidFill>
                <a:schemeClr val="tx1"/>
              </a:solidFill>
            </a:ln>
          </xdr:spPr>
        </xdr:pic>
      </xdr:grpSp>
      <xdr:sp macro="" textlink="">
        <xdr:nvSpPr>
          <xdr:cNvPr id="58" name="TextBox 14">
            <a:extLst>
              <a:ext uri="{FF2B5EF4-FFF2-40B4-BE49-F238E27FC236}">
                <a16:creationId xmlns:a16="http://schemas.microsoft.com/office/drawing/2014/main" id="{E23DEFAC-AF0F-4A95-A96D-F5558C4F7090}"/>
              </a:ext>
            </a:extLst>
          </xdr:cNvPr>
          <xdr:cNvSpPr txBox="1"/>
        </xdr:nvSpPr>
        <xdr:spPr>
          <a:xfrm>
            <a:off x="641895" y="1626205"/>
            <a:ext cx="9669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C1</a:t>
            </a:r>
            <a:endParaRPr lang="en-IN" b="1"/>
          </a:p>
        </xdr:txBody>
      </xdr:sp>
      <xdr:sp macro="" textlink="">
        <xdr:nvSpPr>
          <xdr:cNvPr id="59" name="TextBox 15">
            <a:extLst>
              <a:ext uri="{FF2B5EF4-FFF2-40B4-BE49-F238E27FC236}">
                <a16:creationId xmlns:a16="http://schemas.microsoft.com/office/drawing/2014/main" id="{465F5C47-266A-49FA-A016-DB73643A3970}"/>
              </a:ext>
            </a:extLst>
          </xdr:cNvPr>
          <xdr:cNvSpPr txBox="1"/>
        </xdr:nvSpPr>
        <xdr:spPr>
          <a:xfrm>
            <a:off x="3442199" y="977152"/>
            <a:ext cx="9669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C1</a:t>
            </a:r>
            <a:endParaRPr lang="en-IN" b="1"/>
          </a:p>
        </xdr:txBody>
      </xdr:sp>
      <xdr:sp macro="" textlink="">
        <xdr:nvSpPr>
          <xdr:cNvPr id="60" name="TextBox 16">
            <a:extLst>
              <a:ext uri="{FF2B5EF4-FFF2-40B4-BE49-F238E27FC236}">
                <a16:creationId xmlns:a16="http://schemas.microsoft.com/office/drawing/2014/main" id="{7879FCEC-54D9-468D-B11B-6A46AE15AEB4}"/>
              </a:ext>
            </a:extLst>
          </xdr:cNvPr>
          <xdr:cNvSpPr txBox="1"/>
        </xdr:nvSpPr>
        <xdr:spPr>
          <a:xfrm>
            <a:off x="1720730" y="1590346"/>
            <a:ext cx="96212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S2</a:t>
            </a:r>
            <a:endParaRPr lang="en-IN" b="1"/>
          </a:p>
        </xdr:txBody>
      </xdr:sp>
    </xdr:grpSp>
    <xdr:clientData/>
  </xdr:twoCellAnchor>
  <xdr:twoCellAnchor>
    <xdr:from>
      <xdr:col>8</xdr:col>
      <xdr:colOff>508635</xdr:colOff>
      <xdr:row>69</xdr:row>
      <xdr:rowOff>251460</xdr:rowOff>
    </xdr:from>
    <xdr:to>
      <xdr:col>21</xdr:col>
      <xdr:colOff>565209</xdr:colOff>
      <xdr:row>83</xdr:row>
      <xdr:rowOff>175757</xdr:rowOff>
    </xdr:to>
    <xdr:grpSp>
      <xdr:nvGrpSpPr>
        <xdr:cNvPr id="44" name="Group 43">
          <a:extLst>
            <a:ext uri="{FF2B5EF4-FFF2-40B4-BE49-F238E27FC236}">
              <a16:creationId xmlns:a16="http://schemas.microsoft.com/office/drawing/2014/main" id="{0351AABE-1353-498B-B311-D05406C6D69D}"/>
            </a:ext>
          </a:extLst>
        </xdr:cNvPr>
        <xdr:cNvGrpSpPr/>
      </xdr:nvGrpSpPr>
      <xdr:grpSpPr>
        <a:xfrm>
          <a:off x="7221855" y="18676620"/>
          <a:ext cx="9810174" cy="3543797"/>
          <a:chOff x="7724775" y="18754725"/>
          <a:chExt cx="9526329" cy="3562847"/>
        </a:xfrm>
      </xdr:grpSpPr>
      <xdr:pic>
        <xdr:nvPicPr>
          <xdr:cNvPr id="43" name="Picture 42">
            <a:extLst>
              <a:ext uri="{FF2B5EF4-FFF2-40B4-BE49-F238E27FC236}">
                <a16:creationId xmlns:a16="http://schemas.microsoft.com/office/drawing/2014/main" id="{AEC28787-F5EA-4D3F-93C2-49E7F3CC41CF}"/>
              </a:ext>
            </a:extLst>
          </xdr:cNvPr>
          <xdr:cNvPicPr>
            <a:picLocks noChangeAspect="1"/>
          </xdr:cNvPicPr>
        </xdr:nvPicPr>
        <xdr:blipFill>
          <a:blip xmlns:r="http://schemas.openxmlformats.org/officeDocument/2006/relationships" r:embed="rId27"/>
          <a:stretch>
            <a:fillRect/>
          </a:stretch>
        </xdr:blipFill>
        <xdr:spPr>
          <a:xfrm>
            <a:off x="7724775" y="18754725"/>
            <a:ext cx="9526329" cy="3562847"/>
          </a:xfrm>
          <a:prstGeom prst="rect">
            <a:avLst/>
          </a:prstGeom>
        </xdr:spPr>
      </xdr:pic>
      <xdr:sp macro="" textlink="">
        <xdr:nvSpPr>
          <xdr:cNvPr id="66" name="TextBox 65">
            <a:extLst>
              <a:ext uri="{FF2B5EF4-FFF2-40B4-BE49-F238E27FC236}">
                <a16:creationId xmlns:a16="http://schemas.microsoft.com/office/drawing/2014/main" id="{C929E4DD-CCDA-4989-9183-8B42F4E6143C}"/>
              </a:ext>
            </a:extLst>
          </xdr:cNvPr>
          <xdr:cNvSpPr txBox="1"/>
        </xdr:nvSpPr>
        <xdr:spPr>
          <a:xfrm>
            <a:off x="7896225" y="18806160"/>
            <a:ext cx="850181" cy="290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0000"/>
                </a:solidFill>
              </a:rPr>
              <a:t>30/09/2025</a:t>
            </a:r>
          </a:p>
        </xdr:txBody>
      </xdr:sp>
    </xdr:grpSp>
    <xdr:clientData/>
  </xdr:twoCellAnchor>
  <xdr:twoCellAnchor editAs="oneCell">
    <xdr:from>
      <xdr:col>8</xdr:col>
      <xdr:colOff>400050</xdr:colOff>
      <xdr:row>45</xdr:row>
      <xdr:rowOff>180975</xdr:rowOff>
    </xdr:from>
    <xdr:to>
      <xdr:col>11</xdr:col>
      <xdr:colOff>514733</xdr:colOff>
      <xdr:row>55</xdr:row>
      <xdr:rowOff>38454</xdr:rowOff>
    </xdr:to>
    <xdr:pic>
      <xdr:nvPicPr>
        <xdr:cNvPr id="45" name="Picture 44">
          <a:extLst>
            <a:ext uri="{FF2B5EF4-FFF2-40B4-BE49-F238E27FC236}">
              <a16:creationId xmlns:a16="http://schemas.microsoft.com/office/drawing/2014/main" id="{46C28F98-4281-41F9-9F88-9354DAF9638C}"/>
            </a:ext>
          </a:extLst>
        </xdr:cNvPr>
        <xdr:cNvPicPr>
          <a:picLocks noChangeAspect="1"/>
        </xdr:cNvPicPr>
      </xdr:nvPicPr>
      <xdr:blipFill>
        <a:blip xmlns:r="http://schemas.openxmlformats.org/officeDocument/2006/relationships" r:embed="rId28"/>
        <a:stretch>
          <a:fillRect/>
        </a:stretch>
      </xdr:blipFill>
      <xdr:spPr>
        <a:xfrm>
          <a:off x="6934200" y="11449050"/>
          <a:ext cx="2743583" cy="2534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801441</xdr:colOff>
      <xdr:row>32</xdr:row>
      <xdr:rowOff>65408</xdr:rowOff>
    </xdr:to>
    <xdr:pic>
      <xdr:nvPicPr>
        <xdr:cNvPr id="2" name="Picture 1">
          <a:extLst>
            <a:ext uri="{FF2B5EF4-FFF2-40B4-BE49-F238E27FC236}">
              <a16:creationId xmlns:a16="http://schemas.microsoft.com/office/drawing/2014/main" id="{7E8378C7-C395-E813-D9C2-67FECE7C0DE7}"/>
            </a:ext>
          </a:extLst>
        </xdr:cNvPr>
        <xdr:cNvPicPr>
          <a:picLocks noChangeAspect="1"/>
        </xdr:cNvPicPr>
      </xdr:nvPicPr>
      <xdr:blipFill rotWithShape="1">
        <a:blip xmlns:r="http://schemas.openxmlformats.org/officeDocument/2006/relationships" r:embed="rId1"/>
        <a:srcRect t="8608" r="2375" b="7118"/>
        <a:stretch/>
      </xdr:blipFill>
      <xdr:spPr>
        <a:xfrm>
          <a:off x="582706" y="2678206"/>
          <a:ext cx="7200000" cy="3494408"/>
        </a:xfrm>
        <a:prstGeom prst="rect">
          <a:avLst/>
        </a:prstGeom>
        <a:ln>
          <a:solidFill>
            <a:schemeClr val="tx1"/>
          </a:solidFill>
        </a:ln>
      </xdr:spPr>
    </xdr:pic>
    <xdr:clientData/>
  </xdr:twoCellAnchor>
  <xdr:twoCellAnchor editAs="oneCell">
    <xdr:from>
      <xdr:col>1</xdr:col>
      <xdr:colOff>0</xdr:colOff>
      <xdr:row>34</xdr:row>
      <xdr:rowOff>0</xdr:rowOff>
    </xdr:from>
    <xdr:to>
      <xdr:col>6</xdr:col>
      <xdr:colOff>801441</xdr:colOff>
      <xdr:row>52</xdr:row>
      <xdr:rowOff>29824</xdr:rowOff>
    </xdr:to>
    <xdr:pic>
      <xdr:nvPicPr>
        <xdr:cNvPr id="3" name="Picture 2">
          <a:extLst>
            <a:ext uri="{FF2B5EF4-FFF2-40B4-BE49-F238E27FC236}">
              <a16:creationId xmlns:a16="http://schemas.microsoft.com/office/drawing/2014/main" id="{7BD9FAA9-9E99-7C1F-86BF-C2D69F405D0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82706" y="6488206"/>
          <a:ext cx="7200000" cy="3458824"/>
        </a:xfrm>
        <a:prstGeom prst="rect">
          <a:avLst/>
        </a:prstGeom>
        <a:ln>
          <a:solidFill>
            <a:schemeClr val="tx1"/>
          </a:solidFill>
        </a:ln>
      </xdr:spPr>
    </xdr:pic>
    <xdr:clientData/>
  </xdr:twoCellAnchor>
  <xdr:twoCellAnchor editAs="oneCell">
    <xdr:from>
      <xdr:col>7</xdr:col>
      <xdr:colOff>0</xdr:colOff>
      <xdr:row>14</xdr:row>
      <xdr:rowOff>0</xdr:rowOff>
    </xdr:from>
    <xdr:to>
      <xdr:col>14</xdr:col>
      <xdr:colOff>528089</xdr:colOff>
      <xdr:row>29</xdr:row>
      <xdr:rowOff>22500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314765" y="2678206"/>
          <a:ext cx="5122500" cy="2880000"/>
        </a:xfrm>
        <a:prstGeom prst="rect">
          <a:avLst/>
        </a:prstGeom>
        <a:ln>
          <a:solidFill>
            <a:schemeClr val="tx1"/>
          </a:solidFill>
        </a:ln>
      </xdr:spPr>
    </xdr:pic>
    <xdr:clientData/>
  </xdr:twoCellAnchor>
  <xdr:twoCellAnchor editAs="oneCell">
    <xdr:from>
      <xdr:col>7</xdr:col>
      <xdr:colOff>0</xdr:colOff>
      <xdr:row>30</xdr:row>
      <xdr:rowOff>106393</xdr:rowOff>
    </xdr:from>
    <xdr:to>
      <xdr:col>14</xdr:col>
      <xdr:colOff>528089</xdr:colOff>
      <xdr:row>45</xdr:row>
      <xdr:rowOff>128893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314765" y="5832599"/>
          <a:ext cx="5122500" cy="2880000"/>
        </a:xfrm>
        <a:prstGeom prst="rect">
          <a:avLst/>
        </a:prstGeom>
        <a:ln>
          <a:solidFill>
            <a:schemeClr val="tx1"/>
          </a:solidFill>
        </a:ln>
      </xdr:spPr>
    </xdr:pic>
    <xdr:clientData/>
  </xdr:twoCellAnchor>
  <xdr:twoCellAnchor editAs="oneCell">
    <xdr:from>
      <xdr:col>15</xdr:col>
      <xdr:colOff>185638</xdr:colOff>
      <xdr:row>30</xdr:row>
      <xdr:rowOff>79902</xdr:rowOff>
    </xdr:from>
    <xdr:to>
      <xdr:col>24</xdr:col>
      <xdr:colOff>63785</xdr:colOff>
      <xdr:row>45</xdr:row>
      <xdr:rowOff>102402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3677520" y="5806108"/>
          <a:ext cx="5122500" cy="2880000"/>
        </a:xfrm>
        <a:prstGeom prst="rect">
          <a:avLst/>
        </a:prstGeom>
        <a:ln>
          <a:solidFill>
            <a:schemeClr val="tx1"/>
          </a:solidFill>
        </a:ln>
      </xdr:spPr>
    </xdr:pic>
    <xdr:clientData/>
  </xdr:twoCellAnchor>
  <xdr:twoCellAnchor editAs="oneCell">
    <xdr:from>
      <xdr:col>15</xdr:col>
      <xdr:colOff>185638</xdr:colOff>
      <xdr:row>14</xdr:row>
      <xdr:rowOff>0</xdr:rowOff>
    </xdr:from>
    <xdr:to>
      <xdr:col>24</xdr:col>
      <xdr:colOff>63785</xdr:colOff>
      <xdr:row>29</xdr:row>
      <xdr:rowOff>22500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13677520" y="2678206"/>
          <a:ext cx="5122500" cy="288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using.com/in/buy/projects/page/279843-lodha-vikhroli-tower-c1-by-lodha-group-in-vikhroli-west" TargetMode="External"/><Relationship Id="rId1" Type="http://schemas.openxmlformats.org/officeDocument/2006/relationships/hyperlink" Target="https://maps.app.goo.gl/Y6idob9XenHyx1Q98"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694"/>
  <sheetViews>
    <sheetView tabSelected="1" view="pageBreakPreview" topLeftCell="A266" zoomScaleNormal="100" zoomScaleSheetLayoutView="100" workbookViewId="0">
      <selection activeCell="K273" sqref="K273"/>
    </sheetView>
  </sheetViews>
  <sheetFormatPr defaultColWidth="9.33203125" defaultRowHeight="15.6" x14ac:dyDescent="0.3"/>
  <cols>
    <col min="1" max="1" width="11.44140625" style="39" customWidth="1"/>
    <col min="2" max="2" width="12" style="39" customWidth="1"/>
    <col min="3" max="3" width="12.6640625" style="39" customWidth="1"/>
    <col min="4" max="4" width="14.33203125" style="39" customWidth="1"/>
    <col min="5" max="7" width="11.6640625" style="39" customWidth="1"/>
    <col min="8" max="8" width="12.44140625" style="39" customWidth="1"/>
    <col min="9" max="9" width="17.44140625" style="20" customWidth="1"/>
    <col min="10" max="10" width="11.44140625" style="20" customWidth="1"/>
    <col min="11" max="11" width="10.5546875" style="20" bestFit="1" customWidth="1"/>
    <col min="12" max="12" width="10.5546875" style="20" customWidth="1"/>
    <col min="13" max="13" width="11.6640625" style="20" customWidth="1"/>
    <col min="14" max="14" width="12.5546875" style="20" customWidth="1"/>
    <col min="15" max="15" width="9.6640625" style="20" customWidth="1"/>
    <col min="16" max="16" width="11.6640625" style="20" customWidth="1"/>
    <col min="17" max="247" width="9.33203125" style="20"/>
    <col min="248" max="248" width="8.6640625" style="20" customWidth="1"/>
    <col min="249" max="249" width="9.6640625" style="20" customWidth="1"/>
    <col min="250" max="250" width="14.44140625" style="20" customWidth="1"/>
    <col min="251" max="251" width="7.33203125" style="20" customWidth="1"/>
    <col min="252" max="252" width="5.5546875" style="20" customWidth="1"/>
    <col min="253" max="253" width="9" style="20" customWidth="1"/>
    <col min="254" max="255" width="9.6640625" style="20" customWidth="1"/>
    <col min="256" max="256" width="11.33203125" style="20" customWidth="1"/>
    <col min="257" max="257" width="2.6640625" style="20" customWidth="1"/>
    <col min="258" max="258" width="3.5546875" style="20" customWidth="1"/>
    <col min="259" max="503" width="9.33203125" style="20"/>
    <col min="504" max="504" width="8.6640625" style="20" customWidth="1"/>
    <col min="505" max="505" width="9.6640625" style="20" customWidth="1"/>
    <col min="506" max="506" width="14.44140625" style="20" customWidth="1"/>
    <col min="507" max="507" width="7.33203125" style="20" customWidth="1"/>
    <col min="508" max="508" width="5.5546875" style="20" customWidth="1"/>
    <col min="509" max="509" width="9" style="20" customWidth="1"/>
    <col min="510" max="511" width="9.6640625" style="20" customWidth="1"/>
    <col min="512" max="512" width="11.33203125" style="20" customWidth="1"/>
    <col min="513" max="513" width="2.6640625" style="20" customWidth="1"/>
    <col min="514" max="514" width="3.5546875" style="20" customWidth="1"/>
    <col min="515" max="759" width="9.33203125" style="20"/>
    <col min="760" max="760" width="8.6640625" style="20" customWidth="1"/>
    <col min="761" max="761" width="9.6640625" style="20" customWidth="1"/>
    <col min="762" max="762" width="14.44140625" style="20" customWidth="1"/>
    <col min="763" max="763" width="7.33203125" style="20" customWidth="1"/>
    <col min="764" max="764" width="5.5546875" style="20" customWidth="1"/>
    <col min="765" max="765" width="9" style="20" customWidth="1"/>
    <col min="766" max="767" width="9.6640625" style="20" customWidth="1"/>
    <col min="768" max="768" width="11.33203125" style="20" customWidth="1"/>
    <col min="769" max="769" width="2.6640625" style="20" customWidth="1"/>
    <col min="770" max="770" width="3.5546875" style="20" customWidth="1"/>
    <col min="771" max="1015" width="9.33203125" style="20"/>
    <col min="1016" max="1016" width="8.6640625" style="20" customWidth="1"/>
    <col min="1017" max="1017" width="9.6640625" style="20" customWidth="1"/>
    <col min="1018" max="1018" width="14.44140625" style="20" customWidth="1"/>
    <col min="1019" max="1019" width="7.33203125" style="20" customWidth="1"/>
    <col min="1020" max="1020" width="5.5546875" style="20" customWidth="1"/>
    <col min="1021" max="1021" width="9" style="20" customWidth="1"/>
    <col min="1022" max="1023" width="9.6640625" style="20" customWidth="1"/>
    <col min="1024" max="1024" width="11.33203125" style="20" customWidth="1"/>
    <col min="1025" max="1025" width="2.6640625" style="20" customWidth="1"/>
    <col min="1026" max="1026" width="3.5546875" style="20" customWidth="1"/>
    <col min="1027" max="1271" width="9.33203125" style="20"/>
    <col min="1272" max="1272" width="8.6640625" style="20" customWidth="1"/>
    <col min="1273" max="1273" width="9.6640625" style="20" customWidth="1"/>
    <col min="1274" max="1274" width="14.44140625" style="20" customWidth="1"/>
    <col min="1275" max="1275" width="7.33203125" style="20" customWidth="1"/>
    <col min="1276" max="1276" width="5.5546875" style="20" customWidth="1"/>
    <col min="1277" max="1277" width="9" style="20" customWidth="1"/>
    <col min="1278" max="1279" width="9.6640625" style="20" customWidth="1"/>
    <col min="1280" max="1280" width="11.33203125" style="20" customWidth="1"/>
    <col min="1281" max="1281" width="2.6640625" style="20" customWidth="1"/>
    <col min="1282" max="1282" width="3.5546875" style="20" customWidth="1"/>
    <col min="1283" max="1527" width="9.33203125" style="20"/>
    <col min="1528" max="1528" width="8.6640625" style="20" customWidth="1"/>
    <col min="1529" max="1529" width="9.6640625" style="20" customWidth="1"/>
    <col min="1530" max="1530" width="14.44140625" style="20" customWidth="1"/>
    <col min="1531" max="1531" width="7.33203125" style="20" customWidth="1"/>
    <col min="1532" max="1532" width="5.5546875" style="20" customWidth="1"/>
    <col min="1533" max="1533" width="9" style="20" customWidth="1"/>
    <col min="1534" max="1535" width="9.6640625" style="20" customWidth="1"/>
    <col min="1536" max="1536" width="11.33203125" style="20" customWidth="1"/>
    <col min="1537" max="1537" width="2.6640625" style="20" customWidth="1"/>
    <col min="1538" max="1538" width="3.5546875" style="20" customWidth="1"/>
    <col min="1539" max="1783" width="9.33203125" style="20"/>
    <col min="1784" max="1784" width="8.6640625" style="20" customWidth="1"/>
    <col min="1785" max="1785" width="9.6640625" style="20" customWidth="1"/>
    <col min="1786" max="1786" width="14.44140625" style="20" customWidth="1"/>
    <col min="1787" max="1787" width="7.33203125" style="20" customWidth="1"/>
    <col min="1788" max="1788" width="5.5546875" style="20" customWidth="1"/>
    <col min="1789" max="1789" width="9" style="20" customWidth="1"/>
    <col min="1790" max="1791" width="9.6640625" style="20" customWidth="1"/>
    <col min="1792" max="1792" width="11.33203125" style="20" customWidth="1"/>
    <col min="1793" max="1793" width="2.6640625" style="20" customWidth="1"/>
    <col min="1794" max="1794" width="3.5546875" style="20" customWidth="1"/>
    <col min="1795" max="2039" width="9.33203125" style="20"/>
    <col min="2040" max="2040" width="8.6640625" style="20" customWidth="1"/>
    <col min="2041" max="2041" width="9.6640625" style="20" customWidth="1"/>
    <col min="2042" max="2042" width="14.44140625" style="20" customWidth="1"/>
    <col min="2043" max="2043" width="7.33203125" style="20" customWidth="1"/>
    <col min="2044" max="2044" width="5.5546875" style="20" customWidth="1"/>
    <col min="2045" max="2045" width="9" style="20" customWidth="1"/>
    <col min="2046" max="2047" width="9.6640625" style="20" customWidth="1"/>
    <col min="2048" max="2048" width="11.33203125" style="20" customWidth="1"/>
    <col min="2049" max="2049" width="2.6640625" style="20" customWidth="1"/>
    <col min="2050" max="2050" width="3.5546875" style="20" customWidth="1"/>
    <col min="2051" max="2295" width="9.33203125" style="20"/>
    <col min="2296" max="2296" width="8.6640625" style="20" customWidth="1"/>
    <col min="2297" max="2297" width="9.6640625" style="20" customWidth="1"/>
    <col min="2298" max="2298" width="14.44140625" style="20" customWidth="1"/>
    <col min="2299" max="2299" width="7.33203125" style="20" customWidth="1"/>
    <col min="2300" max="2300" width="5.5546875" style="20" customWidth="1"/>
    <col min="2301" max="2301" width="9" style="20" customWidth="1"/>
    <col min="2302" max="2303" width="9.6640625" style="20" customWidth="1"/>
    <col min="2304" max="2304" width="11.33203125" style="20" customWidth="1"/>
    <col min="2305" max="2305" width="2.6640625" style="20" customWidth="1"/>
    <col min="2306" max="2306" width="3.5546875" style="20" customWidth="1"/>
    <col min="2307" max="2551" width="9.33203125" style="20"/>
    <col min="2552" max="2552" width="8.6640625" style="20" customWidth="1"/>
    <col min="2553" max="2553" width="9.6640625" style="20" customWidth="1"/>
    <col min="2554" max="2554" width="14.44140625" style="20" customWidth="1"/>
    <col min="2555" max="2555" width="7.33203125" style="20" customWidth="1"/>
    <col min="2556" max="2556" width="5.5546875" style="20" customWidth="1"/>
    <col min="2557" max="2557" width="9" style="20" customWidth="1"/>
    <col min="2558" max="2559" width="9.6640625" style="20" customWidth="1"/>
    <col min="2560" max="2560" width="11.33203125" style="20" customWidth="1"/>
    <col min="2561" max="2561" width="2.6640625" style="20" customWidth="1"/>
    <col min="2562" max="2562" width="3.5546875" style="20" customWidth="1"/>
    <col min="2563" max="2807" width="9.33203125" style="20"/>
    <col min="2808" max="2808" width="8.6640625" style="20" customWidth="1"/>
    <col min="2809" max="2809" width="9.6640625" style="20" customWidth="1"/>
    <col min="2810" max="2810" width="14.44140625" style="20" customWidth="1"/>
    <col min="2811" max="2811" width="7.33203125" style="20" customWidth="1"/>
    <col min="2812" max="2812" width="5.5546875" style="20" customWidth="1"/>
    <col min="2813" max="2813" width="9" style="20" customWidth="1"/>
    <col min="2814" max="2815" width="9.6640625" style="20" customWidth="1"/>
    <col min="2816" max="2816" width="11.33203125" style="20" customWidth="1"/>
    <col min="2817" max="2817" width="2.6640625" style="20" customWidth="1"/>
    <col min="2818" max="2818" width="3.5546875" style="20" customWidth="1"/>
    <col min="2819" max="3063" width="9.33203125" style="20"/>
    <col min="3064" max="3064" width="8.6640625" style="20" customWidth="1"/>
    <col min="3065" max="3065" width="9.6640625" style="20" customWidth="1"/>
    <col min="3066" max="3066" width="14.44140625" style="20" customWidth="1"/>
    <col min="3067" max="3067" width="7.33203125" style="20" customWidth="1"/>
    <col min="3068" max="3068" width="5.5546875" style="20" customWidth="1"/>
    <col min="3069" max="3069" width="9" style="20" customWidth="1"/>
    <col min="3070" max="3071" width="9.6640625" style="20" customWidth="1"/>
    <col min="3072" max="3072" width="11.33203125" style="20" customWidth="1"/>
    <col min="3073" max="3073" width="2.6640625" style="20" customWidth="1"/>
    <col min="3074" max="3074" width="3.5546875" style="20" customWidth="1"/>
    <col min="3075" max="3319" width="9.33203125" style="20"/>
    <col min="3320" max="3320" width="8.6640625" style="20" customWidth="1"/>
    <col min="3321" max="3321" width="9.6640625" style="20" customWidth="1"/>
    <col min="3322" max="3322" width="14.44140625" style="20" customWidth="1"/>
    <col min="3323" max="3323" width="7.33203125" style="20" customWidth="1"/>
    <col min="3324" max="3324" width="5.5546875" style="20" customWidth="1"/>
    <col min="3325" max="3325" width="9" style="20" customWidth="1"/>
    <col min="3326" max="3327" width="9.6640625" style="20" customWidth="1"/>
    <col min="3328" max="3328" width="11.33203125" style="20" customWidth="1"/>
    <col min="3329" max="3329" width="2.6640625" style="20" customWidth="1"/>
    <col min="3330" max="3330" width="3.5546875" style="20" customWidth="1"/>
    <col min="3331" max="3575" width="9.33203125" style="20"/>
    <col min="3576" max="3576" width="8.6640625" style="20" customWidth="1"/>
    <col min="3577" max="3577" width="9.6640625" style="20" customWidth="1"/>
    <col min="3578" max="3578" width="14.44140625" style="20" customWidth="1"/>
    <col min="3579" max="3579" width="7.33203125" style="20" customWidth="1"/>
    <col min="3580" max="3580" width="5.5546875" style="20" customWidth="1"/>
    <col min="3581" max="3581" width="9" style="20" customWidth="1"/>
    <col min="3582" max="3583" width="9.6640625" style="20" customWidth="1"/>
    <col min="3584" max="3584" width="11.33203125" style="20" customWidth="1"/>
    <col min="3585" max="3585" width="2.6640625" style="20" customWidth="1"/>
    <col min="3586" max="3586" width="3.5546875" style="20" customWidth="1"/>
    <col min="3587" max="3831" width="9.33203125" style="20"/>
    <col min="3832" max="3832" width="8.6640625" style="20" customWidth="1"/>
    <col min="3833" max="3833" width="9.6640625" style="20" customWidth="1"/>
    <col min="3834" max="3834" width="14.44140625" style="20" customWidth="1"/>
    <col min="3835" max="3835" width="7.33203125" style="20" customWidth="1"/>
    <col min="3836" max="3836" width="5.5546875" style="20" customWidth="1"/>
    <col min="3837" max="3837" width="9" style="20" customWidth="1"/>
    <col min="3838" max="3839" width="9.6640625" style="20" customWidth="1"/>
    <col min="3840" max="3840" width="11.33203125" style="20" customWidth="1"/>
    <col min="3841" max="3841" width="2.6640625" style="20" customWidth="1"/>
    <col min="3842" max="3842" width="3.5546875" style="20" customWidth="1"/>
    <col min="3843" max="4087" width="9.33203125" style="20"/>
    <col min="4088" max="4088" width="8.6640625" style="20" customWidth="1"/>
    <col min="4089" max="4089" width="9.6640625" style="20" customWidth="1"/>
    <col min="4090" max="4090" width="14.44140625" style="20" customWidth="1"/>
    <col min="4091" max="4091" width="7.33203125" style="20" customWidth="1"/>
    <col min="4092" max="4092" width="5.5546875" style="20" customWidth="1"/>
    <col min="4093" max="4093" width="9" style="20" customWidth="1"/>
    <col min="4094" max="4095" width="9.6640625" style="20" customWidth="1"/>
    <col min="4096" max="4096" width="11.33203125" style="20" customWidth="1"/>
    <col min="4097" max="4097" width="2.6640625" style="20" customWidth="1"/>
    <col min="4098" max="4098" width="3.5546875" style="20" customWidth="1"/>
    <col min="4099" max="4343" width="9.33203125" style="20"/>
    <col min="4344" max="4344" width="8.6640625" style="20" customWidth="1"/>
    <col min="4345" max="4345" width="9.6640625" style="20" customWidth="1"/>
    <col min="4346" max="4346" width="14.44140625" style="20" customWidth="1"/>
    <col min="4347" max="4347" width="7.33203125" style="20" customWidth="1"/>
    <col min="4348" max="4348" width="5.5546875" style="20" customWidth="1"/>
    <col min="4349" max="4349" width="9" style="20" customWidth="1"/>
    <col min="4350" max="4351" width="9.6640625" style="20" customWidth="1"/>
    <col min="4352" max="4352" width="11.33203125" style="20" customWidth="1"/>
    <col min="4353" max="4353" width="2.6640625" style="20" customWidth="1"/>
    <col min="4354" max="4354" width="3.5546875" style="20" customWidth="1"/>
    <col min="4355" max="4599" width="9.33203125" style="20"/>
    <col min="4600" max="4600" width="8.6640625" style="20" customWidth="1"/>
    <col min="4601" max="4601" width="9.6640625" style="20" customWidth="1"/>
    <col min="4602" max="4602" width="14.44140625" style="20" customWidth="1"/>
    <col min="4603" max="4603" width="7.33203125" style="20" customWidth="1"/>
    <col min="4604" max="4604" width="5.5546875" style="20" customWidth="1"/>
    <col min="4605" max="4605" width="9" style="20" customWidth="1"/>
    <col min="4606" max="4607" width="9.6640625" style="20" customWidth="1"/>
    <col min="4608" max="4608" width="11.33203125" style="20" customWidth="1"/>
    <col min="4609" max="4609" width="2.6640625" style="20" customWidth="1"/>
    <col min="4610" max="4610" width="3.5546875" style="20" customWidth="1"/>
    <col min="4611" max="4855" width="9.33203125" style="20"/>
    <col min="4856" max="4856" width="8.6640625" style="20" customWidth="1"/>
    <col min="4857" max="4857" width="9.6640625" style="20" customWidth="1"/>
    <col min="4858" max="4858" width="14.44140625" style="20" customWidth="1"/>
    <col min="4859" max="4859" width="7.33203125" style="20" customWidth="1"/>
    <col min="4860" max="4860" width="5.5546875" style="20" customWidth="1"/>
    <col min="4861" max="4861" width="9" style="20" customWidth="1"/>
    <col min="4862" max="4863" width="9.6640625" style="20" customWidth="1"/>
    <col min="4864" max="4864" width="11.33203125" style="20" customWidth="1"/>
    <col min="4865" max="4865" width="2.6640625" style="20" customWidth="1"/>
    <col min="4866" max="4866" width="3.5546875" style="20" customWidth="1"/>
    <col min="4867" max="5111" width="9.33203125" style="20"/>
    <col min="5112" max="5112" width="8.6640625" style="20" customWidth="1"/>
    <col min="5113" max="5113" width="9.6640625" style="20" customWidth="1"/>
    <col min="5114" max="5114" width="14.44140625" style="20" customWidth="1"/>
    <col min="5115" max="5115" width="7.33203125" style="20" customWidth="1"/>
    <col min="5116" max="5116" width="5.5546875" style="20" customWidth="1"/>
    <col min="5117" max="5117" width="9" style="20" customWidth="1"/>
    <col min="5118" max="5119" width="9.6640625" style="20" customWidth="1"/>
    <col min="5120" max="5120" width="11.33203125" style="20" customWidth="1"/>
    <col min="5121" max="5121" width="2.6640625" style="20" customWidth="1"/>
    <col min="5122" max="5122" width="3.5546875" style="20" customWidth="1"/>
    <col min="5123" max="5367" width="9.33203125" style="20"/>
    <col min="5368" max="5368" width="8.6640625" style="20" customWidth="1"/>
    <col min="5369" max="5369" width="9.6640625" style="20" customWidth="1"/>
    <col min="5370" max="5370" width="14.44140625" style="20" customWidth="1"/>
    <col min="5371" max="5371" width="7.33203125" style="20" customWidth="1"/>
    <col min="5372" max="5372" width="5.5546875" style="20" customWidth="1"/>
    <col min="5373" max="5373" width="9" style="20" customWidth="1"/>
    <col min="5374" max="5375" width="9.6640625" style="20" customWidth="1"/>
    <col min="5376" max="5376" width="11.33203125" style="20" customWidth="1"/>
    <col min="5377" max="5377" width="2.6640625" style="20" customWidth="1"/>
    <col min="5378" max="5378" width="3.5546875" style="20" customWidth="1"/>
    <col min="5379" max="5623" width="9.33203125" style="20"/>
    <col min="5624" max="5624" width="8.6640625" style="20" customWidth="1"/>
    <col min="5625" max="5625" width="9.6640625" style="20" customWidth="1"/>
    <col min="5626" max="5626" width="14.44140625" style="20" customWidth="1"/>
    <col min="5627" max="5627" width="7.33203125" style="20" customWidth="1"/>
    <col min="5628" max="5628" width="5.5546875" style="20" customWidth="1"/>
    <col min="5629" max="5629" width="9" style="20" customWidth="1"/>
    <col min="5630" max="5631" width="9.6640625" style="20" customWidth="1"/>
    <col min="5632" max="5632" width="11.33203125" style="20" customWidth="1"/>
    <col min="5633" max="5633" width="2.6640625" style="20" customWidth="1"/>
    <col min="5634" max="5634" width="3.5546875" style="20" customWidth="1"/>
    <col min="5635" max="5879" width="9.33203125" style="20"/>
    <col min="5880" max="5880" width="8.6640625" style="20" customWidth="1"/>
    <col min="5881" max="5881" width="9.6640625" style="20" customWidth="1"/>
    <col min="5882" max="5882" width="14.44140625" style="20" customWidth="1"/>
    <col min="5883" max="5883" width="7.33203125" style="20" customWidth="1"/>
    <col min="5884" max="5884" width="5.5546875" style="20" customWidth="1"/>
    <col min="5885" max="5885" width="9" style="20" customWidth="1"/>
    <col min="5886" max="5887" width="9.6640625" style="20" customWidth="1"/>
    <col min="5888" max="5888" width="11.33203125" style="20" customWidth="1"/>
    <col min="5889" max="5889" width="2.6640625" style="20" customWidth="1"/>
    <col min="5890" max="5890" width="3.5546875" style="20" customWidth="1"/>
    <col min="5891" max="6135" width="9.33203125" style="20"/>
    <col min="6136" max="6136" width="8.6640625" style="20" customWidth="1"/>
    <col min="6137" max="6137" width="9.6640625" style="20" customWidth="1"/>
    <col min="6138" max="6138" width="14.44140625" style="20" customWidth="1"/>
    <col min="6139" max="6139" width="7.33203125" style="20" customWidth="1"/>
    <col min="6140" max="6140" width="5.5546875" style="20" customWidth="1"/>
    <col min="6141" max="6141" width="9" style="20" customWidth="1"/>
    <col min="6142" max="6143" width="9.6640625" style="20" customWidth="1"/>
    <col min="6144" max="6144" width="11.33203125" style="20" customWidth="1"/>
    <col min="6145" max="6145" width="2.6640625" style="20" customWidth="1"/>
    <col min="6146" max="6146" width="3.5546875" style="20" customWidth="1"/>
    <col min="6147" max="6391" width="9.33203125" style="20"/>
    <col min="6392" max="6392" width="8.6640625" style="20" customWidth="1"/>
    <col min="6393" max="6393" width="9.6640625" style="20" customWidth="1"/>
    <col min="6394" max="6394" width="14.44140625" style="20" customWidth="1"/>
    <col min="6395" max="6395" width="7.33203125" style="20" customWidth="1"/>
    <col min="6396" max="6396" width="5.5546875" style="20" customWidth="1"/>
    <col min="6397" max="6397" width="9" style="20" customWidth="1"/>
    <col min="6398" max="6399" width="9.6640625" style="20" customWidth="1"/>
    <col min="6400" max="6400" width="11.33203125" style="20" customWidth="1"/>
    <col min="6401" max="6401" width="2.6640625" style="20" customWidth="1"/>
    <col min="6402" max="6402" width="3.5546875" style="20" customWidth="1"/>
    <col min="6403" max="6647" width="9.33203125" style="20"/>
    <col min="6648" max="6648" width="8.6640625" style="20" customWidth="1"/>
    <col min="6649" max="6649" width="9.6640625" style="20" customWidth="1"/>
    <col min="6650" max="6650" width="14.44140625" style="20" customWidth="1"/>
    <col min="6651" max="6651" width="7.33203125" style="20" customWidth="1"/>
    <col min="6652" max="6652" width="5.5546875" style="20" customWidth="1"/>
    <col min="6653" max="6653" width="9" style="20" customWidth="1"/>
    <col min="6654" max="6655" width="9.6640625" style="20" customWidth="1"/>
    <col min="6656" max="6656" width="11.33203125" style="20" customWidth="1"/>
    <col min="6657" max="6657" width="2.6640625" style="20" customWidth="1"/>
    <col min="6658" max="6658" width="3.5546875" style="20" customWidth="1"/>
    <col min="6659" max="6903" width="9.33203125" style="20"/>
    <col min="6904" max="6904" width="8.6640625" style="20" customWidth="1"/>
    <col min="6905" max="6905" width="9.6640625" style="20" customWidth="1"/>
    <col min="6906" max="6906" width="14.44140625" style="20" customWidth="1"/>
    <col min="6907" max="6907" width="7.33203125" style="20" customWidth="1"/>
    <col min="6908" max="6908" width="5.5546875" style="20" customWidth="1"/>
    <col min="6909" max="6909" width="9" style="20" customWidth="1"/>
    <col min="6910" max="6911" width="9.6640625" style="20" customWidth="1"/>
    <col min="6912" max="6912" width="11.33203125" style="20" customWidth="1"/>
    <col min="6913" max="6913" width="2.6640625" style="20" customWidth="1"/>
    <col min="6914" max="6914" width="3.5546875" style="20" customWidth="1"/>
    <col min="6915" max="7159" width="9.33203125" style="20"/>
    <col min="7160" max="7160" width="8.6640625" style="20" customWidth="1"/>
    <col min="7161" max="7161" width="9.6640625" style="20" customWidth="1"/>
    <col min="7162" max="7162" width="14.44140625" style="20" customWidth="1"/>
    <col min="7163" max="7163" width="7.33203125" style="20" customWidth="1"/>
    <col min="7164" max="7164" width="5.5546875" style="20" customWidth="1"/>
    <col min="7165" max="7165" width="9" style="20" customWidth="1"/>
    <col min="7166" max="7167" width="9.6640625" style="20" customWidth="1"/>
    <col min="7168" max="7168" width="11.33203125" style="20" customWidth="1"/>
    <col min="7169" max="7169" width="2.6640625" style="20" customWidth="1"/>
    <col min="7170" max="7170" width="3.5546875" style="20" customWidth="1"/>
    <col min="7171" max="7415" width="9.33203125" style="20"/>
    <col min="7416" max="7416" width="8.6640625" style="20" customWidth="1"/>
    <col min="7417" max="7417" width="9.6640625" style="20" customWidth="1"/>
    <col min="7418" max="7418" width="14.44140625" style="20" customWidth="1"/>
    <col min="7419" max="7419" width="7.33203125" style="20" customWidth="1"/>
    <col min="7420" max="7420" width="5.5546875" style="20" customWidth="1"/>
    <col min="7421" max="7421" width="9" style="20" customWidth="1"/>
    <col min="7422" max="7423" width="9.6640625" style="20" customWidth="1"/>
    <col min="7424" max="7424" width="11.33203125" style="20" customWidth="1"/>
    <col min="7425" max="7425" width="2.6640625" style="20" customWidth="1"/>
    <col min="7426" max="7426" width="3.5546875" style="20" customWidth="1"/>
    <col min="7427" max="7671" width="9.33203125" style="20"/>
    <col min="7672" max="7672" width="8.6640625" style="20" customWidth="1"/>
    <col min="7673" max="7673" width="9.6640625" style="20" customWidth="1"/>
    <col min="7674" max="7674" width="14.44140625" style="20" customWidth="1"/>
    <col min="7675" max="7675" width="7.33203125" style="20" customWidth="1"/>
    <col min="7676" max="7676" width="5.5546875" style="20" customWidth="1"/>
    <col min="7677" max="7677" width="9" style="20" customWidth="1"/>
    <col min="7678" max="7679" width="9.6640625" style="20" customWidth="1"/>
    <col min="7680" max="7680" width="11.33203125" style="20" customWidth="1"/>
    <col min="7681" max="7681" width="2.6640625" style="20" customWidth="1"/>
    <col min="7682" max="7682" width="3.5546875" style="20" customWidth="1"/>
    <col min="7683" max="7927" width="9.33203125" style="20"/>
    <col min="7928" max="7928" width="8.6640625" style="20" customWidth="1"/>
    <col min="7929" max="7929" width="9.6640625" style="20" customWidth="1"/>
    <col min="7930" max="7930" width="14.44140625" style="20" customWidth="1"/>
    <col min="7931" max="7931" width="7.33203125" style="20" customWidth="1"/>
    <col min="7932" max="7932" width="5.5546875" style="20" customWidth="1"/>
    <col min="7933" max="7933" width="9" style="20" customWidth="1"/>
    <col min="7934" max="7935" width="9.6640625" style="20" customWidth="1"/>
    <col min="7936" max="7936" width="11.33203125" style="20" customWidth="1"/>
    <col min="7937" max="7937" width="2.6640625" style="20" customWidth="1"/>
    <col min="7938" max="7938" width="3.5546875" style="20" customWidth="1"/>
    <col min="7939" max="8183" width="9.33203125" style="20"/>
    <col min="8184" max="8184" width="8.6640625" style="20" customWidth="1"/>
    <col min="8185" max="8185" width="9.6640625" style="20" customWidth="1"/>
    <col min="8186" max="8186" width="14.44140625" style="20" customWidth="1"/>
    <col min="8187" max="8187" width="7.33203125" style="20" customWidth="1"/>
    <col min="8188" max="8188" width="5.5546875" style="20" customWidth="1"/>
    <col min="8189" max="8189" width="9" style="20" customWidth="1"/>
    <col min="8190" max="8191" width="9.6640625" style="20" customWidth="1"/>
    <col min="8192" max="8192" width="11.33203125" style="20" customWidth="1"/>
    <col min="8193" max="8193" width="2.6640625" style="20" customWidth="1"/>
    <col min="8194" max="8194" width="3.5546875" style="20" customWidth="1"/>
    <col min="8195" max="8439" width="9.33203125" style="20"/>
    <col min="8440" max="8440" width="8.6640625" style="20" customWidth="1"/>
    <col min="8441" max="8441" width="9.6640625" style="20" customWidth="1"/>
    <col min="8442" max="8442" width="14.44140625" style="20" customWidth="1"/>
    <col min="8443" max="8443" width="7.33203125" style="20" customWidth="1"/>
    <col min="8444" max="8444" width="5.5546875" style="20" customWidth="1"/>
    <col min="8445" max="8445" width="9" style="20" customWidth="1"/>
    <col min="8446" max="8447" width="9.6640625" style="20" customWidth="1"/>
    <col min="8448" max="8448" width="11.33203125" style="20" customWidth="1"/>
    <col min="8449" max="8449" width="2.6640625" style="20" customWidth="1"/>
    <col min="8450" max="8450" width="3.5546875" style="20" customWidth="1"/>
    <col min="8451" max="8695" width="9.33203125" style="20"/>
    <col min="8696" max="8696" width="8.6640625" style="20" customWidth="1"/>
    <col min="8697" max="8697" width="9.6640625" style="20" customWidth="1"/>
    <col min="8698" max="8698" width="14.44140625" style="20" customWidth="1"/>
    <col min="8699" max="8699" width="7.33203125" style="20" customWidth="1"/>
    <col min="8700" max="8700" width="5.5546875" style="20" customWidth="1"/>
    <col min="8701" max="8701" width="9" style="20" customWidth="1"/>
    <col min="8702" max="8703" width="9.6640625" style="20" customWidth="1"/>
    <col min="8704" max="8704" width="11.33203125" style="20" customWidth="1"/>
    <col min="8705" max="8705" width="2.6640625" style="20" customWidth="1"/>
    <col min="8706" max="8706" width="3.5546875" style="20" customWidth="1"/>
    <col min="8707" max="8951" width="9.33203125" style="20"/>
    <col min="8952" max="8952" width="8.6640625" style="20" customWidth="1"/>
    <col min="8953" max="8953" width="9.6640625" style="20" customWidth="1"/>
    <col min="8954" max="8954" width="14.44140625" style="20" customWidth="1"/>
    <col min="8955" max="8955" width="7.33203125" style="20" customWidth="1"/>
    <col min="8956" max="8956" width="5.5546875" style="20" customWidth="1"/>
    <col min="8957" max="8957" width="9" style="20" customWidth="1"/>
    <col min="8958" max="8959" width="9.6640625" style="20" customWidth="1"/>
    <col min="8960" max="8960" width="11.33203125" style="20" customWidth="1"/>
    <col min="8961" max="8961" width="2.6640625" style="20" customWidth="1"/>
    <col min="8962" max="8962" width="3.5546875" style="20" customWidth="1"/>
    <col min="8963" max="9207" width="9.33203125" style="20"/>
    <col min="9208" max="9208" width="8.6640625" style="20" customWidth="1"/>
    <col min="9209" max="9209" width="9.6640625" style="20" customWidth="1"/>
    <col min="9210" max="9210" width="14.44140625" style="20" customWidth="1"/>
    <col min="9211" max="9211" width="7.33203125" style="20" customWidth="1"/>
    <col min="9212" max="9212" width="5.5546875" style="20" customWidth="1"/>
    <col min="9213" max="9213" width="9" style="20" customWidth="1"/>
    <col min="9214" max="9215" width="9.6640625" style="20" customWidth="1"/>
    <col min="9216" max="9216" width="11.33203125" style="20" customWidth="1"/>
    <col min="9217" max="9217" width="2.6640625" style="20" customWidth="1"/>
    <col min="9218" max="9218" width="3.5546875" style="20" customWidth="1"/>
    <col min="9219" max="9463" width="9.33203125" style="20"/>
    <col min="9464" max="9464" width="8.6640625" style="20" customWidth="1"/>
    <col min="9465" max="9465" width="9.6640625" style="20" customWidth="1"/>
    <col min="9466" max="9466" width="14.44140625" style="20" customWidth="1"/>
    <col min="9467" max="9467" width="7.33203125" style="20" customWidth="1"/>
    <col min="9468" max="9468" width="5.5546875" style="20" customWidth="1"/>
    <col min="9469" max="9469" width="9" style="20" customWidth="1"/>
    <col min="9470" max="9471" width="9.6640625" style="20" customWidth="1"/>
    <col min="9472" max="9472" width="11.33203125" style="20" customWidth="1"/>
    <col min="9473" max="9473" width="2.6640625" style="20" customWidth="1"/>
    <col min="9474" max="9474" width="3.5546875" style="20" customWidth="1"/>
    <col min="9475" max="9719" width="9.33203125" style="20"/>
    <col min="9720" max="9720" width="8.6640625" style="20" customWidth="1"/>
    <col min="9721" max="9721" width="9.6640625" style="20" customWidth="1"/>
    <col min="9722" max="9722" width="14.44140625" style="20" customWidth="1"/>
    <col min="9723" max="9723" width="7.33203125" style="20" customWidth="1"/>
    <col min="9724" max="9724" width="5.5546875" style="20" customWidth="1"/>
    <col min="9725" max="9725" width="9" style="20" customWidth="1"/>
    <col min="9726" max="9727" width="9.6640625" style="20" customWidth="1"/>
    <col min="9728" max="9728" width="11.33203125" style="20" customWidth="1"/>
    <col min="9729" max="9729" width="2.6640625" style="20" customWidth="1"/>
    <col min="9730" max="9730" width="3.5546875" style="20" customWidth="1"/>
    <col min="9731" max="9975" width="9.33203125" style="20"/>
    <col min="9976" max="9976" width="8.6640625" style="20" customWidth="1"/>
    <col min="9977" max="9977" width="9.6640625" style="20" customWidth="1"/>
    <col min="9978" max="9978" width="14.44140625" style="20" customWidth="1"/>
    <col min="9979" max="9979" width="7.33203125" style="20" customWidth="1"/>
    <col min="9980" max="9980" width="5.5546875" style="20" customWidth="1"/>
    <col min="9981" max="9981" width="9" style="20" customWidth="1"/>
    <col min="9982" max="9983" width="9.6640625" style="20" customWidth="1"/>
    <col min="9984" max="9984" width="11.33203125" style="20" customWidth="1"/>
    <col min="9985" max="9985" width="2.6640625" style="20" customWidth="1"/>
    <col min="9986" max="9986" width="3.5546875" style="20" customWidth="1"/>
    <col min="9987" max="10231" width="9.33203125" style="20"/>
    <col min="10232" max="10232" width="8.6640625" style="20" customWidth="1"/>
    <col min="10233" max="10233" width="9.6640625" style="20" customWidth="1"/>
    <col min="10234" max="10234" width="14.44140625" style="20" customWidth="1"/>
    <col min="10235" max="10235" width="7.33203125" style="20" customWidth="1"/>
    <col min="10236" max="10236" width="5.5546875" style="20" customWidth="1"/>
    <col min="10237" max="10237" width="9" style="20" customWidth="1"/>
    <col min="10238" max="10239" width="9.6640625" style="20" customWidth="1"/>
    <col min="10240" max="10240" width="11.33203125" style="20" customWidth="1"/>
    <col min="10241" max="10241" width="2.6640625" style="20" customWidth="1"/>
    <col min="10242" max="10242" width="3.5546875" style="20" customWidth="1"/>
    <col min="10243" max="10487" width="9.33203125" style="20"/>
    <col min="10488" max="10488" width="8.6640625" style="20" customWidth="1"/>
    <col min="10489" max="10489" width="9.6640625" style="20" customWidth="1"/>
    <col min="10490" max="10490" width="14.44140625" style="20" customWidth="1"/>
    <col min="10491" max="10491" width="7.33203125" style="20" customWidth="1"/>
    <col min="10492" max="10492" width="5.5546875" style="20" customWidth="1"/>
    <col min="10493" max="10493" width="9" style="20" customWidth="1"/>
    <col min="10494" max="10495" width="9.6640625" style="20" customWidth="1"/>
    <col min="10496" max="10496" width="11.33203125" style="20" customWidth="1"/>
    <col min="10497" max="10497" width="2.6640625" style="20" customWidth="1"/>
    <col min="10498" max="10498" width="3.5546875" style="20" customWidth="1"/>
    <col min="10499" max="10743" width="9.33203125" style="20"/>
    <col min="10744" max="10744" width="8.6640625" style="20" customWidth="1"/>
    <col min="10745" max="10745" width="9.6640625" style="20" customWidth="1"/>
    <col min="10746" max="10746" width="14.44140625" style="20" customWidth="1"/>
    <col min="10747" max="10747" width="7.33203125" style="20" customWidth="1"/>
    <col min="10748" max="10748" width="5.5546875" style="20" customWidth="1"/>
    <col min="10749" max="10749" width="9" style="20" customWidth="1"/>
    <col min="10750" max="10751" width="9.6640625" style="20" customWidth="1"/>
    <col min="10752" max="10752" width="11.33203125" style="20" customWidth="1"/>
    <col min="10753" max="10753" width="2.6640625" style="20" customWidth="1"/>
    <col min="10754" max="10754" width="3.5546875" style="20" customWidth="1"/>
    <col min="10755" max="10999" width="9.33203125" style="20"/>
    <col min="11000" max="11000" width="8.6640625" style="20" customWidth="1"/>
    <col min="11001" max="11001" width="9.6640625" style="20" customWidth="1"/>
    <col min="11002" max="11002" width="14.44140625" style="20" customWidth="1"/>
    <col min="11003" max="11003" width="7.33203125" style="20" customWidth="1"/>
    <col min="11004" max="11004" width="5.5546875" style="20" customWidth="1"/>
    <col min="11005" max="11005" width="9" style="20" customWidth="1"/>
    <col min="11006" max="11007" width="9.6640625" style="20" customWidth="1"/>
    <col min="11008" max="11008" width="11.33203125" style="20" customWidth="1"/>
    <col min="11009" max="11009" width="2.6640625" style="20" customWidth="1"/>
    <col min="11010" max="11010" width="3.5546875" style="20" customWidth="1"/>
    <col min="11011" max="11255" width="9.33203125" style="20"/>
    <col min="11256" max="11256" width="8.6640625" style="20" customWidth="1"/>
    <col min="11257" max="11257" width="9.6640625" style="20" customWidth="1"/>
    <col min="11258" max="11258" width="14.44140625" style="20" customWidth="1"/>
    <col min="11259" max="11259" width="7.33203125" style="20" customWidth="1"/>
    <col min="11260" max="11260" width="5.5546875" style="20" customWidth="1"/>
    <col min="11261" max="11261" width="9" style="20" customWidth="1"/>
    <col min="11262" max="11263" width="9.6640625" style="20" customWidth="1"/>
    <col min="11264" max="11264" width="11.33203125" style="20" customWidth="1"/>
    <col min="11265" max="11265" width="2.6640625" style="20" customWidth="1"/>
    <col min="11266" max="11266" width="3.5546875" style="20" customWidth="1"/>
    <col min="11267" max="11511" width="9.33203125" style="20"/>
    <col min="11512" max="11512" width="8.6640625" style="20" customWidth="1"/>
    <col min="11513" max="11513" width="9.6640625" style="20" customWidth="1"/>
    <col min="11514" max="11514" width="14.44140625" style="20" customWidth="1"/>
    <col min="11515" max="11515" width="7.33203125" style="20" customWidth="1"/>
    <col min="11516" max="11516" width="5.5546875" style="20" customWidth="1"/>
    <col min="11517" max="11517" width="9" style="20" customWidth="1"/>
    <col min="11518" max="11519" width="9.6640625" style="20" customWidth="1"/>
    <col min="11520" max="11520" width="11.33203125" style="20" customWidth="1"/>
    <col min="11521" max="11521" width="2.6640625" style="20" customWidth="1"/>
    <col min="11522" max="11522" width="3.5546875" style="20" customWidth="1"/>
    <col min="11523" max="11767" width="9.33203125" style="20"/>
    <col min="11768" max="11768" width="8.6640625" style="20" customWidth="1"/>
    <col min="11769" max="11769" width="9.6640625" style="20" customWidth="1"/>
    <col min="11770" max="11770" width="14.44140625" style="20" customWidth="1"/>
    <col min="11771" max="11771" width="7.33203125" style="20" customWidth="1"/>
    <col min="11772" max="11772" width="5.5546875" style="20" customWidth="1"/>
    <col min="11773" max="11773" width="9" style="20" customWidth="1"/>
    <col min="11774" max="11775" width="9.6640625" style="20" customWidth="1"/>
    <col min="11776" max="11776" width="11.33203125" style="20" customWidth="1"/>
    <col min="11777" max="11777" width="2.6640625" style="20" customWidth="1"/>
    <col min="11778" max="11778" width="3.5546875" style="20" customWidth="1"/>
    <col min="11779" max="12023" width="9.33203125" style="20"/>
    <col min="12024" max="12024" width="8.6640625" style="20" customWidth="1"/>
    <col min="12025" max="12025" width="9.6640625" style="20" customWidth="1"/>
    <col min="12026" max="12026" width="14.44140625" style="20" customWidth="1"/>
    <col min="12027" max="12027" width="7.33203125" style="20" customWidth="1"/>
    <col min="12028" max="12028" width="5.5546875" style="20" customWidth="1"/>
    <col min="12029" max="12029" width="9" style="20" customWidth="1"/>
    <col min="12030" max="12031" width="9.6640625" style="20" customWidth="1"/>
    <col min="12032" max="12032" width="11.33203125" style="20" customWidth="1"/>
    <col min="12033" max="12033" width="2.6640625" style="20" customWidth="1"/>
    <col min="12034" max="12034" width="3.5546875" style="20" customWidth="1"/>
    <col min="12035" max="12279" width="9.33203125" style="20"/>
    <col min="12280" max="12280" width="8.6640625" style="20" customWidth="1"/>
    <col min="12281" max="12281" width="9.6640625" style="20" customWidth="1"/>
    <col min="12282" max="12282" width="14.44140625" style="20" customWidth="1"/>
    <col min="12283" max="12283" width="7.33203125" style="20" customWidth="1"/>
    <col min="12284" max="12284" width="5.5546875" style="20" customWidth="1"/>
    <col min="12285" max="12285" width="9" style="20" customWidth="1"/>
    <col min="12286" max="12287" width="9.6640625" style="20" customWidth="1"/>
    <col min="12288" max="12288" width="11.33203125" style="20" customWidth="1"/>
    <col min="12289" max="12289" width="2.6640625" style="20" customWidth="1"/>
    <col min="12290" max="12290" width="3.5546875" style="20" customWidth="1"/>
    <col min="12291" max="12535" width="9.33203125" style="20"/>
    <col min="12536" max="12536" width="8.6640625" style="20" customWidth="1"/>
    <col min="12537" max="12537" width="9.6640625" style="20" customWidth="1"/>
    <col min="12538" max="12538" width="14.44140625" style="20" customWidth="1"/>
    <col min="12539" max="12539" width="7.33203125" style="20" customWidth="1"/>
    <col min="12540" max="12540" width="5.5546875" style="20" customWidth="1"/>
    <col min="12541" max="12541" width="9" style="20" customWidth="1"/>
    <col min="12542" max="12543" width="9.6640625" style="20" customWidth="1"/>
    <col min="12544" max="12544" width="11.33203125" style="20" customWidth="1"/>
    <col min="12545" max="12545" width="2.6640625" style="20" customWidth="1"/>
    <col min="12546" max="12546" width="3.5546875" style="20" customWidth="1"/>
    <col min="12547" max="12791" width="9.33203125" style="20"/>
    <col min="12792" max="12792" width="8.6640625" style="20" customWidth="1"/>
    <col min="12793" max="12793" width="9.6640625" style="20" customWidth="1"/>
    <col min="12794" max="12794" width="14.44140625" style="20" customWidth="1"/>
    <col min="12795" max="12795" width="7.33203125" style="20" customWidth="1"/>
    <col min="12796" max="12796" width="5.5546875" style="20" customWidth="1"/>
    <col min="12797" max="12797" width="9" style="20" customWidth="1"/>
    <col min="12798" max="12799" width="9.6640625" style="20" customWidth="1"/>
    <col min="12800" max="12800" width="11.33203125" style="20" customWidth="1"/>
    <col min="12801" max="12801" width="2.6640625" style="20" customWidth="1"/>
    <col min="12802" max="12802" width="3.5546875" style="20" customWidth="1"/>
    <col min="12803" max="13047" width="9.33203125" style="20"/>
    <col min="13048" max="13048" width="8.6640625" style="20" customWidth="1"/>
    <col min="13049" max="13049" width="9.6640625" style="20" customWidth="1"/>
    <col min="13050" max="13050" width="14.44140625" style="20" customWidth="1"/>
    <col min="13051" max="13051" width="7.33203125" style="20" customWidth="1"/>
    <col min="13052" max="13052" width="5.5546875" style="20" customWidth="1"/>
    <col min="13053" max="13053" width="9" style="20" customWidth="1"/>
    <col min="13054" max="13055" width="9.6640625" style="20" customWidth="1"/>
    <col min="13056" max="13056" width="11.33203125" style="20" customWidth="1"/>
    <col min="13057" max="13057" width="2.6640625" style="20" customWidth="1"/>
    <col min="13058" max="13058" width="3.5546875" style="20" customWidth="1"/>
    <col min="13059" max="13303" width="9.33203125" style="20"/>
    <col min="13304" max="13304" width="8.6640625" style="20" customWidth="1"/>
    <col min="13305" max="13305" width="9.6640625" style="20" customWidth="1"/>
    <col min="13306" max="13306" width="14.44140625" style="20" customWidth="1"/>
    <col min="13307" max="13307" width="7.33203125" style="20" customWidth="1"/>
    <col min="13308" max="13308" width="5.5546875" style="20" customWidth="1"/>
    <col min="13309" max="13309" width="9" style="20" customWidth="1"/>
    <col min="13310" max="13311" width="9.6640625" style="20" customWidth="1"/>
    <col min="13312" max="13312" width="11.33203125" style="20" customWidth="1"/>
    <col min="13313" max="13313" width="2.6640625" style="20" customWidth="1"/>
    <col min="13314" max="13314" width="3.5546875" style="20" customWidth="1"/>
    <col min="13315" max="13559" width="9.33203125" style="20"/>
    <col min="13560" max="13560" width="8.6640625" style="20" customWidth="1"/>
    <col min="13561" max="13561" width="9.6640625" style="20" customWidth="1"/>
    <col min="13562" max="13562" width="14.44140625" style="20" customWidth="1"/>
    <col min="13563" max="13563" width="7.33203125" style="20" customWidth="1"/>
    <col min="13564" max="13564" width="5.5546875" style="20" customWidth="1"/>
    <col min="13565" max="13565" width="9" style="20" customWidth="1"/>
    <col min="13566" max="13567" width="9.6640625" style="20" customWidth="1"/>
    <col min="13568" max="13568" width="11.33203125" style="20" customWidth="1"/>
    <col min="13569" max="13569" width="2.6640625" style="20" customWidth="1"/>
    <col min="13570" max="13570" width="3.5546875" style="20" customWidth="1"/>
    <col min="13571" max="13815" width="9.33203125" style="20"/>
    <col min="13816" max="13816" width="8.6640625" style="20" customWidth="1"/>
    <col min="13817" max="13817" width="9.6640625" style="20" customWidth="1"/>
    <col min="13818" max="13818" width="14.44140625" style="20" customWidth="1"/>
    <col min="13819" max="13819" width="7.33203125" style="20" customWidth="1"/>
    <col min="13820" max="13820" width="5.5546875" style="20" customWidth="1"/>
    <col min="13821" max="13821" width="9" style="20" customWidth="1"/>
    <col min="13822" max="13823" width="9.6640625" style="20" customWidth="1"/>
    <col min="13824" max="13824" width="11.33203125" style="20" customWidth="1"/>
    <col min="13825" max="13825" width="2.6640625" style="20" customWidth="1"/>
    <col min="13826" max="13826" width="3.5546875" style="20" customWidth="1"/>
    <col min="13827" max="14071" width="9.33203125" style="20"/>
    <col min="14072" max="14072" width="8.6640625" style="20" customWidth="1"/>
    <col min="14073" max="14073" width="9.6640625" style="20" customWidth="1"/>
    <col min="14074" max="14074" width="14.44140625" style="20" customWidth="1"/>
    <col min="14075" max="14075" width="7.33203125" style="20" customWidth="1"/>
    <col min="14076" max="14076" width="5.5546875" style="20" customWidth="1"/>
    <col min="14077" max="14077" width="9" style="20" customWidth="1"/>
    <col min="14078" max="14079" width="9.6640625" style="20" customWidth="1"/>
    <col min="14080" max="14080" width="11.33203125" style="20" customWidth="1"/>
    <col min="14081" max="14081" width="2.6640625" style="20" customWidth="1"/>
    <col min="14082" max="14082" width="3.5546875" style="20" customWidth="1"/>
    <col min="14083" max="14327" width="9.33203125" style="20"/>
    <col min="14328" max="14328" width="8.6640625" style="20" customWidth="1"/>
    <col min="14329" max="14329" width="9.6640625" style="20" customWidth="1"/>
    <col min="14330" max="14330" width="14.44140625" style="20" customWidth="1"/>
    <col min="14331" max="14331" width="7.33203125" style="20" customWidth="1"/>
    <col min="14332" max="14332" width="5.5546875" style="20" customWidth="1"/>
    <col min="14333" max="14333" width="9" style="20" customWidth="1"/>
    <col min="14334" max="14335" width="9.6640625" style="20" customWidth="1"/>
    <col min="14336" max="14336" width="11.33203125" style="20" customWidth="1"/>
    <col min="14337" max="14337" width="2.6640625" style="20" customWidth="1"/>
    <col min="14338" max="14338" width="3.5546875" style="20" customWidth="1"/>
    <col min="14339" max="14583" width="9.33203125" style="20"/>
    <col min="14584" max="14584" width="8.6640625" style="20" customWidth="1"/>
    <col min="14585" max="14585" width="9.6640625" style="20" customWidth="1"/>
    <col min="14586" max="14586" width="14.44140625" style="20" customWidth="1"/>
    <col min="14587" max="14587" width="7.33203125" style="20" customWidth="1"/>
    <col min="14588" max="14588" width="5.5546875" style="20" customWidth="1"/>
    <col min="14589" max="14589" width="9" style="20" customWidth="1"/>
    <col min="14590" max="14591" width="9.6640625" style="20" customWidth="1"/>
    <col min="14592" max="14592" width="11.33203125" style="20" customWidth="1"/>
    <col min="14593" max="14593" width="2.6640625" style="20" customWidth="1"/>
    <col min="14594" max="14594" width="3.5546875" style="20" customWidth="1"/>
    <col min="14595" max="14839" width="9.33203125" style="20"/>
    <col min="14840" max="14840" width="8.6640625" style="20" customWidth="1"/>
    <col min="14841" max="14841" width="9.6640625" style="20" customWidth="1"/>
    <col min="14842" max="14842" width="14.44140625" style="20" customWidth="1"/>
    <col min="14843" max="14843" width="7.33203125" style="20" customWidth="1"/>
    <col min="14844" max="14844" width="5.5546875" style="20" customWidth="1"/>
    <col min="14845" max="14845" width="9" style="20" customWidth="1"/>
    <col min="14846" max="14847" width="9.6640625" style="20" customWidth="1"/>
    <col min="14848" max="14848" width="11.33203125" style="20" customWidth="1"/>
    <col min="14849" max="14849" width="2.6640625" style="20" customWidth="1"/>
    <col min="14850" max="14850" width="3.5546875" style="20" customWidth="1"/>
    <col min="14851" max="15095" width="9.33203125" style="20"/>
    <col min="15096" max="15096" width="8.6640625" style="20" customWidth="1"/>
    <col min="15097" max="15097" width="9.6640625" style="20" customWidth="1"/>
    <col min="15098" max="15098" width="14.44140625" style="20" customWidth="1"/>
    <col min="15099" max="15099" width="7.33203125" style="20" customWidth="1"/>
    <col min="15100" max="15100" width="5.5546875" style="20" customWidth="1"/>
    <col min="15101" max="15101" width="9" style="20" customWidth="1"/>
    <col min="15102" max="15103" width="9.6640625" style="20" customWidth="1"/>
    <col min="15104" max="15104" width="11.33203125" style="20" customWidth="1"/>
    <col min="15105" max="15105" width="2.6640625" style="20" customWidth="1"/>
    <col min="15106" max="15106" width="3.5546875" style="20" customWidth="1"/>
    <col min="15107" max="15351" width="9.33203125" style="20"/>
    <col min="15352" max="15352" width="8.6640625" style="20" customWidth="1"/>
    <col min="15353" max="15353" width="9.6640625" style="20" customWidth="1"/>
    <col min="15354" max="15354" width="14.44140625" style="20" customWidth="1"/>
    <col min="15355" max="15355" width="7.33203125" style="20" customWidth="1"/>
    <col min="15356" max="15356" width="5.5546875" style="20" customWidth="1"/>
    <col min="15357" max="15357" width="9" style="20" customWidth="1"/>
    <col min="15358" max="15359" width="9.6640625" style="20" customWidth="1"/>
    <col min="15360" max="15360" width="11.33203125" style="20" customWidth="1"/>
    <col min="15361" max="15361" width="2.6640625" style="20" customWidth="1"/>
    <col min="15362" max="15362" width="3.5546875" style="20" customWidth="1"/>
    <col min="15363" max="15607" width="9.33203125" style="20"/>
    <col min="15608" max="15608" width="8.6640625" style="20" customWidth="1"/>
    <col min="15609" max="15609" width="9.6640625" style="20" customWidth="1"/>
    <col min="15610" max="15610" width="14.44140625" style="20" customWidth="1"/>
    <col min="15611" max="15611" width="7.33203125" style="20" customWidth="1"/>
    <col min="15612" max="15612" width="5.5546875" style="20" customWidth="1"/>
    <col min="15613" max="15613" width="9" style="20" customWidth="1"/>
    <col min="15614" max="15615" width="9.6640625" style="20" customWidth="1"/>
    <col min="15616" max="15616" width="11.33203125" style="20" customWidth="1"/>
    <col min="15617" max="15617" width="2.6640625" style="20" customWidth="1"/>
    <col min="15618" max="15618" width="3.5546875" style="20" customWidth="1"/>
    <col min="15619" max="15863" width="9.33203125" style="20"/>
    <col min="15864" max="15864" width="8.6640625" style="20" customWidth="1"/>
    <col min="15865" max="15865" width="9.6640625" style="20" customWidth="1"/>
    <col min="15866" max="15866" width="14.44140625" style="20" customWidth="1"/>
    <col min="15867" max="15867" width="7.33203125" style="20" customWidth="1"/>
    <col min="15868" max="15868" width="5.5546875" style="20" customWidth="1"/>
    <col min="15869" max="15869" width="9" style="20" customWidth="1"/>
    <col min="15870" max="15871" width="9.6640625" style="20" customWidth="1"/>
    <col min="15872" max="15872" width="11.33203125" style="20" customWidth="1"/>
    <col min="15873" max="15873" width="2.6640625" style="20" customWidth="1"/>
    <col min="15874" max="15874" width="3.5546875" style="20" customWidth="1"/>
    <col min="15875" max="16119" width="9.33203125" style="20"/>
    <col min="16120" max="16120" width="8.6640625" style="20" customWidth="1"/>
    <col min="16121" max="16121" width="9.6640625" style="20" customWidth="1"/>
    <col min="16122" max="16122" width="14.44140625" style="20" customWidth="1"/>
    <col min="16123" max="16123" width="7.33203125" style="20" customWidth="1"/>
    <col min="16124" max="16124" width="5.5546875" style="20" customWidth="1"/>
    <col min="16125" max="16125" width="9" style="20" customWidth="1"/>
    <col min="16126" max="16127" width="9.6640625" style="20" customWidth="1"/>
    <col min="16128" max="16128" width="11.33203125" style="20" customWidth="1"/>
    <col min="16129" max="16129" width="2.6640625" style="20" customWidth="1"/>
    <col min="16130" max="16130" width="3.5546875" style="20" customWidth="1"/>
    <col min="16131" max="16384" width="9.33203125" style="20"/>
  </cols>
  <sheetData>
    <row r="1" spans="1:8" ht="46.5" customHeight="1" x14ac:dyDescent="0.3">
      <c r="A1" s="178" t="s">
        <v>260</v>
      </c>
      <c r="B1" s="178"/>
      <c r="C1" s="178"/>
      <c r="D1" s="178"/>
      <c r="E1" s="178"/>
      <c r="F1" s="178"/>
      <c r="G1" s="178"/>
      <c r="H1" s="178"/>
    </row>
    <row r="2" spans="1:8" ht="16.5" customHeight="1" x14ac:dyDescent="0.3">
      <c r="A2" s="114" t="s">
        <v>0</v>
      </c>
      <c r="B2" s="114"/>
      <c r="C2" s="114"/>
      <c r="D2" s="114"/>
      <c r="E2" s="114"/>
      <c r="F2" s="114"/>
      <c r="G2" s="114"/>
      <c r="H2" s="114"/>
    </row>
    <row r="3" spans="1:8" x14ac:dyDescent="0.3">
      <c r="A3" s="80" t="s">
        <v>1</v>
      </c>
      <c r="B3" s="80"/>
      <c r="C3" s="80"/>
      <c r="D3" s="80"/>
      <c r="E3" s="80" t="str">
        <f ca="1">TEXT(TODAY(),"DD/MM/YYYY")</f>
        <v>30/09/2025</v>
      </c>
      <c r="F3" s="80"/>
      <c r="G3" s="80"/>
      <c r="H3" s="80"/>
    </row>
    <row r="4" spans="1:8" ht="15" customHeight="1" x14ac:dyDescent="0.3">
      <c r="A4" s="80" t="s">
        <v>2</v>
      </c>
      <c r="B4" s="80"/>
      <c r="C4" s="80"/>
      <c r="D4" s="80"/>
      <c r="E4" s="80" t="s">
        <v>161</v>
      </c>
      <c r="F4" s="80"/>
      <c r="G4" s="80"/>
      <c r="H4" s="80"/>
    </row>
    <row r="5" spans="1:8" x14ac:dyDescent="0.3">
      <c r="A5" s="80" t="s">
        <v>3</v>
      </c>
      <c r="B5" s="80"/>
      <c r="C5" s="80"/>
      <c r="D5" s="80"/>
      <c r="E5" s="179">
        <v>45930</v>
      </c>
      <c r="F5" s="180"/>
      <c r="G5" s="180"/>
      <c r="H5" s="180"/>
    </row>
    <row r="6" spans="1:8" ht="16.5" customHeight="1" x14ac:dyDescent="0.3">
      <c r="A6" s="80" t="s">
        <v>4</v>
      </c>
      <c r="B6" s="80"/>
      <c r="C6" s="80"/>
      <c r="D6" s="80"/>
      <c r="E6" s="80" t="s">
        <v>162</v>
      </c>
      <c r="F6" s="80"/>
      <c r="G6" s="80"/>
      <c r="H6" s="80"/>
    </row>
    <row r="7" spans="1:8" ht="15" customHeight="1" x14ac:dyDescent="0.3">
      <c r="A7" s="80" t="s">
        <v>5</v>
      </c>
      <c r="B7" s="80"/>
      <c r="C7" s="80"/>
      <c r="D7" s="80"/>
      <c r="E7" s="80" t="str">
        <f>E6</f>
        <v>Macrotech Developers Limited</v>
      </c>
      <c r="F7" s="80"/>
      <c r="G7" s="80"/>
      <c r="H7" s="80"/>
    </row>
    <row r="8" spans="1:8" x14ac:dyDescent="0.3">
      <c r="A8" s="80" t="s">
        <v>6</v>
      </c>
      <c r="B8" s="80"/>
      <c r="C8" s="80"/>
      <c r="D8" s="80"/>
      <c r="E8" s="94" t="s">
        <v>193</v>
      </c>
      <c r="F8" s="94"/>
      <c r="G8" s="94"/>
      <c r="H8" s="94"/>
    </row>
    <row r="9" spans="1:8" x14ac:dyDescent="0.3">
      <c r="A9" s="80" t="s">
        <v>158</v>
      </c>
      <c r="B9" s="80"/>
      <c r="C9" s="80"/>
      <c r="D9" s="80"/>
      <c r="E9" s="80" t="s">
        <v>194</v>
      </c>
      <c r="F9" s="80"/>
      <c r="G9" s="80"/>
      <c r="H9" s="80"/>
    </row>
    <row r="10" spans="1:8" hidden="1" x14ac:dyDescent="0.3">
      <c r="A10" s="80" t="s">
        <v>159</v>
      </c>
      <c r="B10" s="80"/>
      <c r="C10" s="80"/>
      <c r="D10" s="80"/>
      <c r="E10" s="80" t="s">
        <v>242</v>
      </c>
      <c r="F10" s="80"/>
      <c r="G10" s="80"/>
      <c r="H10" s="80"/>
    </row>
    <row r="11" spans="1:8" ht="15.75" customHeight="1" x14ac:dyDescent="0.3">
      <c r="A11" s="195" t="s">
        <v>7</v>
      </c>
      <c r="B11" s="196"/>
      <c r="C11" s="196"/>
      <c r="D11" s="197"/>
      <c r="E11" s="193" t="s">
        <v>244</v>
      </c>
      <c r="F11" s="193"/>
      <c r="G11" s="193" t="s">
        <v>255</v>
      </c>
      <c r="H11" s="193"/>
    </row>
    <row r="12" spans="1:8" ht="15.75" customHeight="1" x14ac:dyDescent="0.3">
      <c r="A12" s="198"/>
      <c r="B12" s="199"/>
      <c r="C12" s="199"/>
      <c r="D12" s="200"/>
      <c r="E12" s="194" t="s">
        <v>169</v>
      </c>
      <c r="F12" s="193"/>
      <c r="G12" s="194" t="s">
        <v>202</v>
      </c>
      <c r="H12" s="193"/>
    </row>
    <row r="13" spans="1:8" ht="84" customHeight="1" x14ac:dyDescent="0.3">
      <c r="A13" s="201"/>
      <c r="B13" s="202"/>
      <c r="C13" s="202"/>
      <c r="D13" s="203"/>
      <c r="E13" s="102" t="s">
        <v>247</v>
      </c>
      <c r="F13" s="102" t="s">
        <v>202</v>
      </c>
      <c r="G13" s="102" t="s">
        <v>252</v>
      </c>
      <c r="H13" s="102"/>
    </row>
    <row r="14" spans="1:8" x14ac:dyDescent="0.3">
      <c r="A14" s="115" t="s">
        <v>8</v>
      </c>
      <c r="B14" s="115"/>
      <c r="C14" s="115"/>
      <c r="D14" s="115"/>
      <c r="E14" s="79" t="s">
        <v>170</v>
      </c>
      <c r="F14" s="204"/>
      <c r="G14" s="204"/>
      <c r="H14" s="204"/>
    </row>
    <row r="15" spans="1:8" x14ac:dyDescent="0.3">
      <c r="A15" s="181" t="s">
        <v>195</v>
      </c>
      <c r="B15" s="182"/>
      <c r="C15" s="182"/>
      <c r="D15" s="183"/>
      <c r="E15" s="188" t="s">
        <v>245</v>
      </c>
      <c r="F15" s="189"/>
      <c r="G15" s="82" t="s">
        <v>164</v>
      </c>
      <c r="H15" s="187"/>
    </row>
    <row r="16" spans="1:8" ht="33" customHeight="1" x14ac:dyDescent="0.3">
      <c r="A16" s="184"/>
      <c r="B16" s="185"/>
      <c r="C16" s="185"/>
      <c r="D16" s="186"/>
      <c r="E16" s="190" t="s">
        <v>246</v>
      </c>
      <c r="F16" s="191"/>
      <c r="G16" s="84" t="s">
        <v>197</v>
      </c>
      <c r="H16" s="192"/>
    </row>
    <row r="17" spans="1:8" ht="48" customHeight="1" x14ac:dyDescent="0.3">
      <c r="A17" s="122" t="s">
        <v>9</v>
      </c>
      <c r="B17" s="122"/>
      <c r="C17" s="122" t="str">
        <f>CONCATENATE((IF(OR(E8="",E8="NA"),"",E8)),", ",(IF(OR(A18="",A18="NA"),"",A18)),".",(IF(OR(C18="",C18="NA"),"",C18)),", near ",(IF(OR(C23="",C23="NA"),"",C23)),", ",(IF(OR(C20="",C20="NA"),"",C20)),", ",(IF(OR(C19="",C19="NA"),"",C19)),", ",(IF(OR(G20="",G20="NA"),"",G20)),", ",(IF(OR(C21="",C21="NA"),"",C21)),", ",(IF(OR(C22="",C22="NA"),"",C22)),", ",(IF(OR(G21="",G21="NA"),"",G21))," - ",(IF(OR(G22="",G22="NA"),"",G22)),".")</f>
        <v>Lodha Vikhroli (Tower C1 &amp; C3), CTS No.67(Pt), 67A, 67/1 to 5, 67/9 to 18, 67/22 to 25, 67/29 to 39 &amp; 67/41, near Lodha Signet, L.B.S. Road, Harishchandra Compound, Vikhroli, Vikhroli (W), Kurla, Mumbai - 400079.</v>
      </c>
      <c r="D17" s="122"/>
      <c r="E17" s="122"/>
      <c r="F17" s="122"/>
      <c r="G17" s="122"/>
      <c r="H17" s="122"/>
    </row>
    <row r="18" spans="1:8" x14ac:dyDescent="0.3">
      <c r="A18" s="79" t="s">
        <v>173</v>
      </c>
      <c r="B18" s="79"/>
      <c r="C18" s="79" t="s">
        <v>198</v>
      </c>
      <c r="D18" s="79"/>
      <c r="E18" s="79"/>
      <c r="F18" s="79"/>
      <c r="G18" s="79"/>
      <c r="H18" s="79"/>
    </row>
    <row r="19" spans="1:8" ht="15.75" customHeight="1" x14ac:dyDescent="0.3">
      <c r="A19" s="79" t="s">
        <v>157</v>
      </c>
      <c r="B19" s="79"/>
      <c r="C19" s="79" t="s">
        <v>200</v>
      </c>
      <c r="D19" s="79"/>
      <c r="E19" s="79"/>
      <c r="F19" s="79"/>
      <c r="G19" s="79"/>
      <c r="H19" s="79"/>
    </row>
    <row r="20" spans="1:8" ht="15.75" customHeight="1" x14ac:dyDescent="0.3">
      <c r="A20" s="122" t="s">
        <v>10</v>
      </c>
      <c r="B20" s="122"/>
      <c r="C20" s="80" t="s">
        <v>199</v>
      </c>
      <c r="D20" s="80"/>
      <c r="E20" s="122" t="s">
        <v>71</v>
      </c>
      <c r="F20" s="122"/>
      <c r="G20" s="79" t="s">
        <v>174</v>
      </c>
      <c r="H20" s="79"/>
    </row>
    <row r="21" spans="1:8" x14ac:dyDescent="0.3">
      <c r="A21" s="115" t="s">
        <v>12</v>
      </c>
      <c r="B21" s="115"/>
      <c r="C21" s="79" t="s">
        <v>176</v>
      </c>
      <c r="D21" s="79"/>
      <c r="E21" s="122" t="s">
        <v>11</v>
      </c>
      <c r="F21" s="122"/>
      <c r="G21" s="123" t="s">
        <v>175</v>
      </c>
      <c r="H21" s="123"/>
    </row>
    <row r="22" spans="1:8" x14ac:dyDescent="0.3">
      <c r="A22" s="115" t="s">
        <v>72</v>
      </c>
      <c r="B22" s="115"/>
      <c r="C22" s="79" t="s">
        <v>177</v>
      </c>
      <c r="D22" s="79"/>
      <c r="E22" s="122" t="s">
        <v>13</v>
      </c>
      <c r="F22" s="122"/>
      <c r="G22" s="79">
        <v>400079</v>
      </c>
      <c r="H22" s="79"/>
    </row>
    <row r="23" spans="1:8" ht="32.25" customHeight="1" x14ac:dyDescent="0.3">
      <c r="A23" s="115" t="s">
        <v>117</v>
      </c>
      <c r="B23" s="115"/>
      <c r="C23" s="79" t="s">
        <v>166</v>
      </c>
      <c r="D23" s="79"/>
      <c r="E23" s="122" t="s">
        <v>14</v>
      </c>
      <c r="F23" s="122"/>
      <c r="G23" s="79" t="s">
        <v>168</v>
      </c>
      <c r="H23" s="79"/>
    </row>
    <row r="24" spans="1:8" ht="15" customHeight="1" x14ac:dyDescent="0.3">
      <c r="A24" s="122" t="s">
        <v>74</v>
      </c>
      <c r="B24" s="122"/>
      <c r="C24" s="122"/>
      <c r="D24" s="122"/>
      <c r="E24" s="80" t="s">
        <v>15</v>
      </c>
      <c r="F24" s="80"/>
      <c r="G24" s="80"/>
      <c r="H24" s="80"/>
    </row>
    <row r="25" spans="1:8" ht="18.75" customHeight="1" x14ac:dyDescent="0.3">
      <c r="A25" s="122"/>
      <c r="B25" s="122"/>
      <c r="C25" s="122"/>
      <c r="D25" s="122"/>
      <c r="E25" s="80"/>
      <c r="F25" s="80"/>
      <c r="G25" s="80"/>
      <c r="H25" s="80"/>
    </row>
    <row r="26" spans="1:8" ht="15" customHeight="1" x14ac:dyDescent="0.3">
      <c r="A26" s="122" t="s">
        <v>16</v>
      </c>
      <c r="B26" s="122"/>
      <c r="C26" s="122"/>
      <c r="D26" s="122"/>
      <c r="E26" s="79" t="s">
        <v>17</v>
      </c>
      <c r="F26" s="79"/>
      <c r="G26" s="79"/>
      <c r="H26" s="79"/>
    </row>
    <row r="27" spans="1:8" ht="15" customHeight="1" x14ac:dyDescent="0.3">
      <c r="A27" s="115" t="s">
        <v>18</v>
      </c>
      <c r="B27" s="115"/>
      <c r="C27" s="115"/>
      <c r="D27" s="115"/>
      <c r="E27" s="79" t="str">
        <f>IF(AND(G21="Mumbai"),"Upper Class","Middle Class")</f>
        <v>Upper Class</v>
      </c>
      <c r="F27" s="79"/>
      <c r="G27" s="79"/>
      <c r="H27" s="79"/>
    </row>
    <row r="28" spans="1:8" x14ac:dyDescent="0.3">
      <c r="A28" s="115" t="s">
        <v>19</v>
      </c>
      <c r="B28" s="115"/>
      <c r="C28" s="115"/>
      <c r="D28" s="115"/>
      <c r="E28" s="79" t="s">
        <v>20</v>
      </c>
      <c r="F28" s="79"/>
      <c r="G28" s="79"/>
      <c r="H28" s="79"/>
    </row>
    <row r="29" spans="1:8" ht="15.75" customHeight="1" x14ac:dyDescent="0.3">
      <c r="A29" s="115" t="s">
        <v>21</v>
      </c>
      <c r="B29" s="115"/>
      <c r="C29" s="115"/>
      <c r="D29" s="115"/>
      <c r="E29" s="79" t="str">
        <f>IF(AND(G21="Mumbai"),"Developed","Developing")</f>
        <v>Developed</v>
      </c>
      <c r="F29" s="79"/>
      <c r="G29" s="79"/>
      <c r="H29" s="79"/>
    </row>
    <row r="30" spans="1:8" x14ac:dyDescent="0.3">
      <c r="A30" s="115" t="s">
        <v>22</v>
      </c>
      <c r="B30" s="115"/>
      <c r="C30" s="115"/>
      <c r="D30" s="115"/>
      <c r="E30" s="79" t="s">
        <v>23</v>
      </c>
      <c r="F30" s="79"/>
      <c r="G30" s="79"/>
      <c r="H30" s="79"/>
    </row>
    <row r="31" spans="1:8" ht="15.75" customHeight="1" x14ac:dyDescent="0.3">
      <c r="A31" s="115" t="s">
        <v>78</v>
      </c>
      <c r="B31" s="115"/>
      <c r="C31" s="115"/>
      <c r="D31" s="115"/>
      <c r="E31" s="79" t="s">
        <v>79</v>
      </c>
      <c r="F31" s="79"/>
      <c r="G31" s="79"/>
      <c r="H31" s="79"/>
    </row>
    <row r="32" spans="1:8" ht="15" customHeight="1" x14ac:dyDescent="0.3">
      <c r="A32" s="115" t="s">
        <v>31</v>
      </c>
      <c r="B32" s="115"/>
      <c r="C32" s="115"/>
      <c r="D32" s="115"/>
      <c r="E32" s="7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2" s="79"/>
      <c r="G32" s="79"/>
      <c r="H32" s="79"/>
    </row>
    <row r="33" spans="1:12" ht="15.75" customHeight="1" x14ac:dyDescent="0.3">
      <c r="A33" s="115" t="s">
        <v>89</v>
      </c>
      <c r="B33" s="115"/>
      <c r="C33" s="115"/>
      <c r="D33" s="115"/>
      <c r="E33" s="79" t="s">
        <v>32</v>
      </c>
      <c r="F33" s="79"/>
      <c r="G33" s="79"/>
      <c r="H33" s="79"/>
    </row>
    <row r="34" spans="1:12" s="21" customFormat="1" x14ac:dyDescent="0.3">
      <c r="A34" s="209" t="s">
        <v>90</v>
      </c>
      <c r="B34" s="209"/>
      <c r="C34" s="207" t="s">
        <v>203</v>
      </c>
      <c r="D34" s="207"/>
      <c r="E34" s="207"/>
      <c r="F34" s="207" t="s">
        <v>29</v>
      </c>
      <c r="G34" s="207"/>
      <c r="H34" s="207"/>
    </row>
    <row r="35" spans="1:12" s="21" customFormat="1" ht="45" customHeight="1" x14ac:dyDescent="0.3">
      <c r="A35" s="208" t="s">
        <v>24</v>
      </c>
      <c r="B35" s="208" t="s">
        <v>28</v>
      </c>
      <c r="C35" s="193" t="s">
        <v>209</v>
      </c>
      <c r="D35" s="193"/>
      <c r="E35" s="193"/>
      <c r="F35" s="208" t="s">
        <v>167</v>
      </c>
      <c r="G35" s="208"/>
      <c r="H35" s="208"/>
    </row>
    <row r="36" spans="1:12" x14ac:dyDescent="0.3">
      <c r="A36" s="205" t="s">
        <v>25</v>
      </c>
      <c r="B36" s="205" t="s">
        <v>28</v>
      </c>
      <c r="C36" s="206" t="s">
        <v>206</v>
      </c>
      <c r="D36" s="206"/>
      <c r="E36" s="206"/>
      <c r="F36" s="206" t="s">
        <v>199</v>
      </c>
      <c r="G36" s="206"/>
      <c r="H36" s="206"/>
    </row>
    <row r="37" spans="1:12" s="21" customFormat="1" x14ac:dyDescent="0.3">
      <c r="A37" s="205" t="s">
        <v>27</v>
      </c>
      <c r="B37" s="205" t="s">
        <v>28</v>
      </c>
      <c r="C37" s="206" t="s">
        <v>207</v>
      </c>
      <c r="D37" s="206"/>
      <c r="E37" s="206"/>
      <c r="F37" s="206" t="s">
        <v>186</v>
      </c>
      <c r="G37" s="206"/>
      <c r="H37" s="206"/>
    </row>
    <row r="38" spans="1:12" x14ac:dyDescent="0.3">
      <c r="A38" s="205" t="s">
        <v>26</v>
      </c>
      <c r="B38" s="205" t="s">
        <v>28</v>
      </c>
      <c r="C38" s="206" t="s">
        <v>208</v>
      </c>
      <c r="D38" s="206"/>
      <c r="E38" s="206"/>
      <c r="F38" s="206" t="s">
        <v>165</v>
      </c>
      <c r="G38" s="206"/>
      <c r="H38" s="206"/>
    </row>
    <row r="39" spans="1:12" x14ac:dyDescent="0.3">
      <c r="A39" s="115" t="s">
        <v>30</v>
      </c>
      <c r="B39" s="115"/>
      <c r="C39" s="115"/>
      <c r="D39" s="115"/>
      <c r="E39" s="115"/>
      <c r="F39" s="115"/>
      <c r="G39" s="115"/>
      <c r="H39" s="115"/>
    </row>
    <row r="40" spans="1:12" ht="15.75" customHeight="1" x14ac:dyDescent="0.3">
      <c r="A40" s="159" t="s">
        <v>201</v>
      </c>
      <c r="B40" s="159"/>
      <c r="C40" s="124" t="s">
        <v>204</v>
      </c>
      <c r="D40" s="125"/>
      <c r="E40" s="125"/>
      <c r="F40" s="125"/>
      <c r="G40" s="125"/>
      <c r="H40" s="126"/>
    </row>
    <row r="41" spans="1:12" x14ac:dyDescent="0.3">
      <c r="A41" s="159" t="s">
        <v>156</v>
      </c>
      <c r="B41" s="159"/>
      <c r="C41" s="211" t="s">
        <v>205</v>
      </c>
      <c r="D41" s="212"/>
      <c r="E41" s="212"/>
      <c r="F41" s="212"/>
      <c r="G41" s="212"/>
      <c r="H41" s="212"/>
    </row>
    <row r="42" spans="1:12" x14ac:dyDescent="0.3">
      <c r="A42" s="159" t="s">
        <v>33</v>
      </c>
      <c r="B42" s="159"/>
      <c r="C42" s="159"/>
      <c r="D42" s="159"/>
      <c r="E42" s="159"/>
      <c r="F42" s="159"/>
      <c r="G42" s="159"/>
      <c r="H42" s="159"/>
    </row>
    <row r="43" spans="1:12" x14ac:dyDescent="0.3">
      <c r="A43" s="115" t="s">
        <v>34</v>
      </c>
      <c r="B43" s="115"/>
      <c r="C43" s="115"/>
      <c r="D43" s="115"/>
      <c r="E43" s="135">
        <v>32561.78</v>
      </c>
      <c r="F43" s="135"/>
      <c r="G43" s="135"/>
      <c r="H43" s="135"/>
      <c r="J43" s="48">
        <f>40077.64/E43</f>
        <v>1.2308184626270431</v>
      </c>
    </row>
    <row r="44" spans="1:12" x14ac:dyDescent="0.3">
      <c r="A44" s="115" t="s">
        <v>35</v>
      </c>
      <c r="B44" s="115"/>
      <c r="C44" s="115"/>
      <c r="D44" s="115"/>
      <c r="E44" s="121">
        <v>4</v>
      </c>
      <c r="F44" s="121"/>
      <c r="G44" s="121"/>
      <c r="H44" s="121"/>
    </row>
    <row r="45" spans="1:12" x14ac:dyDescent="0.3">
      <c r="A45" s="115" t="s">
        <v>36</v>
      </c>
      <c r="B45" s="115"/>
      <c r="C45" s="115"/>
      <c r="D45" s="115"/>
      <c r="E45" s="121">
        <f>E48/E43-E44</f>
        <v>1.396752573108718</v>
      </c>
      <c r="F45" s="121"/>
      <c r="G45" s="121"/>
      <c r="H45" s="121"/>
    </row>
    <row r="46" spans="1:12" x14ac:dyDescent="0.3">
      <c r="A46" s="115" t="s">
        <v>37</v>
      </c>
      <c r="B46" s="115"/>
      <c r="C46" s="115"/>
      <c r="D46" s="115"/>
      <c r="E46" s="121">
        <f>E44+E45</f>
        <v>5.396752573108718</v>
      </c>
      <c r="F46" s="121"/>
      <c r="G46" s="121"/>
      <c r="H46" s="121"/>
    </row>
    <row r="47" spans="1:12" hidden="1" x14ac:dyDescent="0.3">
      <c r="A47" s="115" t="s">
        <v>88</v>
      </c>
      <c r="B47" s="115"/>
      <c r="C47" s="115"/>
      <c r="D47" s="115"/>
      <c r="E47" s="81">
        <v>48829.69</v>
      </c>
      <c r="F47" s="81"/>
      <c r="G47" s="81"/>
      <c r="H47" s="81"/>
    </row>
    <row r="48" spans="1:12" x14ac:dyDescent="0.3">
      <c r="A48" s="115" t="s">
        <v>88</v>
      </c>
      <c r="B48" s="115"/>
      <c r="C48" s="115"/>
      <c r="D48" s="115"/>
      <c r="E48" s="81">
        <v>175727.87</v>
      </c>
      <c r="F48" s="81"/>
      <c r="G48" s="81"/>
      <c r="H48" s="81"/>
      <c r="I48" s="81">
        <v>143872.64000000001</v>
      </c>
      <c r="J48" s="81"/>
      <c r="K48" s="81"/>
      <c r="L48" s="81"/>
    </row>
    <row r="49" spans="1:13" x14ac:dyDescent="0.3">
      <c r="A49" s="80" t="s">
        <v>38</v>
      </c>
      <c r="B49" s="80"/>
      <c r="C49" s="80"/>
      <c r="D49" s="80"/>
      <c r="E49" s="80" t="s">
        <v>210</v>
      </c>
      <c r="F49" s="80"/>
      <c r="G49" s="80"/>
      <c r="H49" s="80"/>
    </row>
    <row r="50" spans="1:13" x14ac:dyDescent="0.3">
      <c r="A50" s="159" t="s">
        <v>39</v>
      </c>
      <c r="B50" s="159"/>
      <c r="C50" s="159"/>
      <c r="D50" s="159"/>
      <c r="E50" s="159"/>
      <c r="F50" s="159"/>
      <c r="G50" s="159"/>
      <c r="H50" s="159"/>
    </row>
    <row r="51" spans="1:13" ht="33.75" customHeight="1" x14ac:dyDescent="0.3">
      <c r="A51" s="74" t="s">
        <v>145</v>
      </c>
      <c r="B51" s="76"/>
      <c r="C51" s="132" t="s">
        <v>171</v>
      </c>
      <c r="D51" s="133"/>
      <c r="E51" s="133"/>
      <c r="F51" s="133"/>
      <c r="G51" s="133"/>
      <c r="H51" s="134"/>
    </row>
    <row r="52" spans="1:13" ht="31.5" customHeight="1" x14ac:dyDescent="0.3">
      <c r="A52" s="74" t="s">
        <v>40</v>
      </c>
      <c r="B52" s="76"/>
      <c r="C52" s="74" t="s">
        <v>215</v>
      </c>
      <c r="D52" s="75"/>
      <c r="E52" s="76"/>
      <c r="F52" s="18" t="s">
        <v>41</v>
      </c>
      <c r="G52" s="77">
        <v>45910</v>
      </c>
      <c r="H52" s="78"/>
      <c r="I52" s="74" t="s">
        <v>215</v>
      </c>
      <c r="J52" s="75"/>
      <c r="K52" s="76"/>
      <c r="L52" s="77">
        <v>45240</v>
      </c>
      <c r="M52" s="78"/>
    </row>
    <row r="53" spans="1:13" ht="31.5" customHeight="1" x14ac:dyDescent="0.3">
      <c r="A53" s="74" t="s">
        <v>229</v>
      </c>
      <c r="B53" s="76"/>
      <c r="C53" s="74" t="s">
        <v>190</v>
      </c>
      <c r="D53" s="75"/>
      <c r="E53" s="76"/>
      <c r="F53" s="18" t="s">
        <v>41</v>
      </c>
      <c r="G53" s="77">
        <v>45910</v>
      </c>
      <c r="H53" s="78"/>
      <c r="I53" s="74" t="s">
        <v>190</v>
      </c>
      <c r="J53" s="75"/>
      <c r="K53" s="76"/>
      <c r="L53" s="77">
        <v>45000</v>
      </c>
      <c r="M53" s="78"/>
    </row>
    <row r="54" spans="1:13" s="22" customFormat="1" ht="35.25" customHeight="1" x14ac:dyDescent="0.3">
      <c r="A54" s="74" t="s">
        <v>230</v>
      </c>
      <c r="B54" s="76"/>
      <c r="C54" s="74" t="str">
        <f>C52</f>
        <v>SRA/ ENG/N/PVT/0106/20220718/ AP/C-2</v>
      </c>
      <c r="D54" s="75"/>
      <c r="E54" s="76"/>
      <c r="F54" s="18" t="s">
        <v>41</v>
      </c>
      <c r="G54" s="217">
        <v>45240</v>
      </c>
      <c r="H54" s="218"/>
    </row>
    <row r="55" spans="1:13" s="22" customFormat="1" x14ac:dyDescent="0.3">
      <c r="A55" s="213" t="s">
        <v>231</v>
      </c>
      <c r="B55" s="214"/>
      <c r="C55" s="74" t="s">
        <v>172</v>
      </c>
      <c r="D55" s="75"/>
      <c r="E55" s="76"/>
      <c r="F55" s="18" t="s">
        <v>41</v>
      </c>
      <c r="G55" s="77">
        <v>45217</v>
      </c>
      <c r="H55" s="78"/>
    </row>
    <row r="56" spans="1:13" ht="38.25" customHeight="1" x14ac:dyDescent="0.3">
      <c r="A56" s="215"/>
      <c r="B56" s="216"/>
      <c r="C56" s="74" t="s">
        <v>257</v>
      </c>
      <c r="D56" s="75"/>
      <c r="E56" s="75"/>
      <c r="F56" s="75"/>
      <c r="G56" s="75"/>
      <c r="H56" s="76"/>
    </row>
    <row r="57" spans="1:13" x14ac:dyDescent="0.3">
      <c r="A57" s="213" t="s">
        <v>234</v>
      </c>
      <c r="B57" s="214"/>
      <c r="C57" s="74" t="s">
        <v>262</v>
      </c>
      <c r="D57" s="75"/>
      <c r="E57" s="76"/>
      <c r="F57" s="18" t="s">
        <v>41</v>
      </c>
      <c r="G57" s="77">
        <v>45288</v>
      </c>
      <c r="H57" s="78"/>
    </row>
    <row r="58" spans="1:13" ht="54.75" customHeight="1" x14ac:dyDescent="0.3">
      <c r="A58" s="215"/>
      <c r="B58" s="216"/>
      <c r="C58" s="74" t="s">
        <v>232</v>
      </c>
      <c r="D58" s="75"/>
      <c r="E58" s="75"/>
      <c r="F58" s="75"/>
      <c r="G58" s="75"/>
      <c r="H58" s="76"/>
    </row>
    <row r="59" spans="1:13" ht="32.25" customHeight="1" x14ac:dyDescent="0.3">
      <c r="A59" s="219" t="s">
        <v>42</v>
      </c>
      <c r="B59" s="220"/>
      <c r="C59" s="219" t="s">
        <v>102</v>
      </c>
      <c r="D59" s="221"/>
      <c r="E59" s="220"/>
      <c r="F59" s="42" t="s">
        <v>41</v>
      </c>
      <c r="G59" s="127" t="s">
        <v>28</v>
      </c>
      <c r="H59" s="128"/>
    </row>
    <row r="60" spans="1:13" x14ac:dyDescent="0.3">
      <c r="A60" s="155" t="s">
        <v>44</v>
      </c>
      <c r="B60" s="155"/>
      <c r="C60" s="155"/>
      <c r="D60" s="155"/>
      <c r="E60" s="155"/>
      <c r="F60" s="155"/>
      <c r="G60" s="155"/>
      <c r="H60" s="155"/>
      <c r="I60" s="23"/>
    </row>
    <row r="61" spans="1:13" ht="33" customHeight="1" x14ac:dyDescent="0.3">
      <c r="A61" s="122" t="s">
        <v>212</v>
      </c>
      <c r="B61" s="122"/>
      <c r="C61" s="122"/>
      <c r="D61" s="81">
        <v>22834.58</v>
      </c>
      <c r="E61" s="115"/>
      <c r="F61" s="115"/>
      <c r="G61" s="115"/>
      <c r="H61" s="115"/>
    </row>
    <row r="62" spans="1:13" ht="31.5" customHeight="1" x14ac:dyDescent="0.3">
      <c r="A62" s="122" t="s">
        <v>211</v>
      </c>
      <c r="B62" s="122"/>
      <c r="C62" s="122"/>
      <c r="D62" s="115">
        <v>19761.64</v>
      </c>
      <c r="E62" s="115"/>
      <c r="F62" s="115"/>
      <c r="G62" s="115"/>
      <c r="H62" s="115"/>
    </row>
    <row r="63" spans="1:13" x14ac:dyDescent="0.3">
      <c r="A63" s="79" t="s">
        <v>45</v>
      </c>
      <c r="B63" s="80"/>
      <c r="C63" s="80"/>
      <c r="D63" s="80" t="s">
        <v>319</v>
      </c>
      <c r="E63" s="80"/>
      <c r="F63" s="80"/>
      <c r="G63" s="80"/>
      <c r="H63" s="80"/>
    </row>
    <row r="64" spans="1:13" ht="33.75" customHeight="1" x14ac:dyDescent="0.3">
      <c r="A64" s="79" t="s">
        <v>46</v>
      </c>
      <c r="B64" s="79"/>
      <c r="C64" s="79"/>
      <c r="D64" s="79" t="s">
        <v>261</v>
      </c>
      <c r="E64" s="80"/>
      <c r="F64" s="80"/>
      <c r="G64" s="80"/>
      <c r="H64" s="80"/>
      <c r="I64" s="79" t="s">
        <v>235</v>
      </c>
      <c r="J64" s="80"/>
      <c r="K64" s="80"/>
      <c r="L64" s="80"/>
      <c r="M64" s="80"/>
    </row>
    <row r="65" spans="1:14" ht="14.25" customHeight="1" x14ac:dyDescent="0.3">
      <c r="A65" s="142" t="s">
        <v>86</v>
      </c>
      <c r="B65" s="143"/>
      <c r="C65" s="144"/>
      <c r="D65" s="130" t="s">
        <v>263</v>
      </c>
      <c r="E65" s="141"/>
      <c r="F65" s="141"/>
      <c r="G65" s="141"/>
      <c r="H65" s="141"/>
      <c r="J65" s="24"/>
      <c r="K65" s="23"/>
      <c r="N65" s="23"/>
    </row>
    <row r="66" spans="1:14" ht="15.75" customHeight="1" x14ac:dyDescent="0.3">
      <c r="A66" s="145"/>
      <c r="B66" s="146"/>
      <c r="C66" s="147"/>
      <c r="D66" s="130" t="s">
        <v>264</v>
      </c>
      <c r="E66" s="141"/>
      <c r="F66" s="141"/>
      <c r="G66" s="141"/>
      <c r="H66" s="141"/>
      <c r="N66" s="23"/>
    </row>
    <row r="67" spans="1:14" ht="31.5" customHeight="1" x14ac:dyDescent="0.3">
      <c r="A67" s="115" t="s">
        <v>43</v>
      </c>
      <c r="B67" s="115"/>
      <c r="C67" s="115"/>
      <c r="D67" s="122" t="s">
        <v>258</v>
      </c>
      <c r="E67" s="122"/>
      <c r="F67" s="122"/>
      <c r="G67" s="122"/>
      <c r="H67" s="122"/>
      <c r="I67" s="56" t="s">
        <v>213</v>
      </c>
    </row>
    <row r="68" spans="1:14" x14ac:dyDescent="0.3">
      <c r="A68" s="115" t="s">
        <v>84</v>
      </c>
      <c r="B68" s="115"/>
      <c r="C68" s="115"/>
      <c r="D68" s="210" t="str">
        <f>(IF(G59="NA","60 Years After Completion",IF(G59&lt;&gt;"NA",""&amp;60-ROUNDDOWN((E3-G59)/360,0)&amp;" Years"," ")))</f>
        <v>60 Years After Completion</v>
      </c>
      <c r="E68" s="210"/>
      <c r="F68" s="210"/>
      <c r="G68" s="210"/>
      <c r="H68" s="210"/>
      <c r="I68" s="26"/>
      <c r="J68" s="26"/>
      <c r="K68" s="26"/>
      <c r="L68" s="26"/>
      <c r="M68" s="26"/>
      <c r="N68" s="26"/>
    </row>
    <row r="69" spans="1:14" ht="15.75" customHeight="1" x14ac:dyDescent="0.3">
      <c r="A69" s="115" t="s">
        <v>85</v>
      </c>
      <c r="B69" s="115"/>
      <c r="C69" s="115"/>
      <c r="D69" s="122" t="s">
        <v>23</v>
      </c>
      <c r="E69" s="122"/>
      <c r="F69" s="122"/>
      <c r="G69" s="122"/>
      <c r="H69" s="122"/>
      <c r="J69" s="25"/>
    </row>
    <row r="70" spans="1:14" ht="48" customHeight="1" thickBot="1" x14ac:dyDescent="0.35">
      <c r="A70" s="115" t="s">
        <v>73</v>
      </c>
      <c r="B70" s="115"/>
      <c r="C70" s="115"/>
      <c r="D70" s="79" t="s">
        <v>214</v>
      </c>
      <c r="E70" s="122"/>
      <c r="F70" s="122"/>
      <c r="G70" s="122"/>
      <c r="H70" s="122"/>
    </row>
    <row r="71" spans="1:14" ht="15.75" customHeight="1" x14ac:dyDescent="0.3">
      <c r="A71" s="122" t="s">
        <v>143</v>
      </c>
      <c r="B71" s="122"/>
      <c r="C71" s="122"/>
      <c r="D71" s="122" t="s">
        <v>28</v>
      </c>
      <c r="E71" s="122"/>
      <c r="F71" s="122"/>
      <c r="G71" s="122"/>
      <c r="H71" s="122"/>
      <c r="I71" s="44" t="str">
        <f ca="1">IF(D87=100%,"All work Completed. Possession granted to the Building.",IF(D86=100%,"All work Completed, Waiting for OC",I72&amp;""&amp;I73&amp;""&amp;J72&amp;""&amp;J71&amp;" "&amp;J73))</f>
        <v>Excavation, Plinth Completed, RCC upto 16 Slab, Brickwork upto 15 Floor, Internal Plaster upto 12 Floor, External Plaster upto 9.75 Floor, Flooring upto 10 Floor Completed</v>
      </c>
      <c r="J71" s="45"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16 Slab, Brickwork upto 15 Floor, Internal Plaster upto 12 Floor, External Plaster upto 9.75 Floor, Flooring upto 10 Floor</v>
      </c>
    </row>
    <row r="72" spans="1:14" x14ac:dyDescent="0.3">
      <c r="A72" s="129" t="s">
        <v>83</v>
      </c>
      <c r="B72" s="129"/>
      <c r="C72" s="129"/>
      <c r="D72" s="130" t="str">
        <f ca="1">(IF(G78&gt;95%,"Nothing",IF(G78&gt;0%,"Cement, Aggregate, Steel, etc",IF(G78=0%,"Work not yet Started"))))</f>
        <v>Cement, Aggregate, Steel, etc</v>
      </c>
      <c r="E72" s="130"/>
      <c r="F72" s="130"/>
      <c r="G72" s="130"/>
      <c r="H72" s="130"/>
      <c r="I72" s="46" t="str">
        <f ca="1">IF(D78=100%,"Excavation","")&amp;IF(D79=100%,", Plinth","")&amp;IF(D80=100%,", RCC Slab","")&amp;IF(D81=100%,", Brickwork","")&amp;IF(D82=100%,", Internal Plaster","")&amp;IF(D83=100%,", External Plaster","")&amp;IF(D84=100%,", Flooring","")&amp;IF(D85=100%,", Painting","")&amp;IF(D86=100%,", Building common Amenities","")</f>
        <v>Excavation, Plinth</v>
      </c>
      <c r="J72" s="47" t="str">
        <f ca="1">(IF(C78=0,"Work not yet Started.",IF(D78=25%,"Piling work in process",IF(D78=50%,"Excavation work in process",IF(D78=100%,"","0")))))&amp;(IF(C79=0%,"",IF(C79=J77,", Footing work is process",IF(C79=J78,", Footing work Completed",IF(C79=J79,", 1st Basement Completed",IF(C79=J80,", 1st &amp; 2nd Basement Completed",IF(C79=J81,", 1st to 3rd Basement Completed",IF(C79=J82,", 1st to 4th Basement Completed",IF(C79=J83,", Plinth work is process",IF(C79=J84,"","0"))))))))))</f>
        <v/>
      </c>
    </row>
    <row r="73" spans="1:14" ht="16.2" thickBot="1" x14ac:dyDescent="0.35">
      <c r="A73" s="166" t="s">
        <v>115</v>
      </c>
      <c r="B73" s="166"/>
      <c r="C73" s="166"/>
      <c r="D73" s="130" t="str">
        <f ca="1">(IF(D72="Nothing","Yes",IF(D72="Cement, Aggregate, Steel, etc","Under Construction",IF(D72="Work not yet Started","Work not yet Started"))))</f>
        <v>Under Construction</v>
      </c>
      <c r="E73" s="130"/>
      <c r="F73" s="130" t="str">
        <f ca="1">(IF(D72="Nothing","Yes",IF(D72="Cement, Aggregate, Steel, etc","Under Construction",IF(D72="Work not yet Started","Work not yet Started"))))</f>
        <v>Under Construction</v>
      </c>
      <c r="G73" s="130"/>
      <c r="H73" s="130"/>
      <c r="I73" s="46" t="str">
        <f ca="1">IF(I72&lt;&gt;""," Completed","")</f>
        <v xml:space="preserve"> Completed</v>
      </c>
      <c r="J73" s="47" t="str">
        <f ca="1">IF(J71&lt;&gt;"","Completed","")</f>
        <v>Completed</v>
      </c>
    </row>
    <row r="74" spans="1:14" ht="15.75" customHeight="1" x14ac:dyDescent="0.3">
      <c r="A74" s="160" t="s">
        <v>135</v>
      </c>
      <c r="B74" s="161"/>
      <c r="C74" s="138" t="str">
        <f>D65</f>
        <v xml:space="preserve">Tower C1 = 4B + Gr/Stilt + 1st to 34th Floors
</v>
      </c>
      <c r="D74" s="139"/>
      <c r="E74" s="139"/>
      <c r="F74" s="139"/>
      <c r="G74" s="139"/>
      <c r="H74" s="140"/>
      <c r="I74" s="14" t="s">
        <v>136</v>
      </c>
      <c r="J74" s="27">
        <f ca="1">H75*25%</f>
        <v>8.5</v>
      </c>
    </row>
    <row r="75" spans="1:14" x14ac:dyDescent="0.3">
      <c r="A75" s="16" t="s">
        <v>137</v>
      </c>
      <c r="B75" s="55">
        <v>4</v>
      </c>
      <c r="C75" s="55" t="s">
        <v>70</v>
      </c>
      <c r="D75" s="55">
        <v>1</v>
      </c>
      <c r="E75" s="55" t="s">
        <v>69</v>
      </c>
      <c r="F75" s="55">
        <v>0</v>
      </c>
      <c r="G75" s="55" t="s">
        <v>77</v>
      </c>
      <c r="H75" s="17">
        <f ca="1">--TRIM(RIGHT(SUBSTITUTE(LEFT(C74,_xlfn.AGGREGATE(16,6,FIND({0,1,2,3,4,5,6,7,8,9},C74,ROW(INDIRECT("1:"&amp;LEN(C74)))),1))," ",REPT(" ",LEN(C74))),LEN(C74)))</f>
        <v>34</v>
      </c>
      <c r="I75" s="14" t="s">
        <v>97</v>
      </c>
      <c r="J75" s="28">
        <f ca="1">H75*50%</f>
        <v>17</v>
      </c>
    </row>
    <row r="76" spans="1:14" ht="49.95" customHeight="1" x14ac:dyDescent="0.3">
      <c r="A76" s="93" t="s">
        <v>87</v>
      </c>
      <c r="B76" s="94"/>
      <c r="C76" s="95" t="str">
        <f ca="1">I71</f>
        <v>Excavation, Plinth Completed, RCC upto 16 Slab, Brickwork upto 15 Floor, Internal Plaster upto 12 Floor, External Plaster upto 9.75 Floor, Flooring upto 10 Floor Completed</v>
      </c>
      <c r="D76" s="95"/>
      <c r="E76" s="95"/>
      <c r="F76" s="95"/>
      <c r="G76" s="95"/>
      <c r="H76" s="96"/>
      <c r="I76" s="14" t="s">
        <v>98</v>
      </c>
      <c r="J76" s="28">
        <f ca="1">H75</f>
        <v>34</v>
      </c>
    </row>
    <row r="77" spans="1:14" ht="15.75" customHeight="1" x14ac:dyDescent="0.3">
      <c r="A77" s="101" t="s">
        <v>47</v>
      </c>
      <c r="B77" s="102"/>
      <c r="C77" s="57" t="s">
        <v>134</v>
      </c>
      <c r="D77" s="57" t="s">
        <v>80</v>
      </c>
      <c r="E77" s="102" t="s">
        <v>82</v>
      </c>
      <c r="F77" s="102"/>
      <c r="G77" s="102" t="s">
        <v>81</v>
      </c>
      <c r="H77" s="131"/>
      <c r="I77" s="14" t="s">
        <v>99</v>
      </c>
      <c r="J77" s="29">
        <f ca="1">(IF(B75&gt;1,(H75/(B75+2)),H75/4))</f>
        <v>5.666666666666667</v>
      </c>
    </row>
    <row r="78" spans="1:14" ht="15.75" customHeight="1" x14ac:dyDescent="0.3">
      <c r="A78" s="101" t="s">
        <v>123</v>
      </c>
      <c r="B78" s="102"/>
      <c r="C78" s="57">
        <f ca="1">J76</f>
        <v>34</v>
      </c>
      <c r="D78" s="58">
        <f ca="1">((100/H75)*C78)/100</f>
        <v>1</v>
      </c>
      <c r="E78" s="167">
        <f ca="1">(((C79/H75*10)+(40/(D75+F75+H75)*C80)+(7.5/(H75)*C81)+(7.5/(H75)*C82)+(10/H75*C83)+(10/H75*C84)+(5/H75*C85)+(5/H75*C86)+(5/H75*C87))/100)</f>
        <v>0.40050420168067219</v>
      </c>
      <c r="F78" s="168"/>
      <c r="G78" s="167">
        <f ca="1">((((C78/H75)*20)+((C79/H75)*25)+(30/(H75+F75+D75)*C80)+(5/H75*C81)+(5/H75*C82)+(5/H75*C83)+(5/H75*C84)+(0/H75*C85)+(0/H75*C86)+(5/H75*C87))/100)</f>
        <v>0.65589285714285706</v>
      </c>
      <c r="H78" s="173"/>
      <c r="I78" s="14" t="s">
        <v>100</v>
      </c>
      <c r="J78" s="29">
        <f ca="1">(IF(B75&gt;1,(H75/(B75+2)+J77),H75/4+J77))</f>
        <v>11.333333333333334</v>
      </c>
      <c r="M78" s="20">
        <f>17/33</f>
        <v>0.51515151515151514</v>
      </c>
    </row>
    <row r="79" spans="1:14" ht="15.75" customHeight="1" x14ac:dyDescent="0.3">
      <c r="A79" s="101" t="s">
        <v>48</v>
      </c>
      <c r="B79" s="102"/>
      <c r="C79" s="59">
        <f ca="1">J84</f>
        <v>34</v>
      </c>
      <c r="D79" s="58">
        <f ca="1">((100/H75)*C79)/100</f>
        <v>1</v>
      </c>
      <c r="E79" s="169"/>
      <c r="F79" s="170"/>
      <c r="G79" s="169"/>
      <c r="H79" s="174"/>
      <c r="I79" s="14" t="s">
        <v>141</v>
      </c>
      <c r="J79" s="29">
        <f ca="1">(IF(B75&gt;1,(H75/(B75+2)+J78),0))</f>
        <v>17</v>
      </c>
      <c r="M79" s="20">
        <f>M78*100</f>
        <v>51.515151515151516</v>
      </c>
    </row>
    <row r="80" spans="1:14" ht="15" customHeight="1" x14ac:dyDescent="0.3">
      <c r="A80" s="101" t="s">
        <v>124</v>
      </c>
      <c r="B80" s="102"/>
      <c r="C80" s="57">
        <v>16</v>
      </c>
      <c r="D80" s="58">
        <f ca="1">((100/(D75+F75+H75))*C80)/100</f>
        <v>0.45714285714285713</v>
      </c>
      <c r="E80" s="169"/>
      <c r="F80" s="170"/>
      <c r="G80" s="169"/>
      <c r="H80" s="174"/>
      <c r="I80" s="14" t="s">
        <v>138</v>
      </c>
      <c r="J80" s="29">
        <f ca="1">(IF(B75&gt;2,(H75/(B75+2)+J79),0))</f>
        <v>22.666666666666668</v>
      </c>
      <c r="K80" s="20">
        <f>0.17*33</f>
        <v>5.61</v>
      </c>
    </row>
    <row r="81" spans="1:11" ht="15.75" customHeight="1" x14ac:dyDescent="0.3">
      <c r="A81" s="101" t="s">
        <v>131</v>
      </c>
      <c r="B81" s="102" t="s">
        <v>125</v>
      </c>
      <c r="C81" s="57">
        <f>C80-D75</f>
        <v>15</v>
      </c>
      <c r="D81" s="58">
        <f ca="1">((100/H75)*C81)/100</f>
        <v>0.44117647058823534</v>
      </c>
      <c r="E81" s="169"/>
      <c r="F81" s="170"/>
      <c r="G81" s="169"/>
      <c r="H81" s="174"/>
      <c r="I81" s="14" t="s">
        <v>139</v>
      </c>
      <c r="J81" s="30">
        <f ca="1">(IF(B75&gt;3,(H75/(B75+2)+J80),0))</f>
        <v>28.333333333333336</v>
      </c>
    </row>
    <row r="82" spans="1:11" ht="15.75" customHeight="1" x14ac:dyDescent="0.3">
      <c r="A82" s="101" t="s">
        <v>132</v>
      </c>
      <c r="B82" s="102" t="s">
        <v>125</v>
      </c>
      <c r="C82" s="59">
        <f>C81*0.8</f>
        <v>12</v>
      </c>
      <c r="D82" s="58">
        <f ca="1">((100/H75)*C82)/100</f>
        <v>0.35294117647058826</v>
      </c>
      <c r="E82" s="169"/>
      <c r="F82" s="170"/>
      <c r="G82" s="169"/>
      <c r="H82" s="174"/>
      <c r="I82" s="14" t="s">
        <v>140</v>
      </c>
      <c r="J82" s="29">
        <f>(IF(B75&gt;4,(H75/(B75+2)+J81),0))</f>
        <v>0</v>
      </c>
    </row>
    <row r="83" spans="1:11" ht="15.75" customHeight="1" x14ac:dyDescent="0.3">
      <c r="A83" s="101" t="s">
        <v>130</v>
      </c>
      <c r="B83" s="102" t="s">
        <v>127</v>
      </c>
      <c r="C83" s="59">
        <f>C81*0.65</f>
        <v>9.75</v>
      </c>
      <c r="D83" s="58">
        <f ca="1">((100/(H75))*C83)/100</f>
        <v>0.28676470588235298</v>
      </c>
      <c r="E83" s="169"/>
      <c r="F83" s="170"/>
      <c r="G83" s="169"/>
      <c r="H83" s="174"/>
      <c r="I83" s="14" t="s">
        <v>142</v>
      </c>
      <c r="J83" s="29">
        <f>(IF(B75=1,(H75/(B75+3)+J78),IF(B75=0,(H75/4+J78),IF(B75&gt;1,0))))</f>
        <v>0</v>
      </c>
    </row>
    <row r="84" spans="1:11" ht="16.2" thickBot="1" x14ac:dyDescent="0.35">
      <c r="A84" s="101" t="s">
        <v>126</v>
      </c>
      <c r="B84" s="102" t="s">
        <v>126</v>
      </c>
      <c r="C84" s="57">
        <v>10</v>
      </c>
      <c r="D84" s="58">
        <f ca="1">((100/H75)*C84)/100</f>
        <v>0.29411764705882354</v>
      </c>
      <c r="E84" s="169"/>
      <c r="F84" s="170"/>
      <c r="G84" s="169"/>
      <c r="H84" s="174"/>
      <c r="I84" s="15" t="s">
        <v>101</v>
      </c>
      <c r="J84" s="31">
        <f ca="1">(IF(B75&gt;1.5,(H75/(B75+2)+J78+MAX(0,J79-J78)+MAX(0,J80-J79)+MAX(0,J81-J80)+MAX(0,J82-J81)+MAX(0,J83-J82)),IF(B75=1,(H75/(B75+3)+J83),IF(B75=0,H75/4+J83))))</f>
        <v>34</v>
      </c>
    </row>
    <row r="85" spans="1:11" x14ac:dyDescent="0.3">
      <c r="A85" s="101" t="s">
        <v>133</v>
      </c>
      <c r="B85" s="102"/>
      <c r="C85" s="57">
        <v>0</v>
      </c>
      <c r="D85" s="58">
        <f ca="1">((100/H75)*C85)/100</f>
        <v>0</v>
      </c>
      <c r="E85" s="169"/>
      <c r="F85" s="170"/>
      <c r="G85" s="169"/>
      <c r="H85" s="174"/>
      <c r="I85" s="44" t="str">
        <f ca="1">IF(D101=100%,"All work Completed. Possession granted to the Building.",IF(D100=100%,"All work Completed, Waiting for OC",I86&amp;""&amp;I87&amp;""&amp;J86&amp;""&amp;J85&amp;" "&amp;J87))</f>
        <v>Excavation, Plinth Completed, RCC upto 17 Slab, Brickwork upto 16 Floor, Internal Plaster upto 11.2 Floor, External Plaster upto 10.4 Floor Completed</v>
      </c>
      <c r="J85" s="45"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17 Slab, Brickwork upto 16 Floor, Internal Plaster upto 11.2 Floor, External Plaster upto 10.4 Floor</v>
      </c>
      <c r="K85" s="51" t="s">
        <v>185</v>
      </c>
    </row>
    <row r="86" spans="1:11" x14ac:dyDescent="0.3">
      <c r="A86" s="101" t="s">
        <v>128</v>
      </c>
      <c r="B86" s="102" t="s">
        <v>128</v>
      </c>
      <c r="C86" s="57">
        <v>0</v>
      </c>
      <c r="D86" s="58">
        <f ca="1">((100/(H75))*C86)/100</f>
        <v>0</v>
      </c>
      <c r="E86" s="169"/>
      <c r="F86" s="170"/>
      <c r="G86" s="169"/>
      <c r="H86" s="174"/>
      <c r="I86" s="46" t="str">
        <f ca="1">IF(D92=100%,"Excavation","")&amp;IF(D93=100%,", Plinth","")&amp;IF(D94=100%,", RCC Slab","")&amp;IF(D95=100%,", Brickwork","")&amp;IF(D96=100%,", Internal Plaster","")&amp;IF(D97=100%,", External Plaster","")&amp;IF(D98=100%,", Flooring","")&amp;IF(D99=100%,", Painting","")&amp;IF(D100=100%,", Building common Amenities","")</f>
        <v>Excavation, Plinth</v>
      </c>
      <c r="J86" s="47" t="str">
        <f ca="1">(IF(C92=0,"Work not yet Started.",IF(D92=25%,"Piling work in process",IF(D92=50%,"Excavation work in process",IF(D92=100%,"","0")))))&amp;(IF(C93=0%,"",IF(C93=J91,", Footing work is process",IF(C93=J92,", Footing work Completed",IF(C93=J93,", 1st Basement Completed",IF(C93=J94,", 1st &amp; 2nd Basement Completed",IF(C93=J95,", 1st to 3rd Basement Completed",IF(C93=J96,", 1st to 4th Basement Completed",IF(C93=J97,", Plinth work is process",IF(C93=J98,"","0"))))))))))</f>
        <v/>
      </c>
      <c r="K86" s="51">
        <v>17600</v>
      </c>
    </row>
    <row r="87" spans="1:11" ht="16.2" thickBot="1" x14ac:dyDescent="0.35">
      <c r="A87" s="176" t="s">
        <v>129</v>
      </c>
      <c r="B87" s="177"/>
      <c r="C87" s="60">
        <v>0</v>
      </c>
      <c r="D87" s="61">
        <f ca="1">((100/(H75))*C87)/100</f>
        <v>0</v>
      </c>
      <c r="E87" s="171"/>
      <c r="F87" s="172"/>
      <c r="G87" s="171"/>
      <c r="H87" s="175"/>
      <c r="I87" s="46" t="str">
        <f ca="1">IF(I86&lt;&gt;""," Completed","")</f>
        <v xml:space="preserve"> Completed</v>
      </c>
      <c r="J87" s="47" t="str">
        <f ca="1">IF(J85&lt;&gt;"","Completed","")</f>
        <v>Completed</v>
      </c>
    </row>
    <row r="88" spans="1:11" x14ac:dyDescent="0.3">
      <c r="A88" s="136" t="s">
        <v>135</v>
      </c>
      <c r="B88" s="137"/>
      <c r="C88" s="138" t="str">
        <f>D66</f>
        <v>Tower C3 = Gr + 1st to 13th Floor (PTC) + 14th to 34h Floor (Sale)</v>
      </c>
      <c r="D88" s="139"/>
      <c r="E88" s="139"/>
      <c r="F88" s="139"/>
      <c r="G88" s="139"/>
      <c r="H88" s="140"/>
      <c r="I88" s="14" t="s">
        <v>136</v>
      </c>
      <c r="J88" s="27">
        <f ca="1">H89*25%</f>
        <v>8.5</v>
      </c>
    </row>
    <row r="89" spans="1:11" s="32" customFormat="1" x14ac:dyDescent="0.25">
      <c r="A89" s="16" t="s">
        <v>137</v>
      </c>
      <c r="B89" s="55">
        <v>0</v>
      </c>
      <c r="C89" s="55" t="s">
        <v>70</v>
      </c>
      <c r="D89" s="55">
        <v>1</v>
      </c>
      <c r="E89" s="55" t="s">
        <v>69</v>
      </c>
      <c r="F89" s="55">
        <v>0</v>
      </c>
      <c r="G89" s="55" t="s">
        <v>77</v>
      </c>
      <c r="H89" s="17">
        <f ca="1">--TRIM(RIGHT(SUBSTITUTE(LEFT(C88,_xlfn.AGGREGATE(16,6,FIND({0,1,2,3,4,5,6,7,8,9},C88,ROW(INDIRECT("1:"&amp;LEN(C88)))),1))," ",REPT(" ",LEN(C88))),LEN(C88)))</f>
        <v>34</v>
      </c>
      <c r="I89" s="14" t="s">
        <v>97</v>
      </c>
      <c r="J89" s="28">
        <f ca="1">H89*50%</f>
        <v>17</v>
      </c>
    </row>
    <row r="90" spans="1:11" s="32" customFormat="1" ht="32.4" customHeight="1" x14ac:dyDescent="0.25">
      <c r="A90" s="93" t="s">
        <v>87</v>
      </c>
      <c r="B90" s="94"/>
      <c r="C90" s="95" t="str">
        <f ca="1">I85</f>
        <v>Excavation, Plinth Completed, RCC upto 17 Slab, Brickwork upto 16 Floor, Internal Plaster upto 11.2 Floor, External Plaster upto 10.4 Floor Completed</v>
      </c>
      <c r="D90" s="95"/>
      <c r="E90" s="95"/>
      <c r="F90" s="95"/>
      <c r="G90" s="95"/>
      <c r="H90" s="96"/>
      <c r="I90" s="14" t="s">
        <v>98</v>
      </c>
      <c r="J90" s="28">
        <f ca="1">H89</f>
        <v>34</v>
      </c>
    </row>
    <row r="91" spans="1:11" s="32" customFormat="1" x14ac:dyDescent="0.3">
      <c r="A91" s="97" t="s">
        <v>47</v>
      </c>
      <c r="B91" s="98"/>
      <c r="C91" s="54" t="s">
        <v>134</v>
      </c>
      <c r="D91" s="54" t="s">
        <v>80</v>
      </c>
      <c r="E91" s="98" t="s">
        <v>82</v>
      </c>
      <c r="F91" s="98"/>
      <c r="G91" s="98" t="s">
        <v>81</v>
      </c>
      <c r="H91" s="99"/>
      <c r="I91" s="14" t="s">
        <v>99</v>
      </c>
      <c r="J91" s="29">
        <f ca="1">(IF(B89&gt;1,(H89/(B89+2)),H89/4))</f>
        <v>8.5</v>
      </c>
    </row>
    <row r="92" spans="1:11" s="32" customFormat="1" x14ac:dyDescent="0.3">
      <c r="A92" s="98" t="s">
        <v>123</v>
      </c>
      <c r="B92" s="98"/>
      <c r="C92" s="54">
        <f ca="1">J90</f>
        <v>34</v>
      </c>
      <c r="D92" s="19">
        <f ca="1">((100/H89)*C92)/100</f>
        <v>1</v>
      </c>
      <c r="E92" s="100">
        <f ca="1">(((C93/H89*10)+(40/(D89+F89+H89)*C94)+(7.5/(H89)*C95)+(7.5/(H89)*C96)+(10/H89*C97)+(10/H89*C98)+(5/H89*C99)+(5/H89*C100)+(5/H89*C101))/100)</f>
        <v>0.3848739495798319</v>
      </c>
      <c r="F92" s="100"/>
      <c r="G92" s="100">
        <f ca="1">((((C92/H89)*20)+((C93/H89)*25)+(30/(H89+F89+D89)*C94)+(5/H89*C95)+(5/H89*C96)+(5/H89*C97)+(5/H89*C98)+(0/H89*C99)+(0/H89*C100)+(5/H89*C101))/100)</f>
        <v>0.65100840336134458</v>
      </c>
      <c r="H92" s="100"/>
      <c r="I92" s="14" t="s">
        <v>100</v>
      </c>
      <c r="J92" s="29">
        <f ca="1">(IF(B89&gt;1,(H89/(B89+2)+J91),H89/4+J91))</f>
        <v>17</v>
      </c>
    </row>
    <row r="93" spans="1:11" s="32" customFormat="1" x14ac:dyDescent="0.3">
      <c r="A93" s="98" t="s">
        <v>48</v>
      </c>
      <c r="B93" s="98"/>
      <c r="C93" s="53">
        <f ca="1">J98</f>
        <v>34</v>
      </c>
      <c r="D93" s="19">
        <f ca="1">((100/H89)*C93)/100</f>
        <v>1</v>
      </c>
      <c r="E93" s="100"/>
      <c r="F93" s="100"/>
      <c r="G93" s="100"/>
      <c r="H93" s="100"/>
      <c r="I93" s="14" t="s">
        <v>141</v>
      </c>
      <c r="J93" s="29">
        <f>(IF(B89&gt;1,(H89/(B89+2)+J92),0))</f>
        <v>0</v>
      </c>
    </row>
    <row r="94" spans="1:11" s="32" customFormat="1" x14ac:dyDescent="0.3">
      <c r="A94" s="98" t="s">
        <v>124</v>
      </c>
      <c r="B94" s="98"/>
      <c r="C94" s="57">
        <v>17</v>
      </c>
      <c r="D94" s="19">
        <f ca="1">((100/(D89+F89+H89))*C94)/100</f>
        <v>0.48571428571428571</v>
      </c>
      <c r="E94" s="100"/>
      <c r="F94" s="100"/>
      <c r="G94" s="100"/>
      <c r="H94" s="100"/>
      <c r="I94" s="14" t="s">
        <v>138</v>
      </c>
      <c r="J94" s="29">
        <f>(IF(B89&gt;2,(H89/(B89+2)+J93),0))</f>
        <v>0</v>
      </c>
    </row>
    <row r="95" spans="1:11" s="32" customFormat="1" x14ac:dyDescent="0.3">
      <c r="A95" s="98" t="s">
        <v>131</v>
      </c>
      <c r="B95" s="98" t="s">
        <v>125</v>
      </c>
      <c r="C95" s="57">
        <f>C94-D89</f>
        <v>16</v>
      </c>
      <c r="D95" s="19">
        <f ca="1">((100/H89)*C95)/100</f>
        <v>0.4705882352941177</v>
      </c>
      <c r="E95" s="100"/>
      <c r="F95" s="100"/>
      <c r="G95" s="100"/>
      <c r="H95" s="100"/>
      <c r="I95" s="14" t="s">
        <v>139</v>
      </c>
      <c r="J95" s="30">
        <f>(IF(B89&gt;3,(H89/(B89+2)+J94),0))</f>
        <v>0</v>
      </c>
    </row>
    <row r="96" spans="1:11" s="32" customFormat="1" x14ac:dyDescent="0.3">
      <c r="A96" s="98" t="s">
        <v>132</v>
      </c>
      <c r="B96" s="98" t="s">
        <v>125</v>
      </c>
      <c r="C96" s="59">
        <f>C95*0.7</f>
        <v>11.2</v>
      </c>
      <c r="D96" s="19">
        <f ca="1">((100/H89)*C96)/100</f>
        <v>0.3294117647058824</v>
      </c>
      <c r="E96" s="100"/>
      <c r="F96" s="100"/>
      <c r="G96" s="100"/>
      <c r="H96" s="100"/>
      <c r="I96" s="14" t="s">
        <v>140</v>
      </c>
      <c r="J96" s="29">
        <f>(IF(B89&gt;4,(H89/(B89+2)+J95),0))</f>
        <v>0</v>
      </c>
    </row>
    <row r="97" spans="1:14" x14ac:dyDescent="0.3">
      <c r="A97" s="98" t="s">
        <v>130</v>
      </c>
      <c r="B97" s="98" t="s">
        <v>127</v>
      </c>
      <c r="C97" s="59">
        <f>C95*0.65</f>
        <v>10.4</v>
      </c>
      <c r="D97" s="19">
        <f ca="1">((100/(H89))*C97)/100</f>
        <v>0.30588235294117649</v>
      </c>
      <c r="E97" s="100"/>
      <c r="F97" s="100"/>
      <c r="G97" s="100"/>
      <c r="H97" s="100"/>
      <c r="I97" s="14" t="s">
        <v>142</v>
      </c>
      <c r="J97" s="29">
        <f ca="1">(IF(B89=1,(H89/(B89+3)+J92),IF(B89=0,(H89/4+J92),IF(B89&gt;1,0))))</f>
        <v>25.5</v>
      </c>
    </row>
    <row r="98" spans="1:14" s="33" customFormat="1" ht="16.2" thickBot="1" x14ac:dyDescent="0.35">
      <c r="A98" s="98" t="s">
        <v>126</v>
      </c>
      <c r="B98" s="98" t="s">
        <v>126</v>
      </c>
      <c r="C98" s="54">
        <v>0</v>
      </c>
      <c r="D98" s="19">
        <f ca="1">((100/H89)*C98)/100</f>
        <v>0</v>
      </c>
      <c r="E98" s="100"/>
      <c r="F98" s="100"/>
      <c r="G98" s="100"/>
      <c r="H98" s="100"/>
      <c r="I98" s="15" t="s">
        <v>101</v>
      </c>
      <c r="J98" s="31">
        <f ca="1">(IF(B89&gt;1.5,(H89/(B89+2)+J92+MAX(0,J93-J92)+MAX(0,J94-J93)+MAX(0,J95-J94)+MAX(0,J96-J95)+MAX(0,J97-J96)),IF(B89=1,(H89/(B89+3)+J97),IF(B89=0,H89/4+J97))))</f>
        <v>34</v>
      </c>
    </row>
    <row r="99" spans="1:14" s="34" customFormat="1" x14ac:dyDescent="0.3">
      <c r="A99" s="98" t="s">
        <v>133</v>
      </c>
      <c r="B99" s="98"/>
      <c r="C99" s="54">
        <v>0</v>
      </c>
      <c r="D99" s="19">
        <f ca="1">((100/H89)*C99)/100</f>
        <v>0</v>
      </c>
      <c r="E99" s="100"/>
      <c r="F99" s="100"/>
      <c r="G99" s="100"/>
      <c r="H99" s="100"/>
      <c r="I99" s="62" t="e">
        <f>IF(#REF!=100%,"All work Completed. Possession granted to the Building.",IF(#REF!=100%,"All work Completed, Waiting for OC",I100&amp;""&amp;I101&amp;""&amp;J100&amp;""&amp;J99&amp;" "&amp;J101))</f>
        <v>#REF!</v>
      </c>
      <c r="J99" s="45" t="e">
        <f>(IF(#REF!=(#REF!+#REF!+#REF!),"",IF(#REF!&gt;0,", RCC upto "&amp;#REF!&amp;" Slab","")))&amp;(IF(#REF!=#REF!,"",IF(#REF!&gt;0,", Brickwork upto "&amp;#REF!&amp;" Floor","")))&amp;(IF(#REF!=#REF!,"",IF(#REF!&gt;0,", Internal Plaster upto "&amp;#REF!&amp;" Floor","")))&amp;(IF(#REF!=#REF!,"",IF(#REF!&gt;0,", External Plaster upto "&amp;#REF!&amp;" Floor","")))&amp;(IF(#REF!=#REF!,"",IF(#REF!&gt;0,", Flooring upto "&amp;#REF!&amp;" Floor","")))&amp;(IF(#REF!=#REF!,"",IF(#REF!&gt;0,", Painting upto "&amp;#REF!&amp;" Floor","")))&amp;(IF(#REF!=#REF!,"",IF(#REF!&gt;0,", Finishing upto "&amp;#REF!&amp;" Floor","")))&amp;(IF(#REF!=#REF!,"",IF(#REF!&gt;0,", Possession upto "&amp;#REF!&amp;" Floor","")))</f>
        <v>#REF!</v>
      </c>
    </row>
    <row r="100" spans="1:14" s="34" customFormat="1" ht="15.75" customHeight="1" x14ac:dyDescent="0.3">
      <c r="A100" s="98" t="s">
        <v>128</v>
      </c>
      <c r="B100" s="98" t="s">
        <v>128</v>
      </c>
      <c r="C100" s="54">
        <v>0</v>
      </c>
      <c r="D100" s="19">
        <f ca="1">((100/(H89))*C100)/100</f>
        <v>0</v>
      </c>
      <c r="E100" s="100"/>
      <c r="F100" s="100"/>
      <c r="G100" s="100"/>
      <c r="H100" s="100"/>
      <c r="I100" s="63" t="e">
        <f>IF(#REF!=100%,"Excavation","")&amp;IF(#REF!=100%,", Plinth","")&amp;IF(#REF!=100%,", RCC Slab","")&amp;IF(#REF!=100%,", Brickwork","")&amp;IF(#REF!=100%,", Internal Plaster","")&amp;IF(#REF!=100%,", External Plaster","")&amp;IF(#REF!=100%,", Flooring","")&amp;IF(#REF!=100%,", Painting","")&amp;IF(#REF!=100%,", Building common Amenities","")</f>
        <v>#REF!</v>
      </c>
      <c r="J100" s="47" t="e">
        <f>(IF(#REF!=0,"Work not yet Started.",IF(#REF!=25%,"Piling work in process",IF(#REF!=50%,"Excavation work in process",IF(#REF!=100%,"","0")))))&amp;(IF(#REF!=0%,"",IF(#REF!=#REF!,", Footing work is process",IF(#REF!=#REF!,", Footing work Completed",IF(#REF!=#REF!,", 1st Basement Completed",IF(#REF!=#REF!,", 1st &amp; 2nd Basement Completed",IF(#REF!=#REF!,", 1st to 3rd Basement Completed",IF(#REF!=#REF!,", 1st to 4th Basement Completed",IF(#REF!=#REF!,", Plinth work is process",IF(#REF!=#REF!,"","0"))))))))))</f>
        <v>#REF!</v>
      </c>
    </row>
    <row r="101" spans="1:14" s="34" customFormat="1" x14ac:dyDescent="0.3">
      <c r="A101" s="98" t="s">
        <v>129</v>
      </c>
      <c r="B101" s="98"/>
      <c r="C101" s="54">
        <v>0</v>
      </c>
      <c r="D101" s="19">
        <f ca="1">((100/(H89))*C101)/100</f>
        <v>0</v>
      </c>
      <c r="E101" s="100"/>
      <c r="F101" s="100"/>
      <c r="G101" s="100"/>
      <c r="H101" s="100"/>
      <c r="I101" s="63" t="e">
        <f>IF(I100&lt;&gt;""," Completed","")</f>
        <v>#REF!</v>
      </c>
      <c r="J101" s="47" t="e">
        <f>IF(J99&lt;&gt;"","Completed","")</f>
        <v>#REF!</v>
      </c>
    </row>
    <row r="102" spans="1:14" s="36" customFormat="1" x14ac:dyDescent="0.3">
      <c r="A102" s="159" t="s">
        <v>149</v>
      </c>
      <c r="B102" s="159"/>
      <c r="C102" s="159"/>
      <c r="D102" s="159"/>
      <c r="E102" s="159"/>
      <c r="F102" s="114" t="s">
        <v>154</v>
      </c>
      <c r="G102" s="114"/>
      <c r="H102" s="114"/>
      <c r="I102" s="20"/>
      <c r="J102" s="20"/>
    </row>
    <row r="103" spans="1:14" s="36" customFormat="1" ht="15.75" customHeight="1" x14ac:dyDescent="0.25">
      <c r="A103" s="115" t="s">
        <v>152</v>
      </c>
      <c r="B103" s="115"/>
      <c r="C103" s="115"/>
      <c r="D103" s="115"/>
      <c r="E103" s="115"/>
      <c r="F103" s="118">
        <v>18500</v>
      </c>
      <c r="G103" s="118"/>
      <c r="H103" s="118"/>
      <c r="I103" s="32"/>
      <c r="J103" s="32"/>
      <c r="K103" s="36" t="e">
        <f>17500*#REF!</f>
        <v>#REF!</v>
      </c>
      <c r="L103" s="73"/>
      <c r="M103" s="73"/>
      <c r="N103" s="35"/>
    </row>
    <row r="104" spans="1:14" s="36" customFormat="1" hidden="1" x14ac:dyDescent="0.25">
      <c r="A104" s="115" t="s">
        <v>151</v>
      </c>
      <c r="B104" s="115"/>
      <c r="C104" s="115"/>
      <c r="D104" s="115"/>
      <c r="E104" s="115"/>
      <c r="F104" s="118"/>
      <c r="G104" s="118"/>
      <c r="H104" s="118"/>
      <c r="I104" s="32"/>
      <c r="J104" s="32"/>
      <c r="K104" s="36" t="e">
        <f>17500*#REF!</f>
        <v>#REF!</v>
      </c>
      <c r="L104" s="73"/>
      <c r="M104" s="73"/>
      <c r="N104" s="35"/>
    </row>
    <row r="105" spans="1:14" s="36" customFormat="1" hidden="1" x14ac:dyDescent="0.25">
      <c r="A105" s="115" t="s">
        <v>153</v>
      </c>
      <c r="B105" s="115"/>
      <c r="C105" s="115"/>
      <c r="D105" s="115"/>
      <c r="E105" s="115"/>
      <c r="F105" s="118"/>
      <c r="G105" s="118"/>
      <c r="H105" s="118"/>
      <c r="I105" s="32"/>
      <c r="J105" s="32"/>
      <c r="K105" s="36" t="e">
        <f>17500*#REF!</f>
        <v>#REF!</v>
      </c>
      <c r="L105" s="73"/>
      <c r="M105" s="73"/>
      <c r="N105" s="35"/>
    </row>
    <row r="106" spans="1:14" s="36" customFormat="1" hidden="1" x14ac:dyDescent="0.25">
      <c r="A106" s="115" t="s">
        <v>150</v>
      </c>
      <c r="B106" s="115"/>
      <c r="C106" s="115"/>
      <c r="D106" s="115"/>
      <c r="E106" s="115"/>
      <c r="F106" s="118"/>
      <c r="G106" s="118"/>
      <c r="H106" s="118"/>
      <c r="I106" s="32"/>
      <c r="J106" s="32"/>
      <c r="K106" s="36" t="e">
        <f>17500*#REF!</f>
        <v>#REF!</v>
      </c>
      <c r="L106" s="73"/>
      <c r="M106" s="73"/>
      <c r="N106" s="35"/>
    </row>
    <row r="107" spans="1:14" s="36" customFormat="1" hidden="1" x14ac:dyDescent="0.25">
      <c r="A107" s="115" t="s">
        <v>91</v>
      </c>
      <c r="B107" s="115"/>
      <c r="C107" s="115"/>
      <c r="D107" s="115"/>
      <c r="E107" s="115"/>
      <c r="F107" s="118"/>
      <c r="G107" s="118"/>
      <c r="H107" s="118"/>
      <c r="I107" s="32"/>
      <c r="J107" s="32"/>
      <c r="K107" s="36" t="e">
        <f>17500*#REF!</f>
        <v>#REF!</v>
      </c>
      <c r="L107" s="73"/>
      <c r="M107" s="73"/>
      <c r="N107" s="35"/>
    </row>
    <row r="108" spans="1:14" s="36" customFormat="1" hidden="1" x14ac:dyDescent="0.25">
      <c r="A108" s="115" t="s">
        <v>92</v>
      </c>
      <c r="B108" s="115"/>
      <c r="C108" s="115"/>
      <c r="D108" s="115"/>
      <c r="E108" s="115"/>
      <c r="F108" s="118"/>
      <c r="G108" s="118"/>
      <c r="H108" s="118"/>
      <c r="I108" s="32"/>
      <c r="J108" s="32"/>
      <c r="K108" s="36">
        <f t="shared" ref="K108:K113" si="0">17500*F196</f>
        <v>0</v>
      </c>
    </row>
    <row r="109" spans="1:14" s="36" customFormat="1" ht="15.75" hidden="1" customHeight="1" x14ac:dyDescent="0.25">
      <c r="A109" s="115" t="s">
        <v>155</v>
      </c>
      <c r="B109" s="115"/>
      <c r="C109" s="115"/>
      <c r="D109" s="115"/>
      <c r="E109" s="115"/>
      <c r="F109" s="118"/>
      <c r="G109" s="118"/>
      <c r="H109" s="118"/>
      <c r="I109" s="32"/>
      <c r="J109" s="32"/>
      <c r="K109" s="36">
        <f t="shared" si="0"/>
        <v>16282529.970525</v>
      </c>
      <c r="L109" s="73"/>
      <c r="M109" s="73"/>
      <c r="N109" s="35"/>
    </row>
    <row r="110" spans="1:14" s="36" customFormat="1" hidden="1" x14ac:dyDescent="0.25">
      <c r="A110" s="115" t="s">
        <v>93</v>
      </c>
      <c r="B110" s="115"/>
      <c r="C110" s="115"/>
      <c r="D110" s="115"/>
      <c r="E110" s="115"/>
      <c r="F110" s="118"/>
      <c r="G110" s="118"/>
      <c r="H110" s="118"/>
      <c r="I110" s="32"/>
      <c r="J110" s="32"/>
      <c r="K110" s="36">
        <f t="shared" si="0"/>
        <v>0</v>
      </c>
      <c r="L110" s="73"/>
      <c r="M110" s="73"/>
      <c r="N110" s="35"/>
    </row>
    <row r="111" spans="1:14" s="36" customFormat="1" hidden="1" x14ac:dyDescent="0.3">
      <c r="A111" s="115" t="s">
        <v>94</v>
      </c>
      <c r="B111" s="115"/>
      <c r="C111" s="115"/>
      <c r="D111" s="115"/>
      <c r="E111" s="115"/>
      <c r="F111" s="118"/>
      <c r="G111" s="118"/>
      <c r="H111" s="118"/>
      <c r="I111" s="20"/>
      <c r="J111" s="20"/>
      <c r="K111" s="36">
        <f t="shared" si="0"/>
        <v>0</v>
      </c>
      <c r="L111" s="73"/>
      <c r="M111" s="73"/>
      <c r="N111" s="35"/>
    </row>
    <row r="112" spans="1:14" s="36" customFormat="1" hidden="1" x14ac:dyDescent="0.3">
      <c r="A112" s="115" t="s">
        <v>95</v>
      </c>
      <c r="B112" s="115"/>
      <c r="C112" s="115"/>
      <c r="D112" s="115"/>
      <c r="E112" s="115"/>
      <c r="F112" s="118"/>
      <c r="G112" s="118"/>
      <c r="H112" s="118"/>
      <c r="I112" s="33"/>
      <c r="J112" s="33"/>
      <c r="K112" s="36">
        <f t="shared" si="0"/>
        <v>0</v>
      </c>
      <c r="L112" s="73"/>
      <c r="M112" s="73"/>
      <c r="N112" s="35"/>
    </row>
    <row r="113" spans="1:14" s="36" customFormat="1" hidden="1" x14ac:dyDescent="0.3">
      <c r="A113" s="115" t="s">
        <v>96</v>
      </c>
      <c r="B113" s="115"/>
      <c r="C113" s="115"/>
      <c r="D113" s="115"/>
      <c r="E113" s="115"/>
      <c r="F113" s="118"/>
      <c r="G113" s="118"/>
      <c r="H113" s="118"/>
      <c r="I113" s="34"/>
      <c r="J113" s="34"/>
      <c r="K113" s="36">
        <f t="shared" si="0"/>
        <v>16282529.970525</v>
      </c>
      <c r="L113" s="73"/>
      <c r="M113" s="73"/>
      <c r="N113" s="35"/>
    </row>
    <row r="114" spans="1:14" s="36" customFormat="1" x14ac:dyDescent="0.3">
      <c r="A114" s="115" t="s">
        <v>49</v>
      </c>
      <c r="B114" s="115"/>
      <c r="C114" s="115"/>
      <c r="D114" s="115"/>
      <c r="E114" s="115"/>
      <c r="F114" s="118">
        <v>800000</v>
      </c>
      <c r="G114" s="118"/>
      <c r="H114" s="118"/>
      <c r="I114" s="34"/>
      <c r="J114" s="34"/>
      <c r="K114" s="36" t="e">
        <f>17500*#REF!</f>
        <v>#REF!</v>
      </c>
    </row>
    <row r="115" spans="1:14" s="36" customFormat="1" ht="15.75" customHeight="1" x14ac:dyDescent="0.3">
      <c r="A115" s="159" t="s">
        <v>50</v>
      </c>
      <c r="B115" s="159"/>
      <c r="C115" s="159"/>
      <c r="D115" s="159"/>
      <c r="E115" s="159"/>
      <c r="F115" s="118">
        <f>F103*0.8</f>
        <v>14800</v>
      </c>
      <c r="G115" s="118"/>
      <c r="H115" s="118"/>
      <c r="I115" s="34"/>
      <c r="J115" s="34" t="s">
        <v>188</v>
      </c>
      <c r="K115" s="36" t="e">
        <f>17500*#REF!</f>
        <v>#REF!</v>
      </c>
      <c r="L115" s="73"/>
      <c r="M115" s="73"/>
      <c r="N115" s="35"/>
    </row>
    <row r="116" spans="1:14" s="36" customFormat="1" ht="15.75" customHeight="1" x14ac:dyDescent="0.3">
      <c r="A116" s="107" t="s">
        <v>225</v>
      </c>
      <c r="B116" s="107"/>
      <c r="C116" s="107"/>
      <c r="D116" s="107"/>
      <c r="E116" s="107"/>
      <c r="F116" s="107"/>
      <c r="G116" s="107"/>
      <c r="H116" s="107"/>
      <c r="I116" s="34"/>
      <c r="J116" s="34"/>
      <c r="N116" s="35"/>
    </row>
    <row r="117" spans="1:14" s="36" customFormat="1" ht="15.75" customHeight="1" x14ac:dyDescent="0.3">
      <c r="A117" s="92" t="s">
        <v>51</v>
      </c>
      <c r="B117" s="92"/>
      <c r="C117" s="108" t="s">
        <v>189</v>
      </c>
      <c r="D117" s="108"/>
      <c r="E117" s="112" t="s">
        <v>52</v>
      </c>
      <c r="F117" s="112"/>
      <c r="G117" s="92" t="s">
        <v>53</v>
      </c>
      <c r="H117" s="92"/>
      <c r="I117" s="34">
        <f>78+83</f>
        <v>161</v>
      </c>
      <c r="J117" s="34"/>
      <c r="N117" s="35"/>
    </row>
    <row r="118" spans="1:14" s="36" customFormat="1" ht="15.75" customHeight="1" x14ac:dyDescent="0.3">
      <c r="A118" s="113" t="s">
        <v>169</v>
      </c>
      <c r="B118" s="113"/>
      <c r="C118" s="106">
        <f>COUNT(D171)+COUNT(D197,D201)+COUNT(D217,D219)+COUNT(D225,D227)+COUNT(D254,D258)+COUNT(D297)+COUNT(D316)+COUNT(D322,D326)+COUNT(D332,D334,D337:D338)+COUNT(D340:D347)+COUNT(D349:D356)+COUNT(D358:D365)+COUNT(D367:D373)+COUNT(D375:D382)+COUNT(D384,D387:D392)+COUNT(D394:D402)+COUNT(D404:D411)+COUNT(D413:D420)+COUNT(D422:D430)+COUNT(D432:D440)</f>
        <v>106</v>
      </c>
      <c r="D118" s="106"/>
      <c r="E118" s="106">
        <f>SUM(D171)+SUM(D197,D201)+SUM(D217,D219)+SUM(D225,D227)+SUM(D254,D258)+SUM(D297)+SUM(D316)+SUM(D322,D326)+SUM(D332,D334,D337:D338)+SUM(D340:D347)+SUM(D349:D356)+SUM(D358:D365)+SUM(D367:D373)+SUM(D375:D382)+SUM(D384,D387:D392)+SUM(D394:D402)+SUM(D404:D411)+SUM(D413:D420)+SUM(D422:D430)+SUM(D432:D440)</f>
        <v>62948.051758799993</v>
      </c>
      <c r="F118" s="106"/>
      <c r="G118" s="106">
        <f>SUM(F171)+SUM(F197,F201)+SUM(F217,F219)+SUM(F225,F227)+SUM(F254,F258)+SUM(F297)+SUM(F316)+SUM(F322,F326)+SUM(F332,F334,F337:F338)+SUM(F340:F347)+SUM(F349:F356)+SUM(F358:F365)+SUM(F367:F373)+SUM(F375:F382)+SUM(F384,F387:F392)+SUM(F394:F402)+SUM(F404:F411)+SUM(F413:F420)+SUM(F422:F430)+SUM(F432:F440)</f>
        <v>97569.480226140004</v>
      </c>
      <c r="H118" s="106"/>
      <c r="I118" s="34"/>
      <c r="J118" s="34"/>
      <c r="N118" s="35"/>
    </row>
    <row r="119" spans="1:14" s="36" customFormat="1" x14ac:dyDescent="0.3">
      <c r="A119" s="86" t="s">
        <v>196</v>
      </c>
      <c r="B119" s="43" t="s">
        <v>219</v>
      </c>
      <c r="C119" s="106">
        <f>COUNT(D505:D511)*11+COUNT(D517:D519)*2</f>
        <v>83</v>
      </c>
      <c r="D119" s="106"/>
      <c r="E119" s="105">
        <f>SUM(D505:D511)*11+SUM(D517:D519)*2</f>
        <v>45349.59311999999</v>
      </c>
      <c r="F119" s="105"/>
      <c r="G119" s="105">
        <f>SUM(F505:F511)*11+SUM(F517:F519)*2</f>
        <v>70291.869336000003</v>
      </c>
      <c r="H119" s="105"/>
      <c r="I119" s="34"/>
      <c r="J119" s="34"/>
      <c r="L119" s="73"/>
      <c r="M119" s="73"/>
      <c r="N119" s="35"/>
    </row>
    <row r="120" spans="1:14" s="36" customFormat="1" x14ac:dyDescent="0.3">
      <c r="A120" s="88"/>
      <c r="B120" s="43" t="s">
        <v>223</v>
      </c>
      <c r="C120" s="106">
        <f>COUNT(D522:D527)*11+COUNT(D529:D534)*2</f>
        <v>78</v>
      </c>
      <c r="D120" s="106"/>
      <c r="E120" s="105">
        <f>SUM(D522:D527)*11+SUM(D529:D534)*2</f>
        <v>42617.689919999997</v>
      </c>
      <c r="F120" s="105"/>
      <c r="G120" s="105">
        <f>SUM(F522:F527)*11+SUM(F529:F534)*2</f>
        <v>66057.419376000005</v>
      </c>
      <c r="H120" s="105"/>
      <c r="I120" s="33"/>
      <c r="J120" s="33"/>
      <c r="L120" s="73"/>
      <c r="M120" s="73"/>
      <c r="N120" s="35"/>
    </row>
    <row r="121" spans="1:14" s="36" customFormat="1" x14ac:dyDescent="0.3">
      <c r="A121" s="107" t="s">
        <v>226</v>
      </c>
      <c r="B121" s="107"/>
      <c r="C121" s="109">
        <f>SUM(C118:D120)</f>
        <v>267</v>
      </c>
      <c r="D121" s="108"/>
      <c r="E121" s="109">
        <f>SUM(E118:F120)</f>
        <v>150915.33479879997</v>
      </c>
      <c r="F121" s="109"/>
      <c r="G121" s="109">
        <f>SUM(G118:H120)</f>
        <v>233918.76893814001</v>
      </c>
      <c r="H121" s="109"/>
      <c r="I121" s="20"/>
      <c r="J121" s="20"/>
      <c r="L121" s="73"/>
      <c r="M121" s="73"/>
      <c r="N121" s="35"/>
    </row>
    <row r="122" spans="1:14" s="36" customFormat="1" x14ac:dyDescent="0.3">
      <c r="A122" s="107" t="s">
        <v>314</v>
      </c>
      <c r="B122" s="107"/>
      <c r="C122" s="107"/>
      <c r="D122" s="107"/>
      <c r="E122" s="107"/>
      <c r="F122" s="107"/>
      <c r="G122" s="107"/>
      <c r="H122" s="107"/>
      <c r="I122" s="20"/>
      <c r="J122" s="20"/>
    </row>
    <row r="123" spans="1:14" s="36" customFormat="1" x14ac:dyDescent="0.3">
      <c r="A123" s="92" t="s">
        <v>51</v>
      </c>
      <c r="B123" s="92"/>
      <c r="C123" s="108" t="s">
        <v>189</v>
      </c>
      <c r="D123" s="108"/>
      <c r="E123" s="112" t="s">
        <v>52</v>
      </c>
      <c r="F123" s="112"/>
      <c r="G123" s="92" t="s">
        <v>53</v>
      </c>
      <c r="H123" s="92"/>
      <c r="I123" s="20"/>
      <c r="J123" s="20"/>
    </row>
    <row r="124" spans="1:14" s="36" customFormat="1" ht="15.75" customHeight="1" x14ac:dyDescent="0.3">
      <c r="A124" s="113" t="s">
        <v>316</v>
      </c>
      <c r="B124" s="113"/>
      <c r="C124" s="106">
        <f>COUNT(D139:D142)+COUNT(D148:D152)+COUNT(D158:D162)+COUNT(D168:D170)+COUNT(D177:D181)*2+COUNT(D187:D191)+COUNT(D207:D211)+COUNT(D218)+COUNT(D226)+COUNT(D234:D238,D240:D242)+COUNT(D244:D252)+COUNT(D259:D262)+COUNT(D264:D272)+COUNT(D274:D282)+COUNT(D284:D292)+COUNT(D294:D296,D298:D301)+COUNT(D303:D311)+COUNT(D313:D315,D317:D320)+COUNT(D327:D330)+COUNT(D333,D335:D336)</f>
        <v>117</v>
      </c>
      <c r="D124" s="106"/>
      <c r="E124" s="106">
        <f>SUM(D139:D142)+SUM(D148:D152)+SUM(D158:D162)+SUM(D168:D170)+SUM(D177:D181)*2+SUM(D187:D191)+SUM(D207:D211)+SUM(D218)+SUM(D226)+SUM(D234:D238,D240:D242)+SUM(D244:D252)+SUM(D259:D262)+SUM(D264:D272)+SUM(D274:D282)+SUM(D284:D292)+SUM(D294:D296,D298:D301)+SUM(D303:D311)+SUM(D313:D315,D317:D320)+SUM(D327:D330)+SUM(D333,D335:D336)</f>
        <v>59451.831363600002</v>
      </c>
      <c r="F124" s="106"/>
      <c r="G124" s="106">
        <f>SUM(F139:F142)+SUM(F148:F152)+SUM(F158:F162)+SUM(F168:F170)+SUM(F177:F181)*2+SUM(F187:F191)+SUM(F207:F211)+SUM(F218)+SUM(F226)+SUM(F234:F238,F240:F242)+SUM(F244:F252)+SUM(F259:F262)+SUM(F264:F272)+SUM(F274:F282)+SUM(F284:F292)+SUM(F294:F296,F298:F301)+SUM(F303:F311)+SUM(F313:F315,F317:F320)+SUM(F327:F330)+SUM(F333,F335:F336)</f>
        <v>92150.338613579966</v>
      </c>
      <c r="H124" s="106"/>
      <c r="I124" s="34"/>
      <c r="J124" s="34"/>
      <c r="N124" s="35"/>
    </row>
    <row r="125" spans="1:14" s="36" customFormat="1" x14ac:dyDescent="0.3">
      <c r="A125" s="113" t="s">
        <v>315</v>
      </c>
      <c r="B125" s="113"/>
      <c r="C125" s="106">
        <f>COUNT(D444:D462)*11+COUNT(D464:D482)+COUNT(D484:D487,D494:D502)</f>
        <v>241</v>
      </c>
      <c r="D125" s="106"/>
      <c r="E125" s="105">
        <f>SUM(D444:D462)*11+SUM(D464:D482)+SUM(D484:D487,D494:D502)</f>
        <v>73906.592760000014</v>
      </c>
      <c r="F125" s="105"/>
      <c r="G125" s="105">
        <f>SUM(F444:F462)*11+SUM(F464:F482)+SUM(F484:F487,F494:F502)</f>
        <v>114555.21877799997</v>
      </c>
      <c r="H125" s="105"/>
      <c r="J125" s="35"/>
      <c r="L125" s="73"/>
      <c r="M125" s="73"/>
      <c r="N125" s="35"/>
    </row>
    <row r="126" spans="1:14" s="36" customFormat="1" x14ac:dyDescent="0.3">
      <c r="A126" s="164" t="s">
        <v>317</v>
      </c>
      <c r="B126" s="164"/>
      <c r="C126" s="165">
        <f>C118+C124</f>
        <v>223</v>
      </c>
      <c r="D126" s="165"/>
      <c r="E126" s="165">
        <f t="shared" ref="E126:H126" si="1">E118+E124</f>
        <v>122399.8831224</v>
      </c>
      <c r="F126" s="165"/>
      <c r="G126" s="165">
        <f t="shared" ref="G126:H126" si="2">G118+G124</f>
        <v>189719.81883971998</v>
      </c>
      <c r="H126" s="165"/>
      <c r="J126" s="35"/>
      <c r="L126" s="73"/>
      <c r="M126" s="73"/>
      <c r="N126" s="35"/>
    </row>
    <row r="127" spans="1:14" s="36" customFormat="1" ht="16.2" thickBot="1" x14ac:dyDescent="0.35">
      <c r="A127" s="164" t="s">
        <v>318</v>
      </c>
      <c r="B127" s="164"/>
      <c r="C127" s="165">
        <f>C119+C120+C125</f>
        <v>402</v>
      </c>
      <c r="D127" s="165"/>
      <c r="E127" s="165">
        <f>E119+E120+E125</f>
        <v>161873.87579999998</v>
      </c>
      <c r="F127" s="165"/>
      <c r="G127" s="165">
        <f>G119+G120+G125</f>
        <v>250904.50748999999</v>
      </c>
      <c r="H127" s="165"/>
      <c r="J127" s="35"/>
      <c r="L127" s="73"/>
      <c r="M127" s="73"/>
      <c r="N127" s="35"/>
    </row>
    <row r="128" spans="1:14" s="36" customFormat="1" ht="16.2" thickBot="1" x14ac:dyDescent="0.35">
      <c r="A128" s="119" t="s">
        <v>227</v>
      </c>
      <c r="B128" s="120"/>
      <c r="C128" s="110">
        <f>C127+C126</f>
        <v>625</v>
      </c>
      <c r="D128" s="111"/>
      <c r="E128" s="110">
        <f>E127+E126</f>
        <v>284273.75892239995</v>
      </c>
      <c r="F128" s="111"/>
      <c r="G128" s="110">
        <f t="shared" ref="G128" si="3">G127+G126</f>
        <v>440624.32632971997</v>
      </c>
      <c r="H128" s="111"/>
      <c r="J128" s="35"/>
      <c r="L128" s="73"/>
      <c r="M128" s="73"/>
      <c r="N128" s="35"/>
    </row>
    <row r="129" spans="1:14" s="36" customFormat="1" hidden="1" x14ac:dyDescent="0.3">
      <c r="A129" s="88"/>
      <c r="B129" s="88"/>
      <c r="C129" s="103"/>
      <c r="D129" s="103"/>
      <c r="E129" s="104"/>
      <c r="F129" s="104"/>
      <c r="G129" s="104"/>
      <c r="H129" s="104"/>
      <c r="I129" s="35"/>
      <c r="K129" s="36">
        <f t="shared" ref="K129:K134" si="4">17500*F237</f>
        <v>13779251.372249998</v>
      </c>
      <c r="L129" s="73"/>
      <c r="M129" s="73"/>
      <c r="N129" s="35"/>
    </row>
    <row r="130" spans="1:14" s="36" customFormat="1" x14ac:dyDescent="0.3">
      <c r="A130" s="114" t="s">
        <v>54</v>
      </c>
      <c r="B130" s="114"/>
      <c r="C130" s="114"/>
      <c r="D130" s="114"/>
      <c r="E130" s="114"/>
      <c r="F130" s="114"/>
      <c r="G130" s="114"/>
      <c r="H130" s="114"/>
      <c r="I130" s="35">
        <f>15500000/F139</f>
        <v>19685.394559697903</v>
      </c>
      <c r="J130" s="35">
        <f>15600000/F139</f>
        <v>19812.397105244341</v>
      </c>
      <c r="K130" s="36">
        <f t="shared" si="4"/>
        <v>13779251.372249998</v>
      </c>
      <c r="L130" s="73"/>
      <c r="M130" s="73"/>
      <c r="N130" s="35"/>
    </row>
    <row r="131" spans="1:14" s="36" customFormat="1" x14ac:dyDescent="0.3">
      <c r="A131" s="114" t="s">
        <v>55</v>
      </c>
      <c r="B131" s="114"/>
      <c r="C131" s="114"/>
      <c r="D131" s="114"/>
      <c r="E131" s="114"/>
      <c r="F131" s="114"/>
      <c r="G131" s="114"/>
      <c r="H131" s="114"/>
      <c r="I131" s="35"/>
      <c r="J131" s="35">
        <f>15600000/F140</f>
        <v>19812.397105244341</v>
      </c>
      <c r="K131" s="36">
        <f t="shared" si="4"/>
        <v>0</v>
      </c>
      <c r="L131" s="73"/>
      <c r="M131" s="73"/>
      <c r="N131" s="35"/>
    </row>
    <row r="132" spans="1:14" s="36" customFormat="1" ht="46.8" x14ac:dyDescent="0.3">
      <c r="A132" s="151" t="s">
        <v>116</v>
      </c>
      <c r="B132" s="151" t="s">
        <v>218</v>
      </c>
      <c r="C132" s="116" t="s">
        <v>56</v>
      </c>
      <c r="D132" s="116" t="s">
        <v>57</v>
      </c>
      <c r="E132" s="149" t="s">
        <v>58</v>
      </c>
      <c r="F132" s="41" t="s">
        <v>144</v>
      </c>
      <c r="G132" s="151" t="s">
        <v>59</v>
      </c>
      <c r="H132" s="152"/>
      <c r="I132" s="35"/>
      <c r="J132" s="35">
        <f>15600000/F141</f>
        <v>19812.397105244341</v>
      </c>
      <c r="K132" s="36">
        <f t="shared" si="4"/>
        <v>13779251.372249998</v>
      </c>
      <c r="L132" s="73"/>
      <c r="M132" s="73"/>
      <c r="N132" s="35"/>
    </row>
    <row r="133" spans="1:14" s="36" customFormat="1" x14ac:dyDescent="0.3">
      <c r="A133" s="153"/>
      <c r="B133" s="153"/>
      <c r="C133" s="117"/>
      <c r="D133" s="117"/>
      <c r="E133" s="150"/>
      <c r="F133" s="13">
        <v>0.55000000000000004</v>
      </c>
      <c r="G133" s="153"/>
      <c r="H133" s="154"/>
      <c r="I133" s="35"/>
      <c r="J133" s="35">
        <f>15600000/F142</f>
        <v>19812.397105244341</v>
      </c>
      <c r="K133" s="36">
        <f t="shared" si="4"/>
        <v>13779251.372249998</v>
      </c>
      <c r="L133" s="73"/>
      <c r="M133" s="73"/>
      <c r="N133" s="35"/>
    </row>
    <row r="134" spans="1:14" s="36" customFormat="1" x14ac:dyDescent="0.3">
      <c r="A134" s="223" t="s">
        <v>169</v>
      </c>
      <c r="B134" s="223"/>
      <c r="C134" s="223"/>
      <c r="D134" s="223"/>
      <c r="E134" s="223"/>
      <c r="F134" s="223"/>
      <c r="G134" s="223"/>
      <c r="H134" s="223"/>
      <c r="J134" s="35"/>
      <c r="K134" s="36">
        <f t="shared" si="4"/>
        <v>13779251.372249998</v>
      </c>
      <c r="L134" s="73"/>
      <c r="M134" s="73"/>
      <c r="N134" s="35"/>
    </row>
    <row r="135" spans="1:14" s="36" customFormat="1" x14ac:dyDescent="0.3">
      <c r="A135" s="70" t="s">
        <v>187</v>
      </c>
      <c r="B135" s="71"/>
      <c r="C135" s="71"/>
      <c r="D135" s="71"/>
      <c r="E135" s="71"/>
      <c r="F135" s="71"/>
      <c r="G135" s="71"/>
      <c r="H135" s="72"/>
      <c r="I135" s="35"/>
      <c r="J135" s="35" t="e">
        <f>15600000/#REF!</f>
        <v>#REF!</v>
      </c>
    </row>
    <row r="136" spans="1:14" s="36" customFormat="1" x14ac:dyDescent="0.3">
      <c r="A136" s="70" t="s">
        <v>265</v>
      </c>
      <c r="B136" s="71"/>
      <c r="C136" s="71"/>
      <c r="D136" s="71"/>
      <c r="E136" s="71"/>
      <c r="F136" s="71"/>
      <c r="G136" s="71"/>
      <c r="H136" s="72"/>
      <c r="I136" s="35"/>
      <c r="J136" s="35" t="e">
        <f>15600000/#REF!</f>
        <v>#REF!</v>
      </c>
      <c r="L136" s="73"/>
      <c r="M136" s="73"/>
      <c r="N136" s="35"/>
    </row>
    <row r="137" spans="1:14" s="36" customFormat="1" x14ac:dyDescent="0.3">
      <c r="A137" s="224" t="s">
        <v>267</v>
      </c>
      <c r="B137" s="225"/>
      <c r="C137" s="225"/>
      <c r="D137" s="225"/>
      <c r="E137" s="225"/>
      <c r="F137" s="225"/>
      <c r="G137" s="225"/>
      <c r="H137" s="226"/>
      <c r="I137" s="35"/>
      <c r="J137" s="35" t="e">
        <f>15600000/#REF!</f>
        <v>#REF!</v>
      </c>
      <c r="L137" s="73"/>
      <c r="M137" s="73"/>
      <c r="N137" s="35"/>
    </row>
    <row r="138" spans="1:14" s="36" customFormat="1" ht="15.6" customHeight="1" x14ac:dyDescent="0.3">
      <c r="A138" s="227">
        <v>1</v>
      </c>
      <c r="B138" s="228"/>
      <c r="C138" s="227" t="s">
        <v>266</v>
      </c>
      <c r="D138" s="229"/>
      <c r="E138" s="229"/>
      <c r="F138" s="228"/>
      <c r="G138" s="230" t="str">
        <f>A137</f>
        <v>1st Floor for Residential, Fire Control Room &amp; Parking</v>
      </c>
      <c r="H138" s="231"/>
      <c r="I138" s="35"/>
      <c r="J138" s="35" t="e">
        <f>15600000/#REF!</f>
        <v>#REF!</v>
      </c>
      <c r="L138" s="73"/>
      <c r="M138" s="73"/>
      <c r="N138" s="35"/>
    </row>
    <row r="139" spans="1:14" s="36" customFormat="1" ht="31.2" x14ac:dyDescent="0.3">
      <c r="A139" s="227">
        <f t="shared" ref="A139:A146" si="5">A138+1</f>
        <v>2</v>
      </c>
      <c r="B139" s="228"/>
      <c r="C139" s="232" t="s">
        <v>311</v>
      </c>
      <c r="D139" s="233">
        <f>(3.05*3.03+2.23*1.53+2.13*0.6+2.85*1.25+2.75*1.8+2.85*1.25+2.75*1.8+2.2*1.85+1.38*(2.15+2.15)+0.6*(1.28+1.38)+1.25*0.41+0.91*0.41+3.05*1.23)*10.764</f>
        <v>507.99083399999995</v>
      </c>
      <c r="E139" s="233">
        <v>0</v>
      </c>
      <c r="F139" s="232">
        <f>D139*(($F$133)+1)+(IF(E139&lt;101,E139,IF(E139&lt;201,E139/2,IF(E139&lt;=301,E139/3,E139/4))))</f>
        <v>787.38579269999991</v>
      </c>
      <c r="G139" s="234"/>
      <c r="H139" s="235"/>
      <c r="I139" s="35">
        <f>(3.05*3.03+2.23*1.53+2.13*0.6+2.85*(1.25+1.25)+2.75*(1.8+1.8)+2.2*1.86+1.38*(2.15+2.15)+0.6*(1.28+1.38)+1.25*0.41+0.8*0.4+3.05*1.23)*10.764</f>
        <v>507.6560735999999</v>
      </c>
      <c r="J139" s="35" t="e">
        <f>15600000/#REF!</f>
        <v>#REF!</v>
      </c>
      <c r="K139" s="50">
        <f>(45.82+3.05*1.23)*10.764</f>
        <v>533.587626</v>
      </c>
      <c r="L139" s="73"/>
      <c r="M139" s="73"/>
      <c r="N139" s="35"/>
    </row>
    <row r="140" spans="1:14" s="36" customFormat="1" ht="31.2" x14ac:dyDescent="0.3">
      <c r="A140" s="227">
        <f t="shared" si="5"/>
        <v>3</v>
      </c>
      <c r="B140" s="228"/>
      <c r="C140" s="232" t="s">
        <v>311</v>
      </c>
      <c r="D140" s="233">
        <f t="shared" ref="D140:D142" si="6">(3.05*3.03+2.23*1.53+2.13*0.6+2.85*1.25+2.75*1.8+2.85*1.25+2.75*1.8+2.2*1.85+1.38*(2.15+2.15)+0.6*(1.28+1.38)+1.25*0.41+0.91*0.41+3.05*1.23)*10.764</f>
        <v>507.99083399999995</v>
      </c>
      <c r="E140" s="233">
        <v>0</v>
      </c>
      <c r="F140" s="232">
        <f>D140*(($F$133)+1)+(IF(E140&lt;101,E140,IF(E140&lt;201,E140/2,IF(E140&lt;=301,E140/3,E140/4))))</f>
        <v>787.38579269999991</v>
      </c>
      <c r="G140" s="234"/>
      <c r="H140" s="235"/>
      <c r="J140" s="35"/>
      <c r="L140" s="73"/>
      <c r="M140" s="73"/>
      <c r="N140" s="35"/>
    </row>
    <row r="141" spans="1:14" s="36" customFormat="1" ht="31.2" x14ac:dyDescent="0.3">
      <c r="A141" s="227">
        <f t="shared" si="5"/>
        <v>4</v>
      </c>
      <c r="B141" s="228"/>
      <c r="C141" s="232" t="s">
        <v>311</v>
      </c>
      <c r="D141" s="233">
        <f t="shared" si="6"/>
        <v>507.99083399999995</v>
      </c>
      <c r="E141" s="233">
        <v>0</v>
      </c>
      <c r="F141" s="232">
        <f>D141*(($F$133)+1)+(IF(E141&lt;101,E141,IF(E141&lt;201,E141/2,IF(E141&lt;=301,E141/3,E141/4))))</f>
        <v>787.38579269999991</v>
      </c>
      <c r="G141" s="234"/>
      <c r="H141" s="235"/>
      <c r="I141" s="35"/>
      <c r="J141" s="35">
        <f>15600000/F197</f>
        <v>16766.436204581885</v>
      </c>
      <c r="L141" s="73"/>
      <c r="M141" s="73"/>
      <c r="N141" s="35"/>
    </row>
    <row r="142" spans="1:14" s="36" customFormat="1" ht="31.2" x14ac:dyDescent="0.3">
      <c r="A142" s="227">
        <f t="shared" si="5"/>
        <v>5</v>
      </c>
      <c r="B142" s="228"/>
      <c r="C142" s="232" t="s">
        <v>311</v>
      </c>
      <c r="D142" s="233">
        <f t="shared" si="6"/>
        <v>507.99083399999995</v>
      </c>
      <c r="E142" s="233">
        <v>0</v>
      </c>
      <c r="F142" s="232">
        <f>D142*(($F$133)+1)+(IF(E142&lt;101,E142,IF(E142&lt;201,E142/2,IF(E142&lt;=301,E142/3,E142/4))))</f>
        <v>787.38579269999991</v>
      </c>
      <c r="G142" s="234"/>
      <c r="H142" s="235"/>
      <c r="I142" s="35"/>
      <c r="J142" s="35"/>
      <c r="L142" s="73"/>
      <c r="M142" s="73"/>
      <c r="N142" s="35"/>
    </row>
    <row r="143" spans="1:14" s="36" customFormat="1" x14ac:dyDescent="0.3">
      <c r="A143" s="227">
        <f t="shared" si="5"/>
        <v>6</v>
      </c>
      <c r="B143" s="228"/>
      <c r="C143" s="236" t="s">
        <v>306</v>
      </c>
      <c r="D143" s="236"/>
      <c r="E143" s="236"/>
      <c r="F143" s="236"/>
      <c r="G143" s="234"/>
      <c r="H143" s="235"/>
      <c r="I143" s="35"/>
      <c r="J143" s="35"/>
      <c r="L143" s="73"/>
      <c r="M143" s="73"/>
      <c r="N143" s="35"/>
    </row>
    <row r="144" spans="1:14" s="36" customFormat="1" x14ac:dyDescent="0.3">
      <c r="A144" s="227">
        <f t="shared" si="5"/>
        <v>7</v>
      </c>
      <c r="B144" s="228"/>
      <c r="C144" s="236" t="s">
        <v>307</v>
      </c>
      <c r="D144" s="236"/>
      <c r="E144" s="236"/>
      <c r="F144" s="236"/>
      <c r="G144" s="234"/>
      <c r="H144" s="235"/>
      <c r="I144" s="35"/>
      <c r="J144" s="35"/>
      <c r="L144" s="73"/>
      <c r="M144" s="73"/>
      <c r="N144" s="35"/>
    </row>
    <row r="145" spans="1:14" s="36" customFormat="1" x14ac:dyDescent="0.3">
      <c r="A145" s="227">
        <f t="shared" si="5"/>
        <v>8</v>
      </c>
      <c r="B145" s="228"/>
      <c r="C145" s="236" t="s">
        <v>308</v>
      </c>
      <c r="D145" s="236"/>
      <c r="E145" s="236"/>
      <c r="F145" s="236"/>
      <c r="G145" s="234"/>
      <c r="H145" s="235"/>
      <c r="I145" s="35"/>
      <c r="J145" s="35"/>
      <c r="L145" s="73"/>
      <c r="M145" s="73"/>
      <c r="N145" s="35"/>
    </row>
    <row r="146" spans="1:14" s="36" customFormat="1" x14ac:dyDescent="0.3">
      <c r="A146" s="227">
        <f t="shared" si="5"/>
        <v>9</v>
      </c>
      <c r="B146" s="228"/>
      <c r="C146" s="237" t="s">
        <v>309</v>
      </c>
      <c r="D146" s="237"/>
      <c r="E146" s="237"/>
      <c r="F146" s="237"/>
      <c r="G146" s="238"/>
      <c r="H146" s="239"/>
      <c r="I146" s="35"/>
      <c r="J146" s="35"/>
      <c r="L146" s="73"/>
      <c r="M146" s="73"/>
      <c r="N146" s="35"/>
    </row>
    <row r="147" spans="1:14" s="36" customFormat="1" x14ac:dyDescent="0.3">
      <c r="A147" s="224" t="s">
        <v>268</v>
      </c>
      <c r="B147" s="225"/>
      <c r="C147" s="225"/>
      <c r="D147" s="225"/>
      <c r="E147" s="225"/>
      <c r="F147" s="225"/>
      <c r="G147" s="225"/>
      <c r="H147" s="226"/>
      <c r="I147" s="35"/>
      <c r="J147" s="35"/>
      <c r="L147" s="73"/>
      <c r="M147" s="73"/>
      <c r="N147" s="35"/>
    </row>
    <row r="148" spans="1:14" s="36" customFormat="1" ht="31.2" x14ac:dyDescent="0.3">
      <c r="A148" s="227">
        <v>1</v>
      </c>
      <c r="B148" s="228"/>
      <c r="C148" s="232" t="s">
        <v>311</v>
      </c>
      <c r="D148" s="233">
        <f t="shared" ref="D148:D152" si="7">(3.05*3.03+2.23*1.53+2.13*0.6+2.85*1.25+2.75*1.8+2.85*1.25+2.75*1.8+2.2*1.85+1.38*(2.15+2.15)+0.6*(1.28+1.38)+1.25*0.41+0.91*0.41+3.05*1.23)*10.764</f>
        <v>507.99083399999995</v>
      </c>
      <c r="E148" s="233">
        <v>0</v>
      </c>
      <c r="F148" s="232">
        <f>D148*(($F$133)+1)+(IF(E148&lt;101,E148,IF(E148&lt;201,E148/2,IF(E148&lt;=301,E148/3,E148/4))))</f>
        <v>787.38579269999991</v>
      </c>
      <c r="G148" s="230" t="str">
        <f>A147</f>
        <v>2nd Floor</v>
      </c>
      <c r="H148" s="231"/>
      <c r="I148" s="35"/>
      <c r="J148" s="35"/>
      <c r="L148" s="73"/>
      <c r="M148" s="73"/>
      <c r="N148" s="35"/>
    </row>
    <row r="149" spans="1:14" s="36" customFormat="1" ht="31.2" x14ac:dyDescent="0.3">
      <c r="A149" s="227">
        <f t="shared" ref="A149:A156" si="8">A148+1</f>
        <v>2</v>
      </c>
      <c r="B149" s="228"/>
      <c r="C149" s="232" t="s">
        <v>311</v>
      </c>
      <c r="D149" s="233">
        <f t="shared" si="7"/>
        <v>507.99083399999995</v>
      </c>
      <c r="E149" s="233">
        <v>0</v>
      </c>
      <c r="F149" s="232">
        <f>D149*(($F$133)+1)+(IF(E149&lt;101,E149,IF(E149&lt;201,E149/2,IF(E149&lt;=301,E149/3,E149/4))))</f>
        <v>787.38579269999991</v>
      </c>
      <c r="G149" s="234"/>
      <c r="H149" s="235"/>
      <c r="I149" s="35"/>
      <c r="J149" s="35"/>
    </row>
    <row r="150" spans="1:14" s="36" customFormat="1" ht="31.2" x14ac:dyDescent="0.3">
      <c r="A150" s="227">
        <f t="shared" si="8"/>
        <v>3</v>
      </c>
      <c r="B150" s="228"/>
      <c r="C150" s="232" t="s">
        <v>311</v>
      </c>
      <c r="D150" s="233">
        <f t="shared" si="7"/>
        <v>507.99083399999995</v>
      </c>
      <c r="E150" s="233">
        <v>0</v>
      </c>
      <c r="F150" s="232">
        <f>D150*(($F$133)+1)+(IF(E150&lt;101,E150,IF(E150&lt;201,E150/2,IF(E150&lt;=301,E150/3,E150/4))))</f>
        <v>787.38579269999991</v>
      </c>
      <c r="G150" s="234"/>
      <c r="H150" s="235"/>
      <c r="J150" s="35"/>
      <c r="L150" s="73"/>
      <c r="M150" s="73"/>
      <c r="N150" s="35"/>
    </row>
    <row r="151" spans="1:14" s="36" customFormat="1" ht="31.2" x14ac:dyDescent="0.3">
      <c r="A151" s="227">
        <f t="shared" si="8"/>
        <v>4</v>
      </c>
      <c r="B151" s="228"/>
      <c r="C151" s="232" t="s">
        <v>311</v>
      </c>
      <c r="D151" s="233">
        <f t="shared" si="7"/>
        <v>507.99083399999995</v>
      </c>
      <c r="E151" s="233">
        <v>0</v>
      </c>
      <c r="F151" s="232">
        <f>D151*(($F$133)+1)+(IF(E151&lt;101,E151,IF(E151&lt;201,E151/2,IF(E151&lt;=301,E151/3,E151/4))))</f>
        <v>787.38579269999991</v>
      </c>
      <c r="G151" s="234"/>
      <c r="H151" s="235"/>
      <c r="I151" s="35"/>
      <c r="J151" s="35"/>
      <c r="L151" s="73"/>
      <c r="M151" s="73"/>
      <c r="N151" s="35"/>
    </row>
    <row r="152" spans="1:14" s="36" customFormat="1" ht="31.2" x14ac:dyDescent="0.3">
      <c r="A152" s="227">
        <f t="shared" si="8"/>
        <v>5</v>
      </c>
      <c r="B152" s="228"/>
      <c r="C152" s="232" t="s">
        <v>311</v>
      </c>
      <c r="D152" s="233">
        <f t="shared" si="7"/>
        <v>507.99083399999995</v>
      </c>
      <c r="E152" s="233">
        <v>0</v>
      </c>
      <c r="F152" s="232">
        <f>D152*(($F$133)+1)+(IF(E152&lt;101,E152,IF(E152&lt;201,E152/2,IF(E152&lt;=301,E152/3,E152/4))))</f>
        <v>787.38579269999991</v>
      </c>
      <c r="G152" s="234"/>
      <c r="H152" s="235"/>
      <c r="I152" s="35"/>
      <c r="J152" s="35"/>
      <c r="L152" s="73"/>
      <c r="M152" s="73"/>
      <c r="N152" s="35"/>
    </row>
    <row r="153" spans="1:14" s="36" customFormat="1" x14ac:dyDescent="0.3">
      <c r="A153" s="227">
        <f t="shared" si="8"/>
        <v>6</v>
      </c>
      <c r="B153" s="228"/>
      <c r="C153" s="236" t="s">
        <v>306</v>
      </c>
      <c r="D153" s="236"/>
      <c r="E153" s="236"/>
      <c r="F153" s="236"/>
      <c r="G153" s="234"/>
      <c r="H153" s="235"/>
      <c r="I153" s="35"/>
      <c r="J153" s="35"/>
      <c r="L153" s="73"/>
      <c r="M153" s="73"/>
      <c r="N153" s="35"/>
    </row>
    <row r="154" spans="1:14" s="36" customFormat="1" x14ac:dyDescent="0.3">
      <c r="A154" s="227">
        <f t="shared" si="8"/>
        <v>7</v>
      </c>
      <c r="B154" s="228"/>
      <c r="C154" s="240" t="s">
        <v>310</v>
      </c>
      <c r="D154" s="241"/>
      <c r="E154" s="241"/>
      <c r="F154" s="242"/>
      <c r="G154" s="234"/>
      <c r="H154" s="235"/>
      <c r="I154" s="35"/>
      <c r="J154" s="35"/>
      <c r="L154" s="73"/>
      <c r="M154" s="73"/>
      <c r="N154" s="35"/>
    </row>
    <row r="155" spans="1:14" s="36" customFormat="1" x14ac:dyDescent="0.3">
      <c r="A155" s="227">
        <f t="shared" si="8"/>
        <v>8</v>
      </c>
      <c r="B155" s="228"/>
      <c r="C155" s="243"/>
      <c r="D155" s="244"/>
      <c r="E155" s="244"/>
      <c r="F155" s="245"/>
      <c r="G155" s="234"/>
      <c r="H155" s="235"/>
      <c r="I155" s="35"/>
      <c r="J155" s="35"/>
      <c r="L155" s="73"/>
      <c r="M155" s="73"/>
      <c r="N155" s="35"/>
    </row>
    <row r="156" spans="1:14" s="36" customFormat="1" x14ac:dyDescent="0.3">
      <c r="A156" s="227">
        <f t="shared" si="8"/>
        <v>9</v>
      </c>
      <c r="B156" s="228"/>
      <c r="C156" s="246"/>
      <c r="D156" s="247"/>
      <c r="E156" s="247"/>
      <c r="F156" s="248"/>
      <c r="G156" s="238"/>
      <c r="H156" s="239"/>
      <c r="I156" s="35"/>
      <c r="J156" s="35"/>
      <c r="L156" s="73"/>
      <c r="M156" s="73"/>
      <c r="N156" s="35"/>
    </row>
    <row r="157" spans="1:14" s="36" customFormat="1" x14ac:dyDescent="0.3">
      <c r="A157" s="224" t="s">
        <v>273</v>
      </c>
      <c r="B157" s="225"/>
      <c r="C157" s="225"/>
      <c r="D157" s="225"/>
      <c r="E157" s="225"/>
      <c r="F157" s="225"/>
      <c r="G157" s="225"/>
      <c r="H157" s="226"/>
      <c r="I157" s="35"/>
      <c r="J157" s="35"/>
      <c r="L157" s="73"/>
      <c r="M157" s="73"/>
      <c r="N157" s="35"/>
    </row>
    <row r="158" spans="1:14" s="36" customFormat="1" ht="31.2" x14ac:dyDescent="0.3">
      <c r="A158" s="227">
        <v>1</v>
      </c>
      <c r="B158" s="228"/>
      <c r="C158" s="232" t="s">
        <v>311</v>
      </c>
      <c r="D158" s="233">
        <f t="shared" ref="D158:D162" si="9">(3.05*3.03+2.23*1.53+2.13*0.6+2.85*1.25+2.75*1.8+2.85*1.25+2.75*1.8+2.2*1.85+1.38*(2.15+2.15)+0.6*(1.28+1.38)+1.25*0.41+0.91*0.41+3.05*1.23)*10.764</f>
        <v>507.99083399999995</v>
      </c>
      <c r="E158" s="233">
        <v>0</v>
      </c>
      <c r="F158" s="232">
        <f>D158*(($F$133)+1)+(IF(E158&lt;101,E158,IF(E158&lt;201,E158/2,IF(E158&lt;=301,E158/3,E158/4))))</f>
        <v>787.38579269999991</v>
      </c>
      <c r="G158" s="230" t="str">
        <f>A157</f>
        <v xml:space="preserve">3rd Floor </v>
      </c>
      <c r="H158" s="231"/>
      <c r="I158" s="35"/>
      <c r="J158" s="35"/>
      <c r="L158" s="73"/>
      <c r="M158" s="73"/>
      <c r="N158" s="35"/>
    </row>
    <row r="159" spans="1:14" s="36" customFormat="1" ht="31.2" x14ac:dyDescent="0.3">
      <c r="A159" s="227">
        <f t="shared" ref="A159:A166" si="10">A158+1</f>
        <v>2</v>
      </c>
      <c r="B159" s="228"/>
      <c r="C159" s="232" t="s">
        <v>311</v>
      </c>
      <c r="D159" s="233">
        <f t="shared" si="9"/>
        <v>507.99083399999995</v>
      </c>
      <c r="E159" s="233">
        <v>0</v>
      </c>
      <c r="F159" s="232">
        <f>D159*(($F$133)+1)+(IF(E159&lt;101,E159,IF(E159&lt;201,E159/2,IF(E159&lt;=301,E159/3,E159/4))))</f>
        <v>787.38579269999991</v>
      </c>
      <c r="G159" s="234"/>
      <c r="H159" s="235"/>
      <c r="I159" s="35"/>
      <c r="J159" s="35"/>
    </row>
    <row r="160" spans="1:14" s="36" customFormat="1" ht="31.2" x14ac:dyDescent="0.3">
      <c r="A160" s="227">
        <f t="shared" si="10"/>
        <v>3</v>
      </c>
      <c r="B160" s="228"/>
      <c r="C160" s="232" t="s">
        <v>311</v>
      </c>
      <c r="D160" s="233">
        <f t="shared" si="9"/>
        <v>507.99083399999995</v>
      </c>
      <c r="E160" s="233">
        <v>0</v>
      </c>
      <c r="F160" s="232">
        <f>D160*(($F$133)+1)+(IF(E160&lt;101,E160,IF(E160&lt;201,E160/2,IF(E160&lt;=301,E160/3,E160/4))))</f>
        <v>787.38579269999991</v>
      </c>
      <c r="G160" s="234"/>
      <c r="H160" s="235"/>
      <c r="J160" s="35"/>
      <c r="L160" s="73"/>
      <c r="M160" s="73"/>
      <c r="N160" s="35"/>
    </row>
    <row r="161" spans="1:14" s="36" customFormat="1" ht="31.2" x14ac:dyDescent="0.3">
      <c r="A161" s="227">
        <f t="shared" si="10"/>
        <v>4</v>
      </c>
      <c r="B161" s="228"/>
      <c r="C161" s="232" t="s">
        <v>311</v>
      </c>
      <c r="D161" s="233">
        <f t="shared" si="9"/>
        <v>507.99083399999995</v>
      </c>
      <c r="E161" s="233">
        <v>0</v>
      </c>
      <c r="F161" s="232">
        <f>D161*(($F$133)+1)+(IF(E161&lt;101,E161,IF(E161&lt;201,E161/2,IF(E161&lt;=301,E161/3,E161/4))))</f>
        <v>787.38579269999991</v>
      </c>
      <c r="G161" s="234"/>
      <c r="H161" s="235"/>
      <c r="I161" s="35"/>
      <c r="J161" s="35"/>
      <c r="L161" s="73"/>
      <c r="M161" s="73"/>
      <c r="N161" s="35"/>
    </row>
    <row r="162" spans="1:14" s="36" customFormat="1" ht="31.2" x14ac:dyDescent="0.3">
      <c r="A162" s="227">
        <f t="shared" si="10"/>
        <v>5</v>
      </c>
      <c r="B162" s="228"/>
      <c r="C162" s="232" t="s">
        <v>311</v>
      </c>
      <c r="D162" s="233">
        <f t="shared" si="9"/>
        <v>507.99083399999995</v>
      </c>
      <c r="E162" s="233">
        <v>0</v>
      </c>
      <c r="F162" s="232">
        <f>D162*(($F$133)+1)+(IF(E162&lt;101,E162,IF(E162&lt;201,E162/2,IF(E162&lt;=301,E162/3,E162/4))))</f>
        <v>787.38579269999991</v>
      </c>
      <c r="G162" s="234"/>
      <c r="H162" s="235"/>
      <c r="I162" s="35"/>
      <c r="J162" s="35"/>
      <c r="L162" s="73"/>
      <c r="M162" s="73"/>
      <c r="N162" s="35"/>
    </row>
    <row r="163" spans="1:14" s="36" customFormat="1" x14ac:dyDescent="0.3">
      <c r="A163" s="227">
        <f t="shared" si="10"/>
        <v>6</v>
      </c>
      <c r="B163" s="228"/>
      <c r="C163" s="236" t="s">
        <v>306</v>
      </c>
      <c r="D163" s="236"/>
      <c r="E163" s="236"/>
      <c r="F163" s="236"/>
      <c r="G163" s="234"/>
      <c r="H163" s="235"/>
      <c r="I163" s="35"/>
      <c r="J163" s="35"/>
      <c r="L163" s="73"/>
      <c r="M163" s="73"/>
      <c r="N163" s="35"/>
    </row>
    <row r="164" spans="1:14" s="36" customFormat="1" x14ac:dyDescent="0.3">
      <c r="A164" s="227">
        <f t="shared" si="10"/>
        <v>7</v>
      </c>
      <c r="B164" s="228"/>
      <c r="C164" s="240" t="s">
        <v>310</v>
      </c>
      <c r="D164" s="241"/>
      <c r="E164" s="241"/>
      <c r="F164" s="242"/>
      <c r="G164" s="234"/>
      <c r="H164" s="235"/>
      <c r="I164" s="35"/>
      <c r="J164" s="35"/>
      <c r="L164" s="73"/>
      <c r="M164" s="73"/>
      <c r="N164" s="35"/>
    </row>
    <row r="165" spans="1:14" s="36" customFormat="1" x14ac:dyDescent="0.3">
      <c r="A165" s="227">
        <f t="shared" si="10"/>
        <v>8</v>
      </c>
      <c r="B165" s="228"/>
      <c r="C165" s="243"/>
      <c r="D165" s="244"/>
      <c r="E165" s="244"/>
      <c r="F165" s="245"/>
      <c r="G165" s="234"/>
      <c r="H165" s="235"/>
      <c r="I165" s="35"/>
      <c r="J165" s="35"/>
      <c r="L165" s="73"/>
      <c r="M165" s="73"/>
      <c r="N165" s="35"/>
    </row>
    <row r="166" spans="1:14" s="36" customFormat="1" x14ac:dyDescent="0.3">
      <c r="A166" s="227">
        <f t="shared" si="10"/>
        <v>9</v>
      </c>
      <c r="B166" s="228"/>
      <c r="C166" s="246"/>
      <c r="D166" s="247"/>
      <c r="E166" s="247"/>
      <c r="F166" s="248"/>
      <c r="G166" s="238"/>
      <c r="H166" s="239"/>
      <c r="I166" s="35"/>
      <c r="J166" s="35"/>
      <c r="L166" s="73"/>
      <c r="M166" s="73"/>
      <c r="N166" s="35"/>
    </row>
    <row r="167" spans="1:14" s="36" customFormat="1" x14ac:dyDescent="0.3">
      <c r="A167" s="249" t="s">
        <v>272</v>
      </c>
      <c r="B167" s="250"/>
      <c r="C167" s="250"/>
      <c r="D167" s="250"/>
      <c r="E167" s="250"/>
      <c r="F167" s="250"/>
      <c r="G167" s="250"/>
      <c r="H167" s="251"/>
      <c r="I167" s="35"/>
      <c r="J167" s="35"/>
      <c r="L167" s="73"/>
      <c r="M167" s="73"/>
      <c r="N167" s="35"/>
    </row>
    <row r="168" spans="1:14" s="36" customFormat="1" ht="31.2" x14ac:dyDescent="0.3">
      <c r="A168" s="227">
        <v>1</v>
      </c>
      <c r="B168" s="228"/>
      <c r="C168" s="232" t="s">
        <v>311</v>
      </c>
      <c r="D168" s="233">
        <f t="shared" ref="D168:D170" si="11">(3.05*3.03+2.23*1.53+2.13*0.6+2.85*1.25+2.75*1.8+2.85*1.25+2.75*1.8+2.2*1.85+1.38*(2.15+2.15)+0.6*(1.28+1.38)+1.25*0.41+0.91*0.41+3.05*1.23)*10.764</f>
        <v>507.99083399999995</v>
      </c>
      <c r="E168" s="233">
        <v>0</v>
      </c>
      <c r="F168" s="232">
        <f>D168*(($F$133)+1)+(IF(E168&lt;101,E168,IF(E168&lt;201,E168/2,IF(E168&lt;=301,E168/3,E168/4))))</f>
        <v>787.38579269999991</v>
      </c>
      <c r="G168" s="230" t="str">
        <f>A167</f>
        <v xml:space="preserve">4th Floor </v>
      </c>
      <c r="H168" s="231"/>
      <c r="I168" s="35"/>
      <c r="J168" s="35"/>
      <c r="L168" s="73"/>
      <c r="M168" s="73"/>
      <c r="N168" s="35"/>
    </row>
    <row r="169" spans="1:14" s="36" customFormat="1" ht="31.2" x14ac:dyDescent="0.3">
      <c r="A169" s="227">
        <f t="shared" ref="A169:A170" si="12">A168+1</f>
        <v>2</v>
      </c>
      <c r="B169" s="228"/>
      <c r="C169" s="232" t="s">
        <v>311</v>
      </c>
      <c r="D169" s="233">
        <f t="shared" si="11"/>
        <v>507.99083399999995</v>
      </c>
      <c r="E169" s="233">
        <v>0</v>
      </c>
      <c r="F169" s="232">
        <f>D169*(($F$133)+1)+(IF(E169&lt;101,E169,IF(E169&lt;201,E169/2,IF(E169&lt;=301,E169/3,E169/4))))</f>
        <v>787.38579269999991</v>
      </c>
      <c r="G169" s="234"/>
      <c r="H169" s="235"/>
      <c r="I169" s="35"/>
      <c r="J169" s="35"/>
    </row>
    <row r="170" spans="1:14" s="36" customFormat="1" ht="31.2" x14ac:dyDescent="0.3">
      <c r="A170" s="227">
        <f t="shared" si="12"/>
        <v>3</v>
      </c>
      <c r="B170" s="228"/>
      <c r="C170" s="232" t="s">
        <v>311</v>
      </c>
      <c r="D170" s="233">
        <f t="shared" si="11"/>
        <v>507.99083399999995</v>
      </c>
      <c r="E170" s="233">
        <v>0</v>
      </c>
      <c r="F170" s="232">
        <f>D170*(($F$133)+1)+(IF(E170&lt;101,E170,IF(E170&lt;201,E170/2,IF(E170&lt;=301,E170/3,E170/4))))</f>
        <v>787.38579269999991</v>
      </c>
      <c r="G170" s="234"/>
      <c r="H170" s="235"/>
      <c r="J170" s="35"/>
      <c r="L170" s="73"/>
      <c r="M170" s="73"/>
      <c r="N170" s="35"/>
    </row>
    <row r="171" spans="1:14" s="36" customFormat="1" x14ac:dyDescent="0.3">
      <c r="A171" s="227" t="s">
        <v>312</v>
      </c>
      <c r="B171" s="228"/>
      <c r="C171" s="252" t="s">
        <v>191</v>
      </c>
      <c r="D171" s="233">
        <f>(3.05*4.89+2.85*2.13+2.75*1.98+(2.85*1.25+2.75*1.8)*2+3.05*3.03+1.9*2.22+2.85+1.05*2.12+2.75*1.8+2.95*1.25+1.38*(2.15+2.15+2.15)+1.37*2.1+0.6*(1.28+1.28+1.38+1.38)+(3.05*1.23)*2)*10.764</f>
        <v>1002.1391639999998</v>
      </c>
      <c r="E171" s="233">
        <v>0</v>
      </c>
      <c r="F171" s="232">
        <f>D171*(($F$133)+1)+(IF(E171&lt;101,E171,IF(E171&lt;201,E171/2,IF(E171&lt;=301,E171/3,E171/4))))</f>
        <v>1553.3157041999998</v>
      </c>
      <c r="G171" s="234"/>
      <c r="H171" s="235"/>
      <c r="I171" s="35"/>
      <c r="J171" s="35"/>
      <c r="L171" s="73"/>
      <c r="M171" s="73"/>
      <c r="N171" s="35"/>
    </row>
    <row r="172" spans="1:14" s="36" customFormat="1" x14ac:dyDescent="0.3">
      <c r="A172" s="227">
        <v>6</v>
      </c>
      <c r="B172" s="228"/>
      <c r="C172" s="236" t="s">
        <v>306</v>
      </c>
      <c r="D172" s="236"/>
      <c r="E172" s="236"/>
      <c r="F172" s="236"/>
      <c r="G172" s="234"/>
      <c r="H172" s="235"/>
      <c r="I172" s="35"/>
      <c r="J172" s="35"/>
      <c r="L172" s="73"/>
      <c r="M172" s="73"/>
      <c r="N172" s="35"/>
    </row>
    <row r="173" spans="1:14" s="36" customFormat="1" x14ac:dyDescent="0.3">
      <c r="A173" s="227">
        <f t="shared" ref="A173:A175" si="13">A172+1</f>
        <v>7</v>
      </c>
      <c r="B173" s="228"/>
      <c r="C173" s="240" t="s">
        <v>310</v>
      </c>
      <c r="D173" s="241"/>
      <c r="E173" s="241"/>
      <c r="F173" s="242"/>
      <c r="G173" s="234"/>
      <c r="H173" s="235"/>
      <c r="I173" s="35"/>
      <c r="J173" s="35"/>
      <c r="L173" s="73"/>
      <c r="M173" s="73"/>
      <c r="N173" s="35"/>
    </row>
    <row r="174" spans="1:14" s="36" customFormat="1" x14ac:dyDescent="0.3">
      <c r="A174" s="227">
        <f t="shared" si="13"/>
        <v>8</v>
      </c>
      <c r="B174" s="228"/>
      <c r="C174" s="243"/>
      <c r="D174" s="244"/>
      <c r="E174" s="244"/>
      <c r="F174" s="245"/>
      <c r="G174" s="234"/>
      <c r="H174" s="235"/>
      <c r="I174" s="35"/>
      <c r="J174" s="35"/>
      <c r="L174" s="73"/>
      <c r="M174" s="73"/>
      <c r="N174" s="35"/>
    </row>
    <row r="175" spans="1:14" s="36" customFormat="1" x14ac:dyDescent="0.3">
      <c r="A175" s="227">
        <f t="shared" si="13"/>
        <v>9</v>
      </c>
      <c r="B175" s="228"/>
      <c r="C175" s="246"/>
      <c r="D175" s="247"/>
      <c r="E175" s="247"/>
      <c r="F175" s="248"/>
      <c r="G175" s="238"/>
      <c r="H175" s="239"/>
      <c r="I175" s="35"/>
      <c r="J175" s="35"/>
      <c r="L175" s="73"/>
      <c r="M175" s="73"/>
      <c r="N175" s="35"/>
    </row>
    <row r="176" spans="1:14" s="36" customFormat="1" x14ac:dyDescent="0.3">
      <c r="A176" s="224" t="s">
        <v>271</v>
      </c>
      <c r="B176" s="225"/>
      <c r="C176" s="225"/>
      <c r="D176" s="225"/>
      <c r="E176" s="225"/>
      <c r="F176" s="225"/>
      <c r="G176" s="225"/>
      <c r="H176" s="226"/>
      <c r="I176" s="35"/>
      <c r="J176" s="35"/>
      <c r="L176" s="73"/>
      <c r="M176" s="73"/>
      <c r="N176" s="35"/>
    </row>
    <row r="177" spans="1:14" s="36" customFormat="1" ht="31.2" x14ac:dyDescent="0.3">
      <c r="A177" s="227">
        <v>1</v>
      </c>
      <c r="B177" s="228"/>
      <c r="C177" s="232" t="s">
        <v>311</v>
      </c>
      <c r="D177" s="233">
        <f t="shared" ref="D177:D181" si="14">(3.05*3.03+2.23*1.53+2.13*0.6+2.85*1.25+2.75*1.8+2.85*1.25+2.75*1.8+2.2*1.85+1.38*(2.15+2.15)+0.6*(1.28+1.38)+1.25*0.41+0.91*0.41+3.05*1.23)*10.764</f>
        <v>507.99083399999995</v>
      </c>
      <c r="E177" s="233">
        <v>0</v>
      </c>
      <c r="F177" s="232">
        <f>D177*(($F$133)+1)+(IF(E177&lt;101,E177,IF(E177&lt;201,E177/2,IF(E177&lt;=301,E177/3,E177/4))))</f>
        <v>787.38579269999991</v>
      </c>
      <c r="G177" s="230" t="str">
        <f>A176</f>
        <v>5th &amp; 6th Floor</v>
      </c>
      <c r="H177" s="231"/>
      <c r="I177" s="35"/>
      <c r="J177" s="35"/>
      <c r="L177" s="73"/>
      <c r="M177" s="73"/>
      <c r="N177" s="35"/>
    </row>
    <row r="178" spans="1:14" s="36" customFormat="1" ht="31.2" x14ac:dyDescent="0.3">
      <c r="A178" s="227">
        <f t="shared" ref="A178:A181" si="15">A177+1</f>
        <v>2</v>
      </c>
      <c r="B178" s="228"/>
      <c r="C178" s="232" t="s">
        <v>311</v>
      </c>
      <c r="D178" s="233">
        <f t="shared" si="14"/>
        <v>507.99083399999995</v>
      </c>
      <c r="E178" s="233">
        <v>0</v>
      </c>
      <c r="F178" s="232">
        <f>D178*(($F$133)+1)+(IF(E178&lt;101,E178,IF(E178&lt;201,E178/2,IF(E178&lt;=301,E178/3,E178/4))))</f>
        <v>787.38579269999991</v>
      </c>
      <c r="G178" s="234"/>
      <c r="H178" s="235"/>
      <c r="I178" s="35"/>
      <c r="J178" s="35"/>
    </row>
    <row r="179" spans="1:14" s="36" customFormat="1" ht="31.2" x14ac:dyDescent="0.3">
      <c r="A179" s="227">
        <f t="shared" si="15"/>
        <v>3</v>
      </c>
      <c r="B179" s="228"/>
      <c r="C179" s="232" t="s">
        <v>311</v>
      </c>
      <c r="D179" s="233">
        <f t="shared" si="14"/>
        <v>507.99083399999995</v>
      </c>
      <c r="E179" s="233">
        <v>0</v>
      </c>
      <c r="F179" s="232">
        <f>D179*(($F$133)+1)+(IF(E179&lt;101,E179,IF(E179&lt;201,E179/2,IF(E179&lt;=301,E179/3,E179/4))))</f>
        <v>787.38579269999991</v>
      </c>
      <c r="G179" s="234"/>
      <c r="H179" s="235"/>
      <c r="J179" s="35"/>
      <c r="L179" s="73"/>
      <c r="M179" s="73"/>
      <c r="N179" s="35"/>
    </row>
    <row r="180" spans="1:14" s="36" customFormat="1" ht="31.2" x14ac:dyDescent="0.3">
      <c r="A180" s="227">
        <f t="shared" si="15"/>
        <v>4</v>
      </c>
      <c r="B180" s="228"/>
      <c r="C180" s="232" t="s">
        <v>311</v>
      </c>
      <c r="D180" s="233">
        <f t="shared" si="14"/>
        <v>507.99083399999995</v>
      </c>
      <c r="E180" s="233">
        <v>0</v>
      </c>
      <c r="F180" s="232">
        <f>D180*(($F$133)+1)+(IF(E180&lt;101,E180,IF(E180&lt;201,E180/2,IF(E180&lt;=301,E180/3,E180/4))))</f>
        <v>787.38579269999991</v>
      </c>
      <c r="G180" s="234"/>
      <c r="H180" s="235"/>
      <c r="I180" s="35"/>
      <c r="J180" s="35"/>
      <c r="L180" s="73"/>
      <c r="M180" s="73"/>
      <c r="N180" s="35"/>
    </row>
    <row r="181" spans="1:14" s="36" customFormat="1" ht="31.2" x14ac:dyDescent="0.3">
      <c r="A181" s="227">
        <f t="shared" si="15"/>
        <v>5</v>
      </c>
      <c r="B181" s="228"/>
      <c r="C181" s="232" t="s">
        <v>311</v>
      </c>
      <c r="D181" s="233">
        <f t="shared" si="14"/>
        <v>507.99083399999995</v>
      </c>
      <c r="E181" s="233">
        <v>0</v>
      </c>
      <c r="F181" s="232">
        <f>D181*(($F$133)+1)+(IF(E181&lt;101,E181,IF(E181&lt;201,E181/2,IF(E181&lt;=301,E181/3,E181/4))))</f>
        <v>787.38579269999991</v>
      </c>
      <c r="G181" s="234"/>
      <c r="H181" s="235"/>
      <c r="I181" s="35"/>
      <c r="J181" s="35"/>
      <c r="L181" s="73"/>
      <c r="M181" s="73"/>
      <c r="N181" s="35"/>
    </row>
    <row r="182" spans="1:14" s="36" customFormat="1" x14ac:dyDescent="0.3">
      <c r="A182" s="227">
        <v>6</v>
      </c>
      <c r="B182" s="228"/>
      <c r="C182" s="236" t="s">
        <v>306</v>
      </c>
      <c r="D182" s="236"/>
      <c r="E182" s="236"/>
      <c r="F182" s="236"/>
      <c r="G182" s="234"/>
      <c r="H182" s="235"/>
      <c r="I182" s="35"/>
      <c r="J182" s="35"/>
      <c r="L182" s="73"/>
      <c r="M182" s="73"/>
      <c r="N182" s="35"/>
    </row>
    <row r="183" spans="1:14" s="36" customFormat="1" x14ac:dyDescent="0.3">
      <c r="A183" s="227">
        <f t="shared" ref="A183:A185" si="16">A182+1</f>
        <v>7</v>
      </c>
      <c r="B183" s="228"/>
      <c r="C183" s="240" t="s">
        <v>310</v>
      </c>
      <c r="D183" s="241"/>
      <c r="E183" s="241"/>
      <c r="F183" s="242"/>
      <c r="G183" s="234"/>
      <c r="H183" s="235"/>
      <c r="I183" s="35"/>
      <c r="J183" s="35"/>
      <c r="L183" s="73"/>
      <c r="M183" s="73"/>
      <c r="N183" s="35"/>
    </row>
    <row r="184" spans="1:14" s="36" customFormat="1" x14ac:dyDescent="0.3">
      <c r="A184" s="227">
        <f t="shared" si="16"/>
        <v>8</v>
      </c>
      <c r="B184" s="228"/>
      <c r="C184" s="243"/>
      <c r="D184" s="244"/>
      <c r="E184" s="244"/>
      <c r="F184" s="245"/>
      <c r="G184" s="234"/>
      <c r="H184" s="235"/>
      <c r="I184" s="35"/>
      <c r="J184" s="35"/>
      <c r="L184" s="73"/>
      <c r="M184" s="73"/>
      <c r="N184" s="35"/>
    </row>
    <row r="185" spans="1:14" s="36" customFormat="1" x14ac:dyDescent="0.3">
      <c r="A185" s="227">
        <f t="shared" si="16"/>
        <v>9</v>
      </c>
      <c r="B185" s="228"/>
      <c r="C185" s="246"/>
      <c r="D185" s="247"/>
      <c r="E185" s="247"/>
      <c r="F185" s="248"/>
      <c r="G185" s="238"/>
      <c r="H185" s="239"/>
      <c r="I185" s="35"/>
      <c r="J185" s="35"/>
      <c r="L185" s="73"/>
      <c r="M185" s="73"/>
      <c r="N185" s="35"/>
    </row>
    <row r="186" spans="1:14" s="36" customFormat="1" x14ac:dyDescent="0.3">
      <c r="A186" s="224" t="s">
        <v>270</v>
      </c>
      <c r="B186" s="225"/>
      <c r="C186" s="225"/>
      <c r="D186" s="225"/>
      <c r="E186" s="225"/>
      <c r="F186" s="225"/>
      <c r="G186" s="225"/>
      <c r="H186" s="226"/>
      <c r="I186" s="35"/>
      <c r="J186" s="35"/>
      <c r="L186" s="73"/>
      <c r="M186" s="73"/>
      <c r="N186" s="35"/>
    </row>
    <row r="187" spans="1:14" s="36" customFormat="1" ht="31.2" x14ac:dyDescent="0.3">
      <c r="A187" s="227">
        <v>1</v>
      </c>
      <c r="B187" s="228"/>
      <c r="C187" s="232" t="s">
        <v>311</v>
      </c>
      <c r="D187" s="233">
        <f t="shared" ref="D187:D191" si="17">(3.05*3.03+2.23*1.53+2.13*0.6+2.85*1.25+2.75*1.8+2.85*1.25+2.75*1.8+2.2*1.85+1.38*(2.15+2.15)+0.6*(1.28+1.38)+1.25*0.41+0.91*0.41+3.05*1.23)*10.764</f>
        <v>507.99083399999995</v>
      </c>
      <c r="E187" s="233">
        <v>0</v>
      </c>
      <c r="F187" s="232">
        <f>D187*(($F$133)+1)+(IF(E187&lt;101,E187,IF(E187&lt;201,E187/2,IF(E187&lt;=301,E187/3,E187/4))))</f>
        <v>787.38579269999991</v>
      </c>
      <c r="G187" s="230" t="str">
        <f>A186</f>
        <v>7th Floor</v>
      </c>
      <c r="H187" s="231"/>
      <c r="I187" s="35"/>
      <c r="J187" s="35"/>
      <c r="L187" s="73"/>
      <c r="M187" s="73"/>
      <c r="N187" s="35"/>
    </row>
    <row r="188" spans="1:14" s="36" customFormat="1" ht="31.2" x14ac:dyDescent="0.3">
      <c r="A188" s="227">
        <f t="shared" ref="A188:A191" si="18">A187+1</f>
        <v>2</v>
      </c>
      <c r="B188" s="228"/>
      <c r="C188" s="232" t="s">
        <v>311</v>
      </c>
      <c r="D188" s="233">
        <f t="shared" si="17"/>
        <v>507.99083399999995</v>
      </c>
      <c r="E188" s="233">
        <v>0</v>
      </c>
      <c r="F188" s="232">
        <f>D188*(($F$133)+1)+(IF(E188&lt;101,E188,IF(E188&lt;201,E188/2,IF(E188&lt;=301,E188/3,E188/4))))</f>
        <v>787.38579269999991</v>
      </c>
      <c r="G188" s="234"/>
      <c r="H188" s="235"/>
      <c r="I188" s="35"/>
      <c r="J188" s="35"/>
    </row>
    <row r="189" spans="1:14" s="36" customFormat="1" ht="31.2" x14ac:dyDescent="0.3">
      <c r="A189" s="227">
        <f t="shared" si="18"/>
        <v>3</v>
      </c>
      <c r="B189" s="228"/>
      <c r="C189" s="232" t="s">
        <v>311</v>
      </c>
      <c r="D189" s="233">
        <f t="shared" si="17"/>
        <v>507.99083399999995</v>
      </c>
      <c r="E189" s="233">
        <v>0</v>
      </c>
      <c r="F189" s="232">
        <f>D189*(($F$133)+1)+(IF(E189&lt;101,E189,IF(E189&lt;201,E189/2,IF(E189&lt;=301,E189/3,E189/4))))</f>
        <v>787.38579269999991</v>
      </c>
      <c r="G189" s="234"/>
      <c r="H189" s="235"/>
      <c r="J189" s="35"/>
      <c r="L189" s="73"/>
      <c r="M189" s="73"/>
      <c r="N189" s="35"/>
    </row>
    <row r="190" spans="1:14" s="36" customFormat="1" ht="31.2" x14ac:dyDescent="0.3">
      <c r="A190" s="227">
        <f t="shared" si="18"/>
        <v>4</v>
      </c>
      <c r="B190" s="228"/>
      <c r="C190" s="232" t="s">
        <v>311</v>
      </c>
      <c r="D190" s="233">
        <f t="shared" si="17"/>
        <v>507.99083399999995</v>
      </c>
      <c r="E190" s="233">
        <v>0</v>
      </c>
      <c r="F190" s="232">
        <f>D190*(($F$133)+1)+(IF(E190&lt;101,E190,IF(E190&lt;201,E190/2,IF(E190&lt;=301,E190/3,E190/4))))</f>
        <v>787.38579269999991</v>
      </c>
      <c r="G190" s="234"/>
      <c r="H190" s="235"/>
      <c r="I190" s="35"/>
      <c r="J190" s="35"/>
      <c r="L190" s="73"/>
      <c r="M190" s="73"/>
      <c r="N190" s="35"/>
    </row>
    <row r="191" spans="1:14" s="36" customFormat="1" ht="31.2" x14ac:dyDescent="0.3">
      <c r="A191" s="227">
        <f t="shared" si="18"/>
        <v>5</v>
      </c>
      <c r="B191" s="228"/>
      <c r="C191" s="232" t="s">
        <v>311</v>
      </c>
      <c r="D191" s="233">
        <f t="shared" si="17"/>
        <v>507.99083399999995</v>
      </c>
      <c r="E191" s="233">
        <v>0</v>
      </c>
      <c r="F191" s="232">
        <f>D191*(($F$133)+1)+(IF(E191&lt;101,E191,IF(E191&lt;201,E191/2,IF(E191&lt;=301,E191/3,E191/4))))</f>
        <v>787.38579269999991</v>
      </c>
      <c r="G191" s="234"/>
      <c r="H191" s="235"/>
      <c r="I191" s="35"/>
      <c r="J191" s="35"/>
      <c r="L191" s="73"/>
      <c r="M191" s="73"/>
      <c r="N191" s="35"/>
    </row>
    <row r="192" spans="1:14" s="36" customFormat="1" x14ac:dyDescent="0.3">
      <c r="A192" s="227">
        <v>6</v>
      </c>
      <c r="B192" s="228"/>
      <c r="C192" s="236" t="s">
        <v>306</v>
      </c>
      <c r="D192" s="236"/>
      <c r="E192" s="236"/>
      <c r="F192" s="236"/>
      <c r="G192" s="234"/>
      <c r="H192" s="235"/>
      <c r="I192" s="35"/>
      <c r="J192" s="35"/>
      <c r="L192" s="73"/>
      <c r="M192" s="73"/>
      <c r="N192" s="35"/>
    </row>
    <row r="193" spans="1:14" s="36" customFormat="1" x14ac:dyDescent="0.3">
      <c r="A193" s="227">
        <f t="shared" ref="A193:A195" si="19">A192+1</f>
        <v>7</v>
      </c>
      <c r="B193" s="228"/>
      <c r="C193" s="240" t="s">
        <v>310</v>
      </c>
      <c r="D193" s="241"/>
      <c r="E193" s="241"/>
      <c r="F193" s="242"/>
      <c r="G193" s="234"/>
      <c r="H193" s="235"/>
      <c r="I193" s="35"/>
      <c r="J193" s="35"/>
      <c r="L193" s="73"/>
      <c r="M193" s="73"/>
      <c r="N193" s="35"/>
    </row>
    <row r="194" spans="1:14" s="36" customFormat="1" x14ac:dyDescent="0.3">
      <c r="A194" s="227">
        <f t="shared" si="19"/>
        <v>8</v>
      </c>
      <c r="B194" s="228"/>
      <c r="C194" s="243"/>
      <c r="D194" s="244"/>
      <c r="E194" s="244"/>
      <c r="F194" s="245"/>
      <c r="G194" s="234"/>
      <c r="H194" s="235"/>
      <c r="I194" s="35"/>
      <c r="J194" s="35"/>
      <c r="L194" s="73"/>
      <c r="M194" s="73"/>
      <c r="N194" s="35"/>
    </row>
    <row r="195" spans="1:14" s="36" customFormat="1" x14ac:dyDescent="0.3">
      <c r="A195" s="227">
        <f t="shared" si="19"/>
        <v>9</v>
      </c>
      <c r="B195" s="228"/>
      <c r="C195" s="246"/>
      <c r="D195" s="247"/>
      <c r="E195" s="247"/>
      <c r="F195" s="248"/>
      <c r="G195" s="238"/>
      <c r="H195" s="239"/>
      <c r="I195" s="35"/>
      <c r="J195" s="35"/>
      <c r="L195" s="73"/>
      <c r="M195" s="73"/>
      <c r="N195" s="35"/>
    </row>
    <row r="196" spans="1:14" s="36" customFormat="1" x14ac:dyDescent="0.3">
      <c r="A196" s="253" t="s">
        <v>179</v>
      </c>
      <c r="B196" s="253"/>
      <c r="C196" s="253"/>
      <c r="D196" s="253"/>
      <c r="E196" s="253"/>
      <c r="F196" s="253"/>
      <c r="G196" s="253"/>
      <c r="H196" s="253"/>
      <c r="I196" s="35"/>
      <c r="J196" s="35"/>
      <c r="L196" s="73"/>
      <c r="M196" s="73"/>
      <c r="N196" s="35"/>
    </row>
    <row r="197" spans="1:14" s="36" customFormat="1" ht="15.6" customHeight="1" x14ac:dyDescent="0.3">
      <c r="A197" s="237">
        <v>1</v>
      </c>
      <c r="B197" s="237"/>
      <c r="C197" s="232" t="s">
        <v>191</v>
      </c>
      <c r="D197" s="233">
        <f>(3.05*3.03+2.23*1.53+2.13*0.6+2.75*3.005+2.85*1.2+2.75*1.8+2.75*1.97+1.38*(2.15+2.15)+2.95*0.95+0.6*(1.28+1.28+1.38)+2.2*1.86+0.8*0.41+1.25*0.41+3.05*1.23)*10.764</f>
        <v>600.27760260000002</v>
      </c>
      <c r="E197" s="233">
        <v>0</v>
      </c>
      <c r="F197" s="232">
        <f>D197*(($F$133)+1)+(IF(E197&lt;101,E197,IF(E197&lt;201,E197/2,IF(E197&lt;=301,E197/3,E197/4))))</f>
        <v>930.43028403000005</v>
      </c>
      <c r="G197" s="230" t="str">
        <f>A196</f>
        <v>8th Floor (Part Refuge Area)</v>
      </c>
      <c r="H197" s="231"/>
      <c r="I197" s="35">
        <f>(3.05*3.03+2.23*1.53+2.13*0.6+2.75*3.005+2.85*1.2+2.75*1.8+2.75*1.97+1.38*(2.15+2.15)+2.95*0.95+0.6*(1.28+1.28+1.38)+2.2*1.86+0.8*0.41+1.25*0.41+3.05*1.23)*10.764</f>
        <v>600.27760260000002</v>
      </c>
      <c r="J197" s="35"/>
      <c r="K197" s="50">
        <f>(0.86*0.41+1.2*0.41+2.13*0.6+2.23*1.53+2.2*1.82+3.05*3.08+2.85*1.25+2.75*1.8+1.28*0.6+2.75*3.05+2.75*2+1.38*0.6+1.27*0.6+2.75*1+1.38*2.15+1.38*2.13+3.05*1.23)*10.764</f>
        <v>603.84317759999999</v>
      </c>
      <c r="L197" s="73"/>
      <c r="M197" s="73"/>
      <c r="N197" s="35"/>
    </row>
    <row r="198" spans="1:14" s="36" customFormat="1" x14ac:dyDescent="0.3">
      <c r="A198" s="237">
        <f t="shared" ref="A198:A201" si="20">A197+1</f>
        <v>2</v>
      </c>
      <c r="B198" s="237"/>
      <c r="C198" s="230" t="s">
        <v>180</v>
      </c>
      <c r="D198" s="254"/>
      <c r="E198" s="254"/>
      <c r="F198" s="231"/>
      <c r="G198" s="234"/>
      <c r="H198" s="235"/>
      <c r="I198" s="35"/>
      <c r="J198" s="35"/>
      <c r="L198" s="73"/>
      <c r="M198" s="73"/>
      <c r="N198" s="35"/>
    </row>
    <row r="199" spans="1:14" s="36" customFormat="1" x14ac:dyDescent="0.3">
      <c r="A199" s="237">
        <f t="shared" si="20"/>
        <v>3</v>
      </c>
      <c r="B199" s="237"/>
      <c r="C199" s="234"/>
      <c r="D199" s="255"/>
      <c r="E199" s="255"/>
      <c r="F199" s="235"/>
      <c r="G199" s="234"/>
      <c r="H199" s="235"/>
      <c r="J199" s="35"/>
      <c r="L199" s="73"/>
      <c r="M199" s="73"/>
      <c r="N199" s="35"/>
    </row>
    <row r="200" spans="1:14" s="36" customFormat="1" x14ac:dyDescent="0.3">
      <c r="A200" s="237">
        <f t="shared" si="20"/>
        <v>4</v>
      </c>
      <c r="B200" s="237"/>
      <c r="C200" s="238"/>
      <c r="D200" s="256"/>
      <c r="E200" s="256"/>
      <c r="F200" s="239"/>
      <c r="G200" s="234"/>
      <c r="H200" s="235"/>
      <c r="J200" s="35"/>
      <c r="L200" s="73"/>
      <c r="M200" s="73"/>
      <c r="N200" s="35"/>
    </row>
    <row r="201" spans="1:14" s="36" customFormat="1" x14ac:dyDescent="0.3">
      <c r="A201" s="237">
        <f t="shared" si="20"/>
        <v>5</v>
      </c>
      <c r="B201" s="237"/>
      <c r="C201" s="232" t="s">
        <v>191</v>
      </c>
      <c r="D201" s="233">
        <f>(3.05*3.03+2.23*1.53+2.13*0.6+2.75*3.005+2.85*1.2+2.75*1.8+2.75*1.97+1.38*(2.15+2.15)+2.95*0.95+0.6*(1.28+1.28+1.38)+2.2*1.86+0.8*0.41+1.25*0.41+3.05*1.23)*10.764</f>
        <v>600.27760260000002</v>
      </c>
      <c r="E201" s="233">
        <v>0</v>
      </c>
      <c r="F201" s="232">
        <f>D201*(($F$133)+1)+(IF(E201&lt;101,E201,IF(E201&lt;201,E201/2,IF(E201&lt;=301,E201/3,E201/4))))</f>
        <v>930.43028403000005</v>
      </c>
      <c r="G201" s="234"/>
      <c r="H201" s="235"/>
      <c r="I201" s="35">
        <f>15000000/F234</f>
        <v>19050.381831965715</v>
      </c>
      <c r="J201" s="35"/>
      <c r="L201" s="73"/>
      <c r="M201" s="73"/>
      <c r="N201" s="35"/>
    </row>
    <row r="202" spans="1:14" s="36" customFormat="1" x14ac:dyDescent="0.3">
      <c r="A202" s="227">
        <v>6</v>
      </c>
      <c r="B202" s="228"/>
      <c r="C202" s="236" t="s">
        <v>306</v>
      </c>
      <c r="D202" s="236"/>
      <c r="E202" s="236"/>
      <c r="F202" s="236"/>
      <c r="G202" s="234"/>
      <c r="H202" s="235"/>
      <c r="I202" s="35"/>
      <c r="J202" s="35"/>
      <c r="L202" s="73"/>
      <c r="M202" s="73"/>
      <c r="N202" s="35"/>
    </row>
    <row r="203" spans="1:14" s="36" customFormat="1" x14ac:dyDescent="0.3">
      <c r="A203" s="227">
        <f t="shared" ref="A203:A205" si="21">A202+1</f>
        <v>7</v>
      </c>
      <c r="B203" s="228"/>
      <c r="C203" s="240" t="s">
        <v>310</v>
      </c>
      <c r="D203" s="241"/>
      <c r="E203" s="241"/>
      <c r="F203" s="242"/>
      <c r="G203" s="234"/>
      <c r="H203" s="235"/>
      <c r="I203" s="35"/>
      <c r="J203" s="35"/>
      <c r="L203" s="73"/>
      <c r="M203" s="73"/>
      <c r="N203" s="35"/>
    </row>
    <row r="204" spans="1:14" s="36" customFormat="1" x14ac:dyDescent="0.3">
      <c r="A204" s="227">
        <f t="shared" si="21"/>
        <v>8</v>
      </c>
      <c r="B204" s="228"/>
      <c r="C204" s="243"/>
      <c r="D204" s="244"/>
      <c r="E204" s="244"/>
      <c r="F204" s="245"/>
      <c r="G204" s="234"/>
      <c r="H204" s="235"/>
      <c r="I204" s="35"/>
      <c r="J204" s="35"/>
      <c r="L204" s="73"/>
      <c r="M204" s="73"/>
    </row>
    <row r="205" spans="1:14" s="36" customFormat="1" x14ac:dyDescent="0.3">
      <c r="A205" s="227">
        <f t="shared" si="21"/>
        <v>9</v>
      </c>
      <c r="B205" s="228"/>
      <c r="C205" s="246"/>
      <c r="D205" s="247"/>
      <c r="E205" s="247"/>
      <c r="F205" s="248"/>
      <c r="G205" s="238"/>
      <c r="H205" s="239"/>
      <c r="I205" s="35"/>
      <c r="J205" s="35"/>
      <c r="L205" s="73"/>
      <c r="M205" s="73"/>
      <c r="N205" s="35"/>
    </row>
    <row r="206" spans="1:14" s="36" customFormat="1" x14ac:dyDescent="0.3">
      <c r="A206" s="257" t="s">
        <v>269</v>
      </c>
      <c r="B206" s="257"/>
      <c r="C206" s="257"/>
      <c r="D206" s="257"/>
      <c r="E206" s="257"/>
      <c r="F206" s="257"/>
      <c r="G206" s="257"/>
      <c r="H206" s="257"/>
      <c r="I206" s="35"/>
      <c r="J206" s="35"/>
    </row>
    <row r="207" spans="1:14" s="36" customFormat="1" ht="31.2" x14ac:dyDescent="0.3">
      <c r="A207" s="237">
        <v>1</v>
      </c>
      <c r="B207" s="237"/>
      <c r="C207" s="232" t="s">
        <v>311</v>
      </c>
      <c r="D207" s="233">
        <f t="shared" ref="D207:D211" si="22">(3.05*3.03+2.23*1.53+2.13*0.6+2.85*1.25+2.75*1.8+2.85*1.25+2.75*1.8+2.2*1.85+1.38*(2.15+2.15)+0.6*(1.28+1.38)+1.25*0.41+0.91*0.41+3.05*1.23)*10.764</f>
        <v>507.99083399999995</v>
      </c>
      <c r="E207" s="233">
        <v>0</v>
      </c>
      <c r="F207" s="232">
        <f>D207*(($F$133)+1)+(IF(E207&lt;101,E207,IF(E207&lt;201,E207/2,IF(E207&lt;=301,E207/3,E207/4))))</f>
        <v>787.38579269999991</v>
      </c>
      <c r="G207" s="230" t="str">
        <f>A206</f>
        <v>9th Floor</v>
      </c>
      <c r="H207" s="231"/>
      <c r="I207" s="35">
        <f>(3.05*3.03+2.23*1.53+2.13*0.6+2.85*1.25+2.75*1.8+2.85*1.25+2.75*1.8+2.2*1.85+1.38*(2.15+2.15)+0.6*(1.28+1.38)+1.25*0.41+0.91*0.41+3.05*1.23)*10.764</f>
        <v>507.99083399999995</v>
      </c>
      <c r="J207" s="35"/>
      <c r="L207" s="73"/>
      <c r="M207" s="73"/>
      <c r="N207" s="35"/>
    </row>
    <row r="208" spans="1:14" s="36" customFormat="1" ht="31.2" x14ac:dyDescent="0.3">
      <c r="A208" s="237">
        <f t="shared" ref="A208:A211" si="23">A207+1</f>
        <v>2</v>
      </c>
      <c r="B208" s="237"/>
      <c r="C208" s="232" t="s">
        <v>311</v>
      </c>
      <c r="D208" s="233">
        <f t="shared" si="22"/>
        <v>507.99083399999995</v>
      </c>
      <c r="E208" s="233">
        <v>0</v>
      </c>
      <c r="F208" s="232">
        <f>D208*(($F$133)+1)+(IF(E208&lt;101,E208,IF(E208&lt;201,E208/2,IF(E208&lt;=301,E208/3,E208/4))))</f>
        <v>787.38579269999991</v>
      </c>
      <c r="G208" s="234"/>
      <c r="H208" s="235"/>
      <c r="I208" s="35"/>
      <c r="J208" s="35"/>
      <c r="L208" s="73"/>
      <c r="M208" s="73"/>
      <c r="N208" s="35"/>
    </row>
    <row r="209" spans="1:14" s="36" customFormat="1" ht="31.2" x14ac:dyDescent="0.3">
      <c r="A209" s="237">
        <f t="shared" si="23"/>
        <v>3</v>
      </c>
      <c r="B209" s="237"/>
      <c r="C209" s="232" t="s">
        <v>311</v>
      </c>
      <c r="D209" s="233">
        <f t="shared" si="22"/>
        <v>507.99083399999995</v>
      </c>
      <c r="E209" s="233">
        <v>0</v>
      </c>
      <c r="F209" s="232">
        <f>D209*(($F$133)+1)+(IF(E209&lt;101,E209,IF(E209&lt;201,E209/2,IF(E209&lt;=301,E209/3,E209/4))))</f>
        <v>787.38579269999991</v>
      </c>
      <c r="G209" s="234"/>
      <c r="H209" s="235"/>
      <c r="I209" s="35"/>
      <c r="J209" s="35" t="e">
        <f>15600000/F232</f>
        <v>#DIV/0!</v>
      </c>
      <c r="L209" s="73"/>
      <c r="M209" s="73"/>
      <c r="N209" s="35"/>
    </row>
    <row r="210" spans="1:14" s="36" customFormat="1" ht="31.2" x14ac:dyDescent="0.3">
      <c r="A210" s="237">
        <f t="shared" si="23"/>
        <v>4</v>
      </c>
      <c r="B210" s="237"/>
      <c r="C210" s="232" t="s">
        <v>311</v>
      </c>
      <c r="D210" s="233">
        <f t="shared" si="22"/>
        <v>507.99083399999995</v>
      </c>
      <c r="E210" s="233">
        <v>0</v>
      </c>
      <c r="F210" s="232">
        <f>D210*(($F$133)+1)+(IF(E210&lt;101,E210,IF(E210&lt;201,E210/2,IF(E210&lt;=301,E210/3,E210/4))))</f>
        <v>787.38579269999991</v>
      </c>
      <c r="G210" s="234"/>
      <c r="H210" s="235"/>
      <c r="I210" s="35"/>
      <c r="J210" s="35"/>
      <c r="L210" s="73"/>
      <c r="M210" s="73"/>
      <c r="N210" s="35"/>
    </row>
    <row r="211" spans="1:14" s="36" customFormat="1" ht="31.2" x14ac:dyDescent="0.3">
      <c r="A211" s="237">
        <f t="shared" si="23"/>
        <v>5</v>
      </c>
      <c r="B211" s="237"/>
      <c r="C211" s="232" t="s">
        <v>311</v>
      </c>
      <c r="D211" s="233">
        <f t="shared" si="22"/>
        <v>507.99083399999995</v>
      </c>
      <c r="E211" s="233">
        <v>0</v>
      </c>
      <c r="F211" s="232">
        <f>D211*(($F$133)+1)+(IF(E211&lt;101,E211,IF(E211&lt;201,E211/2,IF(E211&lt;=301,E211/3,E211/4))))</f>
        <v>787.38579269999991</v>
      </c>
      <c r="G211" s="234"/>
      <c r="H211" s="235"/>
      <c r="I211" s="49">
        <f>3.05*3.08+2.2*2.22+2.22*1.52+2.13*0.6+2.75*1.8+2.85*1.25+1.28*0.6+2.75*1.8+2.85*1.25+1.38*0.6+1.38*2.15+1.38*2.15</f>
        <v>43.485400000000006</v>
      </c>
      <c r="J211" s="35"/>
      <c r="L211" s="73"/>
      <c r="M211" s="73"/>
      <c r="N211" s="35"/>
    </row>
    <row r="212" spans="1:14" s="36" customFormat="1" x14ac:dyDescent="0.3">
      <c r="A212" s="227">
        <v>6</v>
      </c>
      <c r="B212" s="228"/>
      <c r="C212" s="236" t="s">
        <v>306</v>
      </c>
      <c r="D212" s="236"/>
      <c r="E212" s="236"/>
      <c r="F212" s="236"/>
      <c r="G212" s="234"/>
      <c r="H212" s="235"/>
      <c r="I212" s="35"/>
      <c r="J212" s="35"/>
      <c r="L212" s="73"/>
      <c r="M212" s="73"/>
      <c r="N212" s="35"/>
    </row>
    <row r="213" spans="1:14" s="36" customFormat="1" x14ac:dyDescent="0.3">
      <c r="A213" s="227">
        <f t="shared" ref="A213:A215" si="24">A212+1</f>
        <v>7</v>
      </c>
      <c r="B213" s="228"/>
      <c r="C213" s="240" t="s">
        <v>310</v>
      </c>
      <c r="D213" s="241"/>
      <c r="E213" s="241"/>
      <c r="F213" s="242"/>
      <c r="G213" s="234"/>
      <c r="H213" s="235"/>
      <c r="I213" s="35"/>
      <c r="J213" s="35"/>
      <c r="L213" s="73"/>
      <c r="M213" s="73"/>
      <c r="N213" s="35"/>
    </row>
    <row r="214" spans="1:14" s="36" customFormat="1" x14ac:dyDescent="0.3">
      <c r="A214" s="227">
        <f t="shared" si="24"/>
        <v>8</v>
      </c>
      <c r="B214" s="228"/>
      <c r="C214" s="243"/>
      <c r="D214" s="244"/>
      <c r="E214" s="244"/>
      <c r="F214" s="245"/>
      <c r="G214" s="234"/>
      <c r="H214" s="235"/>
      <c r="I214" s="35"/>
      <c r="J214" s="35"/>
      <c r="L214" s="73"/>
      <c r="M214" s="73"/>
    </row>
    <row r="215" spans="1:14" s="36" customFormat="1" x14ac:dyDescent="0.3">
      <c r="A215" s="227">
        <f t="shared" si="24"/>
        <v>9</v>
      </c>
      <c r="B215" s="228"/>
      <c r="C215" s="246"/>
      <c r="D215" s="247"/>
      <c r="E215" s="247"/>
      <c r="F215" s="248"/>
      <c r="G215" s="238"/>
      <c r="H215" s="239"/>
      <c r="I215" s="35"/>
      <c r="J215" s="35"/>
      <c r="L215" s="73"/>
      <c r="M215" s="73"/>
      <c r="N215" s="35"/>
    </row>
    <row r="216" spans="1:14" s="36" customFormat="1" x14ac:dyDescent="0.3">
      <c r="A216" s="257" t="s">
        <v>274</v>
      </c>
      <c r="B216" s="257"/>
      <c r="C216" s="257"/>
      <c r="D216" s="257"/>
      <c r="E216" s="257"/>
      <c r="F216" s="257"/>
      <c r="G216" s="257"/>
      <c r="H216" s="257"/>
      <c r="I216" s="35"/>
      <c r="J216" s="35"/>
    </row>
    <row r="217" spans="1:14" s="36" customFormat="1" x14ac:dyDescent="0.3">
      <c r="A217" s="237" t="s">
        <v>275</v>
      </c>
      <c r="B217" s="237"/>
      <c r="C217" s="252" t="s">
        <v>191</v>
      </c>
      <c r="D217" s="233">
        <f>(3.05*4.89+2.85*2.13+2.75*1.98+(2.85*1.25+2.75*1.8)*2+3.05*3.03+1.9*2.22+2.85+1.05*2.12+2.75*1.8+2.95*1.25+1.38*(2.15+2.15+2.15)+1.37*2.1+0.6*(1.28+1.28+1.38+1.38)+(3.05*1.23)*2)*10.764</f>
        <v>1002.1391639999998</v>
      </c>
      <c r="E217" s="233">
        <v>0</v>
      </c>
      <c r="F217" s="232">
        <f>D217*(($F$133)+1)+(IF(E217&lt;101,E217,IF(E217&lt;201,E217/2,IF(E217&lt;=301,E217/3,E217/4))))</f>
        <v>1553.3157041999998</v>
      </c>
      <c r="G217" s="230" t="str">
        <f>A216</f>
        <v>10th Floor</v>
      </c>
      <c r="H217" s="231"/>
      <c r="I217" s="50">
        <f>(3.05*4.89+2.85*2.13+2.75*1.98+(2.85*1.25+2.75*1.8)*2+3.05*3.03+1.9*2.22+2.85+1.05*2.12+2.75*1.8+2.95*1.25+1.38*(2.15+2.15+2.15)+1.37*2.1+0.6*(1.28+1.28+1.38+1.38)+(3.05*1.23)*2)*10.764</f>
        <v>1002.1391639999998</v>
      </c>
      <c r="J217" s="35"/>
      <c r="K217" s="50">
        <f>(45.82+3.05*1.23)*10.764</f>
        <v>533.587626</v>
      </c>
      <c r="L217" s="65" t="s">
        <v>277</v>
      </c>
      <c r="M217" s="64"/>
      <c r="N217" s="35"/>
    </row>
    <row r="218" spans="1:14" s="36" customFormat="1" ht="31.2" x14ac:dyDescent="0.3">
      <c r="A218" s="237">
        <v>3</v>
      </c>
      <c r="B218" s="237"/>
      <c r="C218" s="232" t="s">
        <v>311</v>
      </c>
      <c r="D218" s="233">
        <f>(3.05*3.03+2.23*1.53+2.13*0.6+2.85*1.25+2.75*1.8+2.85*1.25+2.75*1.8+2.2*1.85+1.38*(2.15+2.15)+0.6*(1.28+1.38)+1.25*0.41+0.91*0.41+3.05*1.23)*10.764</f>
        <v>507.99083399999995</v>
      </c>
      <c r="E218" s="233">
        <v>0</v>
      </c>
      <c r="F218" s="232">
        <f>D218*(($F$133)+1)+(IF(E218&lt;101,E218,IF(E218&lt;201,E218/2,IF(E218&lt;=301,E218/3,E218/4))))</f>
        <v>787.38579269999991</v>
      </c>
      <c r="G218" s="234"/>
      <c r="H218" s="235"/>
      <c r="I218" s="35"/>
      <c r="J218" s="35"/>
      <c r="L218" s="73"/>
      <c r="M218" s="73"/>
      <c r="N218" s="35"/>
    </row>
    <row r="219" spans="1:14" s="36" customFormat="1" x14ac:dyDescent="0.3">
      <c r="A219" s="237" t="s">
        <v>276</v>
      </c>
      <c r="B219" s="237"/>
      <c r="C219" s="252" t="s">
        <v>191</v>
      </c>
      <c r="D219" s="233">
        <f>(3.05*4.89+2.85*2.13+2.75*1.98+(2.85*1.25+2.75*1.8)*2+3.05*3.03+1.9*2.22+2.85+1.05*2.12+2.75*1.8+2.95*1.25+1.38*(2.15+2.15+2.15)+1.37*2.1+0.6*(1.28+1.28+1.38+1.38)+(3.05*1.23)*2)*10.764</f>
        <v>1002.1391639999998</v>
      </c>
      <c r="E219" s="233">
        <v>0</v>
      </c>
      <c r="F219" s="232">
        <f>D219*(($F$133)+1)+(IF(E219&lt;101,E219,IF(E219&lt;201,E219/2,IF(E219&lt;=301,E219/3,E219/4))))</f>
        <v>1553.3157041999998</v>
      </c>
      <c r="G219" s="234"/>
      <c r="H219" s="235"/>
      <c r="I219" s="35"/>
      <c r="J219" s="35"/>
      <c r="L219" s="73"/>
      <c r="M219" s="73"/>
      <c r="N219" s="35"/>
    </row>
    <row r="220" spans="1:14" s="36" customFormat="1" x14ac:dyDescent="0.3">
      <c r="A220" s="227">
        <v>6</v>
      </c>
      <c r="B220" s="228"/>
      <c r="C220" s="236" t="s">
        <v>306</v>
      </c>
      <c r="D220" s="236"/>
      <c r="E220" s="236"/>
      <c r="F220" s="236"/>
      <c r="G220" s="234"/>
      <c r="H220" s="235"/>
      <c r="I220" s="35"/>
      <c r="J220" s="35"/>
      <c r="L220" s="73"/>
      <c r="M220" s="73"/>
      <c r="N220" s="35"/>
    </row>
    <row r="221" spans="1:14" s="36" customFormat="1" x14ac:dyDescent="0.3">
      <c r="A221" s="227">
        <f t="shared" ref="A221:A223" si="25">A220+1</f>
        <v>7</v>
      </c>
      <c r="B221" s="228"/>
      <c r="C221" s="240" t="s">
        <v>310</v>
      </c>
      <c r="D221" s="241"/>
      <c r="E221" s="241"/>
      <c r="F221" s="242"/>
      <c r="G221" s="234"/>
      <c r="H221" s="235"/>
      <c r="I221" s="35"/>
      <c r="J221" s="35"/>
      <c r="L221" s="73"/>
      <c r="M221" s="73"/>
      <c r="N221" s="35"/>
    </row>
    <row r="222" spans="1:14" s="36" customFormat="1" x14ac:dyDescent="0.3">
      <c r="A222" s="227">
        <f t="shared" si="25"/>
        <v>8</v>
      </c>
      <c r="B222" s="228"/>
      <c r="C222" s="243"/>
      <c r="D222" s="244"/>
      <c r="E222" s="244"/>
      <c r="F222" s="245"/>
      <c r="G222" s="234"/>
      <c r="H222" s="235"/>
      <c r="I222" s="35"/>
      <c r="J222" s="35"/>
      <c r="L222" s="73"/>
      <c r="M222" s="73"/>
    </row>
    <row r="223" spans="1:14" s="36" customFormat="1" x14ac:dyDescent="0.3">
      <c r="A223" s="227">
        <f t="shared" si="25"/>
        <v>9</v>
      </c>
      <c r="B223" s="228"/>
      <c r="C223" s="246"/>
      <c r="D223" s="247"/>
      <c r="E223" s="247"/>
      <c r="F223" s="248"/>
      <c r="G223" s="238"/>
      <c r="H223" s="239"/>
      <c r="I223" s="35"/>
      <c r="J223" s="35"/>
      <c r="L223" s="73"/>
      <c r="M223" s="73"/>
      <c r="N223" s="35"/>
    </row>
    <row r="224" spans="1:14" s="36" customFormat="1" x14ac:dyDescent="0.3">
      <c r="A224" s="257" t="s">
        <v>279</v>
      </c>
      <c r="B224" s="257"/>
      <c r="C224" s="257"/>
      <c r="D224" s="257"/>
      <c r="E224" s="257"/>
      <c r="F224" s="257"/>
      <c r="G224" s="257"/>
      <c r="H224" s="257"/>
      <c r="I224" s="35"/>
      <c r="J224" s="35"/>
    </row>
    <row r="225" spans="1:14" s="36" customFormat="1" x14ac:dyDescent="0.3">
      <c r="A225" s="237" t="s">
        <v>275</v>
      </c>
      <c r="B225" s="237"/>
      <c r="C225" s="252" t="s">
        <v>191</v>
      </c>
      <c r="D225" s="233">
        <f>(3.05*4.89+2.85*2.13+2.75*1.98+(2.85*1.25+2.75*1.8)*2+3.05*3.03+1.9*2.22+2.85+1.05*2.12+2.75*1.8+2.95*1.25+1.38*(2.15+2.15+2.15)+1.37*2.1+0.6*(1.28+1.28+1.38+1.38)+(3.05*1.23)*2)*10.764</f>
        <v>1002.1391639999998</v>
      </c>
      <c r="E225" s="233">
        <v>0</v>
      </c>
      <c r="F225" s="232">
        <f>D225*(($F$133)+1)+(IF(E225&lt;101,E225,IF(E225&lt;201,E225/2,IF(E225&lt;=301,E225/3,E225/4))))</f>
        <v>1553.3157041999998</v>
      </c>
      <c r="G225" s="230" t="str">
        <f>A224</f>
        <v>11th Floor</v>
      </c>
      <c r="H225" s="231"/>
      <c r="I225" s="50">
        <f>(3.05*4.89+2.85*2.13+2.75*1.98+(2.85*1.25+2.75*1.8)*2+3.05*3.03+1.9*2.22+2.85+1.05*2.12+2.75*1.8+2.95*1.25+1.38*(2.15+2.15+2.15)+1.37*2.1+0.6*(1.28+1.28+1.38+1.38)+(3.05*1.23)*2)*10.764</f>
        <v>1002.1391639999998</v>
      </c>
      <c r="J225" s="35"/>
      <c r="K225" s="50">
        <f>(45.82+3.05*1.23)*10.764</f>
        <v>533.587626</v>
      </c>
      <c r="L225" s="65" t="s">
        <v>278</v>
      </c>
      <c r="M225" s="64"/>
      <c r="N225" s="35"/>
    </row>
    <row r="226" spans="1:14" s="36" customFormat="1" ht="31.2" x14ac:dyDescent="0.3">
      <c r="A226" s="237">
        <v>3</v>
      </c>
      <c r="B226" s="237"/>
      <c r="C226" s="232" t="s">
        <v>311</v>
      </c>
      <c r="D226" s="233">
        <f>(3.05*3.03+2.23*1.53+2.13*0.6+2.85*1.25+2.75*1.8+2.85*1.25+2.75*1.8+2.2*1.85+1.38*(2.15+2.15)+0.6*(1.28+1.38)+1.25*0.41+0.91*0.41+3.05*1.23)*10.764</f>
        <v>507.99083399999995</v>
      </c>
      <c r="E226" s="233">
        <v>0</v>
      </c>
      <c r="F226" s="232">
        <f>D226*(($F$133)+1)+(IF(E226&lt;101,E226,IF(E226&lt;201,E226/2,IF(E226&lt;=301,E226/3,E226/4))))</f>
        <v>787.38579269999991</v>
      </c>
      <c r="G226" s="234"/>
      <c r="H226" s="235"/>
      <c r="I226" s="35"/>
      <c r="J226" s="35"/>
      <c r="L226" s="73"/>
      <c r="M226" s="73"/>
      <c r="N226" s="35"/>
    </row>
    <row r="227" spans="1:14" s="36" customFormat="1" x14ac:dyDescent="0.3">
      <c r="A227" s="237" t="s">
        <v>276</v>
      </c>
      <c r="B227" s="237"/>
      <c r="C227" s="252" t="s">
        <v>191</v>
      </c>
      <c r="D227" s="233">
        <f>(3.05*4.89+2.85*2.13+2.75*1.98+(2.85*1.25+2.75*1.8)*2+3.05*3.03+1.9*2.22+2.85+1.05*2.12+2.75*1.8+2.95*1.25+1.38*(2.15+2.15+2.15)+1.37*2.1+0.6*(1.28+1.28+1.38+1.38)+(3.05*1.23)*2)*10.764</f>
        <v>1002.1391639999998</v>
      </c>
      <c r="E227" s="233">
        <v>0</v>
      </c>
      <c r="F227" s="232">
        <f>D227*(($F$133)+1)+(IF(E227&lt;101,E227,IF(E227&lt;201,E227/2,IF(E227&lt;=301,E227/3,E227/4))))</f>
        <v>1553.3157041999998</v>
      </c>
      <c r="G227" s="234"/>
      <c r="H227" s="235"/>
      <c r="I227" s="35"/>
      <c r="J227" s="35"/>
      <c r="L227" s="73"/>
      <c r="M227" s="73"/>
      <c r="N227" s="35"/>
    </row>
    <row r="228" spans="1:14" s="36" customFormat="1" x14ac:dyDescent="0.3">
      <c r="A228" s="227">
        <v>6</v>
      </c>
      <c r="B228" s="228"/>
      <c r="C228" s="236" t="s">
        <v>306</v>
      </c>
      <c r="D228" s="236"/>
      <c r="E228" s="236"/>
      <c r="F228" s="236"/>
      <c r="G228" s="234"/>
      <c r="H228" s="235"/>
      <c r="I228" s="35"/>
      <c r="J228" s="35"/>
      <c r="L228" s="73"/>
      <c r="M228" s="73"/>
      <c r="N228" s="35"/>
    </row>
    <row r="229" spans="1:14" s="36" customFormat="1" x14ac:dyDescent="0.3">
      <c r="A229" s="227">
        <f t="shared" ref="A229:A231" si="26">A228+1</f>
        <v>7</v>
      </c>
      <c r="B229" s="228"/>
      <c r="C229" s="240" t="s">
        <v>310</v>
      </c>
      <c r="D229" s="241"/>
      <c r="E229" s="241"/>
      <c r="F229" s="242"/>
      <c r="G229" s="234"/>
      <c r="H229" s="235"/>
      <c r="I229" s="35"/>
      <c r="J229" s="35"/>
      <c r="L229" s="73"/>
      <c r="M229" s="73"/>
      <c r="N229" s="35"/>
    </row>
    <row r="230" spans="1:14" s="36" customFormat="1" x14ac:dyDescent="0.3">
      <c r="A230" s="227">
        <f t="shared" si="26"/>
        <v>8</v>
      </c>
      <c r="B230" s="228"/>
      <c r="C230" s="243"/>
      <c r="D230" s="244"/>
      <c r="E230" s="244"/>
      <c r="F230" s="245"/>
      <c r="G230" s="234"/>
      <c r="H230" s="235"/>
      <c r="I230" s="35"/>
      <c r="J230" s="35"/>
      <c r="L230" s="73"/>
      <c r="M230" s="73"/>
    </row>
    <row r="231" spans="1:14" s="36" customFormat="1" x14ac:dyDescent="0.3">
      <c r="A231" s="227">
        <f t="shared" si="26"/>
        <v>9</v>
      </c>
      <c r="B231" s="228"/>
      <c r="C231" s="246"/>
      <c r="D231" s="247"/>
      <c r="E231" s="247"/>
      <c r="F231" s="248"/>
      <c r="G231" s="238"/>
      <c r="H231" s="239"/>
      <c r="I231" s="35"/>
      <c r="J231" s="35"/>
      <c r="L231" s="73"/>
      <c r="M231" s="73"/>
      <c r="N231" s="35"/>
    </row>
    <row r="232" spans="1:14" s="36" customFormat="1" x14ac:dyDescent="0.3">
      <c r="A232" s="224" t="s">
        <v>280</v>
      </c>
      <c r="B232" s="225"/>
      <c r="C232" s="225"/>
      <c r="D232" s="225"/>
      <c r="E232" s="225"/>
      <c r="F232" s="225"/>
      <c r="G232" s="225"/>
      <c r="H232" s="226"/>
      <c r="I232" s="35">
        <f>15000000/F241</f>
        <v>19050.381831965715</v>
      </c>
      <c r="J232" s="35">
        <f>15600000/F241</f>
        <v>19812.397105244341</v>
      </c>
      <c r="L232" s="73"/>
      <c r="M232" s="73"/>
      <c r="N232" s="35"/>
    </row>
    <row r="233" spans="1:14" s="36" customFormat="1" x14ac:dyDescent="0.3">
      <c r="A233" s="224" t="s">
        <v>183</v>
      </c>
      <c r="B233" s="225"/>
      <c r="C233" s="225"/>
      <c r="D233" s="225"/>
      <c r="E233" s="225"/>
      <c r="F233" s="225"/>
      <c r="G233" s="225"/>
      <c r="H233" s="226"/>
      <c r="I233" s="35"/>
      <c r="J233" s="35">
        <f>15600000/F242</f>
        <v>19812.397105244341</v>
      </c>
      <c r="L233" s="73"/>
      <c r="M233" s="73"/>
      <c r="N233" s="35"/>
    </row>
    <row r="234" spans="1:14" s="36" customFormat="1" ht="31.2" x14ac:dyDescent="0.3">
      <c r="A234" s="227">
        <v>1</v>
      </c>
      <c r="B234" s="228"/>
      <c r="C234" s="232" t="s">
        <v>311</v>
      </c>
      <c r="D234" s="233">
        <f t="shared" ref="D234:D238" si="27">(3.05*3.03+2.23*1.53+2.13*0.6+2.85*1.25+2.75*1.8+2.85*1.25+2.75*1.8+2.2*1.85+1.38*(2.15+2.15)+0.6*(1.28+1.38)+1.25*0.41+0.91*0.41+3.05*1.23)*10.764</f>
        <v>507.99083399999995</v>
      </c>
      <c r="E234" s="233">
        <v>0</v>
      </c>
      <c r="F234" s="232">
        <f>D234*(($F$133)+1)+(IF(E234&lt;101,E234,IF(E234&lt;201,E234/2,IF(E234&lt;=301,E234/3,E234/4))))</f>
        <v>787.38579269999991</v>
      </c>
      <c r="G234" s="230" t="str">
        <f>A233</f>
        <v>13th Floor (14th Floor As per Builder)</v>
      </c>
      <c r="H234" s="231"/>
      <c r="I234" s="35">
        <f>(3.05*3.03+2.23*1.53+2.13*0.6+2.85*1.25+2.75*1.8+2.85*1.25+2.75*1.8+1.38*(2.15+2.15)+2.2*1.86+0.6*(1.28+1.38)+0.91*0.41+1.25*0.41+3.05*1.23)*10.764</f>
        <v>508.22764199999989</v>
      </c>
      <c r="J234" s="35"/>
      <c r="L234" s="73"/>
      <c r="M234" s="73"/>
      <c r="N234" s="35"/>
    </row>
    <row r="235" spans="1:14" s="36" customFormat="1" ht="31.2" x14ac:dyDescent="0.3">
      <c r="A235" s="227">
        <f t="shared" ref="A235:A242" si="28">A234+1</f>
        <v>2</v>
      </c>
      <c r="B235" s="228"/>
      <c r="C235" s="232" t="s">
        <v>311</v>
      </c>
      <c r="D235" s="233">
        <f t="shared" si="27"/>
        <v>507.99083399999995</v>
      </c>
      <c r="E235" s="233">
        <v>0</v>
      </c>
      <c r="F235" s="232">
        <f>D235*(($F$133)+1)+(IF(E235&lt;101,E235,IF(E235&lt;201,E235/2,IF(E235&lt;=301,E235/3,E235/4))))</f>
        <v>787.38579269999991</v>
      </c>
      <c r="G235" s="234"/>
      <c r="H235" s="235"/>
      <c r="I235" s="35"/>
      <c r="J235" s="35">
        <f t="shared" ref="J235:J242" si="29">15600000/F264</f>
        <v>19812.397105244341</v>
      </c>
    </row>
    <row r="236" spans="1:14" s="36" customFormat="1" ht="31.2" x14ac:dyDescent="0.3">
      <c r="A236" s="227">
        <f t="shared" si="28"/>
        <v>3</v>
      </c>
      <c r="B236" s="228"/>
      <c r="C236" s="232" t="s">
        <v>311</v>
      </c>
      <c r="D236" s="233">
        <f t="shared" si="27"/>
        <v>507.99083399999995</v>
      </c>
      <c r="E236" s="233">
        <v>0</v>
      </c>
      <c r="F236" s="232">
        <f>D236*(($F$133)+1)+(IF(E236&lt;101,E236,IF(E236&lt;201,E236/2,IF(E236&lt;=301,E236/3,E236/4))))</f>
        <v>787.38579269999991</v>
      </c>
      <c r="G236" s="234"/>
      <c r="H236" s="235"/>
      <c r="I236" s="35"/>
      <c r="J236" s="35">
        <f t="shared" si="29"/>
        <v>19812.397105244341</v>
      </c>
      <c r="L236" s="73"/>
      <c r="M236" s="73"/>
      <c r="N236" s="35"/>
    </row>
    <row r="237" spans="1:14" s="36" customFormat="1" ht="31.2" x14ac:dyDescent="0.3">
      <c r="A237" s="227">
        <f t="shared" si="28"/>
        <v>4</v>
      </c>
      <c r="B237" s="228"/>
      <c r="C237" s="232" t="s">
        <v>311</v>
      </c>
      <c r="D237" s="233">
        <f t="shared" si="27"/>
        <v>507.99083399999995</v>
      </c>
      <c r="E237" s="233">
        <v>0</v>
      </c>
      <c r="F237" s="232">
        <f>D237*(($F$133)+1)+(IF(E237&lt;101,E237,IF(E237&lt;201,E237/2,IF(E237&lt;=301,E237/3,E237/4))))</f>
        <v>787.38579269999991</v>
      </c>
      <c r="G237" s="234"/>
      <c r="H237" s="235"/>
      <c r="I237" s="35"/>
      <c r="J237" s="35">
        <f t="shared" si="29"/>
        <v>19812.397105244341</v>
      </c>
      <c r="L237" s="73"/>
      <c r="M237" s="73"/>
      <c r="N237" s="35"/>
    </row>
    <row r="238" spans="1:14" s="36" customFormat="1" ht="31.2" x14ac:dyDescent="0.3">
      <c r="A238" s="227">
        <f t="shared" si="28"/>
        <v>5</v>
      </c>
      <c r="B238" s="228"/>
      <c r="C238" s="232" t="s">
        <v>311</v>
      </c>
      <c r="D238" s="233">
        <f t="shared" si="27"/>
        <v>507.99083399999995</v>
      </c>
      <c r="E238" s="233">
        <v>0</v>
      </c>
      <c r="F238" s="232">
        <f>D238*(($F$133)+1)+(IF(E238&lt;101,E238,IF(E238&lt;201,E238/2,IF(E238&lt;=301,E238/3,E238/4))))</f>
        <v>787.38579269999991</v>
      </c>
      <c r="G238" s="234"/>
      <c r="H238" s="235"/>
      <c r="I238" s="35"/>
      <c r="J238" s="35">
        <f t="shared" si="29"/>
        <v>19812.397105244341</v>
      </c>
      <c r="L238" s="73"/>
      <c r="M238" s="73"/>
      <c r="N238" s="35"/>
    </row>
    <row r="239" spans="1:14" s="36" customFormat="1" x14ac:dyDescent="0.3">
      <c r="A239" s="227">
        <f t="shared" si="28"/>
        <v>6</v>
      </c>
      <c r="B239" s="228"/>
      <c r="C239" s="227" t="s">
        <v>181</v>
      </c>
      <c r="D239" s="229"/>
      <c r="E239" s="229"/>
      <c r="F239" s="228"/>
      <c r="G239" s="234"/>
      <c r="H239" s="235"/>
      <c r="I239" s="35"/>
      <c r="J239" s="35">
        <f t="shared" si="29"/>
        <v>19812.397105244341</v>
      </c>
      <c r="L239" s="73"/>
      <c r="M239" s="73"/>
      <c r="N239" s="35"/>
    </row>
    <row r="240" spans="1:14" s="36" customFormat="1" ht="31.2" x14ac:dyDescent="0.3">
      <c r="A240" s="227">
        <f t="shared" si="28"/>
        <v>7</v>
      </c>
      <c r="B240" s="228"/>
      <c r="C240" s="232" t="s">
        <v>311</v>
      </c>
      <c r="D240" s="233">
        <f t="shared" ref="D240:D272" si="30">(3.05*3.03+2.23*1.53+2.13*0.6+2.85*1.25+2.75*1.8+2.85*1.25+2.75*1.8+2.2*1.85+1.38*(2.15+2.15)+0.6*(1.28+1.38)+1.25*0.41+0.91*0.41+3.05*1.23)*10.764</f>
        <v>507.99083399999995</v>
      </c>
      <c r="E240" s="233">
        <v>0</v>
      </c>
      <c r="F240" s="232">
        <f>D240*(($F$133)+1)+(IF(E240&lt;101,E240,IF(E240&lt;201,E240/2,IF(E240&lt;=301,E240/3,E240/4))))</f>
        <v>787.38579269999991</v>
      </c>
      <c r="G240" s="234"/>
      <c r="H240" s="235"/>
      <c r="I240" s="35"/>
      <c r="J240" s="35">
        <f t="shared" si="29"/>
        <v>19812.397105244341</v>
      </c>
      <c r="L240" s="73"/>
      <c r="M240" s="73"/>
      <c r="N240" s="35"/>
    </row>
    <row r="241" spans="1:14" s="36" customFormat="1" ht="31.2" x14ac:dyDescent="0.3">
      <c r="A241" s="227">
        <f t="shared" si="28"/>
        <v>8</v>
      </c>
      <c r="B241" s="228"/>
      <c r="C241" s="232" t="s">
        <v>311</v>
      </c>
      <c r="D241" s="233">
        <f t="shared" si="30"/>
        <v>507.99083399999995</v>
      </c>
      <c r="E241" s="233">
        <v>0</v>
      </c>
      <c r="F241" s="232">
        <f>D241*(($F$133)+1)+(IF(E241&lt;101,E241,IF(E241&lt;201,E241/2,IF(E241&lt;=301,E241/3,E241/4))))</f>
        <v>787.38579269999991</v>
      </c>
      <c r="G241" s="234"/>
      <c r="H241" s="235"/>
      <c r="I241" s="49"/>
      <c r="J241" s="35">
        <f t="shared" si="29"/>
        <v>19812.397105244341</v>
      </c>
      <c r="L241" s="73"/>
      <c r="M241" s="73"/>
      <c r="N241" s="35"/>
    </row>
    <row r="242" spans="1:14" s="36" customFormat="1" ht="31.2" x14ac:dyDescent="0.3">
      <c r="A242" s="227">
        <f t="shared" si="28"/>
        <v>9</v>
      </c>
      <c r="B242" s="228"/>
      <c r="C242" s="232" t="s">
        <v>311</v>
      </c>
      <c r="D242" s="233">
        <f t="shared" si="30"/>
        <v>507.99083399999995</v>
      </c>
      <c r="E242" s="233">
        <v>0</v>
      </c>
      <c r="F242" s="232">
        <f>D242*(($F$133)+1)+(IF(E242&lt;101,E242,IF(E242&lt;201,E242/2,IF(E242&lt;=301,E242/3,E242/4))))</f>
        <v>787.38579269999991</v>
      </c>
      <c r="G242" s="234"/>
      <c r="H242" s="235"/>
      <c r="I242" s="35">
        <f>(3.05*3.03+2.23*1.53+2.13*0.6+(2.85*1.25+2.74*1.8)*2+0.6*(1.28+1.38)+2.2*2.28+1.38*(2.15+2.15)+3.05*1.23)*10.764</f>
        <v>508.25347559999994</v>
      </c>
      <c r="J242" s="35">
        <f t="shared" si="29"/>
        <v>19812.397105244341</v>
      </c>
      <c r="L242" s="73"/>
      <c r="M242" s="73"/>
      <c r="N242" s="35"/>
    </row>
    <row r="243" spans="1:14" s="36" customFormat="1" x14ac:dyDescent="0.3">
      <c r="A243" s="224" t="s">
        <v>281</v>
      </c>
      <c r="B243" s="225"/>
      <c r="C243" s="225"/>
      <c r="D243" s="225"/>
      <c r="E243" s="225"/>
      <c r="F243" s="225"/>
      <c r="G243" s="225"/>
      <c r="H243" s="226"/>
      <c r="I243" s="35"/>
      <c r="J243" s="35">
        <f t="shared" ref="J243" si="31">15600000/F252</f>
        <v>19812.397105244341</v>
      </c>
      <c r="L243" s="73"/>
      <c r="M243" s="73"/>
      <c r="N243" s="35"/>
    </row>
    <row r="244" spans="1:14" s="36" customFormat="1" ht="31.2" x14ac:dyDescent="0.3">
      <c r="A244" s="227">
        <v>1</v>
      </c>
      <c r="B244" s="228"/>
      <c r="C244" s="232" t="s">
        <v>311</v>
      </c>
      <c r="D244" s="233">
        <f t="shared" si="30"/>
        <v>507.99083399999995</v>
      </c>
      <c r="E244" s="233">
        <v>0</v>
      </c>
      <c r="F244" s="232">
        <f t="shared" ref="F244:F252" si="32">D244*(($F$133)+1)+(IF(E244&lt;101,E244,IF(E244&lt;201,E244/2,IF(E244&lt;=301,E244/3,E244/4))))</f>
        <v>787.38579269999991</v>
      </c>
      <c r="G244" s="230" t="str">
        <f>A243</f>
        <v>14th Floor (15th Floor as per Builder)</v>
      </c>
      <c r="H244" s="231"/>
      <c r="J244" s="35"/>
    </row>
    <row r="245" spans="1:14" s="36" customFormat="1" ht="31.2" x14ac:dyDescent="0.3">
      <c r="A245" s="227">
        <f t="shared" ref="A245:A252" si="33">A244+1</f>
        <v>2</v>
      </c>
      <c r="B245" s="228"/>
      <c r="C245" s="232" t="s">
        <v>311</v>
      </c>
      <c r="D245" s="233">
        <f t="shared" si="30"/>
        <v>507.99083399999995</v>
      </c>
      <c r="E245" s="233">
        <v>0</v>
      </c>
      <c r="F245" s="232">
        <f t="shared" si="32"/>
        <v>787.38579269999991</v>
      </c>
      <c r="G245" s="234"/>
      <c r="H245" s="235"/>
      <c r="I245" s="35"/>
      <c r="J245" s="35">
        <f>15600000/F264</f>
        <v>19812.397105244341</v>
      </c>
      <c r="L245" s="73"/>
      <c r="M245" s="73"/>
      <c r="N245" s="35"/>
    </row>
    <row r="246" spans="1:14" s="36" customFormat="1" ht="31.2" x14ac:dyDescent="0.3">
      <c r="A246" s="227">
        <f t="shared" si="33"/>
        <v>3</v>
      </c>
      <c r="B246" s="228"/>
      <c r="C246" s="232" t="s">
        <v>311</v>
      </c>
      <c r="D246" s="233">
        <f t="shared" si="30"/>
        <v>507.99083399999995</v>
      </c>
      <c r="E246" s="233">
        <v>0</v>
      </c>
      <c r="F246" s="232">
        <f t="shared" si="32"/>
        <v>787.38579269999991</v>
      </c>
      <c r="G246" s="234"/>
      <c r="H246" s="235"/>
      <c r="I246" s="35"/>
      <c r="J246" s="35"/>
      <c r="L246" s="73"/>
      <c r="M246" s="73"/>
      <c r="N246" s="35"/>
    </row>
    <row r="247" spans="1:14" s="36" customFormat="1" ht="31.2" x14ac:dyDescent="0.3">
      <c r="A247" s="227">
        <f t="shared" si="33"/>
        <v>4</v>
      </c>
      <c r="B247" s="228"/>
      <c r="C247" s="232" t="s">
        <v>311</v>
      </c>
      <c r="D247" s="233">
        <f t="shared" si="30"/>
        <v>507.99083399999995</v>
      </c>
      <c r="E247" s="233">
        <v>0</v>
      </c>
      <c r="F247" s="232">
        <f t="shared" si="32"/>
        <v>787.38579269999991</v>
      </c>
      <c r="G247" s="234"/>
      <c r="H247" s="235"/>
      <c r="I247" s="35"/>
      <c r="J247" s="35"/>
      <c r="L247" s="73"/>
      <c r="M247" s="73"/>
      <c r="N247" s="35"/>
    </row>
    <row r="248" spans="1:14" s="36" customFormat="1" ht="31.2" x14ac:dyDescent="0.3">
      <c r="A248" s="227">
        <f t="shared" si="33"/>
        <v>5</v>
      </c>
      <c r="B248" s="228"/>
      <c r="C248" s="232" t="s">
        <v>311</v>
      </c>
      <c r="D248" s="233">
        <f t="shared" si="30"/>
        <v>507.99083399999995</v>
      </c>
      <c r="E248" s="233">
        <v>0</v>
      </c>
      <c r="F248" s="232">
        <f t="shared" si="32"/>
        <v>787.38579269999991</v>
      </c>
      <c r="G248" s="234"/>
      <c r="H248" s="235"/>
      <c r="I248" s="35">
        <f>18400*F267</f>
        <v>14487898.585679999</v>
      </c>
      <c r="J248" s="35"/>
      <c r="L248" s="73"/>
      <c r="M248" s="73"/>
      <c r="N248" s="35"/>
    </row>
    <row r="249" spans="1:14" s="36" customFormat="1" ht="31.2" x14ac:dyDescent="0.3">
      <c r="A249" s="227">
        <f t="shared" si="33"/>
        <v>6</v>
      </c>
      <c r="B249" s="228"/>
      <c r="C249" s="232" t="s">
        <v>311</v>
      </c>
      <c r="D249" s="233">
        <f t="shared" si="30"/>
        <v>507.99083399999995</v>
      </c>
      <c r="E249" s="233">
        <v>0</v>
      </c>
      <c r="F249" s="232">
        <f t="shared" si="32"/>
        <v>787.38579269999991</v>
      </c>
      <c r="G249" s="234"/>
      <c r="H249" s="235"/>
      <c r="I249" s="35">
        <f>18400*F268</f>
        <v>14487898.585679999</v>
      </c>
      <c r="J249" s="35">
        <f>15600000/F268</f>
        <v>19812.397105244341</v>
      </c>
      <c r="L249" s="73"/>
      <c r="M249" s="73"/>
      <c r="N249" s="35"/>
    </row>
    <row r="250" spans="1:14" s="36" customFormat="1" ht="31.2" x14ac:dyDescent="0.3">
      <c r="A250" s="227">
        <f t="shared" si="33"/>
        <v>7</v>
      </c>
      <c r="B250" s="228"/>
      <c r="C250" s="232" t="s">
        <v>311</v>
      </c>
      <c r="D250" s="233">
        <f t="shared" si="30"/>
        <v>507.99083399999995</v>
      </c>
      <c r="E250" s="233">
        <v>0</v>
      </c>
      <c r="F250" s="232">
        <f t="shared" si="32"/>
        <v>787.38579269999991</v>
      </c>
      <c r="G250" s="234"/>
      <c r="H250" s="235"/>
      <c r="I250" s="35">
        <f>18400*F269</f>
        <v>14487898.585679999</v>
      </c>
      <c r="J250" s="35">
        <f>15600000/F269</f>
        <v>19812.397105244341</v>
      </c>
      <c r="L250" s="73"/>
      <c r="M250" s="73"/>
      <c r="N250" s="35"/>
    </row>
    <row r="251" spans="1:14" s="36" customFormat="1" ht="31.2" x14ac:dyDescent="0.3">
      <c r="A251" s="227">
        <f t="shared" si="33"/>
        <v>8</v>
      </c>
      <c r="B251" s="228"/>
      <c r="C251" s="232" t="s">
        <v>311</v>
      </c>
      <c r="D251" s="233">
        <f t="shared" si="30"/>
        <v>507.99083399999995</v>
      </c>
      <c r="E251" s="233">
        <v>0</v>
      </c>
      <c r="F251" s="232">
        <f t="shared" si="32"/>
        <v>787.38579269999991</v>
      </c>
      <c r="G251" s="234"/>
      <c r="H251" s="235"/>
      <c r="I251" s="35">
        <f>18400*F270</f>
        <v>14487898.585679999</v>
      </c>
      <c r="J251" s="35">
        <f>15600000/F270</f>
        <v>19812.397105244341</v>
      </c>
      <c r="L251" s="73"/>
      <c r="M251" s="73"/>
      <c r="N251" s="35"/>
    </row>
    <row r="252" spans="1:14" s="36" customFormat="1" ht="31.2" x14ac:dyDescent="0.3">
      <c r="A252" s="227">
        <f t="shared" si="33"/>
        <v>9</v>
      </c>
      <c r="B252" s="228"/>
      <c r="C252" s="232" t="s">
        <v>311</v>
      </c>
      <c r="D252" s="233">
        <f t="shared" si="30"/>
        <v>507.99083399999995</v>
      </c>
      <c r="E252" s="233">
        <v>0</v>
      </c>
      <c r="F252" s="232">
        <f t="shared" si="32"/>
        <v>787.38579269999991</v>
      </c>
      <c r="G252" s="234"/>
      <c r="H252" s="235"/>
      <c r="I252" s="35">
        <f>18400*F271</f>
        <v>14487898.585679999</v>
      </c>
      <c r="J252" s="35">
        <f>15600000/F271</f>
        <v>19812.397105244341</v>
      </c>
      <c r="L252" s="73"/>
      <c r="M252" s="73"/>
      <c r="N252" s="35"/>
    </row>
    <row r="253" spans="1:14" s="36" customFormat="1" ht="33" customHeight="1" x14ac:dyDescent="0.3">
      <c r="A253" s="224" t="s">
        <v>289</v>
      </c>
      <c r="B253" s="225"/>
      <c r="C253" s="225"/>
      <c r="D253" s="225"/>
      <c r="E253" s="225"/>
      <c r="F253" s="225"/>
      <c r="G253" s="225"/>
      <c r="H253" s="226"/>
      <c r="I253" s="35"/>
      <c r="J253" s="35">
        <f>15600000/F262</f>
        <v>19812.397105244341</v>
      </c>
      <c r="L253" s="73"/>
      <c r="M253" s="73"/>
      <c r="N253" s="35"/>
    </row>
    <row r="254" spans="1:14" s="34" customFormat="1" x14ac:dyDescent="0.3">
      <c r="A254" s="237">
        <v>1</v>
      </c>
      <c r="B254" s="237"/>
      <c r="C254" s="232" t="s">
        <v>191</v>
      </c>
      <c r="D254" s="233">
        <f>(3.05*3.03+2.23*1.53+2.13*0.6+(2.85*1.25+2.75*1.8)+2.75*3.05+2.75*1.98+2.95*0.99+1.38*(2.15+2.15)+2.2*1.86+0.91*0.41+1.25*0.41+0.6*(1.28+1.38+1.28)+3.05*1.23)*10.764</f>
        <v>605.19513599999982</v>
      </c>
      <c r="E254" s="233">
        <v>0</v>
      </c>
      <c r="F254" s="232">
        <f>D254*(($F$133)+1)+(IF(E254&lt;101,E254,IF(E254&lt;201,E254/2,IF(E254&lt;=301,E254/3,E254/4))))</f>
        <v>938.05246079999972</v>
      </c>
      <c r="G254" s="237" t="str">
        <f>A253</f>
        <v>15th Floor (Part Refuge Area)
(16th Floor as per Builder)</v>
      </c>
      <c r="H254" s="237"/>
      <c r="I254" s="35">
        <f>(3.05*3.03+2.23*1.53+2.13*0.6+(2.85*1.25+2.75*1.8)+2.75*3.05+2.75*1.98+2.95*0.99+1.38*(2.15+2.15)+2.2*1.86+0.91*0.41+1.25*0.41+0.6*(1.28+1.38+1.28)+3.05*1.23)*10.764</f>
        <v>605.19513599999982</v>
      </c>
      <c r="J254" s="35"/>
    </row>
    <row r="255" spans="1:14" s="52" customFormat="1" x14ac:dyDescent="0.3">
      <c r="A255" s="237">
        <f t="shared" ref="A255:A262" si="34">A254+1</f>
        <v>2</v>
      </c>
      <c r="B255" s="237"/>
      <c r="C255" s="237" t="s">
        <v>182</v>
      </c>
      <c r="D255" s="237"/>
      <c r="E255" s="237"/>
      <c r="F255" s="237"/>
      <c r="G255" s="237"/>
      <c r="H255" s="237"/>
      <c r="I255" s="35"/>
      <c r="J255" s="35">
        <f t="shared" ref="J255:J262" si="35">15600000/F274</f>
        <v>19812.397105244341</v>
      </c>
    </row>
    <row r="256" spans="1:14" s="34" customFormat="1" x14ac:dyDescent="0.3">
      <c r="A256" s="237">
        <f t="shared" si="34"/>
        <v>3</v>
      </c>
      <c r="B256" s="237"/>
      <c r="C256" s="237"/>
      <c r="D256" s="237"/>
      <c r="E256" s="237"/>
      <c r="F256" s="237"/>
      <c r="G256" s="237"/>
      <c r="H256" s="237"/>
      <c r="I256" s="35"/>
      <c r="J256" s="35">
        <f t="shared" si="35"/>
        <v>19812.397105244341</v>
      </c>
    </row>
    <row r="257" spans="1:14" s="34" customFormat="1" x14ac:dyDescent="0.3">
      <c r="A257" s="237">
        <f t="shared" si="34"/>
        <v>4</v>
      </c>
      <c r="B257" s="237"/>
      <c r="C257" s="237"/>
      <c r="D257" s="237"/>
      <c r="E257" s="237"/>
      <c r="F257" s="237"/>
      <c r="G257" s="237"/>
      <c r="H257" s="237"/>
      <c r="I257" s="35">
        <f>16000000/D276</f>
        <v>31496.631295516647</v>
      </c>
      <c r="J257" s="35">
        <f t="shared" si="35"/>
        <v>19812.397105244341</v>
      </c>
    </row>
    <row r="258" spans="1:14" s="34" customFormat="1" x14ac:dyDescent="0.3">
      <c r="A258" s="237">
        <f t="shared" si="34"/>
        <v>5</v>
      </c>
      <c r="B258" s="237"/>
      <c r="C258" s="232" t="s">
        <v>191</v>
      </c>
      <c r="D258" s="233">
        <f>(3.05*3.03+2.23*1.53+2.13*0.6+(2.85*1.25+2.75*1.8)+2.75*3.05+2.75*1.98+2.95*0.99+1.38*(2.15+2.15)+2.2*1.86+0.91*0.41+1.25*0.41+0.6*(1.28+1.38+1.28)+3.05*1.23)*10.764</f>
        <v>605.19513599999982</v>
      </c>
      <c r="E258" s="233">
        <v>0</v>
      </c>
      <c r="F258" s="232">
        <f>D258*(($F$133)+1)+(IF(E258&lt;101,E258,IF(E258&lt;201,E258/2,IF(E258&lt;=301,E258/3,E258/4))))</f>
        <v>938.05246079999972</v>
      </c>
      <c r="G258" s="237"/>
      <c r="H258" s="237"/>
      <c r="I258" s="35"/>
      <c r="J258" s="35">
        <f t="shared" si="35"/>
        <v>19812.397105244341</v>
      </c>
    </row>
    <row r="259" spans="1:14" s="34" customFormat="1" ht="31.2" x14ac:dyDescent="0.3">
      <c r="A259" s="237">
        <f t="shared" si="34"/>
        <v>6</v>
      </c>
      <c r="B259" s="237"/>
      <c r="C259" s="232" t="s">
        <v>311</v>
      </c>
      <c r="D259" s="233">
        <f t="shared" si="30"/>
        <v>507.99083399999995</v>
      </c>
      <c r="E259" s="233">
        <v>0</v>
      </c>
      <c r="F259" s="232">
        <f>D259*(($F$133)+1)+(IF(E259&lt;101,E259,IF(E259&lt;201,E259/2,IF(E259&lt;=301,E259/3,E259/4))))</f>
        <v>787.38579269999991</v>
      </c>
      <c r="G259" s="237"/>
      <c r="H259" s="237"/>
      <c r="I259" s="35">
        <f>16000000/F278</f>
        <v>20320.407287430095</v>
      </c>
      <c r="J259" s="35">
        <f t="shared" si="35"/>
        <v>19812.397105244341</v>
      </c>
    </row>
    <row r="260" spans="1:14" s="34" customFormat="1" ht="31.2" x14ac:dyDescent="0.3">
      <c r="A260" s="237">
        <f t="shared" si="34"/>
        <v>7</v>
      </c>
      <c r="B260" s="237"/>
      <c r="C260" s="232" t="s">
        <v>311</v>
      </c>
      <c r="D260" s="233">
        <f t="shared" si="30"/>
        <v>507.99083399999995</v>
      </c>
      <c r="E260" s="233">
        <v>0</v>
      </c>
      <c r="F260" s="232">
        <f>D260*(($F$133)+1)+(IF(E260&lt;101,E260,IF(E260&lt;201,E260/2,IF(E260&lt;=301,E260/3,E260/4))))</f>
        <v>787.38579269999991</v>
      </c>
      <c r="G260" s="237"/>
      <c r="H260" s="237"/>
      <c r="I260" s="49"/>
      <c r="J260" s="35">
        <f t="shared" si="35"/>
        <v>19787.072872003133</v>
      </c>
    </row>
    <row r="261" spans="1:14" s="34" customFormat="1" ht="31.2" x14ac:dyDescent="0.3">
      <c r="A261" s="237">
        <f t="shared" si="34"/>
        <v>8</v>
      </c>
      <c r="B261" s="237"/>
      <c r="C261" s="232" t="s">
        <v>311</v>
      </c>
      <c r="D261" s="233">
        <f t="shared" si="30"/>
        <v>507.99083399999995</v>
      </c>
      <c r="E261" s="233">
        <v>0</v>
      </c>
      <c r="F261" s="232">
        <f>D261*(($F$133)+1)+(IF(E261&lt;101,E261,IF(E261&lt;201,E261/2,IF(E261&lt;=301,E261/3,E261/4))))</f>
        <v>787.38579269999991</v>
      </c>
      <c r="G261" s="237"/>
      <c r="H261" s="237"/>
      <c r="I261" s="35"/>
      <c r="J261" s="35">
        <f t="shared" si="35"/>
        <v>19787.072872003133</v>
      </c>
    </row>
    <row r="262" spans="1:14" s="34" customFormat="1" ht="31.2" x14ac:dyDescent="0.3">
      <c r="A262" s="237">
        <f t="shared" si="34"/>
        <v>9</v>
      </c>
      <c r="B262" s="237"/>
      <c r="C262" s="232" t="s">
        <v>311</v>
      </c>
      <c r="D262" s="233">
        <f t="shared" si="30"/>
        <v>507.99083399999995</v>
      </c>
      <c r="E262" s="233">
        <v>0</v>
      </c>
      <c r="F262" s="232">
        <f>D262*(($F$133)+1)+(IF(E262&lt;101,E262,IF(E262&lt;201,E262/2,IF(E262&lt;=301,E262/3,E262/4))))</f>
        <v>787.38579269999991</v>
      </c>
      <c r="G262" s="237"/>
      <c r="H262" s="237"/>
      <c r="I262" s="35">
        <f>(3.05*3.03+2.23*1.53+2.13*0.6+(2.85*1.25+2.75*1.8)*2+1.38*(2.15+2.15)+2.2*2.28+0.6*(1.38+1.28)+3.05*1.23)*10.764</f>
        <v>508.64097959999992</v>
      </c>
      <c r="J262" s="35">
        <f t="shared" si="35"/>
        <v>19787.072872003133</v>
      </c>
    </row>
    <row r="263" spans="1:14" s="36" customFormat="1" x14ac:dyDescent="0.3">
      <c r="A263" s="224" t="s">
        <v>282</v>
      </c>
      <c r="B263" s="225"/>
      <c r="C263" s="225"/>
      <c r="D263" s="225"/>
      <c r="E263" s="225"/>
      <c r="F263" s="225"/>
      <c r="G263" s="225"/>
      <c r="H263" s="226"/>
      <c r="I263" s="35"/>
      <c r="J263" s="35">
        <f t="shared" ref="J263" si="36">15600000/F272</f>
        <v>19812.397105244341</v>
      </c>
      <c r="L263" s="73"/>
      <c r="M263" s="73"/>
      <c r="N263" s="35"/>
    </row>
    <row r="264" spans="1:14" s="36" customFormat="1" ht="31.2" x14ac:dyDescent="0.3">
      <c r="A264" s="227">
        <v>1</v>
      </c>
      <c r="B264" s="228"/>
      <c r="C264" s="232" t="s">
        <v>311</v>
      </c>
      <c r="D264" s="233">
        <f t="shared" si="30"/>
        <v>507.99083399999995</v>
      </c>
      <c r="E264" s="233">
        <v>0</v>
      </c>
      <c r="F264" s="232">
        <f t="shared" ref="F264:F272" si="37">D264*(($F$133)+1)+(IF(E264&lt;101,E264,IF(E264&lt;201,E264/2,IF(E264&lt;=301,E264/3,E264/4))))</f>
        <v>787.38579269999991</v>
      </c>
      <c r="G264" s="230" t="str">
        <f>A263</f>
        <v>16th Floor (17th Floor as per Builder)</v>
      </c>
      <c r="H264" s="231"/>
      <c r="J264" s="35"/>
    </row>
    <row r="265" spans="1:14" s="36" customFormat="1" ht="31.2" x14ac:dyDescent="0.3">
      <c r="A265" s="227">
        <f t="shared" ref="A265:A272" si="38">A264+1</f>
        <v>2</v>
      </c>
      <c r="B265" s="228"/>
      <c r="C265" s="232" t="s">
        <v>311</v>
      </c>
      <c r="D265" s="233">
        <f t="shared" si="30"/>
        <v>507.99083399999995</v>
      </c>
      <c r="E265" s="233">
        <v>0</v>
      </c>
      <c r="F265" s="232">
        <f t="shared" si="37"/>
        <v>787.38579269999991</v>
      </c>
      <c r="G265" s="234"/>
      <c r="H265" s="235"/>
      <c r="I265" s="35"/>
      <c r="J265" s="35">
        <f>15600000/F322</f>
        <v>16630.199964185205</v>
      </c>
      <c r="L265" s="73"/>
      <c r="M265" s="73"/>
      <c r="N265" s="35"/>
    </row>
    <row r="266" spans="1:14" s="36" customFormat="1" ht="31.2" x14ac:dyDescent="0.3">
      <c r="A266" s="227">
        <f t="shared" si="38"/>
        <v>3</v>
      </c>
      <c r="B266" s="228"/>
      <c r="C266" s="232" t="s">
        <v>311</v>
      </c>
      <c r="D266" s="233">
        <f t="shared" si="30"/>
        <v>507.99083399999995</v>
      </c>
      <c r="E266" s="233">
        <v>0</v>
      </c>
      <c r="F266" s="232">
        <f t="shared" si="37"/>
        <v>787.38579269999991</v>
      </c>
      <c r="G266" s="234"/>
      <c r="H266" s="235"/>
      <c r="I266" s="35"/>
      <c r="J266" s="35"/>
      <c r="L266" s="73"/>
      <c r="M266" s="73"/>
      <c r="N266" s="35"/>
    </row>
    <row r="267" spans="1:14" s="36" customFormat="1" ht="31.2" x14ac:dyDescent="0.3">
      <c r="A267" s="227">
        <f t="shared" si="38"/>
        <v>4</v>
      </c>
      <c r="B267" s="228"/>
      <c r="C267" s="232" t="s">
        <v>311</v>
      </c>
      <c r="D267" s="233">
        <f t="shared" si="30"/>
        <v>507.99083399999995</v>
      </c>
      <c r="E267" s="233">
        <v>0</v>
      </c>
      <c r="F267" s="232">
        <f t="shared" si="37"/>
        <v>787.38579269999991</v>
      </c>
      <c r="G267" s="234"/>
      <c r="H267" s="235"/>
      <c r="I267" s="35"/>
      <c r="J267" s="35"/>
      <c r="L267" s="73"/>
      <c r="M267" s="73"/>
      <c r="N267" s="35"/>
    </row>
    <row r="268" spans="1:14" s="36" customFormat="1" ht="31.2" x14ac:dyDescent="0.3">
      <c r="A268" s="227">
        <f t="shared" si="38"/>
        <v>5</v>
      </c>
      <c r="B268" s="228"/>
      <c r="C268" s="232" t="s">
        <v>311</v>
      </c>
      <c r="D268" s="233">
        <f t="shared" si="30"/>
        <v>507.99083399999995</v>
      </c>
      <c r="E268" s="233">
        <v>0</v>
      </c>
      <c r="F268" s="232">
        <f t="shared" si="37"/>
        <v>787.38579269999991</v>
      </c>
      <c r="G268" s="234"/>
      <c r="H268" s="235"/>
      <c r="I268" s="35"/>
      <c r="J268" s="35"/>
      <c r="L268" s="73"/>
      <c r="M268" s="73"/>
      <c r="N268" s="35"/>
    </row>
    <row r="269" spans="1:14" s="36" customFormat="1" ht="31.2" x14ac:dyDescent="0.3">
      <c r="A269" s="227">
        <f t="shared" si="38"/>
        <v>6</v>
      </c>
      <c r="B269" s="228"/>
      <c r="C269" s="232" t="s">
        <v>311</v>
      </c>
      <c r="D269" s="233">
        <f t="shared" si="30"/>
        <v>507.99083399999995</v>
      </c>
      <c r="E269" s="233">
        <v>0</v>
      </c>
      <c r="F269" s="232">
        <f t="shared" si="37"/>
        <v>787.38579269999991</v>
      </c>
      <c r="G269" s="234"/>
      <c r="H269" s="235"/>
      <c r="I269" s="35"/>
      <c r="J269" s="35">
        <f>15600000/F326</f>
        <v>16630.199964185205</v>
      </c>
      <c r="L269" s="73"/>
      <c r="M269" s="73"/>
      <c r="N269" s="35"/>
    </row>
    <row r="270" spans="1:14" s="36" customFormat="1" ht="31.2" x14ac:dyDescent="0.3">
      <c r="A270" s="227">
        <f t="shared" si="38"/>
        <v>7</v>
      </c>
      <c r="B270" s="228"/>
      <c r="C270" s="232" t="s">
        <v>311</v>
      </c>
      <c r="D270" s="233">
        <f t="shared" si="30"/>
        <v>507.99083399999995</v>
      </c>
      <c r="E270" s="233">
        <v>0</v>
      </c>
      <c r="F270" s="232">
        <f t="shared" si="37"/>
        <v>787.38579269999991</v>
      </c>
      <c r="G270" s="234"/>
      <c r="H270" s="235"/>
      <c r="I270" s="35"/>
      <c r="J270" s="35">
        <f>15600000/F327</f>
        <v>19787.072872003133</v>
      </c>
      <c r="L270" s="73"/>
      <c r="M270" s="73"/>
      <c r="N270" s="35"/>
    </row>
    <row r="271" spans="1:14" s="36" customFormat="1" ht="31.2" x14ac:dyDescent="0.3">
      <c r="A271" s="227">
        <f t="shared" si="38"/>
        <v>8</v>
      </c>
      <c r="B271" s="228"/>
      <c r="C271" s="232" t="s">
        <v>311</v>
      </c>
      <c r="D271" s="233">
        <f t="shared" si="30"/>
        <v>507.99083399999995</v>
      </c>
      <c r="E271" s="233">
        <v>0</v>
      </c>
      <c r="F271" s="232">
        <f t="shared" si="37"/>
        <v>787.38579269999991</v>
      </c>
      <c r="G271" s="234"/>
      <c r="H271" s="235"/>
      <c r="I271" s="35"/>
      <c r="J271" s="35">
        <f>15600000/F328</f>
        <v>19787.072872003133</v>
      </c>
      <c r="L271" s="73"/>
      <c r="M271" s="73"/>
      <c r="N271" s="35"/>
    </row>
    <row r="272" spans="1:14" s="36" customFormat="1" ht="31.2" x14ac:dyDescent="0.3">
      <c r="A272" s="227">
        <f t="shared" si="38"/>
        <v>9</v>
      </c>
      <c r="B272" s="228"/>
      <c r="C272" s="232" t="s">
        <v>311</v>
      </c>
      <c r="D272" s="233">
        <f t="shared" si="30"/>
        <v>507.99083399999995</v>
      </c>
      <c r="E272" s="233">
        <v>0</v>
      </c>
      <c r="F272" s="232">
        <f t="shared" si="37"/>
        <v>787.38579269999991</v>
      </c>
      <c r="G272" s="234"/>
      <c r="H272" s="235"/>
      <c r="I272" s="35"/>
      <c r="J272" s="35">
        <f>15600000/F329</f>
        <v>19787.072872003133</v>
      </c>
      <c r="L272" s="73"/>
      <c r="M272" s="73"/>
      <c r="N272" s="35"/>
    </row>
    <row r="273" spans="1:14" s="36" customFormat="1" x14ac:dyDescent="0.3">
      <c r="A273" s="224" t="s">
        <v>283</v>
      </c>
      <c r="B273" s="225"/>
      <c r="C273" s="225"/>
      <c r="D273" s="225"/>
      <c r="E273" s="225"/>
      <c r="F273" s="225"/>
      <c r="G273" s="225"/>
      <c r="H273" s="226"/>
      <c r="I273" s="35"/>
      <c r="J273" s="35">
        <f t="shared" ref="J273" si="39">15600000/F282</f>
        <v>19787.072872003133</v>
      </c>
      <c r="L273" s="73"/>
      <c r="M273" s="73"/>
      <c r="N273" s="35"/>
    </row>
    <row r="274" spans="1:14" s="36" customFormat="1" ht="31.2" x14ac:dyDescent="0.3">
      <c r="A274" s="227">
        <v>1</v>
      </c>
      <c r="B274" s="228"/>
      <c r="C274" s="232" t="s">
        <v>311</v>
      </c>
      <c r="D274" s="233">
        <f t="shared" ref="D274:D278" si="40">(3.05*3.03+2.23*1.53+2.13*0.6+2.85*1.25+2.75*1.8+2.85*1.25+2.75*1.8+2.2*1.85+1.38*(2.15+2.15)+0.6*(1.28+1.38)+1.25*0.41+0.91*0.41+3.05*1.23)*10.764</f>
        <v>507.99083399999995</v>
      </c>
      <c r="E274" s="233">
        <v>0</v>
      </c>
      <c r="F274" s="232">
        <f t="shared" ref="F274:F282" si="41">D274*(($F$133)+1)+(IF(E274&lt;101,E274,IF(E274&lt;201,E274/2,IF(E274&lt;=301,E274/3,E274/4))))</f>
        <v>787.38579269999991</v>
      </c>
      <c r="G274" s="230" t="str">
        <f>A273</f>
        <v>17th Floor (18th Floor as per Builder)</v>
      </c>
      <c r="H274" s="231"/>
      <c r="J274" s="35"/>
    </row>
    <row r="275" spans="1:14" s="36" customFormat="1" ht="31.2" x14ac:dyDescent="0.3">
      <c r="A275" s="227">
        <f t="shared" ref="A275:A282" si="42">A274+1</f>
        <v>2</v>
      </c>
      <c r="B275" s="228"/>
      <c r="C275" s="232" t="s">
        <v>311</v>
      </c>
      <c r="D275" s="233">
        <f t="shared" si="40"/>
        <v>507.99083399999995</v>
      </c>
      <c r="E275" s="233">
        <v>0</v>
      </c>
      <c r="F275" s="232">
        <f t="shared" si="41"/>
        <v>787.38579269999991</v>
      </c>
      <c r="G275" s="234"/>
      <c r="H275" s="235"/>
      <c r="I275" s="35"/>
      <c r="J275" s="35">
        <f>15600000/F322</f>
        <v>16630.199964185205</v>
      </c>
      <c r="L275" s="73"/>
      <c r="M275" s="73"/>
      <c r="N275" s="35"/>
    </row>
    <row r="276" spans="1:14" s="36" customFormat="1" ht="31.2" x14ac:dyDescent="0.3">
      <c r="A276" s="227">
        <f t="shared" si="42"/>
        <v>3</v>
      </c>
      <c r="B276" s="228"/>
      <c r="C276" s="232" t="s">
        <v>311</v>
      </c>
      <c r="D276" s="233">
        <f t="shared" si="40"/>
        <v>507.99083399999995</v>
      </c>
      <c r="E276" s="233">
        <v>0</v>
      </c>
      <c r="F276" s="232">
        <f t="shared" si="41"/>
        <v>787.38579269999991</v>
      </c>
      <c r="G276" s="234"/>
      <c r="H276" s="235"/>
      <c r="I276" s="35"/>
      <c r="J276" s="35"/>
      <c r="L276" s="73"/>
      <c r="M276" s="73"/>
      <c r="N276" s="35"/>
    </row>
    <row r="277" spans="1:14" s="36" customFormat="1" ht="31.2" x14ac:dyDescent="0.3">
      <c r="A277" s="227">
        <f t="shared" si="42"/>
        <v>4</v>
      </c>
      <c r="B277" s="228"/>
      <c r="C277" s="232" t="s">
        <v>311</v>
      </c>
      <c r="D277" s="233">
        <f t="shared" si="40"/>
        <v>507.99083399999995</v>
      </c>
      <c r="E277" s="233">
        <v>0</v>
      </c>
      <c r="F277" s="232">
        <f t="shared" si="41"/>
        <v>787.38579269999991</v>
      </c>
      <c r="G277" s="234"/>
      <c r="H277" s="235"/>
      <c r="I277" s="35"/>
      <c r="J277" s="35"/>
      <c r="L277" s="73"/>
      <c r="M277" s="73"/>
      <c r="N277" s="35"/>
    </row>
    <row r="278" spans="1:14" s="36" customFormat="1" ht="31.2" x14ac:dyDescent="0.3">
      <c r="A278" s="227">
        <f t="shared" si="42"/>
        <v>5</v>
      </c>
      <c r="B278" s="228"/>
      <c r="C278" s="232" t="s">
        <v>311</v>
      </c>
      <c r="D278" s="233">
        <f t="shared" si="40"/>
        <v>507.99083399999995</v>
      </c>
      <c r="E278" s="233">
        <v>0</v>
      </c>
      <c r="F278" s="232">
        <f t="shared" si="41"/>
        <v>787.38579269999991</v>
      </c>
      <c r="G278" s="234"/>
      <c r="H278" s="235"/>
      <c r="I278" s="35"/>
      <c r="J278" s="35"/>
      <c r="L278" s="73"/>
      <c r="M278" s="73"/>
      <c r="N278" s="35"/>
    </row>
    <row r="279" spans="1:14" s="36" customFormat="1" ht="31.2" x14ac:dyDescent="0.3">
      <c r="A279" s="227">
        <f t="shared" si="42"/>
        <v>6</v>
      </c>
      <c r="B279" s="228"/>
      <c r="C279" s="232" t="s">
        <v>311</v>
      </c>
      <c r="D279" s="233">
        <f t="shared" ref="D279:D282" si="43">(3.05*3.03+2.23*1.53+2.13*0.6+(2.85*1.25+2.75*1.8)*2+1.38*(2.15+2.15)+2.2*2.28+0.6*(1.38+1.28)+3.05*1.23)*10.764</f>
        <v>508.64097959999992</v>
      </c>
      <c r="E279" s="233">
        <v>0</v>
      </c>
      <c r="F279" s="232">
        <f t="shared" si="41"/>
        <v>788.39351837999993</v>
      </c>
      <c r="G279" s="234"/>
      <c r="H279" s="235"/>
      <c r="I279" s="35"/>
      <c r="J279" s="35">
        <f>15600000/F326</f>
        <v>16630.199964185205</v>
      </c>
      <c r="L279" s="73"/>
      <c r="M279" s="73"/>
      <c r="N279" s="35"/>
    </row>
    <row r="280" spans="1:14" s="36" customFormat="1" ht="31.2" x14ac:dyDescent="0.3">
      <c r="A280" s="227">
        <f t="shared" si="42"/>
        <v>7</v>
      </c>
      <c r="B280" s="228"/>
      <c r="C280" s="232" t="s">
        <v>311</v>
      </c>
      <c r="D280" s="233">
        <f t="shared" si="43"/>
        <v>508.64097959999992</v>
      </c>
      <c r="E280" s="233">
        <v>0</v>
      </c>
      <c r="F280" s="232">
        <f t="shared" si="41"/>
        <v>788.39351837999993</v>
      </c>
      <c r="G280" s="234"/>
      <c r="H280" s="235"/>
      <c r="I280" s="35"/>
      <c r="J280" s="35">
        <f>15600000/F327</f>
        <v>19787.072872003133</v>
      </c>
      <c r="L280" s="73"/>
      <c r="M280" s="73"/>
      <c r="N280" s="35"/>
    </row>
    <row r="281" spans="1:14" s="36" customFormat="1" ht="31.2" x14ac:dyDescent="0.3">
      <c r="A281" s="227">
        <f t="shared" si="42"/>
        <v>8</v>
      </c>
      <c r="B281" s="228"/>
      <c r="C281" s="232" t="s">
        <v>311</v>
      </c>
      <c r="D281" s="233">
        <f t="shared" si="43"/>
        <v>508.64097959999992</v>
      </c>
      <c r="E281" s="233">
        <v>0</v>
      </c>
      <c r="F281" s="232">
        <f t="shared" si="41"/>
        <v>788.39351837999993</v>
      </c>
      <c r="G281" s="234"/>
      <c r="H281" s="235"/>
      <c r="I281" s="35"/>
      <c r="J281" s="35">
        <f>15600000/F328</f>
        <v>19787.072872003133</v>
      </c>
      <c r="L281" s="73"/>
      <c r="M281" s="73"/>
      <c r="N281" s="35"/>
    </row>
    <row r="282" spans="1:14" s="36" customFormat="1" ht="31.2" x14ac:dyDescent="0.3">
      <c r="A282" s="227">
        <f t="shared" si="42"/>
        <v>9</v>
      </c>
      <c r="B282" s="228"/>
      <c r="C282" s="232" t="s">
        <v>311</v>
      </c>
      <c r="D282" s="233">
        <f t="shared" si="43"/>
        <v>508.64097959999992</v>
      </c>
      <c r="E282" s="233">
        <v>0</v>
      </c>
      <c r="F282" s="232">
        <f t="shared" si="41"/>
        <v>788.39351837999993</v>
      </c>
      <c r="G282" s="234"/>
      <c r="H282" s="235"/>
      <c r="I282" s="35"/>
      <c r="J282" s="35">
        <f>15600000/F329</f>
        <v>19787.072872003133</v>
      </c>
      <c r="L282" s="73"/>
      <c r="M282" s="73"/>
      <c r="N282" s="35"/>
    </row>
    <row r="283" spans="1:14" s="36" customFormat="1" x14ac:dyDescent="0.3">
      <c r="A283" s="224" t="s">
        <v>284</v>
      </c>
      <c r="B283" s="225"/>
      <c r="C283" s="225"/>
      <c r="D283" s="225"/>
      <c r="E283" s="225"/>
      <c r="F283" s="225"/>
      <c r="G283" s="225"/>
      <c r="H283" s="226"/>
      <c r="I283" s="35"/>
      <c r="J283" s="35">
        <f t="shared" ref="J283" si="44">15600000/F292</f>
        <v>19787.072872003133</v>
      </c>
      <c r="L283" s="73"/>
      <c r="M283" s="73"/>
      <c r="N283" s="35"/>
    </row>
    <row r="284" spans="1:14" s="36" customFormat="1" ht="31.2" x14ac:dyDescent="0.3">
      <c r="A284" s="227">
        <v>1</v>
      </c>
      <c r="B284" s="228"/>
      <c r="C284" s="232" t="s">
        <v>311</v>
      </c>
      <c r="D284" s="233">
        <f t="shared" ref="D284:D288" si="45">(3.05*3.03+2.23*1.53+2.13*0.6+2.85*1.25+2.75*1.8+2.85*1.25+2.75*1.8+2.2*1.85+1.38*(2.15+2.15)+0.6*(1.28+1.38)+1.25*0.41+0.91*0.41+3.05*1.23)*10.764</f>
        <v>507.99083399999995</v>
      </c>
      <c r="E284" s="233">
        <v>0</v>
      </c>
      <c r="F284" s="232">
        <f t="shared" ref="F284:F292" si="46">D284*(($F$133)+1)+(IF(E284&lt;101,E284,IF(E284&lt;201,E284/2,IF(E284&lt;=301,E284/3,E284/4))))</f>
        <v>787.38579269999991</v>
      </c>
      <c r="G284" s="230" t="str">
        <f>A283</f>
        <v>18th Floor (19th Floor as per Builder)</v>
      </c>
      <c r="H284" s="231"/>
      <c r="J284" s="35"/>
    </row>
    <row r="285" spans="1:14" s="36" customFormat="1" ht="31.2" x14ac:dyDescent="0.3">
      <c r="A285" s="227">
        <f t="shared" ref="A285:A292" si="47">A284+1</f>
        <v>2</v>
      </c>
      <c r="B285" s="228"/>
      <c r="C285" s="232" t="s">
        <v>311</v>
      </c>
      <c r="D285" s="233">
        <f t="shared" si="45"/>
        <v>507.99083399999995</v>
      </c>
      <c r="E285" s="233">
        <v>0</v>
      </c>
      <c r="F285" s="232">
        <f t="shared" si="46"/>
        <v>787.38579269999991</v>
      </c>
      <c r="G285" s="234"/>
      <c r="H285" s="235"/>
      <c r="I285" s="35"/>
      <c r="J285" s="35" t="e">
        <f>15600000/#REF!</f>
        <v>#REF!</v>
      </c>
      <c r="L285" s="73"/>
      <c r="M285" s="73"/>
      <c r="N285" s="35"/>
    </row>
    <row r="286" spans="1:14" s="36" customFormat="1" ht="31.2" x14ac:dyDescent="0.3">
      <c r="A286" s="227">
        <f t="shared" si="47"/>
        <v>3</v>
      </c>
      <c r="B286" s="228"/>
      <c r="C286" s="232" t="s">
        <v>311</v>
      </c>
      <c r="D286" s="233">
        <f t="shared" si="45"/>
        <v>507.99083399999995</v>
      </c>
      <c r="E286" s="233">
        <v>0</v>
      </c>
      <c r="F286" s="232">
        <f t="shared" si="46"/>
        <v>787.38579269999991</v>
      </c>
      <c r="G286" s="234"/>
      <c r="H286" s="235"/>
      <c r="I286" s="35"/>
      <c r="J286" s="35"/>
      <c r="L286" s="73"/>
      <c r="M286" s="73"/>
      <c r="N286" s="35"/>
    </row>
    <row r="287" spans="1:14" s="36" customFormat="1" ht="31.2" x14ac:dyDescent="0.3">
      <c r="A287" s="227">
        <f t="shared" si="47"/>
        <v>4</v>
      </c>
      <c r="B287" s="228"/>
      <c r="C287" s="232" t="s">
        <v>311</v>
      </c>
      <c r="D287" s="233">
        <f t="shared" si="45"/>
        <v>507.99083399999995</v>
      </c>
      <c r="E287" s="233">
        <v>0</v>
      </c>
      <c r="F287" s="232">
        <f t="shared" si="46"/>
        <v>787.38579269999991</v>
      </c>
      <c r="G287" s="234"/>
      <c r="H287" s="235"/>
      <c r="I287" s="35"/>
      <c r="J287" s="35"/>
      <c r="L287" s="73"/>
      <c r="M287" s="73"/>
      <c r="N287" s="35"/>
    </row>
    <row r="288" spans="1:14" s="36" customFormat="1" ht="31.2" x14ac:dyDescent="0.3">
      <c r="A288" s="227">
        <f t="shared" si="47"/>
        <v>5</v>
      </c>
      <c r="B288" s="228"/>
      <c r="C288" s="232" t="s">
        <v>311</v>
      </c>
      <c r="D288" s="233">
        <f t="shared" si="45"/>
        <v>507.99083399999995</v>
      </c>
      <c r="E288" s="233">
        <v>0</v>
      </c>
      <c r="F288" s="232">
        <f t="shared" si="46"/>
        <v>787.38579269999991</v>
      </c>
      <c r="G288" s="234"/>
      <c r="H288" s="235"/>
      <c r="I288" s="35"/>
      <c r="J288" s="35"/>
      <c r="L288" s="73"/>
      <c r="M288" s="73"/>
      <c r="N288" s="35"/>
    </row>
    <row r="289" spans="1:14" s="36" customFormat="1" ht="31.2" x14ac:dyDescent="0.3">
      <c r="A289" s="227">
        <f t="shared" si="47"/>
        <v>6</v>
      </c>
      <c r="B289" s="228"/>
      <c r="C289" s="232" t="s">
        <v>311</v>
      </c>
      <c r="D289" s="233">
        <f t="shared" ref="D289:D292" si="48">(3.05*3.03+2.23*1.53+2.13*0.6+(2.85*1.25+2.75*1.8)*2+1.38*(2.15+2.15)+2.2*2.28+0.6*(1.38+1.28)+3.05*1.23)*10.764</f>
        <v>508.64097959999992</v>
      </c>
      <c r="E289" s="233">
        <v>0</v>
      </c>
      <c r="F289" s="232">
        <f t="shared" si="46"/>
        <v>788.39351837999993</v>
      </c>
      <c r="G289" s="234"/>
      <c r="H289" s="235"/>
      <c r="I289" s="35"/>
      <c r="J289" s="35" t="e">
        <f>15600000/#REF!</f>
        <v>#REF!</v>
      </c>
      <c r="L289" s="73"/>
      <c r="M289" s="73"/>
      <c r="N289" s="35"/>
    </row>
    <row r="290" spans="1:14" s="36" customFormat="1" ht="31.2" x14ac:dyDescent="0.3">
      <c r="A290" s="227">
        <f t="shared" si="47"/>
        <v>7</v>
      </c>
      <c r="B290" s="228"/>
      <c r="C290" s="232" t="s">
        <v>311</v>
      </c>
      <c r="D290" s="233">
        <f t="shared" si="48"/>
        <v>508.64097959999992</v>
      </c>
      <c r="E290" s="233">
        <v>0</v>
      </c>
      <c r="F290" s="232">
        <f t="shared" si="46"/>
        <v>788.39351837999993</v>
      </c>
      <c r="G290" s="234"/>
      <c r="H290" s="235"/>
      <c r="I290" s="35"/>
      <c r="J290" s="35" t="e">
        <f>15600000/#REF!</f>
        <v>#REF!</v>
      </c>
      <c r="L290" s="73"/>
      <c r="M290" s="73"/>
      <c r="N290" s="35"/>
    </row>
    <row r="291" spans="1:14" s="36" customFormat="1" ht="31.2" x14ac:dyDescent="0.3">
      <c r="A291" s="227">
        <f t="shared" si="47"/>
        <v>8</v>
      </c>
      <c r="B291" s="228"/>
      <c r="C291" s="232" t="s">
        <v>311</v>
      </c>
      <c r="D291" s="233">
        <f t="shared" si="48"/>
        <v>508.64097959999992</v>
      </c>
      <c r="E291" s="233">
        <v>0</v>
      </c>
      <c r="F291" s="232">
        <f t="shared" si="46"/>
        <v>788.39351837999993</v>
      </c>
      <c r="G291" s="234"/>
      <c r="H291" s="235"/>
      <c r="I291" s="35"/>
      <c r="J291" s="35" t="e">
        <f>15600000/#REF!</f>
        <v>#REF!</v>
      </c>
      <c r="L291" s="73"/>
      <c r="M291" s="73"/>
      <c r="N291" s="35"/>
    </row>
    <row r="292" spans="1:14" s="36" customFormat="1" ht="31.2" x14ac:dyDescent="0.3">
      <c r="A292" s="227">
        <f t="shared" si="47"/>
        <v>9</v>
      </c>
      <c r="B292" s="228"/>
      <c r="C292" s="232" t="s">
        <v>311</v>
      </c>
      <c r="D292" s="233">
        <f t="shared" si="48"/>
        <v>508.64097959999992</v>
      </c>
      <c r="E292" s="233">
        <v>0</v>
      </c>
      <c r="F292" s="232">
        <f t="shared" si="46"/>
        <v>788.39351837999993</v>
      </c>
      <c r="G292" s="234"/>
      <c r="H292" s="235"/>
      <c r="I292" s="35"/>
      <c r="J292" s="35" t="e">
        <f>15600000/#REF!</f>
        <v>#REF!</v>
      </c>
      <c r="L292" s="73"/>
      <c r="M292" s="73"/>
      <c r="N292" s="35"/>
    </row>
    <row r="293" spans="1:14" s="36" customFormat="1" x14ac:dyDescent="0.3">
      <c r="A293" s="224" t="s">
        <v>285</v>
      </c>
      <c r="B293" s="225"/>
      <c r="C293" s="225"/>
      <c r="D293" s="225"/>
      <c r="E293" s="225"/>
      <c r="F293" s="225"/>
      <c r="G293" s="225"/>
      <c r="H293" s="226"/>
      <c r="I293" s="35"/>
      <c r="J293" s="35">
        <f t="shared" ref="J293" si="49">15600000/F301</f>
        <v>19787.072872003133</v>
      </c>
      <c r="L293" s="73"/>
      <c r="M293" s="73"/>
      <c r="N293" s="35"/>
    </row>
    <row r="294" spans="1:14" s="36" customFormat="1" ht="31.2" x14ac:dyDescent="0.3">
      <c r="A294" s="227">
        <v>1</v>
      </c>
      <c r="B294" s="228"/>
      <c r="C294" s="232" t="s">
        <v>311</v>
      </c>
      <c r="D294" s="233">
        <f t="shared" ref="D294:D296" si="50">(3.05*3.03+2.23*1.53+2.13*0.6+2.85*1.25+2.75*1.8+2.85*1.25+2.75*1.8+2.2*1.85+1.38*(2.15+2.15)+0.6*(1.28+1.38)+1.25*0.41+0.91*0.41+3.05*1.23)*10.764</f>
        <v>507.99083399999995</v>
      </c>
      <c r="E294" s="233">
        <v>0</v>
      </c>
      <c r="F294" s="232">
        <f t="shared" ref="F294:F301" si="51">D294*(($F$133)+1)+(IF(E294&lt;101,E294,IF(E294&lt;201,E294/2,IF(E294&lt;=301,E294/3,E294/4))))</f>
        <v>787.38579269999991</v>
      </c>
      <c r="G294" s="230" t="str">
        <f>A293</f>
        <v>19th Floor (20th Floor as per Builder)</v>
      </c>
      <c r="H294" s="231"/>
      <c r="J294" s="35"/>
    </row>
    <row r="295" spans="1:14" s="36" customFormat="1" ht="31.2" x14ac:dyDescent="0.3">
      <c r="A295" s="227">
        <f t="shared" ref="A295:A301" si="52">A294+1</f>
        <v>2</v>
      </c>
      <c r="B295" s="228"/>
      <c r="C295" s="232" t="s">
        <v>311</v>
      </c>
      <c r="D295" s="233">
        <f t="shared" si="50"/>
        <v>507.99083399999995</v>
      </c>
      <c r="E295" s="233">
        <v>0</v>
      </c>
      <c r="F295" s="232">
        <f t="shared" si="51"/>
        <v>787.38579269999991</v>
      </c>
      <c r="G295" s="234"/>
      <c r="H295" s="235"/>
      <c r="I295" s="35"/>
      <c r="J295" s="35" t="e">
        <f>15600000/#REF!</f>
        <v>#REF!</v>
      </c>
      <c r="L295" s="73"/>
      <c r="M295" s="73"/>
      <c r="N295" s="35"/>
    </row>
    <row r="296" spans="1:14" s="36" customFormat="1" ht="31.2" x14ac:dyDescent="0.3">
      <c r="A296" s="227">
        <f t="shared" si="52"/>
        <v>3</v>
      </c>
      <c r="B296" s="228"/>
      <c r="C296" s="232" t="s">
        <v>311</v>
      </c>
      <c r="D296" s="233">
        <f t="shared" si="50"/>
        <v>507.99083399999995</v>
      </c>
      <c r="E296" s="233">
        <v>0</v>
      </c>
      <c r="F296" s="232">
        <f t="shared" si="51"/>
        <v>787.38579269999991</v>
      </c>
      <c r="G296" s="234"/>
      <c r="H296" s="235"/>
      <c r="I296" s="35"/>
      <c r="J296" s="35"/>
      <c r="L296" s="73"/>
      <c r="M296" s="73"/>
      <c r="N296" s="35"/>
    </row>
    <row r="297" spans="1:14" s="36" customFormat="1" x14ac:dyDescent="0.3">
      <c r="A297" s="227" t="s">
        <v>276</v>
      </c>
      <c r="B297" s="228"/>
      <c r="C297" s="232" t="s">
        <v>191</v>
      </c>
      <c r="D297" s="233">
        <f>(3.05*4.89+2.85*2.13+2.75*1.98+(2.85*1.25+2.75*1.8)*2+3.05*3.03+1.9*2.22+2.85+1.05*2.12+2.75*1.8+2.95*1.25+1.38*(2.15+2.15+2.15)+1.37*2.1+0.6*(1.28+1.28+1.38+1.38)+(3.05*1.23)*2)*10.764</f>
        <v>1002.1391639999998</v>
      </c>
      <c r="E297" s="233">
        <v>0</v>
      </c>
      <c r="F297" s="232">
        <f t="shared" si="51"/>
        <v>1553.3157041999998</v>
      </c>
      <c r="G297" s="234"/>
      <c r="H297" s="235"/>
      <c r="I297" s="35"/>
      <c r="J297" s="66" t="s">
        <v>286</v>
      </c>
      <c r="L297" s="73"/>
      <c r="M297" s="73"/>
      <c r="N297" s="35"/>
    </row>
    <row r="298" spans="1:14" s="36" customFormat="1" ht="31.2" x14ac:dyDescent="0.3">
      <c r="A298" s="227">
        <v>6</v>
      </c>
      <c r="B298" s="228"/>
      <c r="C298" s="232" t="s">
        <v>311</v>
      </c>
      <c r="D298" s="233">
        <f t="shared" ref="D298:D301" si="53">(3.05*3.03+2.23*1.53+2.13*0.6+(2.85*1.25+2.75*1.8)*2+1.38*(2.15+2.15)+2.2*2.28+0.6*(1.38+1.28)+3.05*1.23)*10.764</f>
        <v>508.64097959999992</v>
      </c>
      <c r="E298" s="233">
        <v>0</v>
      </c>
      <c r="F298" s="232">
        <f t="shared" si="51"/>
        <v>788.39351837999993</v>
      </c>
      <c r="G298" s="234"/>
      <c r="H298" s="235"/>
      <c r="I298" s="35"/>
      <c r="J298" s="35" t="e">
        <f>15600000/#REF!</f>
        <v>#REF!</v>
      </c>
      <c r="L298" s="73"/>
      <c r="M298" s="73"/>
      <c r="N298" s="35"/>
    </row>
    <row r="299" spans="1:14" s="36" customFormat="1" ht="31.2" x14ac:dyDescent="0.3">
      <c r="A299" s="227">
        <f t="shared" si="52"/>
        <v>7</v>
      </c>
      <c r="B299" s="228"/>
      <c r="C299" s="232" t="s">
        <v>311</v>
      </c>
      <c r="D299" s="233">
        <f t="shared" si="53"/>
        <v>508.64097959999992</v>
      </c>
      <c r="E299" s="233">
        <v>0</v>
      </c>
      <c r="F299" s="232">
        <f t="shared" si="51"/>
        <v>788.39351837999993</v>
      </c>
      <c r="G299" s="234"/>
      <c r="H299" s="235"/>
      <c r="I299" s="35"/>
      <c r="J299" s="35" t="e">
        <f>15600000/#REF!</f>
        <v>#REF!</v>
      </c>
      <c r="L299" s="73"/>
      <c r="M299" s="73"/>
      <c r="N299" s="35"/>
    </row>
    <row r="300" spans="1:14" s="36" customFormat="1" ht="31.2" x14ac:dyDescent="0.3">
      <c r="A300" s="227">
        <f t="shared" si="52"/>
        <v>8</v>
      </c>
      <c r="B300" s="228"/>
      <c r="C300" s="232" t="s">
        <v>311</v>
      </c>
      <c r="D300" s="233">
        <f t="shared" si="53"/>
        <v>508.64097959999992</v>
      </c>
      <c r="E300" s="233">
        <v>0</v>
      </c>
      <c r="F300" s="232">
        <f t="shared" si="51"/>
        <v>788.39351837999993</v>
      </c>
      <c r="G300" s="234"/>
      <c r="H300" s="235"/>
      <c r="I300" s="35"/>
      <c r="J300" s="35" t="e">
        <f>15600000/#REF!</f>
        <v>#REF!</v>
      </c>
      <c r="L300" s="73"/>
      <c r="M300" s="73"/>
      <c r="N300" s="35"/>
    </row>
    <row r="301" spans="1:14" s="36" customFormat="1" ht="31.2" x14ac:dyDescent="0.3">
      <c r="A301" s="227">
        <f t="shared" si="52"/>
        <v>9</v>
      </c>
      <c r="B301" s="228"/>
      <c r="C301" s="232" t="s">
        <v>311</v>
      </c>
      <c r="D301" s="233">
        <f t="shared" si="53"/>
        <v>508.64097959999992</v>
      </c>
      <c r="E301" s="233">
        <v>0</v>
      </c>
      <c r="F301" s="232">
        <f t="shared" si="51"/>
        <v>788.39351837999993</v>
      </c>
      <c r="G301" s="234"/>
      <c r="H301" s="235"/>
      <c r="I301" s="35"/>
      <c r="J301" s="35" t="e">
        <f>15600000/#REF!</f>
        <v>#REF!</v>
      </c>
      <c r="L301" s="73"/>
      <c r="M301" s="73"/>
      <c r="N301" s="35"/>
    </row>
    <row r="302" spans="1:14" s="36" customFormat="1" x14ac:dyDescent="0.3">
      <c r="A302" s="224" t="s">
        <v>287</v>
      </c>
      <c r="B302" s="225"/>
      <c r="C302" s="225"/>
      <c r="D302" s="225"/>
      <c r="E302" s="225"/>
      <c r="F302" s="225"/>
      <c r="G302" s="225"/>
      <c r="H302" s="226"/>
      <c r="I302" s="35"/>
      <c r="J302" s="35">
        <f t="shared" ref="J302" si="54">15600000/F311</f>
        <v>19787.072872003133</v>
      </c>
      <c r="L302" s="73"/>
      <c r="M302" s="73"/>
      <c r="N302" s="35"/>
    </row>
    <row r="303" spans="1:14" s="36" customFormat="1" ht="31.2" x14ac:dyDescent="0.3">
      <c r="A303" s="227">
        <v>1</v>
      </c>
      <c r="B303" s="228"/>
      <c r="C303" s="232" t="s">
        <v>311</v>
      </c>
      <c r="D303" s="233">
        <f t="shared" ref="D303:D307" si="55">(3.05*3.03+2.23*1.53+2.13*0.6+2.85*1.25+2.75*1.8+2.85*1.25+2.75*1.8+2.2*1.85+1.38*(2.15+2.15)+0.6*(1.28+1.38)+1.25*0.41+0.91*0.41+3.05*1.23)*10.764</f>
        <v>507.99083399999995</v>
      </c>
      <c r="E303" s="233">
        <v>0</v>
      </c>
      <c r="F303" s="232">
        <f t="shared" ref="F303:F311" si="56">D303*(($F$133)+1)+(IF(E303&lt;101,E303,IF(E303&lt;201,E303/2,IF(E303&lt;=301,E303/3,E303/4))))</f>
        <v>787.38579269999991</v>
      </c>
      <c r="G303" s="230" t="str">
        <f>A302</f>
        <v>20th Floor (21st Floor as per Builder)</v>
      </c>
      <c r="H303" s="231"/>
      <c r="J303" s="35"/>
    </row>
    <row r="304" spans="1:14" s="36" customFormat="1" ht="31.2" x14ac:dyDescent="0.3">
      <c r="A304" s="227">
        <f t="shared" ref="A304:A311" si="57">A303+1</f>
        <v>2</v>
      </c>
      <c r="B304" s="228"/>
      <c r="C304" s="232" t="s">
        <v>311</v>
      </c>
      <c r="D304" s="233">
        <f t="shared" si="55"/>
        <v>507.99083399999995</v>
      </c>
      <c r="E304" s="233">
        <v>0</v>
      </c>
      <c r="F304" s="232">
        <f t="shared" si="56"/>
        <v>787.38579269999991</v>
      </c>
      <c r="G304" s="234"/>
      <c r="H304" s="235"/>
      <c r="I304" s="35"/>
      <c r="J304" s="35" t="e">
        <f>15600000/#REF!</f>
        <v>#REF!</v>
      </c>
      <c r="L304" s="73"/>
      <c r="M304" s="73"/>
      <c r="N304" s="35"/>
    </row>
    <row r="305" spans="1:14" s="36" customFormat="1" ht="31.2" x14ac:dyDescent="0.3">
      <c r="A305" s="227">
        <f t="shared" si="57"/>
        <v>3</v>
      </c>
      <c r="B305" s="228"/>
      <c r="C305" s="232" t="s">
        <v>311</v>
      </c>
      <c r="D305" s="233">
        <f t="shared" si="55"/>
        <v>507.99083399999995</v>
      </c>
      <c r="E305" s="233">
        <v>0</v>
      </c>
      <c r="F305" s="232">
        <f t="shared" si="56"/>
        <v>787.38579269999991</v>
      </c>
      <c r="G305" s="234"/>
      <c r="H305" s="235"/>
      <c r="I305" s="35"/>
      <c r="J305" s="35"/>
      <c r="L305" s="73"/>
      <c r="M305" s="73"/>
      <c r="N305" s="35"/>
    </row>
    <row r="306" spans="1:14" s="36" customFormat="1" ht="31.2" x14ac:dyDescent="0.3">
      <c r="A306" s="227">
        <f t="shared" si="57"/>
        <v>4</v>
      </c>
      <c r="B306" s="228"/>
      <c r="C306" s="232" t="s">
        <v>311</v>
      </c>
      <c r="D306" s="233">
        <f t="shared" si="55"/>
        <v>507.99083399999995</v>
      </c>
      <c r="E306" s="233">
        <v>0</v>
      </c>
      <c r="F306" s="232">
        <f t="shared" si="56"/>
        <v>787.38579269999991</v>
      </c>
      <c r="G306" s="234"/>
      <c r="H306" s="235"/>
      <c r="I306" s="35"/>
      <c r="J306" s="35"/>
      <c r="L306" s="73"/>
      <c r="M306" s="73"/>
      <c r="N306" s="35"/>
    </row>
    <row r="307" spans="1:14" s="36" customFormat="1" ht="31.2" x14ac:dyDescent="0.3">
      <c r="A307" s="227">
        <f t="shared" si="57"/>
        <v>5</v>
      </c>
      <c r="B307" s="228"/>
      <c r="C307" s="232" t="s">
        <v>311</v>
      </c>
      <c r="D307" s="233">
        <f t="shared" si="55"/>
        <v>507.99083399999995</v>
      </c>
      <c r="E307" s="233">
        <v>0</v>
      </c>
      <c r="F307" s="232">
        <f t="shared" si="56"/>
        <v>787.38579269999991</v>
      </c>
      <c r="G307" s="234"/>
      <c r="H307" s="235"/>
      <c r="I307" s="35"/>
      <c r="J307" s="35"/>
      <c r="L307" s="73"/>
      <c r="M307" s="73"/>
      <c r="N307" s="35"/>
    </row>
    <row r="308" spans="1:14" s="36" customFormat="1" ht="31.2" x14ac:dyDescent="0.3">
      <c r="A308" s="227">
        <f t="shared" si="57"/>
        <v>6</v>
      </c>
      <c r="B308" s="228"/>
      <c r="C308" s="232" t="s">
        <v>311</v>
      </c>
      <c r="D308" s="233">
        <f t="shared" ref="D308:D311" si="58">(3.05*3.03+2.23*1.53+2.13*0.6+(2.85*1.25+2.75*1.8)*2+1.38*(2.15+2.15)+2.2*2.28+0.6*(1.38+1.28)+3.05*1.23)*10.764</f>
        <v>508.64097959999992</v>
      </c>
      <c r="E308" s="233">
        <v>0</v>
      </c>
      <c r="F308" s="232">
        <f t="shared" si="56"/>
        <v>788.39351837999993</v>
      </c>
      <c r="G308" s="234"/>
      <c r="H308" s="235"/>
      <c r="I308" s="35"/>
      <c r="J308" s="35" t="e">
        <f>15600000/#REF!</f>
        <v>#REF!</v>
      </c>
      <c r="L308" s="73"/>
      <c r="M308" s="73"/>
      <c r="N308" s="35"/>
    </row>
    <row r="309" spans="1:14" s="36" customFormat="1" ht="31.2" x14ac:dyDescent="0.3">
      <c r="A309" s="227">
        <f t="shared" si="57"/>
        <v>7</v>
      </c>
      <c r="B309" s="228"/>
      <c r="C309" s="232" t="s">
        <v>311</v>
      </c>
      <c r="D309" s="233">
        <f t="shared" si="58"/>
        <v>508.64097959999992</v>
      </c>
      <c r="E309" s="233">
        <v>0</v>
      </c>
      <c r="F309" s="232">
        <f t="shared" si="56"/>
        <v>788.39351837999993</v>
      </c>
      <c r="G309" s="234"/>
      <c r="H309" s="235"/>
      <c r="I309" s="35"/>
      <c r="J309" s="35" t="e">
        <f>15600000/#REF!</f>
        <v>#REF!</v>
      </c>
      <c r="L309" s="73"/>
      <c r="M309" s="73"/>
      <c r="N309" s="35"/>
    </row>
    <row r="310" spans="1:14" s="36" customFormat="1" ht="31.2" x14ac:dyDescent="0.3">
      <c r="A310" s="227">
        <f t="shared" si="57"/>
        <v>8</v>
      </c>
      <c r="B310" s="228"/>
      <c r="C310" s="232" t="s">
        <v>311</v>
      </c>
      <c r="D310" s="233">
        <f t="shared" si="58"/>
        <v>508.64097959999992</v>
      </c>
      <c r="E310" s="233">
        <v>0</v>
      </c>
      <c r="F310" s="232">
        <f t="shared" si="56"/>
        <v>788.39351837999993</v>
      </c>
      <c r="G310" s="234"/>
      <c r="H310" s="235"/>
      <c r="I310" s="35"/>
      <c r="J310" s="35" t="e">
        <f>15600000/#REF!</f>
        <v>#REF!</v>
      </c>
      <c r="L310" s="73"/>
      <c r="M310" s="73"/>
      <c r="N310" s="35"/>
    </row>
    <row r="311" spans="1:14" s="36" customFormat="1" ht="31.2" x14ac:dyDescent="0.3">
      <c r="A311" s="227">
        <f t="shared" si="57"/>
        <v>9</v>
      </c>
      <c r="B311" s="228"/>
      <c r="C311" s="232" t="s">
        <v>311</v>
      </c>
      <c r="D311" s="233">
        <f t="shared" si="58"/>
        <v>508.64097959999992</v>
      </c>
      <c r="E311" s="233">
        <v>0</v>
      </c>
      <c r="F311" s="232">
        <f t="shared" si="56"/>
        <v>788.39351837999993</v>
      </c>
      <c r="G311" s="234"/>
      <c r="H311" s="235"/>
      <c r="I311" s="35"/>
      <c r="J311" s="35" t="e">
        <f>15600000/#REF!</f>
        <v>#REF!</v>
      </c>
      <c r="L311" s="73"/>
      <c r="M311" s="73"/>
      <c r="N311" s="35"/>
    </row>
    <row r="312" spans="1:14" s="36" customFormat="1" x14ac:dyDescent="0.3">
      <c r="A312" s="224" t="s">
        <v>288</v>
      </c>
      <c r="B312" s="225"/>
      <c r="C312" s="225"/>
      <c r="D312" s="225"/>
      <c r="E312" s="225"/>
      <c r="F312" s="225"/>
      <c r="G312" s="225"/>
      <c r="H312" s="226"/>
      <c r="I312" s="35"/>
      <c r="J312" s="35">
        <f t="shared" ref="J312" si="59">15600000/F320</f>
        <v>19787.072872003133</v>
      </c>
      <c r="L312" s="73"/>
      <c r="M312" s="73"/>
      <c r="N312" s="35"/>
    </row>
    <row r="313" spans="1:14" s="36" customFormat="1" ht="31.2" x14ac:dyDescent="0.3">
      <c r="A313" s="227">
        <v>1</v>
      </c>
      <c r="B313" s="228"/>
      <c r="C313" s="232" t="s">
        <v>311</v>
      </c>
      <c r="D313" s="233">
        <f t="shared" ref="D313:D315" si="60">(3.05*3.03+2.23*1.53+2.13*0.6+2.85*1.25+2.75*1.8+2.85*1.25+2.75*1.8+2.2*1.85+1.38*(2.15+2.15)+0.6*(1.28+1.38)+1.25*0.41+0.91*0.41+3.05*1.23)*10.764</f>
        <v>507.99083399999995</v>
      </c>
      <c r="E313" s="233">
        <v>0</v>
      </c>
      <c r="F313" s="232">
        <f t="shared" ref="F313:F320" si="61">D313*(($F$133)+1)+(IF(E313&lt;101,E313,IF(E313&lt;201,E313/2,IF(E313&lt;=301,E313/3,E313/4))))</f>
        <v>787.38579269999991</v>
      </c>
      <c r="G313" s="230" t="str">
        <f>A312</f>
        <v>21st Floor (22nd Floor as per Builder)</v>
      </c>
      <c r="H313" s="231"/>
      <c r="J313" s="35"/>
    </row>
    <row r="314" spans="1:14" s="36" customFormat="1" ht="31.2" x14ac:dyDescent="0.3">
      <c r="A314" s="227">
        <f t="shared" ref="A314:A320" si="62">A313+1</f>
        <v>2</v>
      </c>
      <c r="B314" s="228"/>
      <c r="C314" s="232" t="s">
        <v>311</v>
      </c>
      <c r="D314" s="233">
        <f t="shared" si="60"/>
        <v>507.99083399999995</v>
      </c>
      <c r="E314" s="233">
        <v>0</v>
      </c>
      <c r="F314" s="232">
        <f t="shared" si="61"/>
        <v>787.38579269999991</v>
      </c>
      <c r="G314" s="234"/>
      <c r="H314" s="235"/>
      <c r="I314" s="35"/>
      <c r="J314" s="35" t="e">
        <f>15600000/#REF!</f>
        <v>#REF!</v>
      </c>
      <c r="L314" s="73"/>
      <c r="M314" s="73"/>
      <c r="N314" s="35"/>
    </row>
    <row r="315" spans="1:14" s="36" customFormat="1" ht="31.2" x14ac:dyDescent="0.3">
      <c r="A315" s="227">
        <f t="shared" si="62"/>
        <v>3</v>
      </c>
      <c r="B315" s="228"/>
      <c r="C315" s="232" t="s">
        <v>311</v>
      </c>
      <c r="D315" s="233">
        <f t="shared" si="60"/>
        <v>507.99083399999995</v>
      </c>
      <c r="E315" s="233">
        <v>0</v>
      </c>
      <c r="F315" s="232">
        <f t="shared" si="61"/>
        <v>787.38579269999991</v>
      </c>
      <c r="G315" s="234"/>
      <c r="H315" s="235"/>
      <c r="I315" s="35"/>
      <c r="J315" s="35"/>
      <c r="L315" s="73"/>
      <c r="M315" s="73"/>
      <c r="N315" s="35"/>
    </row>
    <row r="316" spans="1:14" s="36" customFormat="1" x14ac:dyDescent="0.3">
      <c r="A316" s="227" t="s">
        <v>276</v>
      </c>
      <c r="B316" s="228"/>
      <c r="C316" s="232" t="s">
        <v>191</v>
      </c>
      <c r="D316" s="233">
        <f>(3.05*4.89+2.85*2.13+2.75*1.98+(2.85*1.25+2.75*1.8)*2+3.05*3.03+1.9*2.22+2.85+1.05*2.12+2.75*1.8+2.95*1.25+1.38*(2.15+2.15+2.15)+1.37*2.1+0.6*(1.28+1.28+1.38+1.38)+(3.05*1.23)*2)*10.764</f>
        <v>1002.1391639999998</v>
      </c>
      <c r="E316" s="233">
        <v>0</v>
      </c>
      <c r="F316" s="232">
        <f t="shared" si="61"/>
        <v>1553.3157041999998</v>
      </c>
      <c r="G316" s="234"/>
      <c r="H316" s="235"/>
      <c r="I316" s="35"/>
      <c r="J316" s="66" t="s">
        <v>286</v>
      </c>
      <c r="L316" s="73"/>
      <c r="M316" s="73"/>
      <c r="N316" s="35"/>
    </row>
    <row r="317" spans="1:14" s="36" customFormat="1" ht="31.2" x14ac:dyDescent="0.3">
      <c r="A317" s="227">
        <v>6</v>
      </c>
      <c r="B317" s="228"/>
      <c r="C317" s="232" t="s">
        <v>311</v>
      </c>
      <c r="D317" s="233">
        <f t="shared" ref="D317:D320" si="63">(3.05*3.03+2.23*1.53+2.13*0.6+(2.85*1.25+2.75*1.8)*2+1.38*(2.15+2.15)+2.2*2.28+0.6*(1.38+1.28)+3.05*1.23)*10.764</f>
        <v>508.64097959999992</v>
      </c>
      <c r="E317" s="233">
        <v>0</v>
      </c>
      <c r="F317" s="232">
        <f t="shared" si="61"/>
        <v>788.39351837999993</v>
      </c>
      <c r="G317" s="234"/>
      <c r="H317" s="235"/>
      <c r="I317" s="35"/>
      <c r="J317" s="35" t="e">
        <f>15600000/#REF!</f>
        <v>#REF!</v>
      </c>
      <c r="L317" s="73"/>
      <c r="M317" s="73"/>
      <c r="N317" s="35"/>
    </row>
    <row r="318" spans="1:14" s="36" customFormat="1" ht="31.2" x14ac:dyDescent="0.3">
      <c r="A318" s="227">
        <f t="shared" si="62"/>
        <v>7</v>
      </c>
      <c r="B318" s="228"/>
      <c r="C318" s="232" t="s">
        <v>311</v>
      </c>
      <c r="D318" s="233">
        <f t="shared" si="63"/>
        <v>508.64097959999992</v>
      </c>
      <c r="E318" s="233">
        <v>0</v>
      </c>
      <c r="F318" s="232">
        <f t="shared" si="61"/>
        <v>788.39351837999993</v>
      </c>
      <c r="G318" s="234"/>
      <c r="H318" s="235"/>
      <c r="I318" s="35"/>
      <c r="J318" s="35" t="e">
        <f>15600000/#REF!</f>
        <v>#REF!</v>
      </c>
      <c r="L318" s="73"/>
      <c r="M318" s="73"/>
      <c r="N318" s="35"/>
    </row>
    <row r="319" spans="1:14" s="36" customFormat="1" ht="31.2" x14ac:dyDescent="0.3">
      <c r="A319" s="227">
        <f t="shared" si="62"/>
        <v>8</v>
      </c>
      <c r="B319" s="228"/>
      <c r="C319" s="232" t="s">
        <v>311</v>
      </c>
      <c r="D319" s="233">
        <f t="shared" si="63"/>
        <v>508.64097959999992</v>
      </c>
      <c r="E319" s="233">
        <v>0</v>
      </c>
      <c r="F319" s="232">
        <f t="shared" si="61"/>
        <v>788.39351837999993</v>
      </c>
      <c r="G319" s="234"/>
      <c r="H319" s="235"/>
      <c r="I319" s="35"/>
      <c r="J319" s="35" t="e">
        <f>15600000/#REF!</f>
        <v>#REF!</v>
      </c>
      <c r="L319" s="73"/>
      <c r="M319" s="73"/>
      <c r="N319" s="35"/>
    </row>
    <row r="320" spans="1:14" s="36" customFormat="1" ht="31.2" x14ac:dyDescent="0.3">
      <c r="A320" s="227">
        <f t="shared" si="62"/>
        <v>9</v>
      </c>
      <c r="B320" s="228"/>
      <c r="C320" s="232" t="s">
        <v>311</v>
      </c>
      <c r="D320" s="233">
        <f t="shared" si="63"/>
        <v>508.64097959999992</v>
      </c>
      <c r="E320" s="233">
        <v>0</v>
      </c>
      <c r="F320" s="232">
        <f t="shared" si="61"/>
        <v>788.39351837999993</v>
      </c>
      <c r="G320" s="234"/>
      <c r="H320" s="235"/>
      <c r="I320" s="35"/>
      <c r="J320" s="35" t="e">
        <f>15600000/#REF!</f>
        <v>#REF!</v>
      </c>
      <c r="L320" s="73"/>
      <c r="M320" s="73"/>
      <c r="N320" s="35"/>
    </row>
    <row r="321" spans="1:14" s="36" customFormat="1" ht="33" customHeight="1" x14ac:dyDescent="0.3">
      <c r="A321" s="224" t="s">
        <v>290</v>
      </c>
      <c r="B321" s="225"/>
      <c r="C321" s="225"/>
      <c r="D321" s="225"/>
      <c r="E321" s="225"/>
      <c r="F321" s="225"/>
      <c r="G321" s="225"/>
      <c r="H321" s="226"/>
      <c r="I321" s="35"/>
      <c r="J321" s="35">
        <f>15600000/F330</f>
        <v>19787.072872003133</v>
      </c>
      <c r="L321" s="73"/>
      <c r="M321" s="73"/>
      <c r="N321" s="35"/>
    </row>
    <row r="322" spans="1:14" s="34" customFormat="1" x14ac:dyDescent="0.3">
      <c r="A322" s="237">
        <v>1</v>
      </c>
      <c r="B322" s="237"/>
      <c r="C322" s="232" t="s">
        <v>191</v>
      </c>
      <c r="D322" s="233">
        <f>(3.05*3.03+2.23*1.53+2.13*0.6+(2.85*1.25+2.75*1.8)+2.75*3.05+2.75*1.98+2.95*0.99+1.38*(2.15+2.15)+2.2*1.86+0.91*0.41+1.25*0.41+0.6*(1.28+1.38+1.28)+3.05*1.23)*10.764</f>
        <v>605.19513599999982</v>
      </c>
      <c r="E322" s="233">
        <v>0</v>
      </c>
      <c r="F322" s="232">
        <f>D322*(($F$133)+1)+(IF(E322&lt;101,E322,IF(E322&lt;201,E322/2,IF(E322&lt;=301,E322/3,E322/4))))</f>
        <v>938.05246079999972</v>
      </c>
      <c r="G322" s="237" t="str">
        <f>A321</f>
        <v>22nd Floor (Part Refuge Area)
(23rd Floor as per Builder)</v>
      </c>
      <c r="H322" s="237"/>
      <c r="I322" s="35">
        <f>(3.05*3.03+2.23*1.53+2.13*0.6+(2.85*1.25+2.75*1.8)+2.75*3.05+2.75*1.98+2.95*0.99+1.38*(2.15+2.15)+2.2*1.86+0.91*0.41+1.25*0.41+0.6*(1.28+1.38+1.28)+3.05*1.23)*10.764</f>
        <v>605.19513599999982</v>
      </c>
      <c r="J322" s="35"/>
    </row>
    <row r="323" spans="1:14" s="52" customFormat="1" x14ac:dyDescent="0.3">
      <c r="A323" s="237">
        <f t="shared" ref="A323:A330" si="64">A322+1</f>
        <v>2</v>
      </c>
      <c r="B323" s="237"/>
      <c r="C323" s="237" t="s">
        <v>182</v>
      </c>
      <c r="D323" s="237"/>
      <c r="E323" s="237"/>
      <c r="F323" s="237"/>
      <c r="G323" s="237"/>
      <c r="H323" s="237"/>
      <c r="I323" s="35"/>
      <c r="J323" s="35" t="e">
        <f>15600000/#REF!</f>
        <v>#REF!</v>
      </c>
    </row>
    <row r="324" spans="1:14" s="34" customFormat="1" x14ac:dyDescent="0.3">
      <c r="A324" s="237">
        <f t="shared" si="64"/>
        <v>3</v>
      </c>
      <c r="B324" s="237"/>
      <c r="C324" s="237"/>
      <c r="D324" s="237"/>
      <c r="E324" s="237"/>
      <c r="F324" s="237"/>
      <c r="G324" s="237"/>
      <c r="H324" s="237"/>
      <c r="I324" s="35"/>
      <c r="J324" s="35" t="e">
        <f>15600000/#REF!</f>
        <v>#REF!</v>
      </c>
    </row>
    <row r="325" spans="1:14" s="34" customFormat="1" x14ac:dyDescent="0.3">
      <c r="A325" s="237">
        <f t="shared" si="64"/>
        <v>4</v>
      </c>
      <c r="B325" s="237"/>
      <c r="C325" s="237"/>
      <c r="D325" s="237"/>
      <c r="E325" s="237"/>
      <c r="F325" s="237"/>
      <c r="G325" s="237"/>
      <c r="H325" s="237"/>
      <c r="I325" s="35" t="e">
        <f>16000000/#REF!</f>
        <v>#REF!</v>
      </c>
      <c r="J325" s="35" t="e">
        <f>15600000/#REF!</f>
        <v>#REF!</v>
      </c>
    </row>
    <row r="326" spans="1:14" s="34" customFormat="1" x14ac:dyDescent="0.3">
      <c r="A326" s="237">
        <f t="shared" si="64"/>
        <v>5</v>
      </c>
      <c r="B326" s="237"/>
      <c r="C326" s="232" t="s">
        <v>191</v>
      </c>
      <c r="D326" s="233">
        <f>(3.05*3.03+2.23*1.53+2.13*0.6+(2.85*1.25+2.75*1.8)+2.75*3.05+2.75*1.98+2.95*0.99+1.38*(2.15+2.15)+2.2*1.86+0.91*0.41+1.25*0.41+0.6*(1.28+1.38+1.28)+3.05*1.23)*10.764</f>
        <v>605.19513599999982</v>
      </c>
      <c r="E326" s="233">
        <v>0</v>
      </c>
      <c r="F326" s="232">
        <f>D326*(($F$133)+1)+(IF(E326&lt;101,E326,IF(E326&lt;201,E326/2,IF(E326&lt;=301,E326/3,E326/4))))</f>
        <v>938.05246079999972</v>
      </c>
      <c r="G326" s="237"/>
      <c r="H326" s="237"/>
      <c r="I326" s="35"/>
      <c r="J326" s="35" t="e">
        <f>15600000/#REF!</f>
        <v>#REF!</v>
      </c>
    </row>
    <row r="327" spans="1:14" s="34" customFormat="1" ht="31.2" x14ac:dyDescent="0.3">
      <c r="A327" s="237">
        <f t="shared" si="64"/>
        <v>6</v>
      </c>
      <c r="B327" s="237"/>
      <c r="C327" s="232" t="s">
        <v>311</v>
      </c>
      <c r="D327" s="233">
        <f>(3.05*3.03+2.23*1.53+2.13*0.6+(2.85*1.25+2.75*1.8)*2+1.38*(2.15+2.15)+2.2*2.28+0.6*(1.38+1.28)+3.05*1.23)*10.764</f>
        <v>508.64097959999992</v>
      </c>
      <c r="E327" s="233">
        <v>0</v>
      </c>
      <c r="F327" s="232">
        <f>D327*(($F$133)+1)+(IF(E327&lt;101,E327,IF(E327&lt;201,E327/2,IF(E327&lt;=301,E327/3,E327/4))))</f>
        <v>788.39351837999993</v>
      </c>
      <c r="G327" s="237"/>
      <c r="H327" s="237"/>
      <c r="I327" s="35" t="e">
        <f>16000000/#REF!</f>
        <v>#REF!</v>
      </c>
      <c r="J327" s="35" t="e">
        <f>15600000/#REF!</f>
        <v>#REF!</v>
      </c>
    </row>
    <row r="328" spans="1:14" s="34" customFormat="1" ht="31.2" x14ac:dyDescent="0.3">
      <c r="A328" s="237">
        <f t="shared" si="64"/>
        <v>7</v>
      </c>
      <c r="B328" s="237"/>
      <c r="C328" s="232" t="s">
        <v>311</v>
      </c>
      <c r="D328" s="233">
        <f t="shared" ref="D328:D330" si="65">(3.05*3.03+2.23*1.53+2.13*0.6+(2.85*1.25+2.75*1.8)*2+1.38*(2.15+2.15)+2.2*2.28+0.6*(1.38+1.28)+3.05*1.23)*10.764</f>
        <v>508.64097959999992</v>
      </c>
      <c r="E328" s="233">
        <v>0</v>
      </c>
      <c r="F328" s="232">
        <f>D328*(($F$133)+1)+(IF(E328&lt;101,E328,IF(E328&lt;201,E328/2,IF(E328&lt;=301,E328/3,E328/4))))</f>
        <v>788.39351837999993</v>
      </c>
      <c r="G328" s="237"/>
      <c r="H328" s="237"/>
      <c r="I328" s="49"/>
      <c r="J328" s="35" t="e">
        <f>15600000/#REF!</f>
        <v>#REF!</v>
      </c>
    </row>
    <row r="329" spans="1:14" s="34" customFormat="1" ht="31.2" x14ac:dyDescent="0.3">
      <c r="A329" s="237">
        <f t="shared" si="64"/>
        <v>8</v>
      </c>
      <c r="B329" s="237"/>
      <c r="C329" s="232" t="s">
        <v>311</v>
      </c>
      <c r="D329" s="233">
        <f t="shared" si="65"/>
        <v>508.64097959999992</v>
      </c>
      <c r="E329" s="233">
        <v>0</v>
      </c>
      <c r="F329" s="232">
        <f>D329*(($F$133)+1)+(IF(E329&lt;101,E329,IF(E329&lt;201,E329/2,IF(E329&lt;=301,E329/3,E329/4))))</f>
        <v>788.39351837999993</v>
      </c>
      <c r="G329" s="237"/>
      <c r="H329" s="237"/>
      <c r="I329" s="35"/>
      <c r="J329" s="35" t="e">
        <f>15600000/#REF!</f>
        <v>#REF!</v>
      </c>
    </row>
    <row r="330" spans="1:14" s="34" customFormat="1" ht="31.2" x14ac:dyDescent="0.3">
      <c r="A330" s="237">
        <f t="shared" si="64"/>
        <v>9</v>
      </c>
      <c r="B330" s="237"/>
      <c r="C330" s="232" t="s">
        <v>311</v>
      </c>
      <c r="D330" s="233">
        <f t="shared" si="65"/>
        <v>508.64097959999992</v>
      </c>
      <c r="E330" s="233">
        <v>0</v>
      </c>
      <c r="F330" s="232">
        <f>D330*(($F$133)+1)+(IF(E330&lt;101,E330,IF(E330&lt;201,E330/2,IF(E330&lt;=301,E330/3,E330/4))))</f>
        <v>788.39351837999993</v>
      </c>
      <c r="G330" s="237"/>
      <c r="H330" s="237"/>
      <c r="I330" s="35">
        <f>(3.05*3.03+2.23*1.53+2.13*0.6+(2.85*1.25+2.75*1.8)*2+1.38*(2.15+2.15)+2.2*2.28+0.6*(1.38+1.28)+3.05*1.23)*10.764</f>
        <v>508.64097959999992</v>
      </c>
      <c r="J330" s="35" t="e">
        <f>15600000/#REF!</f>
        <v>#REF!</v>
      </c>
    </row>
    <row r="331" spans="1:14" s="36" customFormat="1" x14ac:dyDescent="0.3">
      <c r="A331" s="224" t="s">
        <v>291</v>
      </c>
      <c r="B331" s="225"/>
      <c r="C331" s="225"/>
      <c r="D331" s="225"/>
      <c r="E331" s="225"/>
      <c r="F331" s="225"/>
      <c r="G331" s="225"/>
      <c r="H331" s="226"/>
      <c r="I331" s="35"/>
      <c r="J331" s="35">
        <f t="shared" ref="J331" si="66">15600000/F338</f>
        <v>19787.072872003133</v>
      </c>
      <c r="L331" s="73"/>
      <c r="M331" s="73"/>
      <c r="N331" s="35"/>
    </row>
    <row r="332" spans="1:14" s="36" customFormat="1" x14ac:dyDescent="0.3">
      <c r="A332" s="227" t="s">
        <v>275</v>
      </c>
      <c r="B332" s="228"/>
      <c r="C332" s="232" t="s">
        <v>191</v>
      </c>
      <c r="D332" s="233">
        <f>(3.05*4.89+2.85*2.13+2.75*1.98+(2.85*1.25+2.75*1.8)*2+3.05*3.03+1.9*2.22+2.85+1.05*2.12+2.75*1.8+2.95*1.25+1.38*(2.15+2.15+2.15)+1.37*2.1+0.6*(1.28+1.28+1.38+1.38)+(3.05*1.23)*2)*10.764</f>
        <v>1002.1391639999998</v>
      </c>
      <c r="E332" s="233">
        <v>0</v>
      </c>
      <c r="F332" s="232">
        <f t="shared" ref="F332:F338" si="67">D332*(($F$133)+1)+(IF(E332&lt;101,E332,IF(E332&lt;201,E332/2,IF(E332&lt;=301,E332/3,E332/4))))</f>
        <v>1553.3157041999998</v>
      </c>
      <c r="G332" s="230" t="str">
        <f>A331</f>
        <v>23rd Floor (24th Floor as per Builder)</v>
      </c>
      <c r="H332" s="231"/>
      <c r="J332" s="66" t="s">
        <v>292</v>
      </c>
    </row>
    <row r="333" spans="1:14" s="36" customFormat="1" ht="31.2" x14ac:dyDescent="0.3">
      <c r="A333" s="227">
        <v>3</v>
      </c>
      <c r="B333" s="228"/>
      <c r="C333" s="232" t="s">
        <v>311</v>
      </c>
      <c r="D333" s="233">
        <f t="shared" ref="D333" si="68">(3.05*3.03+2.23*1.53+2.13*0.6+2.85*1.25+2.75*1.8+2.85*1.25+2.75*1.8+2.2*1.85+1.38*(2.15+2.15)+0.6*(1.28+1.38)+1.25*0.41+0.91*0.41+3.05*1.23)*10.764</f>
        <v>507.99083399999995</v>
      </c>
      <c r="E333" s="233">
        <v>0</v>
      </c>
      <c r="F333" s="232">
        <f t="shared" si="67"/>
        <v>787.38579269999991</v>
      </c>
      <c r="G333" s="234"/>
      <c r="H333" s="235"/>
      <c r="I333" s="35"/>
      <c r="J333" s="35"/>
      <c r="L333" s="73"/>
      <c r="M333" s="73"/>
      <c r="N333" s="35"/>
    </row>
    <row r="334" spans="1:14" s="36" customFormat="1" x14ac:dyDescent="0.3">
      <c r="A334" s="227" t="s">
        <v>276</v>
      </c>
      <c r="B334" s="228"/>
      <c r="C334" s="232" t="s">
        <v>191</v>
      </c>
      <c r="D334" s="233">
        <f>(3.05*4.89+2.85*2.13+2.75*1.98+(2.85*1.25+2.75*1.8)*2+3.05*3.03+1.9*2.22+2.85+1.05*2.12+2.75*1.8+2.95*1.25+1.38*(2.15+2.15+2.15)+1.37*2.1+0.6*(1.28+1.28+1.38+1.38)+(3.05*1.23)*2)*10.764</f>
        <v>1002.1391639999998</v>
      </c>
      <c r="E334" s="233">
        <v>0</v>
      </c>
      <c r="F334" s="232">
        <f t="shared" si="67"/>
        <v>1553.3157041999998</v>
      </c>
      <c r="G334" s="234"/>
      <c r="H334" s="235"/>
      <c r="I334" s="35"/>
      <c r="J334" s="66" t="s">
        <v>286</v>
      </c>
      <c r="L334" s="73"/>
      <c r="M334" s="73"/>
      <c r="N334" s="35"/>
    </row>
    <row r="335" spans="1:14" s="36" customFormat="1" ht="31.2" x14ac:dyDescent="0.3">
      <c r="A335" s="227">
        <v>6</v>
      </c>
      <c r="B335" s="228"/>
      <c r="C335" s="232" t="s">
        <v>311</v>
      </c>
      <c r="D335" s="233">
        <f t="shared" ref="D335:D338" si="69">(3.05*3.03+2.23*1.53+2.13*0.6+(2.85*1.25+2.75*1.8)*2+1.38*(2.15+2.15)+2.2*2.28+0.6*(1.38+1.28)+3.05*1.23)*10.764</f>
        <v>508.64097959999992</v>
      </c>
      <c r="E335" s="233">
        <v>0</v>
      </c>
      <c r="F335" s="232">
        <f t="shared" si="67"/>
        <v>788.39351837999993</v>
      </c>
      <c r="G335" s="234"/>
      <c r="H335" s="235"/>
      <c r="I335" s="35"/>
      <c r="J335" s="35">
        <f>15600000/F456</f>
        <v>32819.107152908</v>
      </c>
      <c r="L335" s="73"/>
      <c r="M335" s="73"/>
      <c r="N335" s="35"/>
    </row>
    <row r="336" spans="1:14" s="36" customFormat="1" ht="31.2" x14ac:dyDescent="0.3">
      <c r="A336" s="227">
        <f t="shared" ref="A336:A338" si="70">A335+1</f>
        <v>7</v>
      </c>
      <c r="B336" s="228"/>
      <c r="C336" s="232" t="s">
        <v>311</v>
      </c>
      <c r="D336" s="233">
        <f t="shared" si="69"/>
        <v>508.64097959999992</v>
      </c>
      <c r="E336" s="233">
        <v>0</v>
      </c>
      <c r="F336" s="232">
        <f t="shared" si="67"/>
        <v>788.39351837999993</v>
      </c>
      <c r="G336" s="234"/>
      <c r="H336" s="235"/>
      <c r="I336" s="35"/>
      <c r="J336" s="35">
        <f>15600000/F457</f>
        <v>32819.107152908</v>
      </c>
      <c r="L336" s="73"/>
      <c r="M336" s="73"/>
      <c r="N336" s="35"/>
    </row>
    <row r="337" spans="1:14" s="36" customFormat="1" x14ac:dyDescent="0.3">
      <c r="A337" s="227">
        <f t="shared" si="70"/>
        <v>8</v>
      </c>
      <c r="B337" s="228"/>
      <c r="C337" s="232" t="s">
        <v>178</v>
      </c>
      <c r="D337" s="233">
        <f t="shared" si="69"/>
        <v>508.64097959999992</v>
      </c>
      <c r="E337" s="233">
        <v>0</v>
      </c>
      <c r="F337" s="232">
        <f t="shared" si="67"/>
        <v>788.39351837999993</v>
      </c>
      <c r="G337" s="234"/>
      <c r="H337" s="235"/>
      <c r="I337" s="35"/>
      <c r="J337" s="35">
        <f>15600000/F458</f>
        <v>32819.107152908</v>
      </c>
      <c r="L337" s="73"/>
      <c r="M337" s="73"/>
      <c r="N337" s="35"/>
    </row>
    <row r="338" spans="1:14" s="36" customFormat="1" x14ac:dyDescent="0.3">
      <c r="A338" s="227">
        <f t="shared" si="70"/>
        <v>9</v>
      </c>
      <c r="B338" s="228"/>
      <c r="C338" s="232" t="s">
        <v>178</v>
      </c>
      <c r="D338" s="233">
        <f t="shared" si="69"/>
        <v>508.64097959999992</v>
      </c>
      <c r="E338" s="233">
        <v>0</v>
      </c>
      <c r="F338" s="232">
        <f t="shared" si="67"/>
        <v>788.39351837999993</v>
      </c>
      <c r="G338" s="234"/>
      <c r="H338" s="235"/>
      <c r="I338" s="35"/>
      <c r="J338" s="35">
        <f>15600000/F459</f>
        <v>32819.107152908</v>
      </c>
      <c r="L338" s="73"/>
      <c r="M338" s="73"/>
      <c r="N338" s="35"/>
    </row>
    <row r="339" spans="1:14" s="36" customFormat="1" x14ac:dyDescent="0.3">
      <c r="A339" s="224" t="s">
        <v>293</v>
      </c>
      <c r="B339" s="225"/>
      <c r="C339" s="225"/>
      <c r="D339" s="225"/>
      <c r="E339" s="225"/>
      <c r="F339" s="225"/>
      <c r="G339" s="225"/>
      <c r="H339" s="226"/>
      <c r="I339" s="35"/>
      <c r="J339" s="35">
        <f t="shared" ref="J339" si="71">15600000/F347</f>
        <v>19787.072872003133</v>
      </c>
      <c r="L339" s="73"/>
      <c r="M339" s="73"/>
      <c r="N339" s="35"/>
    </row>
    <row r="340" spans="1:14" s="36" customFormat="1" x14ac:dyDescent="0.3">
      <c r="A340" s="227">
        <v>1</v>
      </c>
      <c r="B340" s="228"/>
      <c r="C340" s="232" t="s">
        <v>178</v>
      </c>
      <c r="D340" s="233">
        <f t="shared" ref="D340:D342" si="72">(3.05*3.03+2.23*1.53+2.13*0.6+2.85*1.25+2.75*1.8+2.85*1.25+2.75*1.8+2.2*1.85+1.38*(2.15+2.15)+0.6*(1.28+1.38)+1.25*0.41+0.91*0.41+3.05*1.23)*10.764</f>
        <v>507.99083399999995</v>
      </c>
      <c r="E340" s="233">
        <v>0</v>
      </c>
      <c r="F340" s="232">
        <f t="shared" ref="F340:F347" si="73">D340*(($F$133)+1)+(IF(E340&lt;101,E340,IF(E340&lt;201,E340/2,IF(E340&lt;=301,E340/3,E340/4))))</f>
        <v>787.38579269999991</v>
      </c>
      <c r="G340" s="230" t="str">
        <f>A339</f>
        <v>24th Floor (25th Floor as per Builder)</v>
      </c>
      <c r="H340" s="231"/>
      <c r="J340" s="35"/>
    </row>
    <row r="341" spans="1:14" s="36" customFormat="1" x14ac:dyDescent="0.3">
      <c r="A341" s="227">
        <f t="shared" ref="A341:A347" si="74">A340+1</f>
        <v>2</v>
      </c>
      <c r="B341" s="228"/>
      <c r="C341" s="232" t="s">
        <v>178</v>
      </c>
      <c r="D341" s="233">
        <f t="shared" si="72"/>
        <v>507.99083399999995</v>
      </c>
      <c r="E341" s="233">
        <v>0</v>
      </c>
      <c r="F341" s="232">
        <f t="shared" si="73"/>
        <v>787.38579269999991</v>
      </c>
      <c r="G341" s="234"/>
      <c r="H341" s="235"/>
      <c r="I341" s="35"/>
      <c r="J341" s="35">
        <f>15600000/F460</f>
        <v>32819.107152908</v>
      </c>
      <c r="L341" s="73"/>
      <c r="M341" s="73"/>
      <c r="N341" s="35"/>
    </row>
    <row r="342" spans="1:14" s="36" customFormat="1" x14ac:dyDescent="0.3">
      <c r="A342" s="227">
        <f t="shared" si="74"/>
        <v>3</v>
      </c>
      <c r="B342" s="228"/>
      <c r="C342" s="232" t="s">
        <v>178</v>
      </c>
      <c r="D342" s="233">
        <f t="shared" si="72"/>
        <v>507.99083399999995</v>
      </c>
      <c r="E342" s="233">
        <v>0</v>
      </c>
      <c r="F342" s="232">
        <f t="shared" si="73"/>
        <v>787.38579269999991</v>
      </c>
      <c r="G342" s="234"/>
      <c r="H342" s="235"/>
      <c r="I342" s="35"/>
      <c r="J342" s="35"/>
      <c r="L342" s="73"/>
      <c r="M342" s="73"/>
      <c r="N342" s="35"/>
    </row>
    <row r="343" spans="1:14" s="36" customFormat="1" x14ac:dyDescent="0.3">
      <c r="A343" s="227" t="s">
        <v>276</v>
      </c>
      <c r="B343" s="228"/>
      <c r="C343" s="232" t="s">
        <v>191</v>
      </c>
      <c r="D343" s="233">
        <f>(3.05*4.89+2.85*2.13+2.75*1.98+(2.85*1.25+2.75*1.8)*2+3.05*3.03+1.9*2.22+2.85+1.05*2.12+2.75*1.8+2.95*1.25+1.38*(2.15+2.15+2.15)+1.37*2.1+0.6*(1.28+1.28+1.38+1.38)+(3.05*1.23)*2)*10.764</f>
        <v>1002.1391639999998</v>
      </c>
      <c r="E343" s="233">
        <v>0</v>
      </c>
      <c r="F343" s="232">
        <f t="shared" si="73"/>
        <v>1553.3157041999998</v>
      </c>
      <c r="G343" s="234"/>
      <c r="H343" s="235"/>
      <c r="I343" s="35"/>
      <c r="J343" s="66" t="s">
        <v>286</v>
      </c>
      <c r="L343" s="73"/>
      <c r="M343" s="73"/>
      <c r="N343" s="35"/>
    </row>
    <row r="344" spans="1:14" s="36" customFormat="1" x14ac:dyDescent="0.3">
      <c r="A344" s="227">
        <v>6</v>
      </c>
      <c r="B344" s="228"/>
      <c r="C344" s="232" t="s">
        <v>178</v>
      </c>
      <c r="D344" s="233">
        <f t="shared" ref="D344:D347" si="75">(3.05*3.03+2.23*1.53+2.13*0.6+(2.85*1.25+2.75*1.8)*2+1.38*(2.15+2.15)+2.2*2.28+0.6*(1.38+1.28)+3.05*1.23)*10.764</f>
        <v>508.64097959999992</v>
      </c>
      <c r="E344" s="233">
        <v>0</v>
      </c>
      <c r="F344" s="232">
        <f t="shared" si="73"/>
        <v>788.39351837999993</v>
      </c>
      <c r="G344" s="234"/>
      <c r="H344" s="235"/>
      <c r="I344" s="35"/>
      <c r="J344" s="35">
        <f>15600000/F464</f>
        <v>32819.107152908</v>
      </c>
      <c r="L344" s="73"/>
      <c r="M344" s="73"/>
      <c r="N344" s="35"/>
    </row>
    <row r="345" spans="1:14" s="36" customFormat="1" ht="15.75" customHeight="1" x14ac:dyDescent="0.3">
      <c r="A345" s="227">
        <f t="shared" si="74"/>
        <v>7</v>
      </c>
      <c r="B345" s="228"/>
      <c r="C345" s="232" t="s">
        <v>178</v>
      </c>
      <c r="D345" s="233">
        <f t="shared" si="75"/>
        <v>508.64097959999992</v>
      </c>
      <c r="E345" s="233">
        <v>0</v>
      </c>
      <c r="F345" s="232">
        <f t="shared" si="73"/>
        <v>788.39351837999993</v>
      </c>
      <c r="G345" s="234"/>
      <c r="H345" s="235"/>
      <c r="I345" s="35"/>
      <c r="J345" s="35">
        <f>15600000/F465</f>
        <v>32819.107152908</v>
      </c>
      <c r="L345" s="73"/>
      <c r="M345" s="73"/>
      <c r="N345" s="35"/>
    </row>
    <row r="346" spans="1:14" s="36" customFormat="1" x14ac:dyDescent="0.3">
      <c r="A346" s="227">
        <f t="shared" si="74"/>
        <v>8</v>
      </c>
      <c r="B346" s="228"/>
      <c r="C346" s="232" t="s">
        <v>178</v>
      </c>
      <c r="D346" s="233">
        <f t="shared" si="75"/>
        <v>508.64097959999992</v>
      </c>
      <c r="E346" s="233">
        <v>0</v>
      </c>
      <c r="F346" s="232">
        <f t="shared" si="73"/>
        <v>788.39351837999993</v>
      </c>
      <c r="G346" s="234"/>
      <c r="H346" s="235"/>
      <c r="I346" s="35"/>
      <c r="J346" s="35">
        <f>15600000/F466</f>
        <v>32819.107152908</v>
      </c>
      <c r="L346" s="73"/>
      <c r="M346" s="73"/>
      <c r="N346" s="35"/>
    </row>
    <row r="347" spans="1:14" s="36" customFormat="1" x14ac:dyDescent="0.3">
      <c r="A347" s="227">
        <f t="shared" si="74"/>
        <v>9</v>
      </c>
      <c r="B347" s="228"/>
      <c r="C347" s="232" t="s">
        <v>178</v>
      </c>
      <c r="D347" s="233">
        <f t="shared" si="75"/>
        <v>508.64097959999992</v>
      </c>
      <c r="E347" s="233">
        <v>0</v>
      </c>
      <c r="F347" s="232">
        <f t="shared" si="73"/>
        <v>788.39351837999993</v>
      </c>
      <c r="G347" s="234"/>
      <c r="H347" s="235"/>
      <c r="I347" s="35"/>
      <c r="J347" s="35">
        <f>15600000/F467</f>
        <v>32819.107152908</v>
      </c>
      <c r="L347" s="73"/>
      <c r="M347" s="73"/>
      <c r="N347" s="35"/>
    </row>
    <row r="348" spans="1:14" s="36" customFormat="1" x14ac:dyDescent="0.3">
      <c r="A348" s="224" t="s">
        <v>294</v>
      </c>
      <c r="B348" s="225"/>
      <c r="C348" s="225"/>
      <c r="D348" s="225"/>
      <c r="E348" s="225"/>
      <c r="F348" s="225"/>
      <c r="G348" s="225"/>
      <c r="H348" s="226"/>
      <c r="I348" s="35"/>
      <c r="J348" s="35">
        <f t="shared" ref="J348" si="76">15600000/F356</f>
        <v>19787.072872003133</v>
      </c>
      <c r="L348" s="73"/>
      <c r="M348" s="73"/>
      <c r="N348" s="35"/>
    </row>
    <row r="349" spans="1:14" s="36" customFormat="1" x14ac:dyDescent="0.3">
      <c r="A349" s="227" t="s">
        <v>275</v>
      </c>
      <c r="B349" s="228"/>
      <c r="C349" s="232" t="s">
        <v>191</v>
      </c>
      <c r="D349" s="233">
        <f>(3.05*4.89+2.85*2.13+2.75*1.98+(2.85*1.25+2.75*1.8)*2+3.05*3.03+1.9*2.22+2.85+1.05*2.12+2.75*1.8+2.95*1.25+1.38*(2.15+2.15+2.15)+1.37*2.1+0.6*(1.28+1.28+1.38+1.38)+(3.05*1.23)*2)*10.764</f>
        <v>1002.1391639999998</v>
      </c>
      <c r="E349" s="233">
        <v>0</v>
      </c>
      <c r="F349" s="232">
        <f t="shared" ref="F349:F356" si="77">D349*(($F$133)+1)+(IF(E349&lt;101,E349,IF(E349&lt;201,E349/2,IF(E349&lt;=301,E349/3,E349/4))))</f>
        <v>1553.3157041999998</v>
      </c>
      <c r="G349" s="230" t="str">
        <f>A348</f>
        <v>25th Floor (26th Floor as per Builder)</v>
      </c>
      <c r="H349" s="231"/>
      <c r="J349" s="66" t="s">
        <v>292</v>
      </c>
    </row>
    <row r="350" spans="1:14" s="36" customFormat="1" x14ac:dyDescent="0.3">
      <c r="A350" s="227">
        <v>3</v>
      </c>
      <c r="B350" s="228"/>
      <c r="C350" s="232" t="s">
        <v>178</v>
      </c>
      <c r="D350" s="233">
        <f t="shared" ref="D350:D352" si="78">(3.05*3.03+2.23*1.53+2.13*0.6+2.85*1.25+2.75*1.8+2.85*1.25+2.75*1.8+2.2*1.85+1.38*(2.15+2.15)+0.6*(1.28+1.38)+1.25*0.41+0.91*0.41+3.05*1.23)*10.764</f>
        <v>507.99083399999995</v>
      </c>
      <c r="E350" s="233">
        <v>0</v>
      </c>
      <c r="F350" s="232">
        <f t="shared" si="77"/>
        <v>787.38579269999991</v>
      </c>
      <c r="G350" s="234"/>
      <c r="H350" s="235"/>
      <c r="I350" s="35"/>
      <c r="J350" s="35"/>
      <c r="L350" s="73"/>
      <c r="M350" s="73"/>
      <c r="N350" s="35"/>
    </row>
    <row r="351" spans="1:14" s="36" customFormat="1" x14ac:dyDescent="0.3">
      <c r="A351" s="227">
        <f t="shared" ref="A351:A356" si="79">A350+1</f>
        <v>4</v>
      </c>
      <c r="B351" s="228"/>
      <c r="C351" s="232" t="s">
        <v>178</v>
      </c>
      <c r="D351" s="233">
        <f t="shared" si="78"/>
        <v>507.99083399999995</v>
      </c>
      <c r="E351" s="233">
        <v>0</v>
      </c>
      <c r="F351" s="232">
        <f t="shared" si="77"/>
        <v>787.38579269999991</v>
      </c>
      <c r="G351" s="234"/>
      <c r="H351" s="235"/>
      <c r="I351" s="35"/>
      <c r="J351" s="35"/>
      <c r="L351" s="73"/>
      <c r="M351" s="73"/>
      <c r="N351" s="35"/>
    </row>
    <row r="352" spans="1:14" s="36" customFormat="1" x14ac:dyDescent="0.3">
      <c r="A352" s="227">
        <f t="shared" si="79"/>
        <v>5</v>
      </c>
      <c r="B352" s="228"/>
      <c r="C352" s="232" t="s">
        <v>178</v>
      </c>
      <c r="D352" s="233">
        <f t="shared" si="78"/>
        <v>507.99083399999995</v>
      </c>
      <c r="E352" s="233">
        <v>0</v>
      </c>
      <c r="F352" s="232">
        <f t="shared" si="77"/>
        <v>787.38579269999991</v>
      </c>
      <c r="G352" s="234"/>
      <c r="H352" s="235"/>
      <c r="I352" s="35"/>
      <c r="J352" s="35"/>
      <c r="L352" s="73"/>
      <c r="M352" s="73"/>
      <c r="N352" s="35"/>
    </row>
    <row r="353" spans="1:14" s="36" customFormat="1" x14ac:dyDescent="0.3">
      <c r="A353" s="227">
        <f t="shared" si="79"/>
        <v>6</v>
      </c>
      <c r="B353" s="228"/>
      <c r="C353" s="232" t="s">
        <v>178</v>
      </c>
      <c r="D353" s="233">
        <f t="shared" ref="D353:D356" si="80">(3.05*3.03+2.23*1.53+2.13*0.6+(2.85*1.25+2.75*1.8)*2+1.38*(2.15+2.15)+2.2*2.28+0.6*(1.38+1.28)+3.05*1.23)*10.764</f>
        <v>508.64097959999992</v>
      </c>
      <c r="E353" s="233">
        <v>0</v>
      </c>
      <c r="F353" s="232">
        <f t="shared" si="77"/>
        <v>788.39351837999993</v>
      </c>
      <c r="G353" s="234"/>
      <c r="H353" s="235"/>
      <c r="I353" s="35"/>
      <c r="J353" s="35"/>
      <c r="L353" s="73"/>
      <c r="M353" s="73"/>
      <c r="N353" s="35"/>
    </row>
    <row r="354" spans="1:14" s="36" customFormat="1" ht="15.75" customHeight="1" x14ac:dyDescent="0.3">
      <c r="A354" s="227">
        <f t="shared" si="79"/>
        <v>7</v>
      </c>
      <c r="B354" s="228"/>
      <c r="C354" s="232" t="s">
        <v>178</v>
      </c>
      <c r="D354" s="233">
        <f t="shared" si="80"/>
        <v>508.64097959999992</v>
      </c>
      <c r="E354" s="233">
        <v>0</v>
      </c>
      <c r="F354" s="232">
        <f t="shared" si="77"/>
        <v>788.39351837999993</v>
      </c>
      <c r="G354" s="234"/>
      <c r="H354" s="235"/>
      <c r="I354" s="35"/>
      <c r="J354" s="35"/>
      <c r="L354" s="73"/>
      <c r="M354" s="73"/>
      <c r="N354" s="35"/>
    </row>
    <row r="355" spans="1:14" s="36" customFormat="1" x14ac:dyDescent="0.3">
      <c r="A355" s="227">
        <f t="shared" si="79"/>
        <v>8</v>
      </c>
      <c r="B355" s="228"/>
      <c r="C355" s="232" t="s">
        <v>178</v>
      </c>
      <c r="D355" s="233">
        <f t="shared" si="80"/>
        <v>508.64097959999992</v>
      </c>
      <c r="E355" s="233">
        <v>0</v>
      </c>
      <c r="F355" s="232">
        <f t="shared" si="77"/>
        <v>788.39351837999993</v>
      </c>
      <c r="G355" s="234"/>
      <c r="H355" s="235"/>
      <c r="I355" s="35"/>
      <c r="J355" s="35"/>
      <c r="L355" s="73"/>
      <c r="M355" s="73"/>
      <c r="N355" s="35"/>
    </row>
    <row r="356" spans="1:14" s="36" customFormat="1" x14ac:dyDescent="0.3">
      <c r="A356" s="227">
        <f t="shared" si="79"/>
        <v>9</v>
      </c>
      <c r="B356" s="228"/>
      <c r="C356" s="232" t="s">
        <v>178</v>
      </c>
      <c r="D356" s="233">
        <f t="shared" si="80"/>
        <v>508.64097959999992</v>
      </c>
      <c r="E356" s="233">
        <v>0</v>
      </c>
      <c r="F356" s="232">
        <f t="shared" si="77"/>
        <v>788.39351837999993</v>
      </c>
      <c r="G356" s="234"/>
      <c r="H356" s="235"/>
      <c r="I356" s="35"/>
      <c r="J356" s="35"/>
      <c r="L356" s="73"/>
      <c r="M356" s="73"/>
      <c r="N356" s="35"/>
    </row>
    <row r="357" spans="1:14" s="36" customFormat="1" x14ac:dyDescent="0.3">
      <c r="A357" s="224" t="s">
        <v>192</v>
      </c>
      <c r="B357" s="225"/>
      <c r="C357" s="225"/>
      <c r="D357" s="225"/>
      <c r="E357" s="225"/>
      <c r="F357" s="225"/>
      <c r="G357" s="225"/>
      <c r="H357" s="226"/>
      <c r="I357" s="35"/>
      <c r="J357" s="35"/>
      <c r="L357" s="73"/>
      <c r="M357" s="73"/>
      <c r="N357" s="35"/>
    </row>
    <row r="358" spans="1:14" s="36" customFormat="1" x14ac:dyDescent="0.3">
      <c r="A358" s="227">
        <v>1</v>
      </c>
      <c r="B358" s="228"/>
      <c r="C358" s="232" t="s">
        <v>178</v>
      </c>
      <c r="D358" s="233">
        <f t="shared" ref="D358:D360" si="81">(3.05*3.03+2.23*1.53+2.13*0.6+2.85*1.25+2.75*1.8+2.85*1.25+2.75*1.8+2.2*1.85+1.38*(2.15+2.15)+0.6*(1.28+1.38)+1.25*0.41+0.91*0.41+3.05*1.23)*10.764</f>
        <v>507.99083399999995</v>
      </c>
      <c r="E358" s="233">
        <v>0</v>
      </c>
      <c r="F358" s="232">
        <f t="shared" ref="F358:F365" si="82">D358*(($F$133)+1)+(IF(E358&lt;101,E358,IF(E358&lt;201,E358/2,IF(E358&lt;=301,E358/3,E358/4))))</f>
        <v>787.38579269999991</v>
      </c>
      <c r="G358" s="230" t="str">
        <f>A357</f>
        <v>26th Floor (27th Floor as per Builder)</v>
      </c>
      <c r="H358" s="231"/>
      <c r="J358" s="35"/>
    </row>
    <row r="359" spans="1:14" s="36" customFormat="1" x14ac:dyDescent="0.3">
      <c r="A359" s="227">
        <f t="shared" ref="A359:A365" si="83">A358+1</f>
        <v>2</v>
      </c>
      <c r="B359" s="228"/>
      <c r="C359" s="232" t="s">
        <v>178</v>
      </c>
      <c r="D359" s="233">
        <f t="shared" si="81"/>
        <v>507.99083399999995</v>
      </c>
      <c r="E359" s="233">
        <v>0</v>
      </c>
      <c r="F359" s="232">
        <f t="shared" si="82"/>
        <v>787.38579269999991</v>
      </c>
      <c r="G359" s="234"/>
      <c r="H359" s="235"/>
      <c r="I359" s="35"/>
      <c r="J359" s="35"/>
      <c r="L359" s="73"/>
      <c r="M359" s="73"/>
      <c r="N359" s="35"/>
    </row>
    <row r="360" spans="1:14" s="36" customFormat="1" x14ac:dyDescent="0.3">
      <c r="A360" s="227">
        <f t="shared" si="83"/>
        <v>3</v>
      </c>
      <c r="B360" s="228"/>
      <c r="C360" s="232" t="s">
        <v>178</v>
      </c>
      <c r="D360" s="233">
        <f t="shared" si="81"/>
        <v>507.99083399999995</v>
      </c>
      <c r="E360" s="233">
        <v>0</v>
      </c>
      <c r="F360" s="232">
        <f t="shared" si="82"/>
        <v>787.38579269999991</v>
      </c>
      <c r="G360" s="234"/>
      <c r="H360" s="235"/>
      <c r="I360" s="35"/>
      <c r="J360" s="35"/>
      <c r="L360" s="73"/>
      <c r="M360" s="73"/>
      <c r="N360" s="35"/>
    </row>
    <row r="361" spans="1:14" s="36" customFormat="1" x14ac:dyDescent="0.3">
      <c r="A361" s="227" t="s">
        <v>276</v>
      </c>
      <c r="B361" s="228"/>
      <c r="C361" s="232" t="s">
        <v>191</v>
      </c>
      <c r="D361" s="233">
        <f>(3.05*4.89+2.85*2.13+2.75*1.98+(2.85*1.25+2.75*1.8)*2+3.05*3.03+1.9*2.22+2.85+1.05*2.12+2.75*1.8+2.95*1.25+1.38*(2.15+2.15+2.15)+1.37*2.1+0.6*(1.28+1.28+1.38+1.38)+(3.05*1.23)*2)*10.764</f>
        <v>1002.1391639999998</v>
      </c>
      <c r="E361" s="233">
        <v>0</v>
      </c>
      <c r="F361" s="232">
        <f t="shared" si="82"/>
        <v>1553.3157041999998</v>
      </c>
      <c r="G361" s="234"/>
      <c r="H361" s="235"/>
      <c r="I361" s="35"/>
      <c r="J361" s="66" t="s">
        <v>286</v>
      </c>
      <c r="L361" s="73"/>
      <c r="M361" s="73"/>
      <c r="N361" s="35"/>
    </row>
    <row r="362" spans="1:14" s="36" customFormat="1" x14ac:dyDescent="0.3">
      <c r="A362" s="227">
        <v>6</v>
      </c>
      <c r="B362" s="228"/>
      <c r="C362" s="232" t="s">
        <v>178</v>
      </c>
      <c r="D362" s="233">
        <f t="shared" ref="D362:D365" si="84">(3.05*3.03+2.23*1.53+2.13*0.6+(2.85*1.25+2.75*1.8)*2+1.38*(2.15+2.15)+2.2*2.28+0.6*(1.38+1.28)+3.05*1.23)*10.764</f>
        <v>508.64097959999992</v>
      </c>
      <c r="E362" s="233">
        <v>0</v>
      </c>
      <c r="F362" s="232">
        <f t="shared" si="82"/>
        <v>788.39351837999993</v>
      </c>
      <c r="G362" s="234"/>
      <c r="H362" s="235"/>
      <c r="I362" s="35"/>
      <c r="J362" s="35"/>
      <c r="L362" s="73"/>
      <c r="M362" s="73"/>
      <c r="N362" s="35"/>
    </row>
    <row r="363" spans="1:14" s="36" customFormat="1" ht="15.75" customHeight="1" x14ac:dyDescent="0.3">
      <c r="A363" s="227">
        <f t="shared" si="83"/>
        <v>7</v>
      </c>
      <c r="B363" s="228"/>
      <c r="C363" s="232" t="s">
        <v>178</v>
      </c>
      <c r="D363" s="233">
        <f t="shared" si="84"/>
        <v>508.64097959999992</v>
      </c>
      <c r="E363" s="233">
        <v>0</v>
      </c>
      <c r="F363" s="232">
        <f t="shared" si="82"/>
        <v>788.39351837999993</v>
      </c>
      <c r="G363" s="234"/>
      <c r="H363" s="235"/>
      <c r="I363" s="35"/>
      <c r="J363" s="35"/>
      <c r="L363" s="73"/>
      <c r="M363" s="73"/>
      <c r="N363" s="35"/>
    </row>
    <row r="364" spans="1:14" s="36" customFormat="1" x14ac:dyDescent="0.3">
      <c r="A364" s="227">
        <f t="shared" si="83"/>
        <v>8</v>
      </c>
      <c r="B364" s="228"/>
      <c r="C364" s="232" t="s">
        <v>178</v>
      </c>
      <c r="D364" s="233">
        <f t="shared" si="84"/>
        <v>508.64097959999992</v>
      </c>
      <c r="E364" s="233">
        <v>0</v>
      </c>
      <c r="F364" s="232">
        <f t="shared" si="82"/>
        <v>788.39351837999993</v>
      </c>
      <c r="G364" s="234"/>
      <c r="H364" s="235"/>
      <c r="I364" s="35"/>
      <c r="J364" s="35"/>
      <c r="L364" s="73"/>
      <c r="M364" s="73"/>
      <c r="N364" s="35"/>
    </row>
    <row r="365" spans="1:14" s="36" customFormat="1" x14ac:dyDescent="0.3">
      <c r="A365" s="227">
        <f t="shared" si="83"/>
        <v>9</v>
      </c>
      <c r="B365" s="228"/>
      <c r="C365" s="232" t="s">
        <v>178</v>
      </c>
      <c r="D365" s="233">
        <f t="shared" si="84"/>
        <v>508.64097959999992</v>
      </c>
      <c r="E365" s="233">
        <v>0</v>
      </c>
      <c r="F365" s="232">
        <f t="shared" si="82"/>
        <v>788.39351837999993</v>
      </c>
      <c r="G365" s="234"/>
      <c r="H365" s="235"/>
      <c r="I365" s="35"/>
      <c r="J365" s="35"/>
      <c r="L365" s="73"/>
      <c r="M365" s="73"/>
      <c r="N365" s="35"/>
    </row>
    <row r="366" spans="1:14" s="36" customFormat="1" x14ac:dyDescent="0.3">
      <c r="A366" s="224" t="s">
        <v>295</v>
      </c>
      <c r="B366" s="225"/>
      <c r="C366" s="225"/>
      <c r="D366" s="225"/>
      <c r="E366" s="225"/>
      <c r="F366" s="225"/>
      <c r="G366" s="225"/>
      <c r="H366" s="226"/>
      <c r="I366" s="35"/>
      <c r="J366" s="35"/>
      <c r="L366" s="73"/>
      <c r="M366" s="73"/>
      <c r="N366" s="35"/>
    </row>
    <row r="367" spans="1:14" s="36" customFormat="1" x14ac:dyDescent="0.3">
      <c r="A367" s="227" t="s">
        <v>275</v>
      </c>
      <c r="B367" s="228"/>
      <c r="C367" s="232" t="s">
        <v>191</v>
      </c>
      <c r="D367" s="233">
        <f>(3.05*4.89+2.85*2.13+2.75*1.98+(2.85*1.25+2.75*1.8)*2+3.05*3.03+1.9*2.22+2.85+1.05*2.12+2.75*1.8+2.95*1.25+1.38*(2.15+2.15+2.15)+1.37*2.1+0.6*(1.28+1.28+1.38+1.38)+(3.05*1.23)*2)*10.764</f>
        <v>1002.1391639999998</v>
      </c>
      <c r="E367" s="233">
        <v>0</v>
      </c>
      <c r="F367" s="232">
        <f t="shared" ref="F367:F373" si="85">D367*(($F$133)+1)+(IF(E367&lt;101,E367,IF(E367&lt;201,E367/2,IF(E367&lt;=301,E367/3,E367/4))))</f>
        <v>1553.3157041999998</v>
      </c>
      <c r="G367" s="230" t="str">
        <f>A366</f>
        <v>27th Floor (28th Floor as per Builder)</v>
      </c>
      <c r="H367" s="231"/>
      <c r="J367" s="66" t="s">
        <v>292</v>
      </c>
    </row>
    <row r="368" spans="1:14" s="36" customFormat="1" x14ac:dyDescent="0.3">
      <c r="A368" s="227">
        <v>3</v>
      </c>
      <c r="B368" s="228"/>
      <c r="C368" s="232" t="s">
        <v>178</v>
      </c>
      <c r="D368" s="233">
        <f t="shared" ref="D368" si="86">(3.05*3.03+2.23*1.53+2.13*0.6+2.85*1.25+2.75*1.8+2.85*1.25+2.75*1.8+2.2*1.85+1.38*(2.15+2.15)+0.6*(1.28+1.38)+1.25*0.41+0.91*0.41+3.05*1.23)*10.764</f>
        <v>507.99083399999995</v>
      </c>
      <c r="E368" s="233">
        <v>0</v>
      </c>
      <c r="F368" s="232">
        <f t="shared" si="85"/>
        <v>787.38579269999991</v>
      </c>
      <c r="G368" s="234"/>
      <c r="H368" s="235"/>
      <c r="I368" s="35"/>
      <c r="J368" s="35"/>
      <c r="L368" s="73"/>
      <c r="M368" s="73"/>
      <c r="N368" s="35"/>
    </row>
    <row r="369" spans="1:14" s="36" customFormat="1" x14ac:dyDescent="0.3">
      <c r="A369" s="227" t="s">
        <v>276</v>
      </c>
      <c r="B369" s="228"/>
      <c r="C369" s="232" t="s">
        <v>191</v>
      </c>
      <c r="D369" s="233">
        <f>(3.05*4.89+2.85*2.13+2.75*1.98+(2.85*1.25+2.75*1.8)*2+3.05*3.03+1.9*2.22+2.85+1.05*2.12+2.75*1.8+2.95*1.25+1.38*(2.15+2.15+2.15)+1.37*2.1+0.6*(1.28+1.28+1.38+1.38)+(3.05*1.23)*2)*10.764</f>
        <v>1002.1391639999998</v>
      </c>
      <c r="E369" s="233">
        <v>0</v>
      </c>
      <c r="F369" s="232">
        <f t="shared" si="85"/>
        <v>1553.3157041999998</v>
      </c>
      <c r="G369" s="234"/>
      <c r="H369" s="235"/>
      <c r="I369" s="35"/>
      <c r="J369" s="66" t="s">
        <v>286</v>
      </c>
      <c r="L369" s="73"/>
      <c r="M369" s="73"/>
      <c r="N369" s="35"/>
    </row>
    <row r="370" spans="1:14" s="36" customFormat="1" x14ac:dyDescent="0.3">
      <c r="A370" s="227">
        <v>6</v>
      </c>
      <c r="B370" s="228"/>
      <c r="C370" s="232" t="s">
        <v>178</v>
      </c>
      <c r="D370" s="233">
        <f t="shared" ref="D370:D373" si="87">(3.05*3.03+2.23*1.53+2.13*0.6+(2.85*1.25+2.75*1.8)*2+1.38*(2.15+2.15)+2.2*2.28+0.6*(1.38+1.28)+3.05*1.23)*10.764</f>
        <v>508.64097959999992</v>
      </c>
      <c r="E370" s="233">
        <v>0</v>
      </c>
      <c r="F370" s="232">
        <f t="shared" si="85"/>
        <v>788.39351837999993</v>
      </c>
      <c r="G370" s="234"/>
      <c r="H370" s="235"/>
      <c r="I370" s="35"/>
      <c r="J370" s="35"/>
      <c r="L370" s="73"/>
      <c r="M370" s="73"/>
      <c r="N370" s="35"/>
    </row>
    <row r="371" spans="1:14" s="36" customFormat="1" ht="15.75" customHeight="1" x14ac:dyDescent="0.3">
      <c r="A371" s="227">
        <f t="shared" ref="A371:A373" si="88">A370+1</f>
        <v>7</v>
      </c>
      <c r="B371" s="228"/>
      <c r="C371" s="232" t="s">
        <v>178</v>
      </c>
      <c r="D371" s="233">
        <f t="shared" si="87"/>
        <v>508.64097959999992</v>
      </c>
      <c r="E371" s="233">
        <v>0</v>
      </c>
      <c r="F371" s="232">
        <f t="shared" si="85"/>
        <v>788.39351837999993</v>
      </c>
      <c r="G371" s="234"/>
      <c r="H371" s="235"/>
      <c r="I371" s="35"/>
      <c r="J371" s="35"/>
      <c r="L371" s="73"/>
      <c r="M371" s="73"/>
      <c r="N371" s="35"/>
    </row>
    <row r="372" spans="1:14" s="36" customFormat="1" x14ac:dyDescent="0.3">
      <c r="A372" s="227">
        <f t="shared" si="88"/>
        <v>8</v>
      </c>
      <c r="B372" s="228"/>
      <c r="C372" s="232" t="s">
        <v>178</v>
      </c>
      <c r="D372" s="233">
        <f t="shared" si="87"/>
        <v>508.64097959999992</v>
      </c>
      <c r="E372" s="233">
        <v>0</v>
      </c>
      <c r="F372" s="232">
        <f t="shared" si="85"/>
        <v>788.39351837999993</v>
      </c>
      <c r="G372" s="234"/>
      <c r="H372" s="235"/>
      <c r="I372" s="35"/>
      <c r="J372" s="35"/>
      <c r="L372" s="73"/>
      <c r="M372" s="73"/>
      <c r="N372" s="35"/>
    </row>
    <row r="373" spans="1:14" s="36" customFormat="1" x14ac:dyDescent="0.3">
      <c r="A373" s="227">
        <f t="shared" si="88"/>
        <v>9</v>
      </c>
      <c r="B373" s="228"/>
      <c r="C373" s="232" t="s">
        <v>178</v>
      </c>
      <c r="D373" s="233">
        <f t="shared" si="87"/>
        <v>508.64097959999992</v>
      </c>
      <c r="E373" s="233">
        <v>0</v>
      </c>
      <c r="F373" s="232">
        <f t="shared" si="85"/>
        <v>788.39351837999993</v>
      </c>
      <c r="G373" s="234"/>
      <c r="H373" s="235"/>
      <c r="I373" s="35"/>
      <c r="J373" s="35"/>
      <c r="L373" s="73"/>
      <c r="M373" s="73"/>
      <c r="N373" s="35"/>
    </row>
    <row r="374" spans="1:14" s="36" customFormat="1" x14ac:dyDescent="0.3">
      <c r="A374" s="224" t="s">
        <v>296</v>
      </c>
      <c r="B374" s="225"/>
      <c r="C374" s="225"/>
      <c r="D374" s="225"/>
      <c r="E374" s="225"/>
      <c r="F374" s="225"/>
      <c r="G374" s="225"/>
      <c r="H374" s="226"/>
      <c r="I374" s="35"/>
      <c r="J374" s="35"/>
      <c r="L374" s="73"/>
      <c r="M374" s="73"/>
      <c r="N374" s="35"/>
    </row>
    <row r="375" spans="1:14" s="36" customFormat="1" x14ac:dyDescent="0.3">
      <c r="A375" s="227">
        <v>1</v>
      </c>
      <c r="B375" s="228"/>
      <c r="C375" s="232" t="s">
        <v>178</v>
      </c>
      <c r="D375" s="233">
        <f t="shared" ref="D375:D377" si="89">(3.05*3.03+2.23*1.53+2.13*0.6+2.85*1.25+2.75*1.8+2.85*1.25+2.75*1.8+2.2*1.85+1.38*(2.15+2.15)+0.6*(1.28+1.38)+1.25*0.41+0.91*0.41+3.05*1.23)*10.764</f>
        <v>507.99083399999995</v>
      </c>
      <c r="E375" s="233">
        <v>0</v>
      </c>
      <c r="F375" s="232">
        <f t="shared" ref="F375:F382" si="90">D375*(($F$133)+1)+(IF(E375&lt;101,E375,IF(E375&lt;201,E375/2,IF(E375&lt;=301,E375/3,E375/4))))</f>
        <v>787.38579269999991</v>
      </c>
      <c r="G375" s="230" t="str">
        <f>A374</f>
        <v>28th Floor (29th Floor as per Builder)</v>
      </c>
      <c r="H375" s="231"/>
      <c r="J375" s="35"/>
    </row>
    <row r="376" spans="1:14" s="36" customFormat="1" x14ac:dyDescent="0.3">
      <c r="A376" s="227">
        <f t="shared" ref="A376:A382" si="91">A375+1</f>
        <v>2</v>
      </c>
      <c r="B376" s="228"/>
      <c r="C376" s="232" t="s">
        <v>178</v>
      </c>
      <c r="D376" s="233">
        <f t="shared" si="89"/>
        <v>507.99083399999995</v>
      </c>
      <c r="E376" s="233">
        <v>0</v>
      </c>
      <c r="F376" s="232">
        <f t="shared" si="90"/>
        <v>787.38579269999991</v>
      </c>
      <c r="G376" s="234"/>
      <c r="H376" s="235"/>
      <c r="I376" s="35"/>
      <c r="J376" s="35">
        <f>15600000/F495</f>
        <v>32819.107152908</v>
      </c>
      <c r="L376" s="73"/>
      <c r="M376" s="73"/>
      <c r="N376" s="35"/>
    </row>
    <row r="377" spans="1:14" s="36" customFormat="1" x14ac:dyDescent="0.3">
      <c r="A377" s="227">
        <f t="shared" si="91"/>
        <v>3</v>
      </c>
      <c r="B377" s="228"/>
      <c r="C377" s="232" t="s">
        <v>178</v>
      </c>
      <c r="D377" s="233">
        <f t="shared" si="89"/>
        <v>507.99083399999995</v>
      </c>
      <c r="E377" s="233">
        <v>0</v>
      </c>
      <c r="F377" s="232">
        <f t="shared" si="90"/>
        <v>787.38579269999991</v>
      </c>
      <c r="G377" s="234"/>
      <c r="H377" s="235"/>
      <c r="I377" s="35"/>
      <c r="J377" s="35"/>
      <c r="L377" s="73"/>
      <c r="M377" s="73"/>
      <c r="N377" s="35"/>
    </row>
    <row r="378" spans="1:14" s="36" customFormat="1" x14ac:dyDescent="0.3">
      <c r="A378" s="227" t="s">
        <v>276</v>
      </c>
      <c r="B378" s="228"/>
      <c r="C378" s="232" t="s">
        <v>191</v>
      </c>
      <c r="D378" s="233">
        <f>(3.05*4.89+2.85*2.13+2.75*1.98+(2.85*1.25+2.75*1.8)*2+3.05*3.03+1.9*2.22+2.85+1.05*2.12+2.75*1.8+2.95*1.25+1.38*(2.15+2.15+2.15)+1.37*2.1+0.6*(1.28+1.28+1.38+1.38)+(3.05*1.23)*2)*10.764</f>
        <v>1002.1391639999998</v>
      </c>
      <c r="E378" s="233">
        <v>0</v>
      </c>
      <c r="F378" s="232">
        <f t="shared" si="90"/>
        <v>1553.3157041999998</v>
      </c>
      <c r="G378" s="234"/>
      <c r="H378" s="235"/>
      <c r="I378" s="35"/>
      <c r="J378" s="66" t="s">
        <v>286</v>
      </c>
      <c r="L378" s="73"/>
      <c r="M378" s="73"/>
      <c r="N378" s="35"/>
    </row>
    <row r="379" spans="1:14" s="36" customFormat="1" x14ac:dyDescent="0.3">
      <c r="A379" s="227">
        <v>6</v>
      </c>
      <c r="B379" s="228"/>
      <c r="C379" s="232" t="s">
        <v>178</v>
      </c>
      <c r="D379" s="233">
        <f t="shared" ref="D379:D382" si="92">(3.05*3.03+2.23*1.53+2.13*0.6+(2.85*1.25+2.75*1.8)*2+1.38*(2.15+2.15)+2.2*2.28+0.6*(1.38+1.28)+3.05*1.23)*10.764</f>
        <v>508.64097959999992</v>
      </c>
      <c r="E379" s="233">
        <v>0</v>
      </c>
      <c r="F379" s="232">
        <f t="shared" si="90"/>
        <v>788.39351837999993</v>
      </c>
      <c r="G379" s="234"/>
      <c r="H379" s="235"/>
      <c r="I379" s="35"/>
      <c r="J379" s="35">
        <f>15600000/F499</f>
        <v>32819.107152908</v>
      </c>
      <c r="L379" s="73"/>
      <c r="M379" s="73"/>
      <c r="N379" s="35"/>
    </row>
    <row r="380" spans="1:14" s="36" customFormat="1" ht="15.75" customHeight="1" x14ac:dyDescent="0.3">
      <c r="A380" s="227">
        <f t="shared" si="91"/>
        <v>7</v>
      </c>
      <c r="B380" s="228"/>
      <c r="C380" s="232" t="s">
        <v>178</v>
      </c>
      <c r="D380" s="233">
        <f t="shared" si="92"/>
        <v>508.64097959999992</v>
      </c>
      <c r="E380" s="233">
        <v>0</v>
      </c>
      <c r="F380" s="232">
        <f t="shared" si="90"/>
        <v>788.39351837999993</v>
      </c>
      <c r="G380" s="234"/>
      <c r="H380" s="235"/>
      <c r="I380" s="35"/>
      <c r="J380" s="35">
        <f>15600000/F500</f>
        <v>32819.107152908</v>
      </c>
      <c r="L380" s="73"/>
      <c r="M380" s="73"/>
      <c r="N380" s="35"/>
    </row>
    <row r="381" spans="1:14" s="36" customFormat="1" x14ac:dyDescent="0.3">
      <c r="A381" s="227">
        <f t="shared" si="91"/>
        <v>8</v>
      </c>
      <c r="B381" s="228"/>
      <c r="C381" s="232" t="s">
        <v>178</v>
      </c>
      <c r="D381" s="233">
        <f t="shared" si="92"/>
        <v>508.64097959999992</v>
      </c>
      <c r="E381" s="233">
        <v>0</v>
      </c>
      <c r="F381" s="232">
        <f t="shared" si="90"/>
        <v>788.39351837999993</v>
      </c>
      <c r="G381" s="234"/>
      <c r="H381" s="235"/>
      <c r="I381" s="35"/>
      <c r="J381" s="35">
        <f>15600000/F501</f>
        <v>32819.107152908</v>
      </c>
      <c r="L381" s="73"/>
      <c r="M381" s="73"/>
      <c r="N381" s="35"/>
    </row>
    <row r="382" spans="1:14" s="36" customFormat="1" x14ac:dyDescent="0.3">
      <c r="A382" s="227">
        <f t="shared" si="91"/>
        <v>9</v>
      </c>
      <c r="B382" s="228"/>
      <c r="C382" s="232" t="s">
        <v>178</v>
      </c>
      <c r="D382" s="233">
        <f t="shared" si="92"/>
        <v>508.64097959999992</v>
      </c>
      <c r="E382" s="233">
        <v>0</v>
      </c>
      <c r="F382" s="232">
        <f t="shared" si="90"/>
        <v>788.39351837999993</v>
      </c>
      <c r="G382" s="234"/>
      <c r="H382" s="235"/>
      <c r="I382" s="35"/>
      <c r="J382" s="35">
        <f>15600000/F502</f>
        <v>32819.107152908</v>
      </c>
      <c r="L382" s="73"/>
      <c r="M382" s="73"/>
      <c r="N382" s="35"/>
    </row>
    <row r="383" spans="1:14" s="36" customFormat="1" ht="33" customHeight="1" x14ac:dyDescent="0.3">
      <c r="A383" s="224" t="s">
        <v>184</v>
      </c>
      <c r="B383" s="225"/>
      <c r="C383" s="225"/>
      <c r="D383" s="225"/>
      <c r="E383" s="225"/>
      <c r="F383" s="225"/>
      <c r="G383" s="225"/>
      <c r="H383" s="226"/>
      <c r="I383" s="35"/>
      <c r="J383" s="35">
        <f>15600000/F392</f>
        <v>19787.072872003133</v>
      </c>
      <c r="L383" s="73"/>
      <c r="M383" s="73"/>
      <c r="N383" s="35"/>
    </row>
    <row r="384" spans="1:14" s="34" customFormat="1" x14ac:dyDescent="0.3">
      <c r="A384" s="237">
        <v>1</v>
      </c>
      <c r="B384" s="237"/>
      <c r="C384" s="232" t="s">
        <v>191</v>
      </c>
      <c r="D384" s="233">
        <f>(3.05*3.03+2.23*1.53+2.13*0.6+(2.85*1.25+2.75*1.8)+2.75*3.05+2.75*1.98+2.95*0.99+1.38*(2.15+2.15)+2.2*1.86+0.91*0.41+1.25*0.41+0.6*(1.28+1.38+1.28)+3.05*1.23)*10.764</f>
        <v>605.19513599999982</v>
      </c>
      <c r="E384" s="233">
        <v>0</v>
      </c>
      <c r="F384" s="232">
        <f>D384*(($F$133)+1)+(IF(E384&lt;101,E384,IF(E384&lt;201,E384/2,IF(E384&lt;=301,E384/3,E384/4))))</f>
        <v>938.05246079999972</v>
      </c>
      <c r="G384" s="237" t="str">
        <f>A383</f>
        <v>29th Floor (Part Refuge Area)
(30th Floor as per Builder)</v>
      </c>
      <c r="H384" s="237"/>
      <c r="I384" s="35">
        <f>(3.05*3.03+2.23*1.53+2.13*0.6+(2.85*1.25+2.75*1.8)+2.75*3.05+2.75*1.98+2.95*0.99+1.38*(2.15+2.15)+2.2*1.86+0.91*0.41+1.25*0.41+0.6*(1.28+1.38+1.28)+3.05*1.23)*10.764</f>
        <v>605.19513599999982</v>
      </c>
      <c r="J384" s="35"/>
    </row>
    <row r="385" spans="1:14" s="52" customFormat="1" x14ac:dyDescent="0.3">
      <c r="A385" s="237">
        <f t="shared" ref="A385:A392" si="93">A384+1</f>
        <v>2</v>
      </c>
      <c r="B385" s="237"/>
      <c r="C385" s="230" t="s">
        <v>182</v>
      </c>
      <c r="D385" s="254"/>
      <c r="E385" s="254"/>
      <c r="F385" s="231"/>
      <c r="G385" s="237"/>
      <c r="H385" s="237"/>
      <c r="I385" s="35"/>
      <c r="J385" s="35">
        <f t="shared" ref="J385:J392" si="94">15600000/F476</f>
        <v>32819.107152908</v>
      </c>
    </row>
    <row r="386" spans="1:14" s="34" customFormat="1" x14ac:dyDescent="0.3">
      <c r="A386" s="237">
        <f t="shared" si="93"/>
        <v>3</v>
      </c>
      <c r="B386" s="237"/>
      <c r="C386" s="238"/>
      <c r="D386" s="256"/>
      <c r="E386" s="256"/>
      <c r="F386" s="239"/>
      <c r="G386" s="237"/>
      <c r="H386" s="237"/>
      <c r="I386" s="35"/>
      <c r="J386" s="35">
        <f t="shared" si="94"/>
        <v>32819.107152908</v>
      </c>
    </row>
    <row r="387" spans="1:14" s="34" customFormat="1" x14ac:dyDescent="0.3">
      <c r="A387" s="237">
        <f t="shared" si="93"/>
        <v>4</v>
      </c>
      <c r="B387" s="237"/>
      <c r="C387" s="232" t="s">
        <v>178</v>
      </c>
      <c r="D387" s="233">
        <f t="shared" ref="D387:D388" si="95">(3.05*3.03+2.23*1.53+2.13*0.6+2.85*1.25+2.75*1.8+2.85*1.25+2.75*1.8+2.2*1.85+1.38*(2.15+2.15)+0.6*(1.28+1.38)+1.25*0.41+0.91*0.41+3.05*1.23)*10.764</f>
        <v>507.99083399999995</v>
      </c>
      <c r="E387" s="233">
        <v>0</v>
      </c>
      <c r="F387" s="232">
        <f t="shared" ref="F387:F392" si="96">D387*(($F$133)+1)+(IF(E387&lt;101,E387,IF(E387&lt;201,E387/2,IF(E387&lt;=301,E387/3,E387/4))))</f>
        <v>787.38579269999991</v>
      </c>
      <c r="G387" s="237"/>
      <c r="H387" s="237"/>
      <c r="I387" s="35">
        <f>16000000/D478</f>
        <v>52173.965217443489</v>
      </c>
      <c r="J387" s="35">
        <f t="shared" si="94"/>
        <v>32819.107152908</v>
      </c>
    </row>
    <row r="388" spans="1:14" s="34" customFormat="1" x14ac:dyDescent="0.3">
      <c r="A388" s="237">
        <f t="shared" si="93"/>
        <v>5</v>
      </c>
      <c r="B388" s="237"/>
      <c r="C388" s="232" t="s">
        <v>178</v>
      </c>
      <c r="D388" s="233">
        <f t="shared" si="95"/>
        <v>507.99083399999995</v>
      </c>
      <c r="E388" s="233">
        <v>0</v>
      </c>
      <c r="F388" s="232">
        <f t="shared" si="96"/>
        <v>787.38579269999991</v>
      </c>
      <c r="G388" s="237"/>
      <c r="H388" s="237"/>
      <c r="I388" s="35"/>
      <c r="J388" s="35">
        <f t="shared" si="94"/>
        <v>32819.107152908</v>
      </c>
    </row>
    <row r="389" spans="1:14" s="34" customFormat="1" x14ac:dyDescent="0.3">
      <c r="A389" s="237">
        <f t="shared" si="93"/>
        <v>6</v>
      </c>
      <c r="B389" s="237"/>
      <c r="C389" s="232" t="s">
        <v>178</v>
      </c>
      <c r="D389" s="233">
        <f>(3.05*3.03+2.23*1.53+2.13*0.6+(2.85*1.25+2.75*1.8)*2+1.38*(2.15+2.15)+2.2*2.28+0.6*(1.38+1.28)+3.05*1.23)*10.764</f>
        <v>508.64097959999992</v>
      </c>
      <c r="E389" s="233">
        <v>0</v>
      </c>
      <c r="F389" s="232">
        <f t="shared" si="96"/>
        <v>788.39351837999993</v>
      </c>
      <c r="G389" s="237"/>
      <c r="H389" s="237"/>
      <c r="I389" s="35">
        <f>16000000/F480</f>
        <v>33660.622720931278</v>
      </c>
      <c r="J389" s="35">
        <f t="shared" si="94"/>
        <v>32819.107152908</v>
      </c>
    </row>
    <row r="390" spans="1:14" s="34" customFormat="1" x14ac:dyDescent="0.3">
      <c r="A390" s="237">
        <f t="shared" si="93"/>
        <v>7</v>
      </c>
      <c r="B390" s="237"/>
      <c r="C390" s="232" t="s">
        <v>178</v>
      </c>
      <c r="D390" s="233">
        <f t="shared" ref="D390:D392" si="97">(3.05*3.03+2.23*1.53+2.13*0.6+(2.85*1.25+2.75*1.8)*2+1.38*(2.15+2.15)+2.2*2.28+0.6*(1.38+1.28)+3.05*1.23)*10.764</f>
        <v>508.64097959999992</v>
      </c>
      <c r="E390" s="233">
        <v>0</v>
      </c>
      <c r="F390" s="232">
        <f t="shared" si="96"/>
        <v>788.39351837999993</v>
      </c>
      <c r="G390" s="237"/>
      <c r="H390" s="237"/>
      <c r="I390" s="49"/>
      <c r="J390" s="35">
        <f t="shared" si="94"/>
        <v>32819.107152908</v>
      </c>
    </row>
    <row r="391" spans="1:14" s="34" customFormat="1" x14ac:dyDescent="0.3">
      <c r="A391" s="237">
        <f t="shared" si="93"/>
        <v>8</v>
      </c>
      <c r="B391" s="237"/>
      <c r="C391" s="232" t="s">
        <v>178</v>
      </c>
      <c r="D391" s="233">
        <f t="shared" si="97"/>
        <v>508.64097959999992</v>
      </c>
      <c r="E391" s="233">
        <v>0</v>
      </c>
      <c r="F391" s="232">
        <f t="shared" si="96"/>
        <v>788.39351837999993</v>
      </c>
      <c r="G391" s="237"/>
      <c r="H391" s="237"/>
      <c r="I391" s="35"/>
      <c r="J391" s="35">
        <f t="shared" si="94"/>
        <v>32819.107152908</v>
      </c>
    </row>
    <row r="392" spans="1:14" s="34" customFormat="1" x14ac:dyDescent="0.3">
      <c r="A392" s="237">
        <f t="shared" si="93"/>
        <v>9</v>
      </c>
      <c r="B392" s="237"/>
      <c r="C392" s="232" t="s">
        <v>178</v>
      </c>
      <c r="D392" s="233">
        <f t="shared" si="97"/>
        <v>508.64097959999992</v>
      </c>
      <c r="E392" s="233">
        <v>0</v>
      </c>
      <c r="F392" s="232">
        <f t="shared" si="96"/>
        <v>788.39351837999993</v>
      </c>
      <c r="G392" s="237"/>
      <c r="H392" s="237"/>
      <c r="I392" s="35">
        <f>(3.05*3.03+2.23*1.53+2.13*0.6+(2.85*1.25+2.75*1.8)*2+1.38*(2.15+2.15)+2.2*2.28+0.6*(1.38+1.28)+3.05*1.23)*10.764</f>
        <v>508.64097959999992</v>
      </c>
      <c r="J392" s="35" t="e">
        <f t="shared" si="94"/>
        <v>#DIV/0!</v>
      </c>
    </row>
    <row r="393" spans="1:14" s="36" customFormat="1" x14ac:dyDescent="0.3">
      <c r="A393" s="224" t="s">
        <v>297</v>
      </c>
      <c r="B393" s="225"/>
      <c r="C393" s="225"/>
      <c r="D393" s="225"/>
      <c r="E393" s="225"/>
      <c r="F393" s="225"/>
      <c r="G393" s="225"/>
      <c r="H393" s="226"/>
      <c r="I393" s="35"/>
      <c r="J393" s="35">
        <f t="shared" ref="J393" si="98">15600000/F402</f>
        <v>19787.072872003133</v>
      </c>
      <c r="L393" s="73"/>
      <c r="M393" s="73"/>
      <c r="N393" s="35"/>
    </row>
    <row r="394" spans="1:14" s="36" customFormat="1" x14ac:dyDescent="0.3">
      <c r="A394" s="227">
        <v>1</v>
      </c>
      <c r="B394" s="228"/>
      <c r="C394" s="232" t="s">
        <v>178</v>
      </c>
      <c r="D394" s="233">
        <f t="shared" ref="D394:D398" si="99">(3.05*3.03+2.23*1.53+2.13*0.6+2.85*1.25+2.75*1.8+2.85*1.25+2.75*1.8+2.2*1.85+1.38*(2.15+2.15)+0.6*(1.28+1.38)+1.25*0.41+0.91*0.41+3.05*1.23)*10.764</f>
        <v>507.99083399999995</v>
      </c>
      <c r="E394" s="233">
        <v>0</v>
      </c>
      <c r="F394" s="232">
        <f t="shared" ref="F394:F402" si="100">D394*(($F$133)+1)+(IF(E394&lt;101,E394,IF(E394&lt;201,E394/2,IF(E394&lt;=301,E394/3,E394/4))))</f>
        <v>787.38579269999991</v>
      </c>
      <c r="G394" s="230" t="str">
        <f>A393</f>
        <v>30th Floor (31st Floor as per Builder)</v>
      </c>
      <c r="H394" s="231"/>
      <c r="J394" s="35"/>
    </row>
    <row r="395" spans="1:14" s="36" customFormat="1" x14ac:dyDescent="0.3">
      <c r="A395" s="227">
        <f t="shared" ref="A395:A402" si="101">A394+1</f>
        <v>2</v>
      </c>
      <c r="B395" s="228"/>
      <c r="C395" s="232" t="s">
        <v>178</v>
      </c>
      <c r="D395" s="233">
        <f t="shared" si="99"/>
        <v>507.99083399999995</v>
      </c>
      <c r="E395" s="233">
        <v>0</v>
      </c>
      <c r="F395" s="232">
        <f t="shared" si="100"/>
        <v>787.38579269999991</v>
      </c>
      <c r="G395" s="234"/>
      <c r="H395" s="235"/>
      <c r="I395" s="35"/>
      <c r="J395" s="35" t="e">
        <f>15600000/F514</f>
        <v>#DIV/0!</v>
      </c>
      <c r="L395" s="73"/>
      <c r="M395" s="73"/>
      <c r="N395" s="35"/>
    </row>
    <row r="396" spans="1:14" s="36" customFormat="1" x14ac:dyDescent="0.3">
      <c r="A396" s="227">
        <f t="shared" si="101"/>
        <v>3</v>
      </c>
      <c r="B396" s="228"/>
      <c r="C396" s="232" t="s">
        <v>178</v>
      </c>
      <c r="D396" s="233">
        <f t="shared" si="99"/>
        <v>507.99083399999995</v>
      </c>
      <c r="E396" s="233">
        <v>0</v>
      </c>
      <c r="F396" s="232">
        <f t="shared" si="100"/>
        <v>787.38579269999991</v>
      </c>
      <c r="G396" s="234"/>
      <c r="H396" s="235"/>
      <c r="I396" s="35"/>
      <c r="J396" s="35"/>
      <c r="L396" s="73"/>
      <c r="M396" s="73"/>
      <c r="N396" s="35"/>
    </row>
    <row r="397" spans="1:14" s="36" customFormat="1" x14ac:dyDescent="0.3">
      <c r="A397" s="227">
        <f t="shared" si="101"/>
        <v>4</v>
      </c>
      <c r="B397" s="228"/>
      <c r="C397" s="232" t="s">
        <v>178</v>
      </c>
      <c r="D397" s="233">
        <f t="shared" si="99"/>
        <v>507.99083399999995</v>
      </c>
      <c r="E397" s="233">
        <v>0</v>
      </c>
      <c r="F397" s="232">
        <f t="shared" si="100"/>
        <v>787.38579269999991</v>
      </c>
      <c r="G397" s="234"/>
      <c r="H397" s="235"/>
      <c r="I397" s="35"/>
      <c r="J397" s="35"/>
      <c r="L397" s="73"/>
      <c r="M397" s="73"/>
      <c r="N397" s="35"/>
    </row>
    <row r="398" spans="1:14" s="36" customFormat="1" x14ac:dyDescent="0.3">
      <c r="A398" s="227">
        <f t="shared" si="101"/>
        <v>5</v>
      </c>
      <c r="B398" s="228"/>
      <c r="C398" s="232" t="s">
        <v>178</v>
      </c>
      <c r="D398" s="233">
        <f t="shared" si="99"/>
        <v>507.99083399999995</v>
      </c>
      <c r="E398" s="233">
        <v>0</v>
      </c>
      <c r="F398" s="232">
        <f t="shared" si="100"/>
        <v>787.38579269999991</v>
      </c>
      <c r="G398" s="234"/>
      <c r="H398" s="235"/>
      <c r="I398" s="35"/>
      <c r="J398" s="35"/>
      <c r="L398" s="73"/>
      <c r="M398" s="73"/>
      <c r="N398" s="35"/>
    </row>
    <row r="399" spans="1:14" s="36" customFormat="1" x14ac:dyDescent="0.3">
      <c r="A399" s="227">
        <f t="shared" si="101"/>
        <v>6</v>
      </c>
      <c r="B399" s="228"/>
      <c r="C399" s="232" t="s">
        <v>178</v>
      </c>
      <c r="D399" s="233">
        <f t="shared" ref="D399:D402" si="102">(3.05*3.03+2.23*1.53+2.13*0.6+(2.85*1.25+2.75*1.8)*2+1.38*(2.15+2.15)+2.2*2.28+0.6*(1.38+1.28)+3.05*1.23)*10.764</f>
        <v>508.64097959999992</v>
      </c>
      <c r="E399" s="233">
        <v>0</v>
      </c>
      <c r="F399" s="232">
        <f t="shared" si="100"/>
        <v>788.39351837999993</v>
      </c>
      <c r="G399" s="234"/>
      <c r="H399" s="235"/>
      <c r="I399" s="35"/>
      <c r="J399" s="35">
        <f>15600000/F518</f>
        <v>18420.338116358329</v>
      </c>
      <c r="L399" s="73"/>
      <c r="M399" s="73"/>
      <c r="N399" s="35"/>
    </row>
    <row r="400" spans="1:14" s="36" customFormat="1" ht="15.75" customHeight="1" x14ac:dyDescent="0.3">
      <c r="A400" s="227">
        <f t="shared" si="101"/>
        <v>7</v>
      </c>
      <c r="B400" s="228"/>
      <c r="C400" s="232" t="s">
        <v>178</v>
      </c>
      <c r="D400" s="233">
        <f t="shared" si="102"/>
        <v>508.64097959999992</v>
      </c>
      <c r="E400" s="233">
        <v>0</v>
      </c>
      <c r="F400" s="232">
        <f t="shared" si="100"/>
        <v>788.39351837999993</v>
      </c>
      <c r="G400" s="234"/>
      <c r="H400" s="235"/>
      <c r="I400" s="35"/>
      <c r="J400" s="35">
        <f>15600000/F519</f>
        <v>18420.338116358329</v>
      </c>
      <c r="L400" s="73"/>
      <c r="M400" s="73"/>
      <c r="N400" s="35"/>
    </row>
    <row r="401" spans="1:14" s="36" customFormat="1" x14ac:dyDescent="0.3">
      <c r="A401" s="227">
        <f t="shared" si="101"/>
        <v>8</v>
      </c>
      <c r="B401" s="228"/>
      <c r="C401" s="232" t="s">
        <v>178</v>
      </c>
      <c r="D401" s="233">
        <f t="shared" si="102"/>
        <v>508.64097959999992</v>
      </c>
      <c r="E401" s="233">
        <v>0</v>
      </c>
      <c r="F401" s="232">
        <f t="shared" si="100"/>
        <v>788.39351837999993</v>
      </c>
      <c r="G401" s="234"/>
      <c r="H401" s="235"/>
      <c r="I401" s="35"/>
      <c r="J401" s="35" t="e">
        <f>15600000/F520</f>
        <v>#DIV/0!</v>
      </c>
      <c r="L401" s="73"/>
      <c r="M401" s="73"/>
      <c r="N401" s="35"/>
    </row>
    <row r="402" spans="1:14" s="36" customFormat="1" x14ac:dyDescent="0.3">
      <c r="A402" s="227">
        <f t="shared" si="101"/>
        <v>9</v>
      </c>
      <c r="B402" s="228"/>
      <c r="C402" s="232" t="s">
        <v>178</v>
      </c>
      <c r="D402" s="233">
        <f t="shared" si="102"/>
        <v>508.64097959999992</v>
      </c>
      <c r="E402" s="233">
        <v>0</v>
      </c>
      <c r="F402" s="232">
        <f t="shared" si="100"/>
        <v>788.39351837999993</v>
      </c>
      <c r="G402" s="234"/>
      <c r="H402" s="235"/>
      <c r="I402" s="35"/>
      <c r="J402" s="35" t="e">
        <f>15600000/F521</f>
        <v>#DIV/0!</v>
      </c>
      <c r="L402" s="73"/>
      <c r="M402" s="73"/>
      <c r="N402" s="35"/>
    </row>
    <row r="403" spans="1:14" s="36" customFormat="1" x14ac:dyDescent="0.3">
      <c r="A403" s="224" t="s">
        <v>298</v>
      </c>
      <c r="B403" s="225"/>
      <c r="C403" s="225"/>
      <c r="D403" s="225"/>
      <c r="E403" s="225"/>
      <c r="F403" s="225"/>
      <c r="G403" s="225"/>
      <c r="H403" s="226"/>
      <c r="I403" s="35"/>
      <c r="J403" s="35">
        <f t="shared" ref="J403" si="103">15600000/F411</f>
        <v>19787.072872003133</v>
      </c>
      <c r="L403" s="73"/>
      <c r="M403" s="73"/>
      <c r="N403" s="35"/>
    </row>
    <row r="404" spans="1:14" s="36" customFormat="1" x14ac:dyDescent="0.3">
      <c r="A404" s="227" t="s">
        <v>275</v>
      </c>
      <c r="B404" s="228"/>
      <c r="C404" s="232" t="s">
        <v>191</v>
      </c>
      <c r="D404" s="233">
        <f>(3.05*4.89+2.85*2.13+2.75*1.98+(2.85*1.25+2.75*1.8)*2+3.05*3.03+1.9*2.22+2.85+1.05*2.12+2.75*1.8+2.95*1.25+1.38*(2.15+2.15+2.15)+1.37*2.1+0.6*(1.28+1.28+1.38+1.38)+(3.05*1.23)*2)*10.764</f>
        <v>1002.1391639999998</v>
      </c>
      <c r="E404" s="233">
        <v>0</v>
      </c>
      <c r="F404" s="232">
        <f t="shared" ref="F404:F411" si="104">D404*(($F$133)+1)+(IF(E404&lt;101,E404,IF(E404&lt;201,E404/2,IF(E404&lt;=301,E404/3,E404/4))))</f>
        <v>1553.3157041999998</v>
      </c>
      <c r="G404" s="230" t="str">
        <f>A403</f>
        <v>31st Floor (32nd Floor as per Builder)</v>
      </c>
      <c r="H404" s="231"/>
      <c r="J404" s="66" t="s">
        <v>292</v>
      </c>
    </row>
    <row r="405" spans="1:14" s="36" customFormat="1" x14ac:dyDescent="0.3">
      <c r="A405" s="227">
        <v>3</v>
      </c>
      <c r="B405" s="228"/>
      <c r="C405" s="232" t="s">
        <v>178</v>
      </c>
      <c r="D405" s="233">
        <f t="shared" ref="D405:D407" si="105">(3.05*3.03+2.23*1.53+2.13*0.6+2.85*1.25+2.75*1.8+2.85*1.25+2.75*1.8+2.2*1.85+1.38*(2.15+2.15)+0.6*(1.28+1.38)+1.25*0.41+0.91*0.41+3.05*1.23)*10.764</f>
        <v>507.99083399999995</v>
      </c>
      <c r="E405" s="233">
        <v>0</v>
      </c>
      <c r="F405" s="232">
        <f t="shared" si="104"/>
        <v>787.38579269999991</v>
      </c>
      <c r="G405" s="234"/>
      <c r="H405" s="235"/>
      <c r="I405" s="35"/>
      <c r="J405" s="35"/>
      <c r="L405" s="73"/>
      <c r="M405" s="73"/>
      <c r="N405" s="35"/>
    </row>
    <row r="406" spans="1:14" s="36" customFormat="1" x14ac:dyDescent="0.3">
      <c r="A406" s="227">
        <f t="shared" ref="A406:A411" si="106">A405+1</f>
        <v>4</v>
      </c>
      <c r="B406" s="228"/>
      <c r="C406" s="232" t="s">
        <v>178</v>
      </c>
      <c r="D406" s="233">
        <f t="shared" si="105"/>
        <v>507.99083399999995</v>
      </c>
      <c r="E406" s="233">
        <v>0</v>
      </c>
      <c r="F406" s="232">
        <f t="shared" si="104"/>
        <v>787.38579269999991</v>
      </c>
      <c r="G406" s="234"/>
      <c r="H406" s="235"/>
      <c r="I406" s="35"/>
      <c r="J406" s="35"/>
      <c r="L406" s="73"/>
      <c r="M406" s="73"/>
      <c r="N406" s="35"/>
    </row>
    <row r="407" spans="1:14" s="36" customFormat="1" x14ac:dyDescent="0.3">
      <c r="A407" s="227">
        <f t="shared" si="106"/>
        <v>5</v>
      </c>
      <c r="B407" s="228"/>
      <c r="C407" s="232" t="s">
        <v>178</v>
      </c>
      <c r="D407" s="233">
        <f t="shared" si="105"/>
        <v>507.99083399999995</v>
      </c>
      <c r="E407" s="233">
        <v>0</v>
      </c>
      <c r="F407" s="232">
        <f t="shared" si="104"/>
        <v>787.38579269999991</v>
      </c>
      <c r="G407" s="234"/>
      <c r="H407" s="235"/>
      <c r="I407" s="35"/>
      <c r="J407" s="35"/>
      <c r="L407" s="73"/>
      <c r="M407" s="73"/>
      <c r="N407" s="35"/>
    </row>
    <row r="408" spans="1:14" s="36" customFormat="1" x14ac:dyDescent="0.3">
      <c r="A408" s="227">
        <f t="shared" si="106"/>
        <v>6</v>
      </c>
      <c r="B408" s="228"/>
      <c r="C408" s="232" t="s">
        <v>178</v>
      </c>
      <c r="D408" s="233">
        <f t="shared" ref="D408:D411" si="107">(3.05*3.03+2.23*1.53+2.13*0.6+(2.85*1.25+2.75*1.8)*2+1.38*(2.15+2.15)+2.2*2.28+0.6*(1.38+1.28)+3.05*1.23)*10.764</f>
        <v>508.64097959999992</v>
      </c>
      <c r="E408" s="233">
        <v>0</v>
      </c>
      <c r="F408" s="232">
        <f t="shared" si="104"/>
        <v>788.39351837999993</v>
      </c>
      <c r="G408" s="234"/>
      <c r="H408" s="235"/>
      <c r="I408" s="35"/>
      <c r="J408" s="35"/>
      <c r="L408" s="73"/>
      <c r="M408" s="73"/>
      <c r="N408" s="35"/>
    </row>
    <row r="409" spans="1:14" s="36" customFormat="1" ht="15.75" customHeight="1" x14ac:dyDescent="0.3">
      <c r="A409" s="227">
        <f t="shared" si="106"/>
        <v>7</v>
      </c>
      <c r="B409" s="228"/>
      <c r="C409" s="232" t="s">
        <v>178</v>
      </c>
      <c r="D409" s="233">
        <f t="shared" si="107"/>
        <v>508.64097959999992</v>
      </c>
      <c r="E409" s="233">
        <v>0</v>
      </c>
      <c r="F409" s="232">
        <f t="shared" si="104"/>
        <v>788.39351837999993</v>
      </c>
      <c r="G409" s="234"/>
      <c r="H409" s="235"/>
      <c r="I409" s="35"/>
      <c r="J409" s="35"/>
      <c r="L409" s="73"/>
      <c r="M409" s="73"/>
      <c r="N409" s="35"/>
    </row>
    <row r="410" spans="1:14" s="36" customFormat="1" x14ac:dyDescent="0.3">
      <c r="A410" s="227">
        <f t="shared" si="106"/>
        <v>8</v>
      </c>
      <c r="B410" s="228"/>
      <c r="C410" s="232" t="s">
        <v>178</v>
      </c>
      <c r="D410" s="233">
        <f t="shared" si="107"/>
        <v>508.64097959999992</v>
      </c>
      <c r="E410" s="233">
        <v>0</v>
      </c>
      <c r="F410" s="232">
        <f t="shared" si="104"/>
        <v>788.39351837999993</v>
      </c>
      <c r="G410" s="234"/>
      <c r="H410" s="235"/>
      <c r="I410" s="35"/>
      <c r="J410" s="35"/>
      <c r="L410" s="73"/>
      <c r="M410" s="73"/>
      <c r="N410" s="35"/>
    </row>
    <row r="411" spans="1:14" s="36" customFormat="1" x14ac:dyDescent="0.3">
      <c r="A411" s="227">
        <f t="shared" si="106"/>
        <v>9</v>
      </c>
      <c r="B411" s="228"/>
      <c r="C411" s="232" t="s">
        <v>178</v>
      </c>
      <c r="D411" s="233">
        <f t="shared" si="107"/>
        <v>508.64097959999992</v>
      </c>
      <c r="E411" s="233">
        <v>0</v>
      </c>
      <c r="F411" s="232">
        <f t="shared" si="104"/>
        <v>788.39351837999993</v>
      </c>
      <c r="G411" s="234"/>
      <c r="H411" s="235"/>
      <c r="I411" s="35"/>
      <c r="J411" s="35"/>
      <c r="L411" s="73"/>
      <c r="M411" s="73"/>
      <c r="N411" s="35"/>
    </row>
    <row r="412" spans="1:14" s="36" customFormat="1" x14ac:dyDescent="0.3">
      <c r="A412" s="224" t="s">
        <v>299</v>
      </c>
      <c r="B412" s="225"/>
      <c r="C412" s="225"/>
      <c r="D412" s="225"/>
      <c r="E412" s="225"/>
      <c r="F412" s="225"/>
      <c r="G412" s="225"/>
      <c r="H412" s="226"/>
      <c r="I412" s="35"/>
      <c r="J412" s="35">
        <f t="shared" ref="J412" si="108">15600000/F420</f>
        <v>19787.072872003133</v>
      </c>
      <c r="L412" s="73"/>
      <c r="M412" s="73"/>
      <c r="N412" s="35"/>
    </row>
    <row r="413" spans="1:14" s="36" customFormat="1" x14ac:dyDescent="0.3">
      <c r="A413" s="227" t="s">
        <v>275</v>
      </c>
      <c r="B413" s="228"/>
      <c r="C413" s="232" t="s">
        <v>191</v>
      </c>
      <c r="D413" s="233">
        <f>(3.05*4.89+2.85*2.13+2.75*1.98+(2.85*1.25+2.75*1.8)*2+3.05*3.03+1.9*2.22+2.85+1.05*2.12+2.75*1.8+2.95*1.25+1.38*(2.15+2.15+2.15)+1.37*2.1+0.6*(1.28+1.28+1.38+1.38)+(3.05*1.23)*2)*10.764</f>
        <v>1002.1391639999998</v>
      </c>
      <c r="E413" s="233">
        <v>0</v>
      </c>
      <c r="F413" s="232">
        <f t="shared" ref="F413:F420" si="109">D413*(($F$133)+1)+(IF(E413&lt;101,E413,IF(E413&lt;201,E413/2,IF(E413&lt;=301,E413/3,E413/4))))</f>
        <v>1553.3157041999998</v>
      </c>
      <c r="G413" s="230" t="str">
        <f>A412</f>
        <v>32nd Floor (33rd Floor as per Builder)</v>
      </c>
      <c r="H413" s="231"/>
      <c r="J413" s="66" t="s">
        <v>292</v>
      </c>
    </row>
    <row r="414" spans="1:14" s="36" customFormat="1" x14ac:dyDescent="0.3">
      <c r="A414" s="227">
        <v>3</v>
      </c>
      <c r="B414" s="228"/>
      <c r="C414" s="232" t="s">
        <v>178</v>
      </c>
      <c r="D414" s="233">
        <f t="shared" ref="D414:D416" si="110">(3.05*3.03+2.23*1.53+2.13*0.6+2.85*1.25+2.75*1.8+2.85*1.25+2.75*1.8+2.2*1.85+1.38*(2.15+2.15)+0.6*(1.28+1.38)+1.25*0.41+0.91*0.41+3.05*1.23)*10.764</f>
        <v>507.99083399999995</v>
      </c>
      <c r="E414" s="233">
        <v>0</v>
      </c>
      <c r="F414" s="232">
        <f t="shared" si="109"/>
        <v>787.38579269999991</v>
      </c>
      <c r="G414" s="234"/>
      <c r="H414" s="235"/>
      <c r="I414" s="35"/>
      <c r="J414" s="35"/>
      <c r="L414" s="73"/>
      <c r="M414" s="73"/>
      <c r="N414" s="35"/>
    </row>
    <row r="415" spans="1:14" s="36" customFormat="1" x14ac:dyDescent="0.3">
      <c r="A415" s="227">
        <f t="shared" ref="A415:A420" si="111">A414+1</f>
        <v>4</v>
      </c>
      <c r="B415" s="228"/>
      <c r="C415" s="232" t="s">
        <v>178</v>
      </c>
      <c r="D415" s="233">
        <f t="shared" si="110"/>
        <v>507.99083399999995</v>
      </c>
      <c r="E415" s="233">
        <v>0</v>
      </c>
      <c r="F415" s="232">
        <f t="shared" si="109"/>
        <v>787.38579269999991</v>
      </c>
      <c r="G415" s="234"/>
      <c r="H415" s="235"/>
      <c r="I415" s="35"/>
      <c r="J415" s="35"/>
      <c r="L415" s="73"/>
      <c r="M415" s="73"/>
      <c r="N415" s="35"/>
    </row>
    <row r="416" spans="1:14" s="36" customFormat="1" x14ac:dyDescent="0.3">
      <c r="A416" s="227">
        <f t="shared" si="111"/>
        <v>5</v>
      </c>
      <c r="B416" s="228"/>
      <c r="C416" s="232" t="s">
        <v>178</v>
      </c>
      <c r="D416" s="233">
        <f t="shared" si="110"/>
        <v>507.99083399999995</v>
      </c>
      <c r="E416" s="233">
        <v>0</v>
      </c>
      <c r="F416" s="232">
        <f t="shared" si="109"/>
        <v>787.38579269999991</v>
      </c>
      <c r="G416" s="234"/>
      <c r="H416" s="235"/>
      <c r="I416" s="35"/>
      <c r="J416" s="35"/>
      <c r="L416" s="73"/>
      <c r="M416" s="73"/>
      <c r="N416" s="35"/>
    </row>
    <row r="417" spans="1:14" s="36" customFormat="1" x14ac:dyDescent="0.3">
      <c r="A417" s="227">
        <f t="shared" si="111"/>
        <v>6</v>
      </c>
      <c r="B417" s="228"/>
      <c r="C417" s="232" t="s">
        <v>178</v>
      </c>
      <c r="D417" s="233">
        <f t="shared" ref="D417:D420" si="112">(3.05*3.03+2.23*1.53+2.13*0.6+(2.85*1.25+2.75*1.8)*2+1.38*(2.15+2.15)+2.2*2.28+0.6*(1.38+1.28)+3.05*1.23)*10.764</f>
        <v>508.64097959999992</v>
      </c>
      <c r="E417" s="233">
        <v>0</v>
      </c>
      <c r="F417" s="232">
        <f t="shared" si="109"/>
        <v>788.39351837999993</v>
      </c>
      <c r="G417" s="234"/>
      <c r="H417" s="235"/>
      <c r="I417" s="35"/>
      <c r="J417" s="35"/>
      <c r="L417" s="73"/>
      <c r="M417" s="73"/>
      <c r="N417" s="35"/>
    </row>
    <row r="418" spans="1:14" s="36" customFormat="1" ht="15.75" customHeight="1" x14ac:dyDescent="0.3">
      <c r="A418" s="227">
        <f t="shared" si="111"/>
        <v>7</v>
      </c>
      <c r="B418" s="228"/>
      <c r="C418" s="232" t="s">
        <v>178</v>
      </c>
      <c r="D418" s="233">
        <f t="shared" si="112"/>
        <v>508.64097959999992</v>
      </c>
      <c r="E418" s="233">
        <v>0</v>
      </c>
      <c r="F418" s="232">
        <f t="shared" si="109"/>
        <v>788.39351837999993</v>
      </c>
      <c r="G418" s="234"/>
      <c r="H418" s="235"/>
      <c r="I418" s="35"/>
      <c r="J418" s="35"/>
      <c r="L418" s="73"/>
      <c r="M418" s="73"/>
      <c r="N418" s="35"/>
    </row>
    <row r="419" spans="1:14" s="36" customFormat="1" x14ac:dyDescent="0.3">
      <c r="A419" s="227">
        <f t="shared" si="111"/>
        <v>8</v>
      </c>
      <c r="B419" s="228"/>
      <c r="C419" s="232" t="s">
        <v>178</v>
      </c>
      <c r="D419" s="233">
        <f t="shared" si="112"/>
        <v>508.64097959999992</v>
      </c>
      <c r="E419" s="233">
        <v>0</v>
      </c>
      <c r="F419" s="232">
        <f t="shared" si="109"/>
        <v>788.39351837999993</v>
      </c>
      <c r="G419" s="234"/>
      <c r="H419" s="235"/>
      <c r="I419" s="35"/>
      <c r="J419" s="35"/>
      <c r="L419" s="73"/>
      <c r="M419" s="73"/>
      <c r="N419" s="35"/>
    </row>
    <row r="420" spans="1:14" s="36" customFormat="1" x14ac:dyDescent="0.3">
      <c r="A420" s="227">
        <f t="shared" si="111"/>
        <v>9</v>
      </c>
      <c r="B420" s="228"/>
      <c r="C420" s="232" t="s">
        <v>178</v>
      </c>
      <c r="D420" s="233">
        <f t="shared" si="112"/>
        <v>508.64097959999992</v>
      </c>
      <c r="E420" s="233">
        <v>0</v>
      </c>
      <c r="F420" s="232">
        <f t="shared" si="109"/>
        <v>788.39351837999993</v>
      </c>
      <c r="G420" s="234"/>
      <c r="H420" s="235"/>
      <c r="I420" s="35"/>
      <c r="J420" s="35"/>
      <c r="L420" s="73"/>
      <c r="M420" s="73"/>
      <c r="N420" s="35"/>
    </row>
    <row r="421" spans="1:14" s="36" customFormat="1" x14ac:dyDescent="0.3">
      <c r="A421" s="224" t="s">
        <v>300</v>
      </c>
      <c r="B421" s="225"/>
      <c r="C421" s="225"/>
      <c r="D421" s="225"/>
      <c r="E421" s="225"/>
      <c r="F421" s="225"/>
      <c r="G421" s="225"/>
      <c r="H421" s="226"/>
      <c r="I421" s="35"/>
      <c r="J421" s="35">
        <f t="shared" ref="J421" si="113">15600000/F430</f>
        <v>19787.072872003133</v>
      </c>
      <c r="L421" s="73"/>
      <c r="M421" s="73"/>
      <c r="N421" s="35"/>
    </row>
    <row r="422" spans="1:14" s="36" customFormat="1" x14ac:dyDescent="0.3">
      <c r="A422" s="227">
        <v>1</v>
      </c>
      <c r="B422" s="228"/>
      <c r="C422" s="232" t="s">
        <v>178</v>
      </c>
      <c r="D422" s="233">
        <f t="shared" ref="D422:D426" si="114">(3.05*3.03+2.23*1.53+2.13*0.6+2.85*1.25+2.75*1.8+2.85*1.25+2.75*1.8+2.2*1.85+1.38*(2.15+2.15)+0.6*(1.28+1.38)+1.25*0.41+0.91*0.41+3.05*1.23)*10.764</f>
        <v>507.99083399999995</v>
      </c>
      <c r="E422" s="233">
        <v>0</v>
      </c>
      <c r="F422" s="232">
        <f t="shared" ref="F422:F430" si="115">D422*(($F$133)+1)+(IF(E422&lt;101,E422,IF(E422&lt;201,E422/2,IF(E422&lt;=301,E422/3,E422/4))))</f>
        <v>787.38579269999991</v>
      </c>
      <c r="G422" s="230" t="str">
        <f>A421</f>
        <v>33rd Floor (34th Floor as per Builder)</v>
      </c>
      <c r="H422" s="231"/>
      <c r="J422" s="35"/>
    </row>
    <row r="423" spans="1:14" s="36" customFormat="1" x14ac:dyDescent="0.3">
      <c r="A423" s="227">
        <f t="shared" ref="A423:A430" si="116">A422+1</f>
        <v>2</v>
      </c>
      <c r="B423" s="228"/>
      <c r="C423" s="232" t="s">
        <v>178</v>
      </c>
      <c r="D423" s="233">
        <f t="shared" si="114"/>
        <v>507.99083399999995</v>
      </c>
      <c r="E423" s="233">
        <v>0</v>
      </c>
      <c r="F423" s="232">
        <f t="shared" si="115"/>
        <v>787.38579269999991</v>
      </c>
      <c r="G423" s="234"/>
      <c r="H423" s="235"/>
      <c r="I423" s="35"/>
      <c r="J423" s="35" t="e">
        <f>15600000/F542</f>
        <v>#DIV/0!</v>
      </c>
      <c r="L423" s="73"/>
      <c r="M423" s="73"/>
      <c r="N423" s="35"/>
    </row>
    <row r="424" spans="1:14" s="36" customFormat="1" x14ac:dyDescent="0.3">
      <c r="A424" s="227">
        <f t="shared" si="116"/>
        <v>3</v>
      </c>
      <c r="B424" s="228"/>
      <c r="C424" s="232" t="s">
        <v>178</v>
      </c>
      <c r="D424" s="233">
        <f t="shared" si="114"/>
        <v>507.99083399999995</v>
      </c>
      <c r="E424" s="233">
        <v>0</v>
      </c>
      <c r="F424" s="232">
        <f t="shared" si="115"/>
        <v>787.38579269999991</v>
      </c>
      <c r="G424" s="234"/>
      <c r="H424" s="235"/>
      <c r="I424" s="35"/>
      <c r="J424" s="35"/>
      <c r="L424" s="73"/>
      <c r="M424" s="73"/>
      <c r="N424" s="35"/>
    </row>
    <row r="425" spans="1:14" s="36" customFormat="1" x14ac:dyDescent="0.3">
      <c r="A425" s="227">
        <f t="shared" si="116"/>
        <v>4</v>
      </c>
      <c r="B425" s="228"/>
      <c r="C425" s="232" t="s">
        <v>178</v>
      </c>
      <c r="D425" s="233">
        <f t="shared" si="114"/>
        <v>507.99083399999995</v>
      </c>
      <c r="E425" s="233">
        <v>0</v>
      </c>
      <c r="F425" s="232">
        <f t="shared" si="115"/>
        <v>787.38579269999991</v>
      </c>
      <c r="G425" s="234"/>
      <c r="H425" s="235"/>
      <c r="I425" s="35"/>
      <c r="J425" s="35"/>
      <c r="L425" s="73"/>
      <c r="M425" s="73"/>
      <c r="N425" s="35"/>
    </row>
    <row r="426" spans="1:14" s="36" customFormat="1" x14ac:dyDescent="0.3">
      <c r="A426" s="227">
        <f t="shared" si="116"/>
        <v>5</v>
      </c>
      <c r="B426" s="228"/>
      <c r="C426" s="232" t="s">
        <v>178</v>
      </c>
      <c r="D426" s="233">
        <f t="shared" si="114"/>
        <v>507.99083399999995</v>
      </c>
      <c r="E426" s="233">
        <v>0</v>
      </c>
      <c r="F426" s="232">
        <f t="shared" si="115"/>
        <v>787.38579269999991</v>
      </c>
      <c r="G426" s="234"/>
      <c r="H426" s="235"/>
      <c r="I426" s="35"/>
      <c r="J426" s="35"/>
      <c r="L426" s="73"/>
      <c r="M426" s="73"/>
      <c r="N426" s="35"/>
    </row>
    <row r="427" spans="1:14" s="36" customFormat="1" x14ac:dyDescent="0.3">
      <c r="A427" s="227">
        <f t="shared" si="116"/>
        <v>6</v>
      </c>
      <c r="B427" s="228"/>
      <c r="C427" s="232" t="s">
        <v>178</v>
      </c>
      <c r="D427" s="233">
        <f t="shared" ref="D427:D430" si="117">(3.05*3.03+2.23*1.53+2.13*0.6+(2.85*1.25+2.75*1.8)*2+1.38*(2.15+2.15)+2.2*2.28+0.6*(1.38+1.28)+3.05*1.23)*10.764</f>
        <v>508.64097959999992</v>
      </c>
      <c r="E427" s="233">
        <v>0</v>
      </c>
      <c r="F427" s="232">
        <f t="shared" si="115"/>
        <v>788.39351837999993</v>
      </c>
      <c r="G427" s="234"/>
      <c r="H427" s="235"/>
      <c r="I427" s="35"/>
      <c r="J427" s="35" t="e">
        <f>15600000/F546</f>
        <v>#DIV/0!</v>
      </c>
      <c r="L427" s="73"/>
      <c r="M427" s="73"/>
      <c r="N427" s="35"/>
    </row>
    <row r="428" spans="1:14" s="36" customFormat="1" ht="15.75" customHeight="1" x14ac:dyDescent="0.3">
      <c r="A428" s="227">
        <f t="shared" si="116"/>
        <v>7</v>
      </c>
      <c r="B428" s="228"/>
      <c r="C428" s="232" t="s">
        <v>178</v>
      </c>
      <c r="D428" s="233">
        <f t="shared" si="117"/>
        <v>508.64097959999992</v>
      </c>
      <c r="E428" s="233">
        <v>0</v>
      </c>
      <c r="F428" s="232">
        <f t="shared" si="115"/>
        <v>788.39351837999993</v>
      </c>
      <c r="G428" s="234"/>
      <c r="H428" s="235"/>
      <c r="I428" s="35"/>
      <c r="J428" s="35" t="e">
        <f>15600000/F547</f>
        <v>#DIV/0!</v>
      </c>
      <c r="L428" s="73"/>
      <c r="M428" s="73"/>
      <c r="N428" s="35"/>
    </row>
    <row r="429" spans="1:14" s="36" customFormat="1" x14ac:dyDescent="0.3">
      <c r="A429" s="227">
        <f t="shared" si="116"/>
        <v>8</v>
      </c>
      <c r="B429" s="228"/>
      <c r="C429" s="232" t="s">
        <v>178</v>
      </c>
      <c r="D429" s="233">
        <f t="shared" si="117"/>
        <v>508.64097959999992</v>
      </c>
      <c r="E429" s="233">
        <v>0</v>
      </c>
      <c r="F429" s="232">
        <f t="shared" si="115"/>
        <v>788.39351837999993</v>
      </c>
      <c r="G429" s="234"/>
      <c r="H429" s="235"/>
      <c r="I429" s="35"/>
      <c r="J429" s="35" t="e">
        <f>15600000/F548</f>
        <v>#DIV/0!</v>
      </c>
      <c r="L429" s="73"/>
      <c r="M429" s="73"/>
      <c r="N429" s="35"/>
    </row>
    <row r="430" spans="1:14" s="36" customFormat="1" x14ac:dyDescent="0.3">
      <c r="A430" s="227">
        <f t="shared" si="116"/>
        <v>9</v>
      </c>
      <c r="B430" s="228"/>
      <c r="C430" s="232" t="s">
        <v>178</v>
      </c>
      <c r="D430" s="233">
        <f t="shared" si="117"/>
        <v>508.64097959999992</v>
      </c>
      <c r="E430" s="233">
        <v>0</v>
      </c>
      <c r="F430" s="232">
        <f t="shared" si="115"/>
        <v>788.39351837999993</v>
      </c>
      <c r="G430" s="234"/>
      <c r="H430" s="235"/>
      <c r="I430" s="35"/>
      <c r="J430" s="35" t="e">
        <f>15600000/F549</f>
        <v>#DIV/0!</v>
      </c>
      <c r="L430" s="73"/>
      <c r="M430" s="73"/>
      <c r="N430" s="35"/>
    </row>
    <row r="431" spans="1:14" s="36" customFormat="1" x14ac:dyDescent="0.3">
      <c r="A431" s="224" t="s">
        <v>301</v>
      </c>
      <c r="B431" s="225"/>
      <c r="C431" s="225"/>
      <c r="D431" s="225"/>
      <c r="E431" s="225"/>
      <c r="F431" s="225"/>
      <c r="G431" s="225"/>
      <c r="H431" s="226"/>
      <c r="I431" s="35"/>
      <c r="J431" s="35">
        <f t="shared" ref="J431" si="118">15600000/F440</f>
        <v>19787.072872003133</v>
      </c>
      <c r="L431" s="73"/>
      <c r="M431" s="73"/>
      <c r="N431" s="35"/>
    </row>
    <row r="432" spans="1:14" s="36" customFormat="1" x14ac:dyDescent="0.3">
      <c r="A432" s="227">
        <v>1</v>
      </c>
      <c r="B432" s="228"/>
      <c r="C432" s="232" t="s">
        <v>178</v>
      </c>
      <c r="D432" s="233">
        <f t="shared" ref="D432:D436" si="119">(3.05*3.03+2.23*1.53+2.13*0.6+2.85*1.25+2.75*1.8+2.85*1.25+2.75*1.8+2.2*1.85+1.38*(2.15+2.15)+0.6*(1.28+1.38)+1.25*0.41+0.91*0.41+3.05*1.23)*10.764</f>
        <v>507.99083399999995</v>
      </c>
      <c r="E432" s="233">
        <v>0</v>
      </c>
      <c r="F432" s="232">
        <f t="shared" ref="F432:F440" si="120">D432*(($F$133)+1)+(IF(E432&lt;101,E432,IF(E432&lt;201,E432/2,IF(E432&lt;=301,E432/3,E432/4))))</f>
        <v>787.38579269999991</v>
      </c>
      <c r="G432" s="230" t="str">
        <f>A431</f>
        <v>34th Floor (35th Floor as per Builder)</v>
      </c>
      <c r="H432" s="231"/>
      <c r="J432" s="35"/>
    </row>
    <row r="433" spans="1:14" s="36" customFormat="1" x14ac:dyDescent="0.3">
      <c r="A433" s="227">
        <f t="shared" ref="A433:A440" si="121">A432+1</f>
        <v>2</v>
      </c>
      <c r="B433" s="228"/>
      <c r="C433" s="232" t="s">
        <v>178</v>
      </c>
      <c r="D433" s="233">
        <f t="shared" si="119"/>
        <v>507.99083399999995</v>
      </c>
      <c r="E433" s="233">
        <v>0</v>
      </c>
      <c r="F433" s="232">
        <f t="shared" si="120"/>
        <v>787.38579269999991</v>
      </c>
      <c r="G433" s="234"/>
      <c r="H433" s="235"/>
      <c r="I433" s="35"/>
      <c r="J433" s="35" t="e">
        <f>15600000/F552</f>
        <v>#DIV/0!</v>
      </c>
      <c r="L433" s="73"/>
      <c r="M433" s="73"/>
      <c r="N433" s="35"/>
    </row>
    <row r="434" spans="1:14" s="36" customFormat="1" x14ac:dyDescent="0.3">
      <c r="A434" s="227">
        <f t="shared" si="121"/>
        <v>3</v>
      </c>
      <c r="B434" s="228"/>
      <c r="C434" s="232" t="s">
        <v>178</v>
      </c>
      <c r="D434" s="233">
        <f t="shared" si="119"/>
        <v>507.99083399999995</v>
      </c>
      <c r="E434" s="233">
        <v>0</v>
      </c>
      <c r="F434" s="232">
        <f t="shared" si="120"/>
        <v>787.38579269999991</v>
      </c>
      <c r="G434" s="234"/>
      <c r="H434" s="235"/>
      <c r="I434" s="35"/>
      <c r="J434" s="35"/>
      <c r="L434" s="73"/>
      <c r="M434" s="73"/>
      <c r="N434" s="35"/>
    </row>
    <row r="435" spans="1:14" s="36" customFormat="1" x14ac:dyDescent="0.3">
      <c r="A435" s="227">
        <f t="shared" si="121"/>
        <v>4</v>
      </c>
      <c r="B435" s="228"/>
      <c r="C435" s="232" t="s">
        <v>178</v>
      </c>
      <c r="D435" s="233">
        <f t="shared" si="119"/>
        <v>507.99083399999995</v>
      </c>
      <c r="E435" s="233">
        <v>0</v>
      </c>
      <c r="F435" s="232">
        <f t="shared" si="120"/>
        <v>787.38579269999991</v>
      </c>
      <c r="G435" s="234"/>
      <c r="H435" s="235"/>
      <c r="I435" s="35"/>
      <c r="J435" s="35"/>
      <c r="L435" s="73"/>
      <c r="M435" s="73"/>
      <c r="N435" s="35"/>
    </row>
    <row r="436" spans="1:14" s="36" customFormat="1" x14ac:dyDescent="0.3">
      <c r="A436" s="227">
        <f t="shared" si="121"/>
        <v>5</v>
      </c>
      <c r="B436" s="228"/>
      <c r="C436" s="232" t="s">
        <v>178</v>
      </c>
      <c r="D436" s="233">
        <f t="shared" si="119"/>
        <v>507.99083399999995</v>
      </c>
      <c r="E436" s="233">
        <v>0</v>
      </c>
      <c r="F436" s="232">
        <f t="shared" si="120"/>
        <v>787.38579269999991</v>
      </c>
      <c r="G436" s="234"/>
      <c r="H436" s="235"/>
      <c r="I436" s="35"/>
      <c r="J436" s="35"/>
      <c r="L436" s="73"/>
      <c r="M436" s="73"/>
      <c r="N436" s="35"/>
    </row>
    <row r="437" spans="1:14" s="36" customFormat="1" x14ac:dyDescent="0.3">
      <c r="A437" s="227">
        <f t="shared" si="121"/>
        <v>6</v>
      </c>
      <c r="B437" s="228"/>
      <c r="C437" s="232" t="s">
        <v>178</v>
      </c>
      <c r="D437" s="233">
        <f t="shared" ref="D437:D440" si="122">(3.05*3.03+2.23*1.53+2.13*0.6+(2.85*1.25+2.75*1.8)*2+1.38*(2.15+2.15)+2.2*2.28+0.6*(1.38+1.28)+3.05*1.23)*10.764</f>
        <v>508.64097959999992</v>
      </c>
      <c r="E437" s="233">
        <v>0</v>
      </c>
      <c r="F437" s="232">
        <f t="shared" si="120"/>
        <v>788.39351837999993</v>
      </c>
      <c r="G437" s="234"/>
      <c r="H437" s="235"/>
      <c r="I437" s="35"/>
      <c r="J437" s="35" t="e">
        <f>15600000/F559</f>
        <v>#DIV/0!</v>
      </c>
      <c r="L437" s="73"/>
      <c r="M437" s="73"/>
      <c r="N437" s="35"/>
    </row>
    <row r="438" spans="1:14" s="36" customFormat="1" ht="15.75" customHeight="1" x14ac:dyDescent="0.3">
      <c r="A438" s="227">
        <f t="shared" si="121"/>
        <v>7</v>
      </c>
      <c r="B438" s="228"/>
      <c r="C438" s="232" t="s">
        <v>178</v>
      </c>
      <c r="D438" s="233">
        <f t="shared" si="122"/>
        <v>508.64097959999992</v>
      </c>
      <c r="E438" s="233">
        <v>0</v>
      </c>
      <c r="F438" s="232">
        <f t="shared" si="120"/>
        <v>788.39351837999993</v>
      </c>
      <c r="G438" s="234"/>
      <c r="H438" s="235"/>
      <c r="I438" s="35"/>
      <c r="J438" s="35" t="e">
        <f>15600000/F560</f>
        <v>#DIV/0!</v>
      </c>
      <c r="L438" s="73"/>
      <c r="M438" s="73"/>
      <c r="N438" s="35"/>
    </row>
    <row r="439" spans="1:14" s="36" customFormat="1" x14ac:dyDescent="0.3">
      <c r="A439" s="227">
        <f t="shared" si="121"/>
        <v>8</v>
      </c>
      <c r="B439" s="228"/>
      <c r="C439" s="232" t="s">
        <v>178</v>
      </c>
      <c r="D439" s="233">
        <f t="shared" si="122"/>
        <v>508.64097959999992</v>
      </c>
      <c r="E439" s="233">
        <v>0</v>
      </c>
      <c r="F439" s="232">
        <f t="shared" si="120"/>
        <v>788.39351837999993</v>
      </c>
      <c r="G439" s="234"/>
      <c r="H439" s="235"/>
      <c r="I439" s="35"/>
      <c r="J439" s="35" t="e">
        <f>15600000/F561</f>
        <v>#DIV/0!</v>
      </c>
      <c r="L439" s="73"/>
      <c r="M439" s="73"/>
      <c r="N439" s="35"/>
    </row>
    <row r="440" spans="1:14" s="36" customFormat="1" x14ac:dyDescent="0.3">
      <c r="A440" s="227">
        <f t="shared" si="121"/>
        <v>9</v>
      </c>
      <c r="B440" s="228"/>
      <c r="C440" s="232" t="s">
        <v>178</v>
      </c>
      <c r="D440" s="233">
        <f t="shared" si="122"/>
        <v>508.64097959999992</v>
      </c>
      <c r="E440" s="233">
        <v>0</v>
      </c>
      <c r="F440" s="232">
        <f t="shared" si="120"/>
        <v>788.39351837999993</v>
      </c>
      <c r="G440" s="234"/>
      <c r="H440" s="235"/>
      <c r="I440" s="35"/>
      <c r="J440" s="35" t="e">
        <f>15600000/F562</f>
        <v>#DIV/0!</v>
      </c>
      <c r="L440" s="73"/>
      <c r="M440" s="73"/>
      <c r="N440" s="35"/>
    </row>
    <row r="441" spans="1:14" x14ac:dyDescent="0.3">
      <c r="A441" s="257" t="s">
        <v>220</v>
      </c>
      <c r="B441" s="257"/>
      <c r="C441" s="257"/>
      <c r="D441" s="257"/>
      <c r="E441" s="257"/>
      <c r="F441" s="257"/>
      <c r="G441" s="257"/>
      <c r="H441" s="257"/>
      <c r="I441" s="34"/>
      <c r="J441" s="34"/>
    </row>
    <row r="442" spans="1:14" ht="33" customHeight="1" x14ac:dyDescent="0.3">
      <c r="A442" s="257" t="s">
        <v>216</v>
      </c>
      <c r="B442" s="257"/>
      <c r="C442" s="257"/>
      <c r="D442" s="257"/>
      <c r="E442" s="257"/>
      <c r="F442" s="257"/>
      <c r="G442" s="257"/>
      <c r="H442" s="257"/>
    </row>
    <row r="443" spans="1:14" x14ac:dyDescent="0.3">
      <c r="A443" s="257" t="s">
        <v>237</v>
      </c>
      <c r="B443" s="257"/>
      <c r="C443" s="257"/>
      <c r="D443" s="257"/>
      <c r="E443" s="257"/>
      <c r="F443" s="257"/>
      <c r="G443" s="257"/>
      <c r="H443" s="257"/>
    </row>
    <row r="444" spans="1:14" x14ac:dyDescent="0.3">
      <c r="A444" s="258">
        <v>1</v>
      </c>
      <c r="B444" s="258"/>
      <c r="C444" s="232" t="s">
        <v>217</v>
      </c>
      <c r="D444" s="259">
        <f t="shared" ref="D444:D462" si="123">(28.49)*10.764</f>
        <v>306.66635999999994</v>
      </c>
      <c r="E444" s="233">
        <v>0</v>
      </c>
      <c r="F444" s="232">
        <f t="shared" ref="F444:F462" si="124">D444*(($F$133)+1)+(IF(E444&lt;101,E444,IF(E444&lt;201,E444/2,IF(E444&lt;=301,E444/3,E444/4))))</f>
        <v>475.33285799999993</v>
      </c>
      <c r="G444" s="237" t="str">
        <f>A443</f>
        <v>1st to 7th &amp; 9th to 12th Floor For for PTC Flats</v>
      </c>
      <c r="H444" s="237"/>
    </row>
    <row r="445" spans="1:14" x14ac:dyDescent="0.3">
      <c r="A445" s="258">
        <f t="shared" ref="A445:A462" si="125">A444+1</f>
        <v>2</v>
      </c>
      <c r="B445" s="258"/>
      <c r="C445" s="232" t="s">
        <v>217</v>
      </c>
      <c r="D445" s="259">
        <f t="shared" si="123"/>
        <v>306.66635999999994</v>
      </c>
      <c r="E445" s="233">
        <v>0</v>
      </c>
      <c r="F445" s="232">
        <f t="shared" si="124"/>
        <v>475.33285799999993</v>
      </c>
      <c r="G445" s="237"/>
      <c r="H445" s="237"/>
    </row>
    <row r="446" spans="1:14" x14ac:dyDescent="0.3">
      <c r="A446" s="258">
        <v>3</v>
      </c>
      <c r="B446" s="258"/>
      <c r="C446" s="232" t="s">
        <v>217</v>
      </c>
      <c r="D446" s="259">
        <f t="shared" si="123"/>
        <v>306.66635999999994</v>
      </c>
      <c r="E446" s="233">
        <v>0</v>
      </c>
      <c r="F446" s="232">
        <f t="shared" si="124"/>
        <v>475.33285799999993</v>
      </c>
      <c r="G446" s="237"/>
      <c r="H446" s="237"/>
    </row>
    <row r="447" spans="1:14" x14ac:dyDescent="0.3">
      <c r="A447" s="258">
        <f t="shared" si="125"/>
        <v>4</v>
      </c>
      <c r="B447" s="258"/>
      <c r="C447" s="232" t="s">
        <v>217</v>
      </c>
      <c r="D447" s="259">
        <f t="shared" si="123"/>
        <v>306.66635999999994</v>
      </c>
      <c r="E447" s="233">
        <v>0</v>
      </c>
      <c r="F447" s="232">
        <f t="shared" si="124"/>
        <v>475.33285799999993</v>
      </c>
      <c r="G447" s="237"/>
      <c r="H447" s="237"/>
    </row>
    <row r="448" spans="1:14" x14ac:dyDescent="0.3">
      <c r="A448" s="258">
        <f t="shared" si="125"/>
        <v>5</v>
      </c>
      <c r="B448" s="258"/>
      <c r="C448" s="232" t="s">
        <v>217</v>
      </c>
      <c r="D448" s="259">
        <f t="shared" si="123"/>
        <v>306.66635999999994</v>
      </c>
      <c r="E448" s="233">
        <v>0</v>
      </c>
      <c r="F448" s="232">
        <f t="shared" si="124"/>
        <v>475.33285799999993</v>
      </c>
      <c r="G448" s="237"/>
      <c r="H448" s="237"/>
    </row>
    <row r="449" spans="1:8" x14ac:dyDescent="0.3">
      <c r="A449" s="258">
        <f t="shared" si="125"/>
        <v>6</v>
      </c>
      <c r="B449" s="258"/>
      <c r="C449" s="232" t="s">
        <v>217</v>
      </c>
      <c r="D449" s="259">
        <f t="shared" si="123"/>
        <v>306.66635999999994</v>
      </c>
      <c r="E449" s="233">
        <v>0</v>
      </c>
      <c r="F449" s="232">
        <f t="shared" si="124"/>
        <v>475.33285799999993</v>
      </c>
      <c r="G449" s="237"/>
      <c r="H449" s="237"/>
    </row>
    <row r="450" spans="1:8" x14ac:dyDescent="0.3">
      <c r="A450" s="258">
        <f t="shared" si="125"/>
        <v>7</v>
      </c>
      <c r="B450" s="258"/>
      <c r="C450" s="232" t="s">
        <v>217</v>
      </c>
      <c r="D450" s="259">
        <f t="shared" si="123"/>
        <v>306.66635999999994</v>
      </c>
      <c r="E450" s="233">
        <v>0</v>
      </c>
      <c r="F450" s="232">
        <f t="shared" si="124"/>
        <v>475.33285799999993</v>
      </c>
      <c r="G450" s="237"/>
      <c r="H450" s="237"/>
    </row>
    <row r="451" spans="1:8" x14ac:dyDescent="0.3">
      <c r="A451" s="258">
        <f t="shared" si="125"/>
        <v>8</v>
      </c>
      <c r="B451" s="258"/>
      <c r="C451" s="232" t="s">
        <v>217</v>
      </c>
      <c r="D451" s="259">
        <f t="shared" si="123"/>
        <v>306.66635999999994</v>
      </c>
      <c r="E451" s="233">
        <v>0</v>
      </c>
      <c r="F451" s="232">
        <f t="shared" si="124"/>
        <v>475.33285799999993</v>
      </c>
      <c r="G451" s="237"/>
      <c r="H451" s="237"/>
    </row>
    <row r="452" spans="1:8" x14ac:dyDescent="0.3">
      <c r="A452" s="258">
        <f t="shared" si="125"/>
        <v>9</v>
      </c>
      <c r="B452" s="258"/>
      <c r="C452" s="232" t="s">
        <v>217</v>
      </c>
      <c r="D452" s="259">
        <f t="shared" si="123"/>
        <v>306.66635999999994</v>
      </c>
      <c r="E452" s="233">
        <v>0</v>
      </c>
      <c r="F452" s="232">
        <f t="shared" si="124"/>
        <v>475.33285799999993</v>
      </c>
      <c r="G452" s="237"/>
      <c r="H452" s="237"/>
    </row>
    <row r="453" spans="1:8" x14ac:dyDescent="0.3">
      <c r="A453" s="258">
        <f t="shared" si="125"/>
        <v>10</v>
      </c>
      <c r="B453" s="258"/>
      <c r="C453" s="232" t="s">
        <v>217</v>
      </c>
      <c r="D453" s="259">
        <f t="shared" si="123"/>
        <v>306.66635999999994</v>
      </c>
      <c r="E453" s="233">
        <v>0</v>
      </c>
      <c r="F453" s="232">
        <f t="shared" si="124"/>
        <v>475.33285799999993</v>
      </c>
      <c r="G453" s="237"/>
      <c r="H453" s="237"/>
    </row>
    <row r="454" spans="1:8" x14ac:dyDescent="0.3">
      <c r="A454" s="258">
        <f t="shared" si="125"/>
        <v>11</v>
      </c>
      <c r="B454" s="258"/>
      <c r="C454" s="232" t="s">
        <v>217</v>
      </c>
      <c r="D454" s="259">
        <f t="shared" si="123"/>
        <v>306.66635999999994</v>
      </c>
      <c r="E454" s="233">
        <v>0</v>
      </c>
      <c r="F454" s="232">
        <f t="shared" si="124"/>
        <v>475.33285799999993</v>
      </c>
      <c r="G454" s="237"/>
      <c r="H454" s="237"/>
    </row>
    <row r="455" spans="1:8" x14ac:dyDescent="0.3">
      <c r="A455" s="258">
        <f t="shared" si="125"/>
        <v>12</v>
      </c>
      <c r="B455" s="258"/>
      <c r="C455" s="232" t="s">
        <v>217</v>
      </c>
      <c r="D455" s="259">
        <f t="shared" si="123"/>
        <v>306.66635999999994</v>
      </c>
      <c r="E455" s="233">
        <v>0</v>
      </c>
      <c r="F455" s="232">
        <f t="shared" si="124"/>
        <v>475.33285799999993</v>
      </c>
      <c r="G455" s="237"/>
      <c r="H455" s="237"/>
    </row>
    <row r="456" spans="1:8" x14ac:dyDescent="0.3">
      <c r="A456" s="258">
        <f t="shared" si="125"/>
        <v>13</v>
      </c>
      <c r="B456" s="258"/>
      <c r="C456" s="232" t="s">
        <v>217</v>
      </c>
      <c r="D456" s="259">
        <f t="shared" si="123"/>
        <v>306.66635999999994</v>
      </c>
      <c r="E456" s="233">
        <v>0</v>
      </c>
      <c r="F456" s="232">
        <f t="shared" si="124"/>
        <v>475.33285799999993</v>
      </c>
      <c r="G456" s="237"/>
      <c r="H456" s="237"/>
    </row>
    <row r="457" spans="1:8" x14ac:dyDescent="0.3">
      <c r="A457" s="258">
        <f t="shared" si="125"/>
        <v>14</v>
      </c>
      <c r="B457" s="258"/>
      <c r="C457" s="232" t="s">
        <v>217</v>
      </c>
      <c r="D457" s="259">
        <f t="shared" si="123"/>
        <v>306.66635999999994</v>
      </c>
      <c r="E457" s="233">
        <v>0</v>
      </c>
      <c r="F457" s="232">
        <f t="shared" si="124"/>
        <v>475.33285799999993</v>
      </c>
      <c r="G457" s="237"/>
      <c r="H457" s="237"/>
    </row>
    <row r="458" spans="1:8" x14ac:dyDescent="0.3">
      <c r="A458" s="258">
        <f t="shared" si="125"/>
        <v>15</v>
      </c>
      <c r="B458" s="258"/>
      <c r="C458" s="232" t="s">
        <v>217</v>
      </c>
      <c r="D458" s="259">
        <f t="shared" si="123"/>
        <v>306.66635999999994</v>
      </c>
      <c r="E458" s="233">
        <v>0</v>
      </c>
      <c r="F458" s="232">
        <f t="shared" si="124"/>
        <v>475.33285799999993</v>
      </c>
      <c r="G458" s="237"/>
      <c r="H458" s="237"/>
    </row>
    <row r="459" spans="1:8" x14ac:dyDescent="0.3">
      <c r="A459" s="258">
        <f t="shared" si="125"/>
        <v>16</v>
      </c>
      <c r="B459" s="258"/>
      <c r="C459" s="232" t="s">
        <v>217</v>
      </c>
      <c r="D459" s="259">
        <f t="shared" si="123"/>
        <v>306.66635999999994</v>
      </c>
      <c r="E459" s="233">
        <v>0</v>
      </c>
      <c r="F459" s="232">
        <f t="shared" si="124"/>
        <v>475.33285799999993</v>
      </c>
      <c r="G459" s="237"/>
      <c r="H459" s="237"/>
    </row>
    <row r="460" spans="1:8" x14ac:dyDescent="0.3">
      <c r="A460" s="258">
        <f t="shared" si="125"/>
        <v>17</v>
      </c>
      <c r="B460" s="258"/>
      <c r="C460" s="232" t="s">
        <v>217</v>
      </c>
      <c r="D460" s="259">
        <f t="shared" si="123"/>
        <v>306.66635999999994</v>
      </c>
      <c r="E460" s="233">
        <v>0</v>
      </c>
      <c r="F460" s="232">
        <f t="shared" si="124"/>
        <v>475.33285799999993</v>
      </c>
      <c r="G460" s="237"/>
      <c r="H460" s="237"/>
    </row>
    <row r="461" spans="1:8" x14ac:dyDescent="0.3">
      <c r="A461" s="258">
        <f t="shared" si="125"/>
        <v>18</v>
      </c>
      <c r="B461" s="258"/>
      <c r="C461" s="232" t="s">
        <v>217</v>
      </c>
      <c r="D461" s="259">
        <f t="shared" si="123"/>
        <v>306.66635999999994</v>
      </c>
      <c r="E461" s="233">
        <v>0</v>
      </c>
      <c r="F461" s="232">
        <f t="shared" si="124"/>
        <v>475.33285799999993</v>
      </c>
      <c r="G461" s="237"/>
      <c r="H461" s="237"/>
    </row>
    <row r="462" spans="1:8" x14ac:dyDescent="0.3">
      <c r="A462" s="258">
        <f t="shared" si="125"/>
        <v>19</v>
      </c>
      <c r="B462" s="258"/>
      <c r="C462" s="232" t="s">
        <v>217</v>
      </c>
      <c r="D462" s="259">
        <f t="shared" si="123"/>
        <v>306.66635999999994</v>
      </c>
      <c r="E462" s="233">
        <v>0</v>
      </c>
      <c r="F462" s="232">
        <f t="shared" si="124"/>
        <v>475.33285799999993</v>
      </c>
      <c r="G462" s="237"/>
      <c r="H462" s="237"/>
    </row>
    <row r="463" spans="1:8" x14ac:dyDescent="0.3">
      <c r="A463" s="224" t="s">
        <v>236</v>
      </c>
      <c r="B463" s="225"/>
      <c r="C463" s="225"/>
      <c r="D463" s="225"/>
      <c r="E463" s="225"/>
      <c r="F463" s="225"/>
      <c r="G463" s="225"/>
      <c r="H463" s="226"/>
    </row>
    <row r="464" spans="1:8" x14ac:dyDescent="0.3">
      <c r="A464" s="260">
        <v>1</v>
      </c>
      <c r="B464" s="261"/>
      <c r="C464" s="232" t="s">
        <v>217</v>
      </c>
      <c r="D464" s="259">
        <f t="shared" ref="D464:D482" si="126">(28.49)*10.764</f>
        <v>306.66635999999994</v>
      </c>
      <c r="E464" s="233">
        <v>0</v>
      </c>
      <c r="F464" s="232">
        <f t="shared" ref="F464:F482" si="127">D464*(($F$133)+1)+(IF(E464&lt;101,E464,IF(E464&lt;201,E464/2,IF(E464&lt;=301,E464/3,E464/4))))</f>
        <v>475.33285799999993</v>
      </c>
      <c r="G464" s="230" t="str">
        <f>A463</f>
        <v>13th Floor  (14th Floor as per Builder) for PTC Flats</v>
      </c>
      <c r="H464" s="231"/>
    </row>
    <row r="465" spans="1:8" x14ac:dyDescent="0.3">
      <c r="A465" s="260">
        <f t="shared" ref="A465:A482" si="128">A464+1</f>
        <v>2</v>
      </c>
      <c r="B465" s="261"/>
      <c r="C465" s="232" t="s">
        <v>217</v>
      </c>
      <c r="D465" s="259">
        <f t="shared" si="126"/>
        <v>306.66635999999994</v>
      </c>
      <c r="E465" s="233">
        <v>0</v>
      </c>
      <c r="F465" s="232">
        <f t="shared" si="127"/>
        <v>475.33285799999993</v>
      </c>
      <c r="G465" s="234"/>
      <c r="H465" s="235"/>
    </row>
    <row r="466" spans="1:8" x14ac:dyDescent="0.3">
      <c r="A466" s="260">
        <v>3</v>
      </c>
      <c r="B466" s="261"/>
      <c r="C466" s="232" t="s">
        <v>217</v>
      </c>
      <c r="D466" s="259">
        <f t="shared" si="126"/>
        <v>306.66635999999994</v>
      </c>
      <c r="E466" s="233">
        <v>0</v>
      </c>
      <c r="F466" s="232">
        <f t="shared" si="127"/>
        <v>475.33285799999993</v>
      </c>
      <c r="G466" s="234"/>
      <c r="H466" s="235"/>
    </row>
    <row r="467" spans="1:8" x14ac:dyDescent="0.3">
      <c r="A467" s="260">
        <f t="shared" si="128"/>
        <v>4</v>
      </c>
      <c r="B467" s="261"/>
      <c r="C467" s="232" t="s">
        <v>217</v>
      </c>
      <c r="D467" s="259">
        <f t="shared" si="126"/>
        <v>306.66635999999994</v>
      </c>
      <c r="E467" s="233">
        <v>0</v>
      </c>
      <c r="F467" s="232">
        <f t="shared" si="127"/>
        <v>475.33285799999993</v>
      </c>
      <c r="G467" s="234"/>
      <c r="H467" s="235"/>
    </row>
    <row r="468" spans="1:8" x14ac:dyDescent="0.3">
      <c r="A468" s="260">
        <f t="shared" si="128"/>
        <v>5</v>
      </c>
      <c r="B468" s="261"/>
      <c r="C468" s="232" t="s">
        <v>217</v>
      </c>
      <c r="D468" s="259">
        <f t="shared" si="126"/>
        <v>306.66635999999994</v>
      </c>
      <c r="E468" s="233">
        <v>0</v>
      </c>
      <c r="F468" s="232">
        <f t="shared" si="127"/>
        <v>475.33285799999993</v>
      </c>
      <c r="G468" s="234"/>
      <c r="H468" s="235"/>
    </row>
    <row r="469" spans="1:8" x14ac:dyDescent="0.3">
      <c r="A469" s="260">
        <f t="shared" si="128"/>
        <v>6</v>
      </c>
      <c r="B469" s="261"/>
      <c r="C469" s="232" t="s">
        <v>217</v>
      </c>
      <c r="D469" s="259">
        <f t="shared" si="126"/>
        <v>306.66635999999994</v>
      </c>
      <c r="E469" s="233">
        <v>0</v>
      </c>
      <c r="F469" s="232">
        <f t="shared" si="127"/>
        <v>475.33285799999993</v>
      </c>
      <c r="G469" s="234"/>
      <c r="H469" s="235"/>
    </row>
    <row r="470" spans="1:8" x14ac:dyDescent="0.3">
      <c r="A470" s="260">
        <f t="shared" si="128"/>
        <v>7</v>
      </c>
      <c r="B470" s="261"/>
      <c r="C470" s="232" t="s">
        <v>217</v>
      </c>
      <c r="D470" s="259">
        <f t="shared" si="126"/>
        <v>306.66635999999994</v>
      </c>
      <c r="E470" s="233">
        <v>0</v>
      </c>
      <c r="F470" s="232">
        <f t="shared" si="127"/>
        <v>475.33285799999993</v>
      </c>
      <c r="G470" s="234"/>
      <c r="H470" s="235"/>
    </row>
    <row r="471" spans="1:8" x14ac:dyDescent="0.3">
      <c r="A471" s="260">
        <f t="shared" si="128"/>
        <v>8</v>
      </c>
      <c r="B471" s="261"/>
      <c r="C471" s="232" t="s">
        <v>217</v>
      </c>
      <c r="D471" s="259">
        <f t="shared" si="126"/>
        <v>306.66635999999994</v>
      </c>
      <c r="E471" s="233">
        <v>0</v>
      </c>
      <c r="F471" s="232">
        <f t="shared" si="127"/>
        <v>475.33285799999993</v>
      </c>
      <c r="G471" s="234"/>
      <c r="H471" s="235"/>
    </row>
    <row r="472" spans="1:8" x14ac:dyDescent="0.3">
      <c r="A472" s="260">
        <f t="shared" si="128"/>
        <v>9</v>
      </c>
      <c r="B472" s="261"/>
      <c r="C472" s="232" t="s">
        <v>217</v>
      </c>
      <c r="D472" s="259">
        <f t="shared" si="126"/>
        <v>306.66635999999994</v>
      </c>
      <c r="E472" s="233">
        <v>0</v>
      </c>
      <c r="F472" s="232">
        <f t="shared" si="127"/>
        <v>475.33285799999993</v>
      </c>
      <c r="G472" s="234"/>
      <c r="H472" s="235"/>
    </row>
    <row r="473" spans="1:8" x14ac:dyDescent="0.3">
      <c r="A473" s="260">
        <f t="shared" si="128"/>
        <v>10</v>
      </c>
      <c r="B473" s="261"/>
      <c r="C473" s="232" t="s">
        <v>217</v>
      </c>
      <c r="D473" s="259">
        <f t="shared" si="126"/>
        <v>306.66635999999994</v>
      </c>
      <c r="E473" s="233">
        <v>0</v>
      </c>
      <c r="F473" s="232">
        <f t="shared" si="127"/>
        <v>475.33285799999993</v>
      </c>
      <c r="G473" s="234"/>
      <c r="H473" s="235"/>
    </row>
    <row r="474" spans="1:8" x14ac:dyDescent="0.3">
      <c r="A474" s="260">
        <f t="shared" si="128"/>
        <v>11</v>
      </c>
      <c r="B474" s="261"/>
      <c r="C474" s="232" t="s">
        <v>217</v>
      </c>
      <c r="D474" s="259">
        <f t="shared" si="126"/>
        <v>306.66635999999994</v>
      </c>
      <c r="E474" s="233">
        <v>0</v>
      </c>
      <c r="F474" s="232">
        <f t="shared" si="127"/>
        <v>475.33285799999993</v>
      </c>
      <c r="G474" s="234"/>
      <c r="H474" s="235"/>
    </row>
    <row r="475" spans="1:8" x14ac:dyDescent="0.3">
      <c r="A475" s="260">
        <f t="shared" si="128"/>
        <v>12</v>
      </c>
      <c r="B475" s="261"/>
      <c r="C475" s="232" t="s">
        <v>217</v>
      </c>
      <c r="D475" s="259">
        <f t="shared" si="126"/>
        <v>306.66635999999994</v>
      </c>
      <c r="E475" s="233">
        <v>0</v>
      </c>
      <c r="F475" s="232">
        <f t="shared" si="127"/>
        <v>475.33285799999993</v>
      </c>
      <c r="G475" s="234"/>
      <c r="H475" s="235"/>
    </row>
    <row r="476" spans="1:8" x14ac:dyDescent="0.3">
      <c r="A476" s="260">
        <f t="shared" si="128"/>
        <v>13</v>
      </c>
      <c r="B476" s="261"/>
      <c r="C476" s="232" t="s">
        <v>217</v>
      </c>
      <c r="D476" s="259">
        <f t="shared" si="126"/>
        <v>306.66635999999994</v>
      </c>
      <c r="E476" s="233">
        <v>0</v>
      </c>
      <c r="F476" s="232">
        <f t="shared" si="127"/>
        <v>475.33285799999993</v>
      </c>
      <c r="G476" s="234"/>
      <c r="H476" s="235"/>
    </row>
    <row r="477" spans="1:8" x14ac:dyDescent="0.3">
      <c r="A477" s="260">
        <f t="shared" si="128"/>
        <v>14</v>
      </c>
      <c r="B477" s="261"/>
      <c r="C477" s="232" t="s">
        <v>217</v>
      </c>
      <c r="D477" s="259">
        <f t="shared" si="126"/>
        <v>306.66635999999994</v>
      </c>
      <c r="E477" s="233">
        <v>0</v>
      </c>
      <c r="F477" s="232">
        <f t="shared" si="127"/>
        <v>475.33285799999993</v>
      </c>
      <c r="G477" s="234"/>
      <c r="H477" s="235"/>
    </row>
    <row r="478" spans="1:8" x14ac:dyDescent="0.3">
      <c r="A478" s="260">
        <f t="shared" si="128"/>
        <v>15</v>
      </c>
      <c r="B478" s="261"/>
      <c r="C478" s="232" t="s">
        <v>217</v>
      </c>
      <c r="D478" s="259">
        <f t="shared" si="126"/>
        <v>306.66635999999994</v>
      </c>
      <c r="E478" s="233">
        <v>0</v>
      </c>
      <c r="F478" s="232">
        <f t="shared" si="127"/>
        <v>475.33285799999993</v>
      </c>
      <c r="G478" s="234"/>
      <c r="H478" s="235"/>
    </row>
    <row r="479" spans="1:8" x14ac:dyDescent="0.3">
      <c r="A479" s="260">
        <f t="shared" si="128"/>
        <v>16</v>
      </c>
      <c r="B479" s="261"/>
      <c r="C479" s="232" t="s">
        <v>217</v>
      </c>
      <c r="D479" s="259">
        <f t="shared" si="126"/>
        <v>306.66635999999994</v>
      </c>
      <c r="E479" s="233">
        <v>0</v>
      </c>
      <c r="F479" s="232">
        <f t="shared" si="127"/>
        <v>475.33285799999993</v>
      </c>
      <c r="G479" s="234"/>
      <c r="H479" s="235"/>
    </row>
    <row r="480" spans="1:8" x14ac:dyDescent="0.3">
      <c r="A480" s="260">
        <f t="shared" si="128"/>
        <v>17</v>
      </c>
      <c r="B480" s="261"/>
      <c r="C480" s="232" t="s">
        <v>217</v>
      </c>
      <c r="D480" s="259">
        <f t="shared" si="126"/>
        <v>306.66635999999994</v>
      </c>
      <c r="E480" s="233">
        <v>0</v>
      </c>
      <c r="F480" s="232">
        <f t="shared" si="127"/>
        <v>475.33285799999993</v>
      </c>
      <c r="G480" s="234"/>
      <c r="H480" s="235"/>
    </row>
    <row r="481" spans="1:9" x14ac:dyDescent="0.3">
      <c r="A481" s="260">
        <f t="shared" si="128"/>
        <v>18</v>
      </c>
      <c r="B481" s="261"/>
      <c r="C481" s="232" t="s">
        <v>217</v>
      </c>
      <c r="D481" s="259">
        <f t="shared" si="126"/>
        <v>306.66635999999994</v>
      </c>
      <c r="E481" s="233">
        <v>0</v>
      </c>
      <c r="F481" s="232">
        <f t="shared" si="127"/>
        <v>475.33285799999993</v>
      </c>
      <c r="G481" s="234"/>
      <c r="H481" s="235"/>
    </row>
    <row r="482" spans="1:9" x14ac:dyDescent="0.3">
      <c r="A482" s="260">
        <f t="shared" si="128"/>
        <v>19</v>
      </c>
      <c r="B482" s="261"/>
      <c r="C482" s="232" t="s">
        <v>217</v>
      </c>
      <c r="D482" s="259">
        <f t="shared" si="126"/>
        <v>306.66635999999994</v>
      </c>
      <c r="E482" s="233">
        <v>0</v>
      </c>
      <c r="F482" s="232">
        <f t="shared" si="127"/>
        <v>475.33285799999993</v>
      </c>
      <c r="G482" s="238"/>
      <c r="H482" s="239"/>
    </row>
    <row r="483" spans="1:9" x14ac:dyDescent="0.3">
      <c r="A483" s="257" t="s">
        <v>238</v>
      </c>
      <c r="B483" s="257"/>
      <c r="C483" s="257"/>
      <c r="D483" s="257"/>
      <c r="E483" s="257"/>
      <c r="F483" s="257"/>
      <c r="G483" s="257"/>
      <c r="H483" s="257"/>
    </row>
    <row r="484" spans="1:9" x14ac:dyDescent="0.3">
      <c r="A484" s="258">
        <v>1</v>
      </c>
      <c r="B484" s="258"/>
      <c r="C484" s="232" t="s">
        <v>217</v>
      </c>
      <c r="D484" s="259">
        <f>(28.49)*10.764</f>
        <v>306.66635999999994</v>
      </c>
      <c r="E484" s="233">
        <v>0</v>
      </c>
      <c r="F484" s="232">
        <f>D484*(($F$133)+1)+(IF(E484&lt;101,E484,IF(E484&lt;201,E484/2,IF(E484&lt;=301,E484/3,E484/4))))</f>
        <v>475.33285799999993</v>
      </c>
      <c r="G484" s="237" t="str">
        <f>A483</f>
        <v>8th Floor (Part Refuge Area) for PTC Flats</v>
      </c>
      <c r="H484" s="237"/>
    </row>
    <row r="485" spans="1:9" x14ac:dyDescent="0.3">
      <c r="A485" s="258">
        <f t="shared" ref="A485:A502" si="129">A484+1</f>
        <v>2</v>
      </c>
      <c r="B485" s="258"/>
      <c r="C485" s="232" t="s">
        <v>217</v>
      </c>
      <c r="D485" s="259">
        <f>(28.49)*10.764</f>
        <v>306.66635999999994</v>
      </c>
      <c r="E485" s="233">
        <v>0</v>
      </c>
      <c r="F485" s="232">
        <f>D485*(($F$133)+1)+(IF(E485&lt;101,E485,IF(E485&lt;201,E485/2,IF(E485&lt;=301,E485/3,E485/4))))</f>
        <v>475.33285799999993</v>
      </c>
      <c r="G485" s="237"/>
      <c r="H485" s="237"/>
    </row>
    <row r="486" spans="1:9" x14ac:dyDescent="0.3">
      <c r="A486" s="258">
        <v>3</v>
      </c>
      <c r="B486" s="258"/>
      <c r="C486" s="232" t="s">
        <v>217</v>
      </c>
      <c r="D486" s="259">
        <f>(28.49)*10.764</f>
        <v>306.66635999999994</v>
      </c>
      <c r="E486" s="233">
        <v>0</v>
      </c>
      <c r="F486" s="232">
        <f>D486*(($F$133)+1)+(IF(E486&lt;101,E486,IF(E486&lt;201,E486/2,IF(E486&lt;=301,E486/3,E486/4))))</f>
        <v>475.33285799999993</v>
      </c>
      <c r="G486" s="237"/>
      <c r="H486" s="237"/>
    </row>
    <row r="487" spans="1:9" x14ac:dyDescent="0.3">
      <c r="A487" s="258">
        <f t="shared" si="129"/>
        <v>4</v>
      </c>
      <c r="B487" s="258"/>
      <c r="C487" s="232" t="s">
        <v>217</v>
      </c>
      <c r="D487" s="259">
        <f>(28.49)*10.764</f>
        <v>306.66635999999994</v>
      </c>
      <c r="E487" s="233">
        <v>0</v>
      </c>
      <c r="F487" s="232">
        <f>D487*(($F$133)+1)+(IF(E487&lt;101,E487,IF(E487&lt;201,E487/2,IF(E487&lt;=301,E487/3,E487/4))))</f>
        <v>475.33285799999993</v>
      </c>
      <c r="G487" s="237"/>
      <c r="H487" s="237"/>
    </row>
    <row r="488" spans="1:9" x14ac:dyDescent="0.3">
      <c r="A488" s="258">
        <f t="shared" si="129"/>
        <v>5</v>
      </c>
      <c r="B488" s="258"/>
      <c r="C488" s="237" t="s">
        <v>180</v>
      </c>
      <c r="D488" s="237"/>
      <c r="E488" s="237"/>
      <c r="F488" s="237"/>
      <c r="G488" s="237"/>
      <c r="H488" s="237"/>
    </row>
    <row r="489" spans="1:9" x14ac:dyDescent="0.3">
      <c r="A489" s="258">
        <f t="shared" si="129"/>
        <v>6</v>
      </c>
      <c r="B489" s="258"/>
      <c r="C489" s="237"/>
      <c r="D489" s="237"/>
      <c r="E489" s="237"/>
      <c r="F489" s="237"/>
      <c r="G489" s="237"/>
      <c r="H489" s="237"/>
    </row>
    <row r="490" spans="1:9" x14ac:dyDescent="0.3">
      <c r="A490" s="258">
        <f t="shared" si="129"/>
        <v>7</v>
      </c>
      <c r="B490" s="258"/>
      <c r="C490" s="237"/>
      <c r="D490" s="237"/>
      <c r="E490" s="237"/>
      <c r="F490" s="237"/>
      <c r="G490" s="237"/>
      <c r="H490" s="237"/>
    </row>
    <row r="491" spans="1:9" x14ac:dyDescent="0.3">
      <c r="A491" s="258">
        <f t="shared" si="129"/>
        <v>8</v>
      </c>
      <c r="B491" s="258"/>
      <c r="C491" s="237"/>
      <c r="D491" s="237"/>
      <c r="E491" s="237"/>
      <c r="F491" s="237"/>
      <c r="G491" s="237"/>
      <c r="H491" s="237"/>
    </row>
    <row r="492" spans="1:9" x14ac:dyDescent="0.3">
      <c r="A492" s="258">
        <f t="shared" si="129"/>
        <v>9</v>
      </c>
      <c r="B492" s="258"/>
      <c r="C492" s="237"/>
      <c r="D492" s="237"/>
      <c r="E492" s="237"/>
      <c r="F492" s="237"/>
      <c r="G492" s="237"/>
      <c r="H492" s="237"/>
    </row>
    <row r="493" spans="1:9" x14ac:dyDescent="0.3">
      <c r="A493" s="258">
        <f t="shared" si="129"/>
        <v>10</v>
      </c>
      <c r="B493" s="258"/>
      <c r="C493" s="237"/>
      <c r="D493" s="237"/>
      <c r="E493" s="237"/>
      <c r="F493" s="237"/>
      <c r="G493" s="237"/>
      <c r="H493" s="237"/>
    </row>
    <row r="494" spans="1:9" x14ac:dyDescent="0.3">
      <c r="A494" s="258">
        <f t="shared" si="129"/>
        <v>11</v>
      </c>
      <c r="B494" s="258"/>
      <c r="C494" s="232" t="s">
        <v>217</v>
      </c>
      <c r="D494" s="259">
        <f t="shared" ref="D494:D502" si="130">(28.49)*10.764</f>
        <v>306.66635999999994</v>
      </c>
      <c r="E494" s="233">
        <v>0</v>
      </c>
      <c r="F494" s="232">
        <f t="shared" ref="F494:F502" si="131">D494*(($F$133)+1)+(IF(E494&lt;101,E494,IF(E494&lt;201,E494/2,IF(E494&lt;=301,E494/3,E494/4))))</f>
        <v>475.33285799999993</v>
      </c>
      <c r="G494" s="237"/>
      <c r="H494" s="237"/>
    </row>
    <row r="495" spans="1:9" x14ac:dyDescent="0.3">
      <c r="A495" s="258">
        <f t="shared" si="129"/>
        <v>12</v>
      </c>
      <c r="B495" s="258"/>
      <c r="C495" s="232" t="s">
        <v>217</v>
      </c>
      <c r="D495" s="259">
        <f t="shared" si="130"/>
        <v>306.66635999999994</v>
      </c>
      <c r="E495" s="233">
        <v>0</v>
      </c>
      <c r="F495" s="232">
        <f t="shared" si="131"/>
        <v>475.33285799999993</v>
      </c>
      <c r="G495" s="237"/>
      <c r="H495" s="237"/>
      <c r="I495" s="36"/>
    </row>
    <row r="496" spans="1:9" ht="15.75" customHeight="1" x14ac:dyDescent="0.3">
      <c r="A496" s="258">
        <f t="shared" si="129"/>
        <v>13</v>
      </c>
      <c r="B496" s="258"/>
      <c r="C496" s="232" t="s">
        <v>217</v>
      </c>
      <c r="D496" s="259">
        <f t="shared" si="130"/>
        <v>306.66635999999994</v>
      </c>
      <c r="E496" s="233">
        <v>0</v>
      </c>
      <c r="F496" s="232">
        <f t="shared" si="131"/>
        <v>475.33285799999993</v>
      </c>
      <c r="G496" s="237"/>
      <c r="H496" s="237"/>
      <c r="I496" s="23">
        <f>3.05*5.3+2.13*1.48+2.85*3.05+2.75*3.27+1.38*2.15*2+1.3*0.6</f>
        <v>43.716399999999993</v>
      </c>
    </row>
    <row r="497" spans="1:8" x14ac:dyDescent="0.3">
      <c r="A497" s="258">
        <f t="shared" si="129"/>
        <v>14</v>
      </c>
      <c r="B497" s="258"/>
      <c r="C497" s="232" t="s">
        <v>217</v>
      </c>
      <c r="D497" s="259">
        <f t="shared" si="130"/>
        <v>306.66635999999994</v>
      </c>
      <c r="E497" s="233">
        <v>0</v>
      </c>
      <c r="F497" s="232">
        <f t="shared" si="131"/>
        <v>475.33285799999993</v>
      </c>
      <c r="G497" s="237"/>
      <c r="H497" s="237"/>
    </row>
    <row r="498" spans="1:8" x14ac:dyDescent="0.3">
      <c r="A498" s="258">
        <f t="shared" si="129"/>
        <v>15</v>
      </c>
      <c r="B498" s="258"/>
      <c r="C498" s="232" t="s">
        <v>217</v>
      </c>
      <c r="D498" s="259">
        <f t="shared" si="130"/>
        <v>306.66635999999994</v>
      </c>
      <c r="E498" s="233">
        <v>0</v>
      </c>
      <c r="F498" s="232">
        <f t="shared" si="131"/>
        <v>475.33285799999993</v>
      </c>
      <c r="G498" s="237"/>
      <c r="H498" s="237"/>
    </row>
    <row r="499" spans="1:8" x14ac:dyDescent="0.3">
      <c r="A499" s="258">
        <f t="shared" si="129"/>
        <v>16</v>
      </c>
      <c r="B499" s="258"/>
      <c r="C499" s="232" t="s">
        <v>217</v>
      </c>
      <c r="D499" s="259">
        <f t="shared" si="130"/>
        <v>306.66635999999994</v>
      </c>
      <c r="E499" s="233">
        <v>0</v>
      </c>
      <c r="F499" s="232">
        <f t="shared" si="131"/>
        <v>475.33285799999993</v>
      </c>
      <c r="G499" s="237"/>
      <c r="H499" s="237"/>
    </row>
    <row r="500" spans="1:8" x14ac:dyDescent="0.3">
      <c r="A500" s="258">
        <f t="shared" si="129"/>
        <v>17</v>
      </c>
      <c r="B500" s="258"/>
      <c r="C500" s="232" t="s">
        <v>217</v>
      </c>
      <c r="D500" s="259">
        <f t="shared" si="130"/>
        <v>306.66635999999994</v>
      </c>
      <c r="E500" s="233">
        <v>0</v>
      </c>
      <c r="F500" s="232">
        <f t="shared" si="131"/>
        <v>475.33285799999993</v>
      </c>
      <c r="G500" s="237"/>
      <c r="H500" s="237"/>
    </row>
    <row r="501" spans="1:8" x14ac:dyDescent="0.3">
      <c r="A501" s="258">
        <f t="shared" si="129"/>
        <v>18</v>
      </c>
      <c r="B501" s="258"/>
      <c r="C501" s="232" t="s">
        <v>217</v>
      </c>
      <c r="D501" s="259">
        <f t="shared" si="130"/>
        <v>306.66635999999994</v>
      </c>
      <c r="E501" s="233">
        <v>0</v>
      </c>
      <c r="F501" s="232">
        <f t="shared" si="131"/>
        <v>475.33285799999993</v>
      </c>
      <c r="G501" s="237"/>
      <c r="H501" s="237"/>
    </row>
    <row r="502" spans="1:8" x14ac:dyDescent="0.3">
      <c r="A502" s="258">
        <f t="shared" si="129"/>
        <v>19</v>
      </c>
      <c r="B502" s="258"/>
      <c r="C502" s="232" t="s">
        <v>217</v>
      </c>
      <c r="D502" s="259">
        <f t="shared" si="130"/>
        <v>306.66635999999994</v>
      </c>
      <c r="E502" s="233">
        <v>0</v>
      </c>
      <c r="F502" s="232">
        <f t="shared" si="131"/>
        <v>475.33285799999993</v>
      </c>
      <c r="G502" s="237"/>
      <c r="H502" s="237"/>
    </row>
    <row r="503" spans="1:8" x14ac:dyDescent="0.3">
      <c r="A503" s="224" t="s">
        <v>219</v>
      </c>
      <c r="B503" s="225"/>
      <c r="C503" s="225"/>
      <c r="D503" s="225"/>
      <c r="E503" s="225"/>
      <c r="F503" s="225"/>
      <c r="G503" s="225"/>
      <c r="H503" s="226"/>
    </row>
    <row r="504" spans="1:8" ht="49.5" customHeight="1" x14ac:dyDescent="0.3">
      <c r="A504" s="224" t="s">
        <v>221</v>
      </c>
      <c r="B504" s="225"/>
      <c r="C504" s="225"/>
      <c r="D504" s="225"/>
      <c r="E504" s="225"/>
      <c r="F504" s="225"/>
      <c r="G504" s="225"/>
      <c r="H504" s="226"/>
    </row>
    <row r="505" spans="1:8" x14ac:dyDescent="0.3">
      <c r="A505" s="260">
        <v>1</v>
      </c>
      <c r="B505" s="261"/>
      <c r="C505" s="232" t="s">
        <v>178</v>
      </c>
      <c r="D505" s="259">
        <f t="shared" ref="D505:D511" si="132">(46.49+(3.5*1.22))*10.764</f>
        <v>546.38063999999997</v>
      </c>
      <c r="E505" s="233">
        <v>0</v>
      </c>
      <c r="F505" s="232">
        <f t="shared" ref="F505:F511" si="133">D505*(($F$133)+1)+(IF(E505&lt;101,E505,IF(E505&lt;201,E505/2,IF(E505&lt;=301,E505/3,E505/4))))</f>
        <v>846.88999200000001</v>
      </c>
      <c r="G505" s="230" t="str">
        <f>A504</f>
        <v>14th Sale Floor (15th Sale Floor as per Builder)
 16th to 21st Sale Floor (17th to 22nd Sale Floor as per Builder)
23rd to 26th Sale Floor (24th to 27th Sale Floor as per Builder)</v>
      </c>
      <c r="H505" s="231"/>
    </row>
    <row r="506" spans="1:8" x14ac:dyDescent="0.3">
      <c r="A506" s="260">
        <f t="shared" ref="A506:A534" si="134">A505+1</f>
        <v>2</v>
      </c>
      <c r="B506" s="261"/>
      <c r="C506" s="232" t="s">
        <v>178</v>
      </c>
      <c r="D506" s="259">
        <f t="shared" si="132"/>
        <v>546.38063999999997</v>
      </c>
      <c r="E506" s="233">
        <v>0</v>
      </c>
      <c r="F506" s="232">
        <f t="shared" si="133"/>
        <v>846.88999200000001</v>
      </c>
      <c r="G506" s="234"/>
      <c r="H506" s="235"/>
    </row>
    <row r="507" spans="1:8" x14ac:dyDescent="0.3">
      <c r="A507" s="260">
        <v>3</v>
      </c>
      <c r="B507" s="261"/>
      <c r="C507" s="232" t="s">
        <v>178</v>
      </c>
      <c r="D507" s="259">
        <f t="shared" si="132"/>
        <v>546.38063999999997</v>
      </c>
      <c r="E507" s="233">
        <v>0</v>
      </c>
      <c r="F507" s="232">
        <f t="shared" si="133"/>
        <v>846.88999200000001</v>
      </c>
      <c r="G507" s="234"/>
      <c r="H507" s="235"/>
    </row>
    <row r="508" spans="1:8" x14ac:dyDescent="0.3">
      <c r="A508" s="260">
        <f t="shared" si="134"/>
        <v>4</v>
      </c>
      <c r="B508" s="261"/>
      <c r="C508" s="232" t="s">
        <v>178</v>
      </c>
      <c r="D508" s="259">
        <f t="shared" si="132"/>
        <v>546.38063999999997</v>
      </c>
      <c r="E508" s="233">
        <v>0</v>
      </c>
      <c r="F508" s="232">
        <f t="shared" si="133"/>
        <v>846.88999200000001</v>
      </c>
      <c r="G508" s="234"/>
      <c r="H508" s="235"/>
    </row>
    <row r="509" spans="1:8" x14ac:dyDescent="0.3">
      <c r="A509" s="260">
        <f t="shared" si="134"/>
        <v>5</v>
      </c>
      <c r="B509" s="261"/>
      <c r="C509" s="232" t="s">
        <v>178</v>
      </c>
      <c r="D509" s="259">
        <f t="shared" si="132"/>
        <v>546.38063999999997</v>
      </c>
      <c r="E509" s="233">
        <v>0</v>
      </c>
      <c r="F509" s="232">
        <f t="shared" si="133"/>
        <v>846.88999200000001</v>
      </c>
      <c r="G509" s="234"/>
      <c r="H509" s="235"/>
    </row>
    <row r="510" spans="1:8" x14ac:dyDescent="0.3">
      <c r="A510" s="262">
        <f t="shared" si="134"/>
        <v>6</v>
      </c>
      <c r="B510" s="263"/>
      <c r="C510" s="232" t="s">
        <v>178</v>
      </c>
      <c r="D510" s="259">
        <f t="shared" si="132"/>
        <v>546.38063999999997</v>
      </c>
      <c r="E510" s="264">
        <v>0</v>
      </c>
      <c r="F510" s="265">
        <f t="shared" si="133"/>
        <v>846.88999200000001</v>
      </c>
      <c r="G510" s="234"/>
      <c r="H510" s="235"/>
    </row>
    <row r="511" spans="1:8" x14ac:dyDescent="0.3">
      <c r="A511" s="262">
        <f t="shared" si="134"/>
        <v>7</v>
      </c>
      <c r="B511" s="263"/>
      <c r="C511" s="232" t="s">
        <v>178</v>
      </c>
      <c r="D511" s="259">
        <f t="shared" si="132"/>
        <v>546.38063999999997</v>
      </c>
      <c r="E511" s="264">
        <v>0</v>
      </c>
      <c r="F511" s="265">
        <f t="shared" si="133"/>
        <v>846.88999200000001</v>
      </c>
      <c r="G511" s="238"/>
      <c r="H511" s="239"/>
    </row>
    <row r="512" spans="1:8" x14ac:dyDescent="0.3">
      <c r="A512" s="257" t="s">
        <v>239</v>
      </c>
      <c r="B512" s="257"/>
      <c r="C512" s="257"/>
      <c r="D512" s="257"/>
      <c r="E512" s="257"/>
      <c r="F512" s="257"/>
      <c r="G512" s="257"/>
      <c r="H512" s="257"/>
    </row>
    <row r="513" spans="1:8" ht="15.75" customHeight="1" x14ac:dyDescent="0.3">
      <c r="A513" s="258">
        <v>1</v>
      </c>
      <c r="B513" s="258"/>
      <c r="C513" s="237" t="s">
        <v>222</v>
      </c>
      <c r="D513" s="237"/>
      <c r="E513" s="237"/>
      <c r="F513" s="237"/>
      <c r="G513" s="237" t="str">
        <f>A512</f>
        <v>15th &amp; 22nd Floor (16th &amp; 23rd Floor as per Builder) (Part Refuge Area)</v>
      </c>
      <c r="H513" s="237"/>
    </row>
    <row r="514" spans="1:8" x14ac:dyDescent="0.3">
      <c r="A514" s="258">
        <f>A513+1</f>
        <v>2</v>
      </c>
      <c r="B514" s="258"/>
      <c r="C514" s="237"/>
      <c r="D514" s="237"/>
      <c r="E514" s="237"/>
      <c r="F514" s="237"/>
      <c r="G514" s="237"/>
      <c r="H514" s="237"/>
    </row>
    <row r="515" spans="1:8" x14ac:dyDescent="0.3">
      <c r="A515" s="258">
        <v>3</v>
      </c>
      <c r="B515" s="258"/>
      <c r="C515" s="237"/>
      <c r="D515" s="237"/>
      <c r="E515" s="237"/>
      <c r="F515" s="237"/>
      <c r="G515" s="237"/>
      <c r="H515" s="237"/>
    </row>
    <row r="516" spans="1:8" x14ac:dyDescent="0.3">
      <c r="A516" s="258">
        <f t="shared" si="134"/>
        <v>4</v>
      </c>
      <c r="B516" s="258"/>
      <c r="C516" s="237"/>
      <c r="D516" s="237"/>
      <c r="E516" s="237"/>
      <c r="F516" s="237"/>
      <c r="G516" s="237"/>
      <c r="H516" s="237"/>
    </row>
    <row r="517" spans="1:8" x14ac:dyDescent="0.3">
      <c r="A517" s="258">
        <f t="shared" si="134"/>
        <v>5</v>
      </c>
      <c r="B517" s="258"/>
      <c r="C517" s="232" t="s">
        <v>178</v>
      </c>
      <c r="D517" s="259">
        <f>(46.49+(3.5*1.22))*10.764</f>
        <v>546.38063999999997</v>
      </c>
      <c r="E517" s="233">
        <v>0</v>
      </c>
      <c r="F517" s="232">
        <f>D517*(($F$133)+1)+(IF(E517&lt;101,E517,IF(E517&lt;201,E517/2,IF(E517&lt;=301,E517/3,E517/4))))</f>
        <v>846.88999200000001</v>
      </c>
      <c r="G517" s="237"/>
      <c r="H517" s="237"/>
    </row>
    <row r="518" spans="1:8" x14ac:dyDescent="0.3">
      <c r="A518" s="258">
        <f t="shared" si="134"/>
        <v>6</v>
      </c>
      <c r="B518" s="258"/>
      <c r="C518" s="232" t="s">
        <v>178</v>
      </c>
      <c r="D518" s="259">
        <f>(46.49+(3.5*1.22))*10.764</f>
        <v>546.38063999999997</v>
      </c>
      <c r="E518" s="233">
        <v>0</v>
      </c>
      <c r="F518" s="232">
        <f>D518*(($F$133)+1)+(IF(E518&lt;101,E518,IF(E518&lt;201,E518/2,IF(E518&lt;=301,E518/3,E518/4))))</f>
        <v>846.88999200000001</v>
      </c>
      <c r="G518" s="237"/>
      <c r="H518" s="237"/>
    </row>
    <row r="519" spans="1:8" x14ac:dyDescent="0.3">
      <c r="A519" s="258">
        <f t="shared" si="134"/>
        <v>7</v>
      </c>
      <c r="B519" s="258"/>
      <c r="C519" s="232" t="s">
        <v>178</v>
      </c>
      <c r="D519" s="259">
        <f>(46.49+(3.5*1.22))*10.764</f>
        <v>546.38063999999997</v>
      </c>
      <c r="E519" s="233">
        <v>0</v>
      </c>
      <c r="F519" s="232">
        <f>D519*(($F$133)+1)+(IF(E519&lt;101,E519,IF(E519&lt;201,E519/2,IF(E519&lt;=301,E519/3,E519/4))))</f>
        <v>846.88999200000001</v>
      </c>
      <c r="G519" s="237"/>
      <c r="H519" s="237"/>
    </row>
    <row r="520" spans="1:8" x14ac:dyDescent="0.3">
      <c r="A520" s="224" t="s">
        <v>223</v>
      </c>
      <c r="B520" s="225"/>
      <c r="C520" s="225"/>
      <c r="D520" s="225"/>
      <c r="E520" s="225"/>
      <c r="F520" s="225"/>
      <c r="G520" s="225"/>
      <c r="H520" s="226"/>
    </row>
    <row r="521" spans="1:8" ht="54" customHeight="1" x14ac:dyDescent="0.3">
      <c r="A521" s="224" t="s">
        <v>221</v>
      </c>
      <c r="B521" s="225"/>
      <c r="C521" s="225"/>
      <c r="D521" s="225"/>
      <c r="E521" s="225"/>
      <c r="F521" s="225"/>
      <c r="G521" s="225"/>
      <c r="H521" s="226"/>
    </row>
    <row r="522" spans="1:8" x14ac:dyDescent="0.3">
      <c r="A522" s="260">
        <v>1</v>
      </c>
      <c r="B522" s="261"/>
      <c r="C522" s="232" t="s">
        <v>178</v>
      </c>
      <c r="D522" s="259">
        <f t="shared" ref="D522:D527" si="135">(46.49+(3.5*1.22))*10.764</f>
        <v>546.38063999999997</v>
      </c>
      <c r="E522" s="233">
        <v>0</v>
      </c>
      <c r="F522" s="232">
        <f t="shared" ref="F522:F527" si="136">D522*(($F$133)+1)+(IF(E522&lt;101,E522,IF(E522&lt;201,E522/2,IF(E522&lt;=301,E522/3,E522/4))))</f>
        <v>846.88999200000001</v>
      </c>
      <c r="G522" s="230" t="str">
        <f>A521</f>
        <v>14th Sale Floor (15th Sale Floor as per Builder)
 16th to 21st Sale Floor (17th to 22nd Sale Floor as per Builder)
23rd to 26th Sale Floor (24th to 27th Sale Floor as per Builder)</v>
      </c>
      <c r="H522" s="231"/>
    </row>
    <row r="523" spans="1:8" x14ac:dyDescent="0.3">
      <c r="A523" s="260">
        <f t="shared" si="134"/>
        <v>2</v>
      </c>
      <c r="B523" s="261"/>
      <c r="C523" s="232" t="s">
        <v>178</v>
      </c>
      <c r="D523" s="259">
        <f t="shared" si="135"/>
        <v>546.38063999999997</v>
      </c>
      <c r="E523" s="233">
        <v>0</v>
      </c>
      <c r="F523" s="232">
        <f t="shared" si="136"/>
        <v>846.88999200000001</v>
      </c>
      <c r="G523" s="234"/>
      <c r="H523" s="235"/>
    </row>
    <row r="524" spans="1:8" x14ac:dyDescent="0.3">
      <c r="A524" s="260">
        <v>3</v>
      </c>
      <c r="B524" s="261"/>
      <c r="C524" s="232" t="s">
        <v>178</v>
      </c>
      <c r="D524" s="259">
        <f t="shared" si="135"/>
        <v>546.38063999999997</v>
      </c>
      <c r="E524" s="233">
        <v>0</v>
      </c>
      <c r="F524" s="232">
        <f t="shared" si="136"/>
        <v>846.88999200000001</v>
      </c>
      <c r="G524" s="234"/>
      <c r="H524" s="235"/>
    </row>
    <row r="525" spans="1:8" x14ac:dyDescent="0.3">
      <c r="A525" s="260">
        <f t="shared" si="134"/>
        <v>4</v>
      </c>
      <c r="B525" s="261"/>
      <c r="C525" s="232" t="s">
        <v>178</v>
      </c>
      <c r="D525" s="259">
        <f t="shared" si="135"/>
        <v>546.38063999999997</v>
      </c>
      <c r="E525" s="233">
        <v>0</v>
      </c>
      <c r="F525" s="232">
        <f t="shared" si="136"/>
        <v>846.88999200000001</v>
      </c>
      <c r="G525" s="234"/>
      <c r="H525" s="235"/>
    </row>
    <row r="526" spans="1:8" x14ac:dyDescent="0.3">
      <c r="A526" s="260">
        <f t="shared" si="134"/>
        <v>5</v>
      </c>
      <c r="B526" s="261"/>
      <c r="C526" s="232" t="s">
        <v>178</v>
      </c>
      <c r="D526" s="259">
        <f t="shared" si="135"/>
        <v>546.38063999999997</v>
      </c>
      <c r="E526" s="233">
        <v>0</v>
      </c>
      <c r="F526" s="232">
        <f t="shared" si="136"/>
        <v>846.88999200000001</v>
      </c>
      <c r="G526" s="234"/>
      <c r="H526" s="235"/>
    </row>
    <row r="527" spans="1:8" x14ac:dyDescent="0.3">
      <c r="A527" s="262">
        <f t="shared" si="134"/>
        <v>6</v>
      </c>
      <c r="B527" s="263"/>
      <c r="C527" s="232" t="s">
        <v>178</v>
      </c>
      <c r="D527" s="259">
        <f t="shared" si="135"/>
        <v>546.38063999999997</v>
      </c>
      <c r="E527" s="264">
        <v>0</v>
      </c>
      <c r="F527" s="265">
        <f t="shared" si="136"/>
        <v>846.88999200000001</v>
      </c>
      <c r="G527" s="234"/>
      <c r="H527" s="235"/>
    </row>
    <row r="528" spans="1:8" x14ac:dyDescent="0.3">
      <c r="A528" s="257" t="s">
        <v>224</v>
      </c>
      <c r="B528" s="257"/>
      <c r="C528" s="257"/>
      <c r="D528" s="257"/>
      <c r="E528" s="257"/>
      <c r="F528" s="257"/>
      <c r="G528" s="257"/>
      <c r="H528" s="257"/>
    </row>
    <row r="529" spans="1:10" x14ac:dyDescent="0.3">
      <c r="A529" s="258">
        <v>1</v>
      </c>
      <c r="B529" s="258"/>
      <c r="C529" s="232" t="s">
        <v>178</v>
      </c>
      <c r="D529" s="259">
        <f t="shared" ref="D529:D534" si="137">(46.49+(3.5*1.22))*10.764</f>
        <v>546.38063999999997</v>
      </c>
      <c r="E529" s="233">
        <v>0</v>
      </c>
      <c r="F529" s="232">
        <f t="shared" ref="F529:F534" si="138">D529*(($F$133)+1)+(IF(E529&lt;101,E529,IF(E529&lt;201,E529/2,IF(E529&lt;=301,E529/3,E529/4))))</f>
        <v>846.88999200000001</v>
      </c>
      <c r="G529" s="237" t="str">
        <f>A528</f>
        <v>15th &amp; 22nd Floor (16th &amp; 23rd Floor as per Builder)</v>
      </c>
      <c r="H529" s="237"/>
    </row>
    <row r="530" spans="1:10" x14ac:dyDescent="0.3">
      <c r="A530" s="258">
        <f t="shared" si="134"/>
        <v>2</v>
      </c>
      <c r="B530" s="258"/>
      <c r="C530" s="232" t="s">
        <v>178</v>
      </c>
      <c r="D530" s="259">
        <f t="shared" si="137"/>
        <v>546.38063999999997</v>
      </c>
      <c r="E530" s="233">
        <v>0</v>
      </c>
      <c r="F530" s="232">
        <f t="shared" si="138"/>
        <v>846.88999200000001</v>
      </c>
      <c r="G530" s="237"/>
      <c r="H530" s="237"/>
    </row>
    <row r="531" spans="1:10" x14ac:dyDescent="0.3">
      <c r="A531" s="258">
        <v>3</v>
      </c>
      <c r="B531" s="258"/>
      <c r="C531" s="232" t="s">
        <v>178</v>
      </c>
      <c r="D531" s="259">
        <f t="shared" si="137"/>
        <v>546.38063999999997</v>
      </c>
      <c r="E531" s="233">
        <v>0</v>
      </c>
      <c r="F531" s="232">
        <f t="shared" si="138"/>
        <v>846.88999200000001</v>
      </c>
      <c r="G531" s="237"/>
      <c r="H531" s="237"/>
    </row>
    <row r="532" spans="1:10" x14ac:dyDescent="0.3">
      <c r="A532" s="258">
        <f t="shared" si="134"/>
        <v>4</v>
      </c>
      <c r="B532" s="258"/>
      <c r="C532" s="232" t="s">
        <v>178</v>
      </c>
      <c r="D532" s="259">
        <f t="shared" si="137"/>
        <v>546.38063999999997</v>
      </c>
      <c r="E532" s="233">
        <v>0</v>
      </c>
      <c r="F532" s="232">
        <f t="shared" si="138"/>
        <v>846.88999200000001</v>
      </c>
      <c r="G532" s="237"/>
      <c r="H532" s="237"/>
    </row>
    <row r="533" spans="1:10" x14ac:dyDescent="0.3">
      <c r="A533" s="258">
        <f t="shared" si="134"/>
        <v>5</v>
      </c>
      <c r="B533" s="258"/>
      <c r="C533" s="232" t="s">
        <v>178</v>
      </c>
      <c r="D533" s="259">
        <f t="shared" si="137"/>
        <v>546.38063999999997</v>
      </c>
      <c r="E533" s="233">
        <v>0</v>
      </c>
      <c r="F533" s="232">
        <f t="shared" si="138"/>
        <v>846.88999200000001</v>
      </c>
      <c r="G533" s="237"/>
      <c r="H533" s="237"/>
    </row>
    <row r="534" spans="1:10" x14ac:dyDescent="0.3">
      <c r="A534" s="258">
        <f t="shared" si="134"/>
        <v>6</v>
      </c>
      <c r="B534" s="258"/>
      <c r="C534" s="232" t="s">
        <v>178</v>
      </c>
      <c r="D534" s="259">
        <f t="shared" si="137"/>
        <v>546.38063999999997</v>
      </c>
      <c r="E534" s="233">
        <v>0</v>
      </c>
      <c r="F534" s="232">
        <f t="shared" si="138"/>
        <v>846.88999200000001</v>
      </c>
      <c r="G534" s="237"/>
      <c r="H534" s="237"/>
    </row>
    <row r="535" spans="1:10" x14ac:dyDescent="0.3">
      <c r="A535" s="266" t="s">
        <v>67</v>
      </c>
      <c r="B535" s="266"/>
      <c r="C535" s="266"/>
      <c r="D535" s="266"/>
      <c r="E535" s="266"/>
      <c r="F535" s="266"/>
      <c r="G535" s="266"/>
      <c r="H535" s="266"/>
    </row>
    <row r="536" spans="1:10" ht="35.4" customHeight="1" x14ac:dyDescent="0.3">
      <c r="A536" s="267" t="s">
        <v>147</v>
      </c>
      <c r="B536" s="268" t="s">
        <v>313</v>
      </c>
      <c r="C536" s="269"/>
      <c r="D536" s="269"/>
      <c r="E536" s="269"/>
      <c r="F536" s="269"/>
      <c r="G536" s="269"/>
      <c r="H536" s="270"/>
      <c r="I536" s="20" t="s">
        <v>259</v>
      </c>
      <c r="J536" s="20" t="s">
        <v>256</v>
      </c>
    </row>
    <row r="537" spans="1:10" x14ac:dyDescent="0.3">
      <c r="A537" s="271" t="s">
        <v>147</v>
      </c>
      <c r="B537" s="268" t="str">
        <f>(IF(F132="Saleable area Loading :","We have considered Saleable area of Flats as per our Calculation.","We considered Saleable area of Flat as per Builder area Sheet."))</f>
        <v>We have considered Saleable area of Flats as per our Calculation.</v>
      </c>
      <c r="C537" s="269"/>
      <c r="D537" s="269"/>
      <c r="E537" s="269"/>
      <c r="F537" s="269"/>
      <c r="G537" s="269"/>
      <c r="H537" s="270"/>
    </row>
    <row r="538" spans="1:10" x14ac:dyDescent="0.3">
      <c r="A538" s="271" t="s">
        <v>147</v>
      </c>
      <c r="B538" s="272" t="s">
        <v>118</v>
      </c>
      <c r="C538" s="273"/>
      <c r="D538" s="273"/>
      <c r="E538" s="273"/>
      <c r="F538" s="273"/>
      <c r="G538" s="273"/>
      <c r="H538" s="274"/>
    </row>
    <row r="539" spans="1:10" x14ac:dyDescent="0.3">
      <c r="A539" s="43" t="s">
        <v>147</v>
      </c>
      <c r="B539" s="89" t="s">
        <v>228</v>
      </c>
      <c r="C539" s="90"/>
      <c r="D539" s="90"/>
      <c r="E539" s="90"/>
      <c r="F539" s="90"/>
      <c r="G539" s="90"/>
      <c r="H539" s="91"/>
    </row>
    <row r="540" spans="1:10" x14ac:dyDescent="0.3">
      <c r="A540" s="43" t="s">
        <v>147</v>
      </c>
      <c r="B540" s="89" t="s">
        <v>146</v>
      </c>
      <c r="C540" s="90"/>
      <c r="D540" s="90"/>
      <c r="E540" s="90"/>
      <c r="F540" s="90"/>
      <c r="G540" s="90"/>
      <c r="H540" s="91"/>
    </row>
    <row r="541" spans="1:10" x14ac:dyDescent="0.3">
      <c r="A541" s="43" t="s">
        <v>147</v>
      </c>
      <c r="B541" s="89" t="s">
        <v>119</v>
      </c>
      <c r="C541" s="90"/>
      <c r="D541" s="90"/>
      <c r="E541" s="90"/>
      <c r="F541" s="90"/>
      <c r="G541" s="90"/>
      <c r="H541" s="91"/>
    </row>
    <row r="542" spans="1:10" ht="34.5" customHeight="1" x14ac:dyDescent="0.3">
      <c r="A542" s="43" t="s">
        <v>147</v>
      </c>
      <c r="B542" s="89" t="s">
        <v>148</v>
      </c>
      <c r="C542" s="90"/>
      <c r="D542" s="90"/>
      <c r="E542" s="90"/>
      <c r="F542" s="90"/>
      <c r="G542" s="90"/>
      <c r="H542" s="91"/>
    </row>
    <row r="543" spans="1:10" x14ac:dyDescent="0.3">
      <c r="A543" s="43" t="s">
        <v>147</v>
      </c>
      <c r="B543" s="89" t="s">
        <v>120</v>
      </c>
      <c r="C543" s="90"/>
      <c r="D543" s="90"/>
      <c r="E543" s="90"/>
      <c r="F543" s="90"/>
      <c r="G543" s="90"/>
      <c r="H543" s="91"/>
    </row>
    <row r="544" spans="1:10" x14ac:dyDescent="0.3">
      <c r="A544" s="43" t="s">
        <v>147</v>
      </c>
      <c r="B544" s="89" t="s">
        <v>233</v>
      </c>
      <c r="C544" s="90"/>
      <c r="D544" s="90"/>
      <c r="E544" s="90"/>
      <c r="F544" s="90"/>
      <c r="G544" s="90"/>
      <c r="H544" s="91"/>
    </row>
    <row r="545" spans="1:14" x14ac:dyDescent="0.3">
      <c r="A545" s="43" t="s">
        <v>147</v>
      </c>
      <c r="B545" s="89" t="s">
        <v>240</v>
      </c>
      <c r="C545" s="90"/>
      <c r="D545" s="90"/>
      <c r="E545" s="90"/>
      <c r="F545" s="90"/>
      <c r="G545" s="90"/>
      <c r="H545" s="91"/>
    </row>
    <row r="546" spans="1:14" ht="36.75" customHeight="1" x14ac:dyDescent="0.3">
      <c r="A546" s="43" t="s">
        <v>147</v>
      </c>
      <c r="B546" s="89" t="s">
        <v>241</v>
      </c>
      <c r="C546" s="90"/>
      <c r="D546" s="90"/>
      <c r="E546" s="90"/>
      <c r="F546" s="90"/>
      <c r="G546" s="90"/>
      <c r="H546" s="91"/>
    </row>
    <row r="547" spans="1:14" ht="15.75" hidden="1" customHeight="1" x14ac:dyDescent="0.3">
      <c r="A547" s="43" t="s">
        <v>147</v>
      </c>
      <c r="B547" s="89" t="s">
        <v>243</v>
      </c>
      <c r="C547" s="90"/>
      <c r="D547" s="90"/>
      <c r="E547" s="90"/>
      <c r="F547" s="90"/>
      <c r="G547" s="90"/>
      <c r="H547" s="91"/>
      <c r="K547" s="84"/>
      <c r="L547" s="85"/>
      <c r="M547" s="84"/>
      <c r="N547" s="85"/>
    </row>
    <row r="548" spans="1:14" ht="36.75" customHeight="1" x14ac:dyDescent="0.3">
      <c r="A548" s="86" t="s">
        <v>147</v>
      </c>
      <c r="B548" s="89" t="s">
        <v>253</v>
      </c>
      <c r="C548" s="90"/>
      <c r="D548" s="90"/>
      <c r="E548" s="90"/>
      <c r="F548" s="90"/>
      <c r="G548" s="90"/>
      <c r="H548" s="91"/>
      <c r="K548" s="82"/>
      <c r="L548" s="83"/>
      <c r="M548" s="82"/>
      <c r="N548" s="83"/>
    </row>
    <row r="549" spans="1:14" x14ac:dyDescent="0.3">
      <c r="A549" s="87"/>
      <c r="B549" s="92" t="s">
        <v>244</v>
      </c>
      <c r="C549" s="92"/>
      <c r="D549" s="92"/>
      <c r="E549" s="92" t="s">
        <v>255</v>
      </c>
      <c r="F549" s="92"/>
      <c r="G549" s="92"/>
      <c r="H549" s="92"/>
    </row>
    <row r="550" spans="1:14" x14ac:dyDescent="0.3">
      <c r="A550" s="87"/>
      <c r="B550" s="92" t="s">
        <v>249</v>
      </c>
      <c r="C550" s="92"/>
      <c r="D550" s="92"/>
      <c r="E550" s="92" t="s">
        <v>248</v>
      </c>
      <c r="F550" s="92"/>
      <c r="G550" s="92"/>
      <c r="H550" s="92"/>
    </row>
    <row r="551" spans="1:14" x14ac:dyDescent="0.3">
      <c r="A551" s="87"/>
      <c r="B551" s="92" t="s">
        <v>219</v>
      </c>
      <c r="C551" s="92"/>
      <c r="D551" s="92"/>
      <c r="E551" s="92" t="s">
        <v>250</v>
      </c>
      <c r="F551" s="92"/>
      <c r="G551" s="92"/>
      <c r="H551" s="92"/>
    </row>
    <row r="552" spans="1:14" x14ac:dyDescent="0.3">
      <c r="A552" s="88"/>
      <c r="B552" s="92" t="s">
        <v>223</v>
      </c>
      <c r="C552" s="92"/>
      <c r="D552" s="92"/>
      <c r="E552" s="92" t="s">
        <v>251</v>
      </c>
      <c r="F552" s="92"/>
      <c r="G552" s="92"/>
      <c r="H552" s="92"/>
    </row>
    <row r="553" spans="1:14" hidden="1" x14ac:dyDescent="0.3">
      <c r="A553" s="43" t="s">
        <v>147</v>
      </c>
      <c r="B553" s="89" t="s">
        <v>320</v>
      </c>
      <c r="C553" s="90"/>
      <c r="D553" s="90"/>
      <c r="E553" s="90"/>
      <c r="F553" s="90"/>
      <c r="G553" s="90"/>
      <c r="H553" s="91"/>
    </row>
    <row r="554" spans="1:14" x14ac:dyDescent="0.3">
      <c r="A554" s="43" t="s">
        <v>147</v>
      </c>
      <c r="B554" s="156" t="s">
        <v>305</v>
      </c>
      <c r="C554" s="157"/>
      <c r="D554" s="157"/>
      <c r="E554" s="157"/>
      <c r="F554" s="157"/>
      <c r="G554" s="157"/>
      <c r="H554" s="158"/>
    </row>
    <row r="555" spans="1:14" ht="54" hidden="1" customHeight="1" x14ac:dyDescent="0.3">
      <c r="A555" s="43" t="s">
        <v>147</v>
      </c>
      <c r="B555" s="67" t="s">
        <v>302</v>
      </c>
      <c r="C555" s="68"/>
      <c r="D555" s="68"/>
      <c r="E555" s="68"/>
      <c r="F555" s="68"/>
      <c r="G555" s="68"/>
      <c r="H555" s="69"/>
    </row>
    <row r="556" spans="1:14" x14ac:dyDescent="0.3">
      <c r="A556" s="43" t="s">
        <v>147</v>
      </c>
      <c r="B556" s="89" t="s">
        <v>243</v>
      </c>
      <c r="C556" s="90"/>
      <c r="D556" s="90"/>
      <c r="E556" s="90"/>
      <c r="F556" s="90"/>
      <c r="G556" s="90"/>
      <c r="H556" s="91"/>
    </row>
    <row r="557" spans="1:14" x14ac:dyDescent="0.3">
      <c r="A557" s="155" t="s">
        <v>60</v>
      </c>
      <c r="B557" s="155"/>
      <c r="C557" s="155"/>
      <c r="D557" s="155"/>
      <c r="E557" s="155"/>
      <c r="F557" s="155"/>
      <c r="G557" s="155"/>
      <c r="H557" s="155"/>
    </row>
    <row r="558" spans="1:14" x14ac:dyDescent="0.3">
      <c r="A558" s="115" t="s">
        <v>61</v>
      </c>
      <c r="B558" s="115"/>
      <c r="C558" s="115"/>
      <c r="D558" s="115"/>
      <c r="E558" s="115"/>
      <c r="F558" s="115"/>
      <c r="G558" s="115"/>
      <c r="H558" s="115"/>
    </row>
    <row r="559" spans="1:14" x14ac:dyDescent="0.3">
      <c r="A559" s="148" t="s">
        <v>62</v>
      </c>
      <c r="B559" s="148"/>
      <c r="C559" s="148"/>
      <c r="D559" s="148"/>
      <c r="E559" s="148"/>
      <c r="F559" s="148"/>
      <c r="G559" s="148"/>
      <c r="H559" s="148"/>
    </row>
    <row r="560" spans="1:14" x14ac:dyDescent="0.3">
      <c r="A560" s="115" t="s">
        <v>63</v>
      </c>
      <c r="B560" s="115"/>
      <c r="C560" s="115"/>
      <c r="D560" s="115"/>
      <c r="E560" s="115"/>
      <c r="F560" s="115"/>
      <c r="G560" s="115"/>
      <c r="H560" s="115"/>
    </row>
    <row r="561" spans="1:8" x14ac:dyDescent="0.3">
      <c r="A561" s="115" t="s">
        <v>64</v>
      </c>
      <c r="B561" s="115"/>
      <c r="C561" s="115"/>
      <c r="D561" s="115"/>
      <c r="E561" s="115"/>
      <c r="F561" s="115"/>
      <c r="G561" s="115"/>
      <c r="H561" s="115"/>
    </row>
    <row r="562" spans="1:8" hidden="1" x14ac:dyDescent="0.3">
      <c r="A562" s="115" t="s">
        <v>121</v>
      </c>
      <c r="B562" s="115"/>
      <c r="C562" s="115"/>
      <c r="D562" s="115"/>
      <c r="E562" s="115"/>
      <c r="F562" s="115"/>
      <c r="G562" s="115"/>
      <c r="H562" s="115"/>
    </row>
    <row r="563" spans="1:8" hidden="1" x14ac:dyDescent="0.3">
      <c r="A563" s="122" t="s">
        <v>122</v>
      </c>
      <c r="B563" s="122"/>
      <c r="C563" s="122"/>
      <c r="D563" s="122"/>
      <c r="E563" s="122"/>
      <c r="F563" s="122"/>
      <c r="G563" s="122"/>
      <c r="H563" s="122"/>
    </row>
    <row r="564" spans="1:8" x14ac:dyDescent="0.3">
      <c r="A564" s="163" t="s">
        <v>75</v>
      </c>
      <c r="B564" s="163"/>
      <c r="C564" s="163" t="s">
        <v>304</v>
      </c>
      <c r="D564" s="163"/>
      <c r="E564" s="163" t="s">
        <v>103</v>
      </c>
      <c r="F564" s="163"/>
      <c r="G564" s="163" t="s">
        <v>303</v>
      </c>
      <c r="H564" s="163"/>
    </row>
    <row r="565" spans="1:8" x14ac:dyDescent="0.3">
      <c r="A565" s="162" t="s">
        <v>76</v>
      </c>
      <c r="B565" s="162"/>
      <c r="C565" s="162"/>
      <c r="D565" s="162"/>
      <c r="E565" s="162"/>
      <c r="F565" s="162"/>
      <c r="G565" s="162"/>
      <c r="H565" s="162"/>
    </row>
    <row r="566" spans="1:8" x14ac:dyDescent="0.3">
      <c r="A566" s="162"/>
      <c r="B566" s="162"/>
      <c r="C566" s="162"/>
      <c r="D566" s="162"/>
      <c r="E566" s="162"/>
      <c r="F566" s="162"/>
      <c r="G566" s="162"/>
      <c r="H566" s="162"/>
    </row>
    <row r="567" spans="1:8" x14ac:dyDescent="0.3">
      <c r="A567" s="162"/>
      <c r="B567" s="162"/>
      <c r="C567" s="162"/>
      <c r="D567" s="162"/>
      <c r="E567" s="162"/>
      <c r="F567" s="162"/>
      <c r="G567" s="162"/>
      <c r="H567" s="162"/>
    </row>
    <row r="568" spans="1:8" x14ac:dyDescent="0.3">
      <c r="A568" s="37" t="s">
        <v>65</v>
      </c>
      <c r="B568" s="38"/>
      <c r="C568" s="38"/>
      <c r="D568" s="37" t="str">
        <f>E8</f>
        <v>Lodha Vikhroli (Tower C1 &amp; C3)</v>
      </c>
      <c r="F568" s="38"/>
      <c r="G568" s="38"/>
      <c r="H568" s="38"/>
    </row>
    <row r="569" spans="1:8" x14ac:dyDescent="0.3">
      <c r="A569" s="38"/>
      <c r="B569" s="38"/>
      <c r="C569" s="38"/>
      <c r="D569" s="38"/>
      <c r="E569" s="38"/>
      <c r="F569" s="38"/>
      <c r="G569" s="38"/>
      <c r="H569" s="38"/>
    </row>
    <row r="570" spans="1:8" x14ac:dyDescent="0.3">
      <c r="A570" s="38"/>
      <c r="B570" s="38"/>
      <c r="C570" s="38"/>
      <c r="D570" s="38"/>
      <c r="E570" s="38"/>
      <c r="F570" s="38"/>
      <c r="G570" s="38"/>
      <c r="H570" s="38"/>
    </row>
    <row r="610" spans="1:1" x14ac:dyDescent="0.3">
      <c r="A610" s="40" t="s">
        <v>160</v>
      </c>
    </row>
    <row r="653" spans="1:1" x14ac:dyDescent="0.3">
      <c r="A653" s="40" t="s">
        <v>254</v>
      </c>
    </row>
    <row r="694" spans="1:1" x14ac:dyDescent="0.3">
      <c r="A694" s="40" t="s">
        <v>66</v>
      </c>
    </row>
  </sheetData>
  <mergeCells count="1071">
    <mergeCell ref="B553:H553"/>
    <mergeCell ref="A124:B124"/>
    <mergeCell ref="C124:D124"/>
    <mergeCell ref="E124:F124"/>
    <mergeCell ref="G124:H124"/>
    <mergeCell ref="A126:B126"/>
    <mergeCell ref="C126:D126"/>
    <mergeCell ref="E126:F126"/>
    <mergeCell ref="G126:H126"/>
    <mergeCell ref="L126:M126"/>
    <mergeCell ref="A221:B221"/>
    <mergeCell ref="C221:F223"/>
    <mergeCell ref="L221:M221"/>
    <mergeCell ref="A222:B222"/>
    <mergeCell ref="L222:M222"/>
    <mergeCell ref="A223:B223"/>
    <mergeCell ref="L223:M223"/>
    <mergeCell ref="G217:H223"/>
    <mergeCell ref="A228:B228"/>
    <mergeCell ref="C228:F228"/>
    <mergeCell ref="L228:M228"/>
    <mergeCell ref="G225:H231"/>
    <mergeCell ref="L213:M213"/>
    <mergeCell ref="A214:B214"/>
    <mergeCell ref="L214:M214"/>
    <mergeCell ref="A215:B215"/>
    <mergeCell ref="L215:M215"/>
    <mergeCell ref="G207:H215"/>
    <mergeCell ref="A220:B220"/>
    <mergeCell ref="C220:F220"/>
    <mergeCell ref="L220:M220"/>
    <mergeCell ref="C198:F200"/>
    <mergeCell ref="A202:B202"/>
    <mergeCell ref="C202:F202"/>
    <mergeCell ref="L202:M202"/>
    <mergeCell ref="A203:B203"/>
    <mergeCell ref="C203:F205"/>
    <mergeCell ref="L203:M203"/>
    <mergeCell ref="A204:B204"/>
    <mergeCell ref="L204:M204"/>
    <mergeCell ref="A205:B205"/>
    <mergeCell ref="L205:M205"/>
    <mergeCell ref="G197:H205"/>
    <mergeCell ref="A192:B192"/>
    <mergeCell ref="C192:F192"/>
    <mergeCell ref="L192:M192"/>
    <mergeCell ref="A193:B193"/>
    <mergeCell ref="C193:F195"/>
    <mergeCell ref="L193:M193"/>
    <mergeCell ref="A194:B194"/>
    <mergeCell ref="L194:M194"/>
    <mergeCell ref="A195:B195"/>
    <mergeCell ref="L195:M195"/>
    <mergeCell ref="G187:H195"/>
    <mergeCell ref="A182:B182"/>
    <mergeCell ref="C182:F182"/>
    <mergeCell ref="L182:M182"/>
    <mergeCell ref="A183:B183"/>
    <mergeCell ref="C183:F185"/>
    <mergeCell ref="L183:M183"/>
    <mergeCell ref="A184:B184"/>
    <mergeCell ref="L184:M184"/>
    <mergeCell ref="A185:B185"/>
    <mergeCell ref="L185:M185"/>
    <mergeCell ref="G177:H185"/>
    <mergeCell ref="A172:B172"/>
    <mergeCell ref="C172:F172"/>
    <mergeCell ref="L172:M172"/>
    <mergeCell ref="A173:B173"/>
    <mergeCell ref="C173:F175"/>
    <mergeCell ref="L173:M173"/>
    <mergeCell ref="A174:B174"/>
    <mergeCell ref="L174:M174"/>
    <mergeCell ref="A175:B175"/>
    <mergeCell ref="L175:M175"/>
    <mergeCell ref="G168:H175"/>
    <mergeCell ref="G444:H462"/>
    <mergeCell ref="A483:H483"/>
    <mergeCell ref="A484:B484"/>
    <mergeCell ref="G484:H502"/>
    <mergeCell ref="A143:B143"/>
    <mergeCell ref="L143:M143"/>
    <mergeCell ref="A144:B144"/>
    <mergeCell ref="L144:M144"/>
    <mergeCell ref="A145:B145"/>
    <mergeCell ref="L145:M145"/>
    <mergeCell ref="A146:B146"/>
    <mergeCell ref="L146:M146"/>
    <mergeCell ref="G138:H146"/>
    <mergeCell ref="C146:F146"/>
    <mergeCell ref="C143:F143"/>
    <mergeCell ref="C144:F144"/>
    <mergeCell ref="C145:F145"/>
    <mergeCell ref="A153:B153"/>
    <mergeCell ref="C153:F153"/>
    <mergeCell ref="L153:M153"/>
    <mergeCell ref="A154:B154"/>
    <mergeCell ref="L154:M154"/>
    <mergeCell ref="A495:B495"/>
    <mergeCell ref="A496:B496"/>
    <mergeCell ref="A497:B497"/>
    <mergeCell ref="A488:B488"/>
    <mergeCell ref="A489:B489"/>
    <mergeCell ref="B556:H556"/>
    <mergeCell ref="A498:B498"/>
    <mergeCell ref="C488:F493"/>
    <mergeCell ref="A503:H503"/>
    <mergeCell ref="A505:B505"/>
    <mergeCell ref="B546:H546"/>
    <mergeCell ref="A512:H512"/>
    <mergeCell ref="A508:B508"/>
    <mergeCell ref="A509:B509"/>
    <mergeCell ref="A510:B510"/>
    <mergeCell ref="A516:B516"/>
    <mergeCell ref="B545:H545"/>
    <mergeCell ref="A534:B534"/>
    <mergeCell ref="G522:H527"/>
    <mergeCell ref="A523:B523"/>
    <mergeCell ref="A524:B524"/>
    <mergeCell ref="A525:B525"/>
    <mergeCell ref="A526:B526"/>
    <mergeCell ref="A527:B527"/>
    <mergeCell ref="A521:H521"/>
    <mergeCell ref="A522:B522"/>
    <mergeCell ref="A528:H528"/>
    <mergeCell ref="A517:B517"/>
    <mergeCell ref="A518:B518"/>
    <mergeCell ref="A519:B519"/>
    <mergeCell ref="A501:B501"/>
    <mergeCell ref="A502:B502"/>
    <mergeCell ref="G505:H511"/>
    <mergeCell ref="A520:H520"/>
    <mergeCell ref="A463:H463"/>
    <mergeCell ref="A464:B464"/>
    <mergeCell ref="G464:H482"/>
    <mergeCell ref="A465:B465"/>
    <mergeCell ref="A466:B466"/>
    <mergeCell ref="A467:B467"/>
    <mergeCell ref="A468:B468"/>
    <mergeCell ref="A469:B469"/>
    <mergeCell ref="A470:B470"/>
    <mergeCell ref="A471:B471"/>
    <mergeCell ref="A472:B472"/>
    <mergeCell ref="A511:B511"/>
    <mergeCell ref="A499:B499"/>
    <mergeCell ref="A500:B500"/>
    <mergeCell ref="A504:H504"/>
    <mergeCell ref="A506:B506"/>
    <mergeCell ref="A507:B507"/>
    <mergeCell ref="A485:B485"/>
    <mergeCell ref="A514:B514"/>
    <mergeCell ref="A515:B515"/>
    <mergeCell ref="A454:B454"/>
    <mergeCell ref="A455:B455"/>
    <mergeCell ref="A456:B456"/>
    <mergeCell ref="A457:B457"/>
    <mergeCell ref="A473:B473"/>
    <mergeCell ref="A474:B474"/>
    <mergeCell ref="A486:B486"/>
    <mergeCell ref="A487:B487"/>
    <mergeCell ref="E125:F125"/>
    <mergeCell ref="A482:B482"/>
    <mergeCell ref="A475:B475"/>
    <mergeCell ref="A459:B459"/>
    <mergeCell ref="A460:B460"/>
    <mergeCell ref="A461:B461"/>
    <mergeCell ref="A476:B476"/>
    <mergeCell ref="A477:B477"/>
    <mergeCell ref="A478:B478"/>
    <mergeCell ref="A479:B479"/>
    <mergeCell ref="A480:B480"/>
    <mergeCell ref="A481:B481"/>
    <mergeCell ref="A155:B155"/>
    <mergeCell ref="A156:B156"/>
    <mergeCell ref="A490:B490"/>
    <mergeCell ref="A491:B491"/>
    <mergeCell ref="A492:B492"/>
    <mergeCell ref="A493:B493"/>
    <mergeCell ref="A494:B494"/>
    <mergeCell ref="A50:H50"/>
    <mergeCell ref="D64:H64"/>
    <mergeCell ref="A64:C64"/>
    <mergeCell ref="G53:H53"/>
    <mergeCell ref="A55:B56"/>
    <mergeCell ref="A54:B54"/>
    <mergeCell ref="C54:E54"/>
    <mergeCell ref="G54:H54"/>
    <mergeCell ref="A57:B58"/>
    <mergeCell ref="C57:E57"/>
    <mergeCell ref="G57:H57"/>
    <mergeCell ref="C58:H58"/>
    <mergeCell ref="C53:E53"/>
    <mergeCell ref="A59:B59"/>
    <mergeCell ref="C59:E59"/>
    <mergeCell ref="A61:C61"/>
    <mergeCell ref="A449:B449"/>
    <mergeCell ref="A450:B450"/>
    <mergeCell ref="A458:B458"/>
    <mergeCell ref="A39:H39"/>
    <mergeCell ref="A38:B38"/>
    <mergeCell ref="C38:E38"/>
    <mergeCell ref="F35:H35"/>
    <mergeCell ref="F36:H36"/>
    <mergeCell ref="A42:H42"/>
    <mergeCell ref="A67:C67"/>
    <mergeCell ref="A68:C68"/>
    <mergeCell ref="D67:H67"/>
    <mergeCell ref="D68:H68"/>
    <mergeCell ref="A45:D45"/>
    <mergeCell ref="E45:H45"/>
    <mergeCell ref="E46:H46"/>
    <mergeCell ref="E48:H48"/>
    <mergeCell ref="E49:H49"/>
    <mergeCell ref="A46:D46"/>
    <mergeCell ref="F38:H38"/>
    <mergeCell ref="A40:B40"/>
    <mergeCell ref="A48:D48"/>
    <mergeCell ref="A53:B53"/>
    <mergeCell ref="A60:H60"/>
    <mergeCell ref="A41:B41"/>
    <mergeCell ref="C41:H41"/>
    <mergeCell ref="A51:B51"/>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C20:D20"/>
    <mergeCell ref="E20:F20"/>
    <mergeCell ref="G20:H20"/>
    <mergeCell ref="A21:B21"/>
    <mergeCell ref="C21:D21"/>
    <mergeCell ref="E30:H30"/>
    <mergeCell ref="A27:D27"/>
    <mergeCell ref="E27:H27"/>
    <mergeCell ref="A30:D30"/>
    <mergeCell ref="A17:B17"/>
    <mergeCell ref="C17:H17"/>
    <mergeCell ref="C18:H18"/>
    <mergeCell ref="A15:D16"/>
    <mergeCell ref="G15:H15"/>
    <mergeCell ref="E15:F15"/>
    <mergeCell ref="E16:F16"/>
    <mergeCell ref="G16:H16"/>
    <mergeCell ref="E11:F11"/>
    <mergeCell ref="G11:H11"/>
    <mergeCell ref="E12:F12"/>
    <mergeCell ref="G12:H12"/>
    <mergeCell ref="E13:F13"/>
    <mergeCell ref="G13:H13"/>
    <mergeCell ref="A11:D13"/>
    <mergeCell ref="A18:B18"/>
    <mergeCell ref="A14:D14"/>
    <mergeCell ref="E14:H14"/>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0:D10"/>
    <mergeCell ref="E10:H10"/>
    <mergeCell ref="A24:D25"/>
    <mergeCell ref="E24:H25"/>
    <mergeCell ref="B539:H539"/>
    <mergeCell ref="A535:H535"/>
    <mergeCell ref="B132:B133"/>
    <mergeCell ref="A141:B141"/>
    <mergeCell ref="C76:H76"/>
    <mergeCell ref="A79:B79"/>
    <mergeCell ref="A81:B81"/>
    <mergeCell ref="E77:F77"/>
    <mergeCell ref="A70:C70"/>
    <mergeCell ref="D70:H70"/>
    <mergeCell ref="A73:C73"/>
    <mergeCell ref="D73:H73"/>
    <mergeCell ref="E78:F87"/>
    <mergeCell ref="G78:H87"/>
    <mergeCell ref="A86:B86"/>
    <mergeCell ref="A87:B87"/>
    <mergeCell ref="A85:B85"/>
    <mergeCell ref="A451:B451"/>
    <mergeCell ref="A452:B452"/>
    <mergeCell ref="A453:B453"/>
    <mergeCell ref="A565:H567"/>
    <mergeCell ref="A564:B564"/>
    <mergeCell ref="E564:F564"/>
    <mergeCell ref="C564:D564"/>
    <mergeCell ref="G564:H564"/>
    <mergeCell ref="A114:E114"/>
    <mergeCell ref="F114:H114"/>
    <mergeCell ref="A115:E115"/>
    <mergeCell ref="F115:H115"/>
    <mergeCell ref="A118:B118"/>
    <mergeCell ref="A560:H560"/>
    <mergeCell ref="A116:H116"/>
    <mergeCell ref="A563:H563"/>
    <mergeCell ref="A561:H561"/>
    <mergeCell ref="C118:D118"/>
    <mergeCell ref="E118:F118"/>
    <mergeCell ref="A132:A133"/>
    <mergeCell ref="A139:B139"/>
    <mergeCell ref="A140:B140"/>
    <mergeCell ref="B538:H538"/>
    <mergeCell ref="A462:B462"/>
    <mergeCell ref="A127:B127"/>
    <mergeCell ref="C127:D127"/>
    <mergeCell ref="E127:F127"/>
    <mergeCell ref="F108:H108"/>
    <mergeCell ref="A109:E109"/>
    <mergeCell ref="A111:E111"/>
    <mergeCell ref="A102:E102"/>
    <mergeCell ref="F106:H106"/>
    <mergeCell ref="A113:E113"/>
    <mergeCell ref="D62:H62"/>
    <mergeCell ref="A95:B95"/>
    <mergeCell ref="F104:H104"/>
    <mergeCell ref="A104:E104"/>
    <mergeCell ref="A106:E106"/>
    <mergeCell ref="A107:E107"/>
    <mergeCell ref="C74:H74"/>
    <mergeCell ref="A82:B82"/>
    <mergeCell ref="A69:C69"/>
    <mergeCell ref="D69:H69"/>
    <mergeCell ref="D65:H65"/>
    <mergeCell ref="A63:C63"/>
    <mergeCell ref="D63:H63"/>
    <mergeCell ref="A93:B93"/>
    <mergeCell ref="A94:B94"/>
    <mergeCell ref="A76:B76"/>
    <mergeCell ref="A74:B74"/>
    <mergeCell ref="G92:H101"/>
    <mergeCell ref="A562:H562"/>
    <mergeCell ref="A559:H559"/>
    <mergeCell ref="A117:B117"/>
    <mergeCell ref="D132:D133"/>
    <mergeCell ref="E132:E133"/>
    <mergeCell ref="G132:H133"/>
    <mergeCell ref="A83:B83"/>
    <mergeCell ref="F103:H103"/>
    <mergeCell ref="G118:H118"/>
    <mergeCell ref="A557:H557"/>
    <mergeCell ref="A558:H558"/>
    <mergeCell ref="E117:F117"/>
    <mergeCell ref="B543:H543"/>
    <mergeCell ref="B541:H541"/>
    <mergeCell ref="A130:H130"/>
    <mergeCell ref="B536:H536"/>
    <mergeCell ref="B537:H537"/>
    <mergeCell ref="A138:B138"/>
    <mergeCell ref="A135:H135"/>
    <mergeCell ref="A136:H136"/>
    <mergeCell ref="A142:B142"/>
    <mergeCell ref="B542:H542"/>
    <mergeCell ref="A108:E108"/>
    <mergeCell ref="L103:M103"/>
    <mergeCell ref="C40:H40"/>
    <mergeCell ref="A62:C62"/>
    <mergeCell ref="G59:H59"/>
    <mergeCell ref="C56:H56"/>
    <mergeCell ref="A71:C71"/>
    <mergeCell ref="D71:H71"/>
    <mergeCell ref="A72:C72"/>
    <mergeCell ref="D72:H72"/>
    <mergeCell ref="A78:B78"/>
    <mergeCell ref="G77:H77"/>
    <mergeCell ref="A103:E103"/>
    <mergeCell ref="F102:H102"/>
    <mergeCell ref="C51:H51"/>
    <mergeCell ref="A43:D43"/>
    <mergeCell ref="E43:H43"/>
    <mergeCell ref="A49:D49"/>
    <mergeCell ref="A47:D47"/>
    <mergeCell ref="E47:H47"/>
    <mergeCell ref="A88:B88"/>
    <mergeCell ref="C88:H88"/>
    <mergeCell ref="D66:H66"/>
    <mergeCell ref="A65:C66"/>
    <mergeCell ref="A97:B97"/>
    <mergeCell ref="A19:B19"/>
    <mergeCell ref="C19:H19"/>
    <mergeCell ref="E44:H44"/>
    <mergeCell ref="A44:D44"/>
    <mergeCell ref="A52:B52"/>
    <mergeCell ref="C52:E52"/>
    <mergeCell ref="G52:H52"/>
    <mergeCell ref="G55:H55"/>
    <mergeCell ref="D61:H61"/>
    <mergeCell ref="C55:E55"/>
    <mergeCell ref="A26:D26"/>
    <mergeCell ref="E26:H26"/>
    <mergeCell ref="E21:F21"/>
    <mergeCell ref="G21:H21"/>
    <mergeCell ref="A22:B22"/>
    <mergeCell ref="C22:D22"/>
    <mergeCell ref="E22:F22"/>
    <mergeCell ref="G22:H22"/>
    <mergeCell ref="A23:B23"/>
    <mergeCell ref="C23:D23"/>
    <mergeCell ref="E23:F23"/>
    <mergeCell ref="G23:H23"/>
    <mergeCell ref="E28:H28"/>
    <mergeCell ref="A20:B20"/>
    <mergeCell ref="L104:M104"/>
    <mergeCell ref="A131:H131"/>
    <mergeCell ref="A112:E112"/>
    <mergeCell ref="C132:C133"/>
    <mergeCell ref="A137:H137"/>
    <mergeCell ref="F112:H112"/>
    <mergeCell ref="F105:H105"/>
    <mergeCell ref="A110:E110"/>
    <mergeCell ref="A105:E105"/>
    <mergeCell ref="A134:H134"/>
    <mergeCell ref="C117:D117"/>
    <mergeCell ref="G117:H117"/>
    <mergeCell ref="L107:M107"/>
    <mergeCell ref="L113:M113"/>
    <mergeCell ref="A128:B128"/>
    <mergeCell ref="L109:M109"/>
    <mergeCell ref="L105:M105"/>
    <mergeCell ref="L106:M106"/>
    <mergeCell ref="F110:H110"/>
    <mergeCell ref="F113:H113"/>
    <mergeCell ref="F111:H111"/>
    <mergeCell ref="F109:H109"/>
    <mergeCell ref="F107:H107"/>
    <mergeCell ref="L110:M110"/>
    <mergeCell ref="A199:B199"/>
    <mergeCell ref="L111:M111"/>
    <mergeCell ref="C138:F138"/>
    <mergeCell ref="A196:H196"/>
    <mergeCell ref="L125:M125"/>
    <mergeCell ref="A198:B198"/>
    <mergeCell ref="L133:M133"/>
    <mergeCell ref="A200:B200"/>
    <mergeCell ref="L112:M112"/>
    <mergeCell ref="C125:D125"/>
    <mergeCell ref="L115:M115"/>
    <mergeCell ref="A122:H122"/>
    <mergeCell ref="A123:B123"/>
    <mergeCell ref="C123:D123"/>
    <mergeCell ref="E123:F123"/>
    <mergeCell ref="G123:H123"/>
    <mergeCell ref="A125:B125"/>
    <mergeCell ref="C119:D119"/>
    <mergeCell ref="G125:H125"/>
    <mergeCell ref="L155:M155"/>
    <mergeCell ref="L156:M156"/>
    <mergeCell ref="G148:H156"/>
    <mergeCell ref="L127:M127"/>
    <mergeCell ref="A201:B201"/>
    <mergeCell ref="L131:M131"/>
    <mergeCell ref="G127:H127"/>
    <mergeCell ref="L132:M132"/>
    <mergeCell ref="L198:M198"/>
    <mergeCell ref="L199:M199"/>
    <mergeCell ref="L134:M134"/>
    <mergeCell ref="L130:M130"/>
    <mergeCell ref="L136:M136"/>
    <mergeCell ref="L128:M128"/>
    <mergeCell ref="C128:D128"/>
    <mergeCell ref="E128:F128"/>
    <mergeCell ref="G128:H128"/>
    <mergeCell ref="A176:H176"/>
    <mergeCell ref="L176:M176"/>
    <mergeCell ref="A177:B177"/>
    <mergeCell ref="L177:M177"/>
    <mergeCell ref="A178:B178"/>
    <mergeCell ref="A179:B179"/>
    <mergeCell ref="L179:M179"/>
    <mergeCell ref="A180:B180"/>
    <mergeCell ref="L119:M119"/>
    <mergeCell ref="L120:M120"/>
    <mergeCell ref="L121:M121"/>
    <mergeCell ref="E119:F119"/>
    <mergeCell ref="G119:H119"/>
    <mergeCell ref="C120:D120"/>
    <mergeCell ref="E120:F120"/>
    <mergeCell ref="G120:H120"/>
    <mergeCell ref="A121:B121"/>
    <mergeCell ref="C121:D121"/>
    <mergeCell ref="E121:F121"/>
    <mergeCell ref="G121:H121"/>
    <mergeCell ref="C129:D129"/>
    <mergeCell ref="E129:F129"/>
    <mergeCell ref="G129:H129"/>
    <mergeCell ref="L196:M196"/>
    <mergeCell ref="L197:M197"/>
    <mergeCell ref="L236:M236"/>
    <mergeCell ref="A157:H157"/>
    <mergeCell ref="L157:M157"/>
    <mergeCell ref="A158:B158"/>
    <mergeCell ref="L158:M158"/>
    <mergeCell ref="L201:M201"/>
    <mergeCell ref="A197:B197"/>
    <mergeCell ref="L180:M180"/>
    <mergeCell ref="A181:B181"/>
    <mergeCell ref="L181:M181"/>
    <mergeCell ref="A186:H186"/>
    <mergeCell ref="C154:F156"/>
    <mergeCell ref="A163:B163"/>
    <mergeCell ref="C163:F163"/>
    <mergeCell ref="L163:M163"/>
    <mergeCell ref="A164:B164"/>
    <mergeCell ref="C164:F166"/>
    <mergeCell ref="L164:M164"/>
    <mergeCell ref="A266:B266"/>
    <mergeCell ref="L138:M138"/>
    <mergeCell ref="A267:B267"/>
    <mergeCell ref="L139:M139"/>
    <mergeCell ref="A268:B268"/>
    <mergeCell ref="L140:M140"/>
    <mergeCell ref="L141:M141"/>
    <mergeCell ref="L142:M142"/>
    <mergeCell ref="L200:M200"/>
    <mergeCell ref="A242:B242"/>
    <mergeCell ref="G234:H242"/>
    <mergeCell ref="C239:F239"/>
    <mergeCell ref="A238:B238"/>
    <mergeCell ref="A239:B239"/>
    <mergeCell ref="A241:B241"/>
    <mergeCell ref="A240:B240"/>
    <mergeCell ref="A235:B235"/>
    <mergeCell ref="A236:B236"/>
    <mergeCell ref="A237:B237"/>
    <mergeCell ref="A232:H232"/>
    <mergeCell ref="A233:H233"/>
    <mergeCell ref="A234:B234"/>
    <mergeCell ref="A165:B165"/>
    <mergeCell ref="L165:M165"/>
    <mergeCell ref="A322:B322"/>
    <mergeCell ref="G322:H330"/>
    <mergeCell ref="A323:B323"/>
    <mergeCell ref="A324:B324"/>
    <mergeCell ref="A325:B325"/>
    <mergeCell ref="A326:B326"/>
    <mergeCell ref="L268:M268"/>
    <mergeCell ref="L267:M267"/>
    <mergeCell ref="L269:M269"/>
    <mergeCell ref="C323:F325"/>
    <mergeCell ref="A448:B448"/>
    <mergeCell ref="L237:M237"/>
    <mergeCell ref="L238:M238"/>
    <mergeCell ref="L239:M239"/>
    <mergeCell ref="L240:M240"/>
    <mergeCell ref="L241:M241"/>
    <mergeCell ref="L242:M242"/>
    <mergeCell ref="L263:M263"/>
    <mergeCell ref="L265:M265"/>
    <mergeCell ref="L270:M270"/>
    <mergeCell ref="L271:M271"/>
    <mergeCell ref="A263:H263"/>
    <mergeCell ref="L266:M266"/>
    <mergeCell ref="A265:B265"/>
    <mergeCell ref="A264:B264"/>
    <mergeCell ref="G264:H272"/>
    <mergeCell ref="A269:B269"/>
    <mergeCell ref="A270:B270"/>
    <mergeCell ref="A271:B271"/>
    <mergeCell ref="A272:B272"/>
    <mergeCell ref="L272:M272"/>
    <mergeCell ref="L321:M321"/>
    <mergeCell ref="A321:H321"/>
    <mergeCell ref="A443:H443"/>
    <mergeCell ref="A441:H441"/>
    <mergeCell ref="A444:B444"/>
    <mergeCell ref="A445:B445"/>
    <mergeCell ref="A446:B446"/>
    <mergeCell ref="A447:B447"/>
    <mergeCell ref="A90:B90"/>
    <mergeCell ref="C90:H90"/>
    <mergeCell ref="A91:B91"/>
    <mergeCell ref="E91:F91"/>
    <mergeCell ref="G91:H91"/>
    <mergeCell ref="A92:B92"/>
    <mergeCell ref="E92:F101"/>
    <mergeCell ref="A96:B96"/>
    <mergeCell ref="A442:H442"/>
    <mergeCell ref="A119:A120"/>
    <mergeCell ref="A327:B327"/>
    <mergeCell ref="A328:B328"/>
    <mergeCell ref="A329:B329"/>
    <mergeCell ref="A98:B98"/>
    <mergeCell ref="A99:B99"/>
    <mergeCell ref="A100:B100"/>
    <mergeCell ref="A101:B101"/>
    <mergeCell ref="A330:B330"/>
    <mergeCell ref="K547:L547"/>
    <mergeCell ref="M547:N547"/>
    <mergeCell ref="A548:A552"/>
    <mergeCell ref="B548:H548"/>
    <mergeCell ref="C513:F516"/>
    <mergeCell ref="G513:H519"/>
    <mergeCell ref="B549:D549"/>
    <mergeCell ref="E549:H549"/>
    <mergeCell ref="B550:D550"/>
    <mergeCell ref="E550:H550"/>
    <mergeCell ref="B551:D551"/>
    <mergeCell ref="E551:H551"/>
    <mergeCell ref="B552:D552"/>
    <mergeCell ref="E552:H552"/>
    <mergeCell ref="B540:H540"/>
    <mergeCell ref="A529:B529"/>
    <mergeCell ref="G529:H534"/>
    <mergeCell ref="A530:B530"/>
    <mergeCell ref="A531:B531"/>
    <mergeCell ref="A532:B532"/>
    <mergeCell ref="A533:B533"/>
    <mergeCell ref="A513:B513"/>
    <mergeCell ref="B544:H544"/>
    <mergeCell ref="B547:H547"/>
    <mergeCell ref="I52:K52"/>
    <mergeCell ref="L52:M52"/>
    <mergeCell ref="I53:K53"/>
    <mergeCell ref="L53:M53"/>
    <mergeCell ref="I64:M64"/>
    <mergeCell ref="I48:L48"/>
    <mergeCell ref="A147:H147"/>
    <mergeCell ref="L147:M147"/>
    <mergeCell ref="A148:B148"/>
    <mergeCell ref="L148:M148"/>
    <mergeCell ref="A149:B149"/>
    <mergeCell ref="A150:B150"/>
    <mergeCell ref="L150:M150"/>
    <mergeCell ref="A151:B151"/>
    <mergeCell ref="L151:M151"/>
    <mergeCell ref="A152:B152"/>
    <mergeCell ref="L152:M152"/>
    <mergeCell ref="A84:B84"/>
    <mergeCell ref="A77:B77"/>
    <mergeCell ref="A80:B80"/>
    <mergeCell ref="L129:M129"/>
    <mergeCell ref="L137:M137"/>
    <mergeCell ref="A129:B129"/>
    <mergeCell ref="A159:B159"/>
    <mergeCell ref="A160:B160"/>
    <mergeCell ref="L160:M160"/>
    <mergeCell ref="A161:B161"/>
    <mergeCell ref="L161:M161"/>
    <mergeCell ref="A162:B162"/>
    <mergeCell ref="L162:M162"/>
    <mergeCell ref="A167:H167"/>
    <mergeCell ref="L167:M167"/>
    <mergeCell ref="A166:B166"/>
    <mergeCell ref="L166:M166"/>
    <mergeCell ref="G158:H166"/>
    <mergeCell ref="A168:B168"/>
    <mergeCell ref="L168:M168"/>
    <mergeCell ref="A169:B169"/>
    <mergeCell ref="A170:B170"/>
    <mergeCell ref="L170:M170"/>
    <mergeCell ref="A171:B171"/>
    <mergeCell ref="L171:M171"/>
    <mergeCell ref="L186:M186"/>
    <mergeCell ref="A187:B187"/>
    <mergeCell ref="L187:M187"/>
    <mergeCell ref="A188:B188"/>
    <mergeCell ref="A189:B189"/>
    <mergeCell ref="L189:M189"/>
    <mergeCell ref="A190:B190"/>
    <mergeCell ref="L190:M190"/>
    <mergeCell ref="A191:B191"/>
    <mergeCell ref="L191:M191"/>
    <mergeCell ref="A216:H216"/>
    <mergeCell ref="A217:B217"/>
    <mergeCell ref="A218:B218"/>
    <mergeCell ref="L218:M218"/>
    <mergeCell ref="A219:B219"/>
    <mergeCell ref="L219:M219"/>
    <mergeCell ref="A206:H206"/>
    <mergeCell ref="A207:B207"/>
    <mergeCell ref="L207:M207"/>
    <mergeCell ref="A208:B208"/>
    <mergeCell ref="L208:M208"/>
    <mergeCell ref="A209:B209"/>
    <mergeCell ref="L209:M209"/>
    <mergeCell ref="A210:B210"/>
    <mergeCell ref="L210:M210"/>
    <mergeCell ref="A211:B211"/>
    <mergeCell ref="L211:M211"/>
    <mergeCell ref="A212:B212"/>
    <mergeCell ref="C212:F212"/>
    <mergeCell ref="L212:M212"/>
    <mergeCell ref="A213:B213"/>
    <mergeCell ref="C213:F215"/>
    <mergeCell ref="A224:H224"/>
    <mergeCell ref="A225:B225"/>
    <mergeCell ref="A226:B226"/>
    <mergeCell ref="L226:M226"/>
    <mergeCell ref="A227:B227"/>
    <mergeCell ref="L227:M227"/>
    <mergeCell ref="A243:H243"/>
    <mergeCell ref="L243:M243"/>
    <mergeCell ref="L232:M232"/>
    <mergeCell ref="L233:M233"/>
    <mergeCell ref="L234:M234"/>
    <mergeCell ref="A229:B229"/>
    <mergeCell ref="C229:F231"/>
    <mergeCell ref="L229:M229"/>
    <mergeCell ref="A230:B230"/>
    <mergeCell ref="L230:M230"/>
    <mergeCell ref="A231:B231"/>
    <mergeCell ref="L231:M231"/>
    <mergeCell ref="A244:B244"/>
    <mergeCell ref="G244:H252"/>
    <mergeCell ref="A245:B245"/>
    <mergeCell ref="L245:M245"/>
    <mergeCell ref="A246:B246"/>
    <mergeCell ref="L246:M246"/>
    <mergeCell ref="A247:B247"/>
    <mergeCell ref="L247:M247"/>
    <mergeCell ref="A248:B248"/>
    <mergeCell ref="L248:M248"/>
    <mergeCell ref="A249:B249"/>
    <mergeCell ref="L249:M249"/>
    <mergeCell ref="A250:B250"/>
    <mergeCell ref="L250:M250"/>
    <mergeCell ref="A251:B251"/>
    <mergeCell ref="L251:M251"/>
    <mergeCell ref="A252:B252"/>
    <mergeCell ref="L252:M252"/>
    <mergeCell ref="A273:H273"/>
    <mergeCell ref="L273:M273"/>
    <mergeCell ref="A274:B274"/>
    <mergeCell ref="G274:H282"/>
    <mergeCell ref="A275:B275"/>
    <mergeCell ref="L275:M275"/>
    <mergeCell ref="A276:B276"/>
    <mergeCell ref="L276:M276"/>
    <mergeCell ref="A277:B277"/>
    <mergeCell ref="L277:M277"/>
    <mergeCell ref="A278:B278"/>
    <mergeCell ref="L278:M278"/>
    <mergeCell ref="A279:B279"/>
    <mergeCell ref="L279:M279"/>
    <mergeCell ref="A280:B280"/>
    <mergeCell ref="L280:M280"/>
    <mergeCell ref="A281:B281"/>
    <mergeCell ref="L281:M281"/>
    <mergeCell ref="A282:B282"/>
    <mergeCell ref="L282:M282"/>
    <mergeCell ref="A283:H283"/>
    <mergeCell ref="L283:M283"/>
    <mergeCell ref="A284:B284"/>
    <mergeCell ref="G284:H292"/>
    <mergeCell ref="A285:B285"/>
    <mergeCell ref="L285:M285"/>
    <mergeCell ref="A286:B286"/>
    <mergeCell ref="L286:M286"/>
    <mergeCell ref="A287:B287"/>
    <mergeCell ref="L287:M287"/>
    <mergeCell ref="A288:B288"/>
    <mergeCell ref="L288:M288"/>
    <mergeCell ref="A289:B289"/>
    <mergeCell ref="L289:M289"/>
    <mergeCell ref="A290:B290"/>
    <mergeCell ref="L290:M290"/>
    <mergeCell ref="A291:B291"/>
    <mergeCell ref="L291:M291"/>
    <mergeCell ref="A292:B292"/>
    <mergeCell ref="L292:M292"/>
    <mergeCell ref="A293:H293"/>
    <mergeCell ref="L293:M293"/>
    <mergeCell ref="A294:B294"/>
    <mergeCell ref="G294:H301"/>
    <mergeCell ref="A295:B295"/>
    <mergeCell ref="L295:M295"/>
    <mergeCell ref="A296:B296"/>
    <mergeCell ref="L296:M296"/>
    <mergeCell ref="A297:B297"/>
    <mergeCell ref="L297:M297"/>
    <mergeCell ref="A298:B298"/>
    <mergeCell ref="L298:M298"/>
    <mergeCell ref="A299:B299"/>
    <mergeCell ref="L299:M299"/>
    <mergeCell ref="A300:B300"/>
    <mergeCell ref="L300:M300"/>
    <mergeCell ref="A301:B301"/>
    <mergeCell ref="L301:M301"/>
    <mergeCell ref="A302:H302"/>
    <mergeCell ref="L302:M302"/>
    <mergeCell ref="A303:B303"/>
    <mergeCell ref="G303:H311"/>
    <mergeCell ref="A304:B304"/>
    <mergeCell ref="L304:M304"/>
    <mergeCell ref="A305:B305"/>
    <mergeCell ref="L305:M305"/>
    <mergeCell ref="A306:B306"/>
    <mergeCell ref="L306:M306"/>
    <mergeCell ref="A307:B307"/>
    <mergeCell ref="L307:M307"/>
    <mergeCell ref="A308:B308"/>
    <mergeCell ref="L308:M308"/>
    <mergeCell ref="A309:B309"/>
    <mergeCell ref="L309:M309"/>
    <mergeCell ref="A310:B310"/>
    <mergeCell ref="L310:M310"/>
    <mergeCell ref="A311:B311"/>
    <mergeCell ref="L311:M311"/>
    <mergeCell ref="A312:H312"/>
    <mergeCell ref="L312:M312"/>
    <mergeCell ref="A313:B313"/>
    <mergeCell ref="G313:H320"/>
    <mergeCell ref="A314:B314"/>
    <mergeCell ref="L314:M314"/>
    <mergeCell ref="A315:B315"/>
    <mergeCell ref="L315:M315"/>
    <mergeCell ref="A316:B316"/>
    <mergeCell ref="L316:M316"/>
    <mergeCell ref="A317:B317"/>
    <mergeCell ref="L317:M317"/>
    <mergeCell ref="A318:B318"/>
    <mergeCell ref="L318:M318"/>
    <mergeCell ref="A319:B319"/>
    <mergeCell ref="L319:M319"/>
    <mergeCell ref="A320:B320"/>
    <mergeCell ref="L320:M320"/>
    <mergeCell ref="A253:H253"/>
    <mergeCell ref="L253:M253"/>
    <mergeCell ref="A254:B254"/>
    <mergeCell ref="G254:H262"/>
    <mergeCell ref="A255:B255"/>
    <mergeCell ref="C255:F257"/>
    <mergeCell ref="A256:B256"/>
    <mergeCell ref="A257:B257"/>
    <mergeCell ref="A258:B258"/>
    <mergeCell ref="A259:B259"/>
    <mergeCell ref="A260:B260"/>
    <mergeCell ref="A261:B261"/>
    <mergeCell ref="A262:B262"/>
    <mergeCell ref="A331:H331"/>
    <mergeCell ref="L331:M331"/>
    <mergeCell ref="A332:B332"/>
    <mergeCell ref="G332:H338"/>
    <mergeCell ref="A333:B333"/>
    <mergeCell ref="L333:M333"/>
    <mergeCell ref="A334:B334"/>
    <mergeCell ref="L334:M334"/>
    <mergeCell ref="A335:B335"/>
    <mergeCell ref="L335:M335"/>
    <mergeCell ref="A336:B336"/>
    <mergeCell ref="L336:M336"/>
    <mergeCell ref="A337:B337"/>
    <mergeCell ref="L337:M337"/>
    <mergeCell ref="A338:B338"/>
    <mergeCell ref="L338:M338"/>
    <mergeCell ref="A339:H339"/>
    <mergeCell ref="L339:M339"/>
    <mergeCell ref="A340:B340"/>
    <mergeCell ref="G340:H347"/>
    <mergeCell ref="A341:B341"/>
    <mergeCell ref="L341:M341"/>
    <mergeCell ref="A342:B342"/>
    <mergeCell ref="L342:M342"/>
    <mergeCell ref="A343:B343"/>
    <mergeCell ref="L343:M343"/>
    <mergeCell ref="A344:B344"/>
    <mergeCell ref="L344:M344"/>
    <mergeCell ref="A345:B345"/>
    <mergeCell ref="L345:M345"/>
    <mergeCell ref="A346:B346"/>
    <mergeCell ref="L346:M346"/>
    <mergeCell ref="A347:B347"/>
    <mergeCell ref="L347:M347"/>
    <mergeCell ref="A353:B353"/>
    <mergeCell ref="L353:M353"/>
    <mergeCell ref="A354:B354"/>
    <mergeCell ref="L354:M354"/>
    <mergeCell ref="G349:H356"/>
    <mergeCell ref="A355:B355"/>
    <mergeCell ref="L355:M355"/>
    <mergeCell ref="A356:B356"/>
    <mergeCell ref="L356:M356"/>
    <mergeCell ref="A348:H348"/>
    <mergeCell ref="L348:M348"/>
    <mergeCell ref="A349:B349"/>
    <mergeCell ref="A350:B350"/>
    <mergeCell ref="L350:M350"/>
    <mergeCell ref="A351:B351"/>
    <mergeCell ref="L351:M351"/>
    <mergeCell ref="A352:B352"/>
    <mergeCell ref="L352:M352"/>
    <mergeCell ref="A357:H357"/>
    <mergeCell ref="L357:M357"/>
    <mergeCell ref="A358:B358"/>
    <mergeCell ref="G358:H365"/>
    <mergeCell ref="A359:B359"/>
    <mergeCell ref="L359:M359"/>
    <mergeCell ref="A360:B360"/>
    <mergeCell ref="L360:M360"/>
    <mergeCell ref="A361:B361"/>
    <mergeCell ref="L361:M361"/>
    <mergeCell ref="A362:B362"/>
    <mergeCell ref="L362:M362"/>
    <mergeCell ref="A363:B363"/>
    <mergeCell ref="L363:M363"/>
    <mergeCell ref="A364:B364"/>
    <mergeCell ref="L364:M364"/>
    <mergeCell ref="A365:B365"/>
    <mergeCell ref="L365:M365"/>
    <mergeCell ref="A366:H366"/>
    <mergeCell ref="L366:M366"/>
    <mergeCell ref="A367:B367"/>
    <mergeCell ref="G367:H373"/>
    <mergeCell ref="A368:B368"/>
    <mergeCell ref="L368:M368"/>
    <mergeCell ref="A369:B369"/>
    <mergeCell ref="L369:M369"/>
    <mergeCell ref="A370:B370"/>
    <mergeCell ref="L370:M370"/>
    <mergeCell ref="A371:B371"/>
    <mergeCell ref="L371:M371"/>
    <mergeCell ref="A372:B372"/>
    <mergeCell ref="L372:M372"/>
    <mergeCell ref="A373:B373"/>
    <mergeCell ref="L373:M373"/>
    <mergeCell ref="A374:H374"/>
    <mergeCell ref="L374:M374"/>
    <mergeCell ref="A375:B375"/>
    <mergeCell ref="G375:H382"/>
    <mergeCell ref="A376:B376"/>
    <mergeCell ref="L376:M376"/>
    <mergeCell ref="A377:B377"/>
    <mergeCell ref="L377:M377"/>
    <mergeCell ref="A378:B378"/>
    <mergeCell ref="L378:M378"/>
    <mergeCell ref="A379:B379"/>
    <mergeCell ref="L379:M379"/>
    <mergeCell ref="A380:B380"/>
    <mergeCell ref="L380:M380"/>
    <mergeCell ref="A381:B381"/>
    <mergeCell ref="L381:M381"/>
    <mergeCell ref="A382:B382"/>
    <mergeCell ref="L382:M382"/>
    <mergeCell ref="A383:H383"/>
    <mergeCell ref="L383:M383"/>
    <mergeCell ref="A384:B384"/>
    <mergeCell ref="G384:H392"/>
    <mergeCell ref="A385:B385"/>
    <mergeCell ref="A386:B386"/>
    <mergeCell ref="A387:B387"/>
    <mergeCell ref="A388:B388"/>
    <mergeCell ref="A389:B389"/>
    <mergeCell ref="A390:B390"/>
    <mergeCell ref="A391:B391"/>
    <mergeCell ref="A392:B392"/>
    <mergeCell ref="C385:F386"/>
    <mergeCell ref="A393:H393"/>
    <mergeCell ref="L393:M393"/>
    <mergeCell ref="A394:B394"/>
    <mergeCell ref="G394:H402"/>
    <mergeCell ref="A395:B395"/>
    <mergeCell ref="L395:M395"/>
    <mergeCell ref="A396:B396"/>
    <mergeCell ref="L396:M396"/>
    <mergeCell ref="A397:B397"/>
    <mergeCell ref="L397:M397"/>
    <mergeCell ref="A398:B398"/>
    <mergeCell ref="L398:M398"/>
    <mergeCell ref="A399:B399"/>
    <mergeCell ref="L399:M399"/>
    <mergeCell ref="A400:B400"/>
    <mergeCell ref="L400:M400"/>
    <mergeCell ref="A401:B401"/>
    <mergeCell ref="L401:M401"/>
    <mergeCell ref="A402:B402"/>
    <mergeCell ref="L402:M402"/>
    <mergeCell ref="A403:H403"/>
    <mergeCell ref="L403:M403"/>
    <mergeCell ref="A404:B404"/>
    <mergeCell ref="G404:H411"/>
    <mergeCell ref="A405:B405"/>
    <mergeCell ref="L405:M405"/>
    <mergeCell ref="A406:B406"/>
    <mergeCell ref="L406:M406"/>
    <mergeCell ref="A407:B407"/>
    <mergeCell ref="L407:M407"/>
    <mergeCell ref="A408:B408"/>
    <mergeCell ref="L408:M408"/>
    <mergeCell ref="A409:B409"/>
    <mergeCell ref="L409:M409"/>
    <mergeCell ref="A410:B410"/>
    <mergeCell ref="L410:M410"/>
    <mergeCell ref="A411:B411"/>
    <mergeCell ref="L411:M411"/>
    <mergeCell ref="A412:H412"/>
    <mergeCell ref="L412:M412"/>
    <mergeCell ref="A413:B413"/>
    <mergeCell ref="G413:H420"/>
    <mergeCell ref="A414:B414"/>
    <mergeCell ref="L414:M414"/>
    <mergeCell ref="A415:B415"/>
    <mergeCell ref="L415:M415"/>
    <mergeCell ref="A416:B416"/>
    <mergeCell ref="L416:M416"/>
    <mergeCell ref="A417:B417"/>
    <mergeCell ref="L417:M417"/>
    <mergeCell ref="A418:B418"/>
    <mergeCell ref="L418:M418"/>
    <mergeCell ref="A419:B419"/>
    <mergeCell ref="L419:M419"/>
    <mergeCell ref="A420:B420"/>
    <mergeCell ref="L420:M420"/>
    <mergeCell ref="A421:H421"/>
    <mergeCell ref="L421:M421"/>
    <mergeCell ref="A422:B422"/>
    <mergeCell ref="G422:H430"/>
    <mergeCell ref="A423:B423"/>
    <mergeCell ref="L423:M423"/>
    <mergeCell ref="A424:B424"/>
    <mergeCell ref="L424:M424"/>
    <mergeCell ref="A425:B425"/>
    <mergeCell ref="L425:M425"/>
    <mergeCell ref="A426:B426"/>
    <mergeCell ref="L426:M426"/>
    <mergeCell ref="A427:B427"/>
    <mergeCell ref="L427:M427"/>
    <mergeCell ref="A428:B428"/>
    <mergeCell ref="L428:M428"/>
    <mergeCell ref="A429:B429"/>
    <mergeCell ref="L429:M429"/>
    <mergeCell ref="A430:B430"/>
    <mergeCell ref="L430:M430"/>
    <mergeCell ref="B554:H554"/>
    <mergeCell ref="B555:H555"/>
    <mergeCell ref="A431:H431"/>
    <mergeCell ref="L431:M431"/>
    <mergeCell ref="A432:B432"/>
    <mergeCell ref="G432:H440"/>
    <mergeCell ref="A433:B433"/>
    <mergeCell ref="L433:M433"/>
    <mergeCell ref="A434:B434"/>
    <mergeCell ref="L434:M434"/>
    <mergeCell ref="A435:B435"/>
    <mergeCell ref="L435:M435"/>
    <mergeCell ref="A436:B436"/>
    <mergeCell ref="L436:M436"/>
    <mergeCell ref="A437:B437"/>
    <mergeCell ref="L437:M437"/>
    <mergeCell ref="A438:B438"/>
    <mergeCell ref="L438:M438"/>
    <mergeCell ref="A439:B439"/>
    <mergeCell ref="L439:M439"/>
    <mergeCell ref="A440:B440"/>
    <mergeCell ref="L440:M440"/>
    <mergeCell ref="K548:L548"/>
    <mergeCell ref="M548:N548"/>
  </mergeCells>
  <hyperlinks>
    <hyperlink ref="C41" r:id="rId1" xr:uid="{00000000-0004-0000-0000-000000000000}"/>
    <hyperlink ref="I67"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567" max="7" man="1"/>
    <brk id="609" max="7" man="1"/>
    <brk id="513" max="16383" man="1"/>
    <brk id="651" max="16383" man="1"/>
    <brk id="693" max="7"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7" zoomScale="85" zoomScaleNormal="85" workbookViewId="0">
      <selection activeCell="H15" sqref="H15"/>
    </sheetView>
  </sheetViews>
  <sheetFormatPr defaultColWidth="8.6640625" defaultRowHeight="14.4" x14ac:dyDescent="0.3"/>
  <cols>
    <col min="1" max="1" width="8.6640625" style="1"/>
    <col min="2" max="2" width="22.3320312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2" t="s">
        <v>104</v>
      </c>
      <c r="C3" s="222"/>
      <c r="D3" s="222"/>
      <c r="E3" s="222"/>
      <c r="F3" s="222"/>
      <c r="G3" s="222"/>
      <c r="H3" s="222"/>
    </row>
    <row r="4" spans="1:9" x14ac:dyDescent="0.3">
      <c r="A4" s="2"/>
      <c r="B4" s="3" t="s">
        <v>105</v>
      </c>
      <c r="C4" s="3" t="s">
        <v>106</v>
      </c>
      <c r="D4" s="3" t="s">
        <v>68</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c r="H15" s="1" t="s">
        <v>163</v>
      </c>
    </row>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2025-09-30T12:34:02Z</cp:lastPrinted>
  <dcterms:created xsi:type="dcterms:W3CDTF">2019-07-16T09:29:46Z</dcterms:created>
  <dcterms:modified xsi:type="dcterms:W3CDTF">2025-09-30T12:36:59Z</dcterms:modified>
</cp:coreProperties>
</file>